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WorkSpace\gitTest\"/>
    </mc:Choice>
  </mc:AlternateContent>
  <bookViews>
    <workbookView xWindow="-2568" yWindow="3852" windowWidth="21768" windowHeight="2328" tabRatio="722"/>
  </bookViews>
  <sheets>
    <sheet name="data" sheetId="4" r:id="rId1"/>
    <sheet name="day1" sheetId="54" r:id="rId2"/>
    <sheet name="day2" sheetId="57" r:id="rId3"/>
    <sheet name="day3" sheetId="58" r:id="rId4"/>
    <sheet name="公式" sheetId="42" r:id="rId5"/>
  </sheets>
  <definedNames>
    <definedName name="_xlnm._FilterDatabase" localSheetId="1" hidden="1">'day1'!$A$703:$HL$754</definedName>
    <definedName name="_xlnm._FilterDatabase" localSheetId="2" hidden="1">'day2'!$A$921:$HL$998</definedName>
    <definedName name="_xlnm._FilterDatabase" localSheetId="3" hidden="1">'day3'!$A$791:$HM$919</definedName>
  </definedNames>
  <calcPr calcId="162913"/>
</workbook>
</file>

<file path=xl/calcChain.xml><?xml version="1.0" encoding="utf-8"?>
<calcChain xmlns="http://schemas.openxmlformats.org/spreadsheetml/2006/main">
  <c r="S829" i="58" l="1"/>
  <c r="Q258" i="58"/>
  <c r="E351" i="57" l="1"/>
  <c r="E356" i="57" s="1"/>
  <c r="E346" i="57"/>
  <c r="E341" i="57"/>
  <c r="F271" i="57"/>
  <c r="F266" i="57"/>
  <c r="F261" i="57"/>
  <c r="C256" i="57"/>
  <c r="D256" i="57" s="1"/>
  <c r="J366" i="57"/>
  <c r="K366" i="57"/>
  <c r="L372" i="57" s="1"/>
  <c r="L366" i="57"/>
  <c r="M366" i="57"/>
  <c r="J367" i="57"/>
  <c r="K367" i="57"/>
  <c r="L377" i="57" s="1"/>
  <c r="L367" i="57"/>
  <c r="M367" i="57"/>
  <c r="M372" i="57"/>
  <c r="N372" i="57"/>
  <c r="O372" i="57"/>
  <c r="E377" i="57"/>
  <c r="M377" i="57"/>
  <c r="N377" i="57"/>
  <c r="O377" i="57"/>
  <c r="B381" i="57"/>
  <c r="C381" i="57"/>
  <c r="D381" i="57"/>
  <c r="E381" i="57"/>
  <c r="F381" i="57"/>
  <c r="G381" i="57"/>
  <c r="H381" i="57"/>
  <c r="I381" i="57"/>
  <c r="J381" i="57"/>
  <c r="K381" i="57"/>
  <c r="L381" i="57"/>
  <c r="M381" i="57"/>
  <c r="N381" i="57"/>
  <c r="O381" i="57"/>
  <c r="P381" i="57"/>
  <c r="Q381" i="57"/>
  <c r="R381" i="57"/>
  <c r="S381" i="57"/>
  <c r="T381" i="57"/>
  <c r="U381" i="57"/>
  <c r="V381" i="57"/>
  <c r="W381" i="57"/>
  <c r="X381" i="57"/>
  <c r="Y381" i="57"/>
  <c r="B382" i="57"/>
  <c r="C382" i="57"/>
  <c r="D382" i="57"/>
  <c r="E382" i="57"/>
  <c r="F382" i="57"/>
  <c r="G382" i="57"/>
  <c r="H382" i="57"/>
  <c r="I382" i="57"/>
  <c r="J382" i="57"/>
  <c r="K382" i="57"/>
  <c r="L382" i="57"/>
  <c r="M382" i="57"/>
  <c r="N382" i="57"/>
  <c r="O382" i="57"/>
  <c r="P382" i="57"/>
  <c r="Q382" i="57"/>
  <c r="R382" i="57"/>
  <c r="S382" i="57"/>
  <c r="T382" i="57"/>
  <c r="U382" i="57"/>
  <c r="V382" i="57"/>
  <c r="W382" i="57"/>
  <c r="X382" i="57"/>
  <c r="Y382" i="57"/>
  <c r="V383" i="57"/>
  <c r="W383" i="57"/>
  <c r="AJ396" i="57" s="1"/>
  <c r="P384" i="57"/>
  <c r="V384" i="57"/>
  <c r="W384" i="57"/>
  <c r="P385" i="57"/>
  <c r="S400" i="57" s="1"/>
  <c r="W400" i="57" s="1"/>
  <c r="V385" i="57"/>
  <c r="Z400" i="57" s="1"/>
  <c r="W385" i="57"/>
  <c r="AJ400" i="57" s="1"/>
  <c r="O386" i="57"/>
  <c r="P386" i="57"/>
  <c r="V386" i="57"/>
  <c r="Q405" i="57" s="1"/>
  <c r="W386" i="57"/>
  <c r="AJ405" i="57" s="1"/>
  <c r="O387" i="57"/>
  <c r="P387" i="57"/>
  <c r="V387" i="57"/>
  <c r="W387" i="57"/>
  <c r="AI405" i="57" s="1"/>
  <c r="O388" i="57"/>
  <c r="P388" i="57"/>
  <c r="V388" i="57"/>
  <c r="W388" i="57"/>
  <c r="AJ409" i="57" s="1"/>
  <c r="O389" i="57"/>
  <c r="P389" i="57"/>
  <c r="V389" i="57"/>
  <c r="Q409" i="57" s="1"/>
  <c r="W389" i="57"/>
  <c r="AI409" i="57" s="1"/>
  <c r="V390" i="57"/>
  <c r="W390" i="57"/>
  <c r="AI396" i="57" s="1"/>
  <c r="P391" i="57"/>
  <c r="V391" i="57"/>
  <c r="W391" i="57"/>
  <c r="P392" i="57"/>
  <c r="V392" i="57"/>
  <c r="W392" i="57"/>
  <c r="AI400" i="57" s="1"/>
  <c r="Q396" i="57"/>
  <c r="T400" i="57"/>
  <c r="X400" i="57" s="1"/>
  <c r="T405" i="57"/>
  <c r="X405" i="57" s="1"/>
  <c r="T409" i="57"/>
  <c r="B412" i="57"/>
  <c r="C412" i="57"/>
  <c r="D412" i="57"/>
  <c r="E412" i="57"/>
  <c r="F412" i="57"/>
  <c r="G412" i="57"/>
  <c r="H412" i="57"/>
  <c r="I412" i="57"/>
  <c r="J412" i="57"/>
  <c r="K412" i="57"/>
  <c r="L412" i="57"/>
  <c r="M412" i="57"/>
  <c r="N412" i="57"/>
  <c r="O412" i="57"/>
  <c r="P412" i="57"/>
  <c r="Q412" i="57"/>
  <c r="R412" i="57"/>
  <c r="S412" i="57"/>
  <c r="T412" i="57"/>
  <c r="U412" i="57"/>
  <c r="V412" i="57"/>
  <c r="W412" i="57"/>
  <c r="X412" i="57"/>
  <c r="Y412" i="57"/>
  <c r="Z412" i="57"/>
  <c r="AA412" i="57"/>
  <c r="AB412" i="57"/>
  <c r="AC412" i="57"/>
  <c r="B413" i="57"/>
  <c r="C413" i="57"/>
  <c r="D413" i="57"/>
  <c r="E413" i="57"/>
  <c r="F413" i="57"/>
  <c r="G413" i="57"/>
  <c r="H413" i="57"/>
  <c r="I413" i="57"/>
  <c r="J413" i="57"/>
  <c r="K413" i="57"/>
  <c r="L413" i="57"/>
  <c r="M413" i="57"/>
  <c r="N413" i="57"/>
  <c r="O413" i="57"/>
  <c r="P413" i="57"/>
  <c r="Q413" i="57"/>
  <c r="R413" i="57"/>
  <c r="S413" i="57"/>
  <c r="T413" i="57"/>
  <c r="U413" i="57"/>
  <c r="V413" i="57"/>
  <c r="W413" i="57"/>
  <c r="X413" i="57"/>
  <c r="Y413" i="57"/>
  <c r="Z413" i="57"/>
  <c r="AA413" i="57"/>
  <c r="AB413" i="57"/>
  <c r="AC413" i="57"/>
  <c r="H414" i="57"/>
  <c r="R414" i="57"/>
  <c r="O423" i="57" s="1"/>
  <c r="U414" i="57"/>
  <c r="U423" i="57" s="1"/>
  <c r="V414" i="57"/>
  <c r="W414" i="57"/>
  <c r="W423" i="57" s="1"/>
  <c r="X414" i="57"/>
  <c r="X423" i="57" s="1"/>
  <c r="AA414" i="57"/>
  <c r="AB414" i="57"/>
  <c r="H415" i="57"/>
  <c r="R415" i="57"/>
  <c r="AA415" i="57"/>
  <c r="AB415" i="57"/>
  <c r="H416" i="57"/>
  <c r="Q416" i="57"/>
  <c r="Z433" i="57" s="1"/>
  <c r="R416" i="57"/>
  <c r="AA416" i="57"/>
  <c r="AB416" i="57"/>
  <c r="AB433" i="57" s="1"/>
  <c r="H417" i="57"/>
  <c r="Q417" i="57"/>
  <c r="R417" i="57"/>
  <c r="U417" i="57"/>
  <c r="V417" i="57"/>
  <c r="W417" i="57"/>
  <c r="X417" i="57"/>
  <c r="AA417" i="57"/>
  <c r="AB417" i="57"/>
  <c r="H418" i="57"/>
  <c r="R418" i="57"/>
  <c r="O428" i="57" s="1"/>
  <c r="S418" i="57"/>
  <c r="AA418" i="57"/>
  <c r="AA428" i="57" s="1"/>
  <c r="AB418" i="57"/>
  <c r="H423" i="57"/>
  <c r="H428" i="57" s="1"/>
  <c r="H433" i="57" s="1"/>
  <c r="V423" i="57"/>
  <c r="AA423" i="57"/>
  <c r="AB423" i="57"/>
  <c r="AB428" i="57"/>
  <c r="O433" i="57"/>
  <c r="AA433" i="57"/>
  <c r="H437" i="57"/>
  <c r="H438" i="57"/>
  <c r="Q400" i="57" l="1"/>
  <c r="C1" i="58" l="1"/>
  <c r="D1" i="58"/>
  <c r="E1" i="58"/>
  <c r="B1" i="58"/>
  <c r="D2" i="57"/>
  <c r="D2" i="54"/>
  <c r="C2" i="54"/>
  <c r="B2" i="54" s="1"/>
  <c r="B2" i="4"/>
  <c r="E2" i="4"/>
  <c r="E2" i="57" s="1"/>
  <c r="D2" i="4"/>
  <c r="D2" i="58" s="1"/>
  <c r="C2" i="4"/>
  <c r="C2" i="58" s="1"/>
  <c r="E2" i="54" l="1"/>
  <c r="E2" i="58"/>
  <c r="B2" i="58" s="1"/>
  <c r="B258" i="58" s="1"/>
  <c r="C258" i="58" s="1"/>
  <c r="C2" i="57"/>
  <c r="J273" i="58"/>
  <c r="J268" i="58"/>
  <c r="J263" i="58"/>
  <c r="J279" i="58"/>
  <c r="J258" i="58"/>
  <c r="Q263" i="58"/>
  <c r="C263" i="58"/>
  <c r="B279" i="58"/>
  <c r="C273" i="58"/>
  <c r="B263" i="58"/>
  <c r="Q273" i="58"/>
  <c r="C268" i="58"/>
  <c r="Q268" i="58"/>
  <c r="B268" i="58"/>
  <c r="S830" i="58"/>
  <c r="S831" i="58"/>
  <c r="S832" i="58"/>
  <c r="S833" i="58"/>
  <c r="S834" i="58"/>
  <c r="S835" i="58"/>
  <c r="S836" i="58"/>
  <c r="U302" i="58"/>
  <c r="AF302" i="58"/>
  <c r="AF303" i="58"/>
  <c r="AE302" i="58"/>
  <c r="AE303" i="58"/>
  <c r="AD302" i="58"/>
  <c r="AD303" i="58"/>
  <c r="AC302" i="58"/>
  <c r="AC303" i="58"/>
  <c r="AB302" i="58"/>
  <c r="AB303" i="58"/>
  <c r="Z302" i="58"/>
  <c r="AA302" i="58"/>
  <c r="Z303" i="58"/>
  <c r="AA303" i="58"/>
  <c r="X302" i="58"/>
  <c r="Y302" i="58"/>
  <c r="X303" i="58"/>
  <c r="Y303" i="58"/>
  <c r="V302" i="58"/>
  <c r="W302" i="58"/>
  <c r="V303" i="58"/>
  <c r="W303" i="58"/>
  <c r="U303" i="58"/>
  <c r="O302" i="58"/>
  <c r="P302" i="58"/>
  <c r="Q302" i="58"/>
  <c r="R302" i="58"/>
  <c r="S302" i="58"/>
  <c r="T302" i="58"/>
  <c r="O303" i="58"/>
  <c r="P303" i="58"/>
  <c r="Q303" i="58"/>
  <c r="R303" i="58"/>
  <c r="S303" i="58"/>
  <c r="T303" i="58"/>
  <c r="N302" i="58"/>
  <c r="N303" i="58"/>
  <c r="C302" i="58"/>
  <c r="D302" i="58"/>
  <c r="E302" i="58"/>
  <c r="F302" i="58"/>
  <c r="G302" i="58"/>
  <c r="H302" i="58"/>
  <c r="I302" i="58"/>
  <c r="J302" i="58"/>
  <c r="K302" i="58"/>
  <c r="L302" i="58"/>
  <c r="M302" i="58"/>
  <c r="C303" i="58"/>
  <c r="D303" i="58"/>
  <c r="E303" i="58"/>
  <c r="F303" i="58"/>
  <c r="G303" i="58"/>
  <c r="H303" i="58"/>
  <c r="I303" i="58"/>
  <c r="J303" i="58"/>
  <c r="K303" i="58"/>
  <c r="L303" i="58"/>
  <c r="M303" i="58"/>
  <c r="B303" i="58"/>
  <c r="B302" i="58"/>
  <c r="AI296" i="58"/>
  <c r="C279" i="58" l="1"/>
  <c r="B273" i="58"/>
  <c r="Q279" i="58"/>
  <c r="C282" i="58"/>
  <c r="D282" i="58"/>
  <c r="E282" i="58"/>
  <c r="F282" i="58"/>
  <c r="G282" i="58"/>
  <c r="H282" i="58"/>
  <c r="I282" i="58"/>
  <c r="J282" i="58"/>
  <c r="K282" i="58"/>
  <c r="L282" i="58"/>
  <c r="M282" i="58"/>
  <c r="N282" i="58"/>
  <c r="O282" i="58"/>
  <c r="P282" i="58"/>
  <c r="Q282" i="58"/>
  <c r="R282" i="58"/>
  <c r="S282" i="58"/>
  <c r="T282" i="58"/>
  <c r="U282" i="58"/>
  <c r="V282" i="58"/>
  <c r="W282" i="58"/>
  <c r="X282" i="58"/>
  <c r="Y282" i="58"/>
  <c r="C283" i="58"/>
  <c r="D283" i="58"/>
  <c r="E283" i="58"/>
  <c r="F283" i="58"/>
  <c r="G283" i="58"/>
  <c r="H283" i="58"/>
  <c r="I283" i="58"/>
  <c r="J283" i="58"/>
  <c r="K283" i="58"/>
  <c r="L283" i="58"/>
  <c r="M283" i="58"/>
  <c r="N283" i="58"/>
  <c r="O283" i="58"/>
  <c r="P283" i="58"/>
  <c r="Q283" i="58"/>
  <c r="R283" i="58"/>
  <c r="S283" i="58"/>
  <c r="T283" i="58"/>
  <c r="U283" i="58"/>
  <c r="V283" i="58"/>
  <c r="W283" i="58"/>
  <c r="X283" i="58"/>
  <c r="Y283" i="58"/>
  <c r="B283" i="58"/>
  <c r="B282" i="58"/>
  <c r="B825" i="58"/>
  <c r="B827" i="58"/>
  <c r="B828" i="58"/>
  <c r="B830" i="58"/>
  <c r="B831" i="58"/>
  <c r="B832" i="58"/>
  <c r="B833" i="58"/>
  <c r="B835" i="58"/>
  <c r="B836" i="58"/>
  <c r="B824" i="58"/>
  <c r="AE828" i="58"/>
  <c r="S828" i="58" s="1"/>
  <c r="B823" i="57"/>
  <c r="B415" i="57" s="1"/>
  <c r="B825" i="57"/>
  <c r="B417" i="57" s="1"/>
  <c r="B807" i="57" l="1"/>
  <c r="B384" i="57" s="1"/>
  <c r="B810" i="57"/>
  <c r="B387" i="57" s="1"/>
  <c r="B811" i="57"/>
  <c r="B388" i="57" s="1"/>
  <c r="B814" i="57"/>
  <c r="B391" i="57" s="1"/>
  <c r="S824" i="57" l="1"/>
  <c r="S416" i="57" s="1"/>
  <c r="S825" i="57"/>
  <c r="S417" i="57" s="1"/>
  <c r="AE827" i="58" l="1"/>
  <c r="S827" i="58" s="1"/>
  <c r="AE826" i="58"/>
  <c r="S826" i="58" s="1"/>
  <c r="M282" i="54"/>
  <c r="G2" i="58" l="1"/>
  <c r="F2" i="58"/>
  <c r="G2" i="57"/>
  <c r="F2" i="57"/>
  <c r="G2" i="54" l="1"/>
  <c r="F2" i="54"/>
  <c r="D337" i="4" l="1"/>
  <c r="E685" i="57" l="1"/>
  <c r="E680" i="57"/>
  <c r="E675" i="57"/>
  <c r="F605" i="57"/>
  <c r="F600" i="57"/>
  <c r="F595" i="57"/>
  <c r="A211" i="58"/>
  <c r="A211" i="57"/>
  <c r="A215" i="54"/>
  <c r="BL1023" i="58" l="1"/>
  <c r="S822" i="57"/>
  <c r="S414" i="57" s="1"/>
  <c r="Q826" i="58"/>
  <c r="Q827" i="58"/>
  <c r="H824" i="58"/>
  <c r="H825" i="58"/>
  <c r="H826" i="58"/>
  <c r="H827" i="58"/>
  <c r="H828" i="58"/>
  <c r="E147" i="58"/>
  <c r="F147" i="58"/>
  <c r="E148" i="58"/>
  <c r="F148" i="58"/>
  <c r="E149" i="58"/>
  <c r="F149" i="58"/>
  <c r="E150" i="58"/>
  <c r="F150" i="58"/>
  <c r="E151" i="58"/>
  <c r="F151" i="58"/>
  <c r="E152" i="58"/>
  <c r="F152" i="58"/>
  <c r="E153" i="58"/>
  <c r="F153" i="58"/>
  <c r="E154" i="58"/>
  <c r="F154" i="58"/>
  <c r="E155" i="58"/>
  <c r="F155" i="58"/>
  <c r="E156" i="58"/>
  <c r="F156" i="58"/>
  <c r="A156" i="58"/>
  <c r="A147" i="58"/>
  <c r="A148" i="58"/>
  <c r="A149" i="58"/>
  <c r="A150" i="58"/>
  <c r="A151" i="58"/>
  <c r="A152" i="58"/>
  <c r="A153" i="58"/>
  <c r="A154" i="58"/>
  <c r="A155" i="58"/>
  <c r="C31" i="58"/>
  <c r="O795" i="58"/>
  <c r="O796" i="58"/>
  <c r="O797" i="58"/>
  <c r="O798" i="58"/>
  <c r="G241" i="58"/>
  <c r="D241" i="58"/>
  <c r="E1" i="57"/>
  <c r="D1" i="57"/>
  <c r="AE824" i="58" l="1"/>
  <c r="S824" i="58" s="1"/>
  <c r="G1084" i="57"/>
  <c r="F8" i="42" l="1"/>
  <c r="E8" i="42"/>
  <c r="J8" i="42" l="1"/>
  <c r="A10" i="42"/>
  <c r="K10" i="42"/>
  <c r="C10" i="42"/>
  <c r="C9" i="42" s="1"/>
  <c r="D8" i="42"/>
  <c r="D9" i="42" s="1"/>
  <c r="A11" i="42" l="1"/>
  <c r="D10" i="42"/>
  <c r="D11" i="42" s="1"/>
  <c r="I9" i="42"/>
  <c r="I10" i="42" s="1"/>
  <c r="G241" i="57"/>
  <c r="D241" i="57"/>
  <c r="K833" i="57"/>
  <c r="N889" i="57"/>
  <c r="N887" i="57"/>
  <c r="R741" i="57"/>
  <c r="AC721" i="57"/>
  <c r="AD721" i="57"/>
  <c r="R721" i="57"/>
  <c r="A721" i="57"/>
  <c r="O833" i="57"/>
  <c r="N833" i="57"/>
  <c r="M833" i="57"/>
  <c r="L833" i="57" s="1"/>
  <c r="M832" i="57"/>
  <c r="N825" i="57"/>
  <c r="N417" i="57" s="1"/>
  <c r="O825" i="57"/>
  <c r="O417" i="57" s="1"/>
  <c r="P825" i="57"/>
  <c r="P417" i="57" s="1"/>
  <c r="M825" i="57"/>
  <c r="M417" i="57" s="1"/>
  <c r="Q812" i="57"/>
  <c r="Q811" i="57"/>
  <c r="N811" i="57"/>
  <c r="N388" i="57" s="1"/>
  <c r="L811" i="57"/>
  <c r="L388" i="57" s="1"/>
  <c r="K811" i="57"/>
  <c r="K388" i="57" s="1"/>
  <c r="M811" i="57"/>
  <c r="M388" i="57" s="1"/>
  <c r="AC738" i="57"/>
  <c r="AD738" i="57"/>
  <c r="F147" i="57"/>
  <c r="F148" i="57"/>
  <c r="F149" i="57"/>
  <c r="F150" i="57"/>
  <c r="F151" i="57"/>
  <c r="F152" i="57"/>
  <c r="F153" i="57"/>
  <c r="F154" i="57"/>
  <c r="F155" i="57"/>
  <c r="F156" i="57"/>
  <c r="A147" i="57"/>
  <c r="A148" i="57"/>
  <c r="A149" i="57"/>
  <c r="A150" i="57"/>
  <c r="A151" i="57"/>
  <c r="A152" i="57"/>
  <c r="A153" i="57"/>
  <c r="A154" i="57"/>
  <c r="A155" i="57"/>
  <c r="A156" i="57"/>
  <c r="E156" i="57"/>
  <c r="E147" i="57"/>
  <c r="E148" i="57"/>
  <c r="E149" i="57"/>
  <c r="E150" i="57"/>
  <c r="E151" i="57"/>
  <c r="E152" i="57"/>
  <c r="E153" i="57"/>
  <c r="E154" i="57"/>
  <c r="E155" i="57"/>
  <c r="A868" i="57"/>
  <c r="AA868" i="57"/>
  <c r="O832" i="57"/>
  <c r="N832" i="57"/>
  <c r="P824" i="57"/>
  <c r="P416" i="57" s="1"/>
  <c r="Q433" i="57" s="1"/>
  <c r="O824" i="57"/>
  <c r="O416" i="57" s="1"/>
  <c r="M433" i="57" s="1"/>
  <c r="N824" i="57"/>
  <c r="N416" i="57" s="1"/>
  <c r="K433" i="57" s="1"/>
  <c r="M824" i="57"/>
  <c r="M416" i="57" s="1"/>
  <c r="L433" i="57" s="1"/>
  <c r="AD797" i="58" l="1"/>
  <c r="Q797" i="58" s="1"/>
  <c r="Q388" i="57"/>
  <c r="AD798" i="58"/>
  <c r="Q798" i="58" s="1"/>
  <c r="Q389" i="57"/>
  <c r="S409" i="57" s="1"/>
  <c r="W409" i="57" s="1"/>
  <c r="P827" i="58"/>
  <c r="P826" i="58"/>
  <c r="N826" i="58"/>
  <c r="N827" i="58"/>
  <c r="N812" i="57"/>
  <c r="N389" i="57" s="1"/>
  <c r="N409" i="57" s="1"/>
  <c r="N797" i="58"/>
  <c r="M812" i="57"/>
  <c r="M389" i="57" s="1"/>
  <c r="M409" i="57" s="1"/>
  <c r="M797" i="58"/>
  <c r="T825" i="57"/>
  <c r="T417" i="57" s="1"/>
  <c r="O827" i="58"/>
  <c r="T827" i="58" s="1"/>
  <c r="K812" i="57"/>
  <c r="K389" i="57" s="1"/>
  <c r="L409" i="57" s="1"/>
  <c r="K797" i="58"/>
  <c r="L812" i="57"/>
  <c r="L389" i="57" s="1"/>
  <c r="K409" i="57" s="1"/>
  <c r="L797" i="58"/>
  <c r="AC825" i="57"/>
  <c r="AC417" i="57" s="1"/>
  <c r="M827" i="58"/>
  <c r="T824" i="57"/>
  <c r="T416" i="57" s="1"/>
  <c r="P433" i="57" s="1"/>
  <c r="O826" i="58"/>
  <c r="AC824" i="57"/>
  <c r="AC416" i="57" s="1"/>
  <c r="M826" i="58"/>
  <c r="R811" i="57"/>
  <c r="R388" i="57" s="1"/>
  <c r="Z409" i="57" s="1"/>
  <c r="L798" i="58" l="1"/>
  <c r="N798" i="58"/>
  <c r="R797" i="58"/>
  <c r="K798" i="58"/>
  <c r="M798" i="58"/>
  <c r="R798" i="58" s="1"/>
  <c r="R812" i="57"/>
  <c r="R389" i="57" s="1"/>
  <c r="Y409" i="57" s="1"/>
  <c r="X827" i="58"/>
  <c r="V827" i="58"/>
  <c r="U827" i="58"/>
  <c r="W827" i="58"/>
  <c r="AC827" i="58"/>
  <c r="A884" i="57"/>
  <c r="A890" i="57"/>
  <c r="A891" i="57"/>
  <c r="A892" i="57"/>
  <c r="A893" i="57"/>
  <c r="A894" i="57"/>
  <c r="A895" i="57"/>
  <c r="A896" i="57"/>
  <c r="A897" i="57"/>
  <c r="A898" i="57"/>
  <c r="A899" i="57"/>
  <c r="A900" i="57"/>
  <c r="A901" i="57"/>
  <c r="A902" i="57"/>
  <c r="A903" i="57"/>
  <c r="A904" i="57"/>
  <c r="A905" i="57"/>
  <c r="A906" i="57"/>
  <c r="A907" i="57"/>
  <c r="A908" i="57"/>
  <c r="A909" i="57"/>
  <c r="A910" i="57"/>
  <c r="A911" i="57"/>
  <c r="A912" i="57"/>
  <c r="A913" i="57"/>
  <c r="A914" i="57"/>
  <c r="A915" i="57"/>
  <c r="A878" i="57"/>
  <c r="A880" i="57"/>
  <c r="A882" i="57"/>
  <c r="A876" i="57"/>
  <c r="G839" i="54"/>
  <c r="Q809" i="57"/>
  <c r="Q810" i="57"/>
  <c r="N810" i="57"/>
  <c r="N387" i="57" s="1"/>
  <c r="N809" i="57"/>
  <c r="N386" i="57" s="1"/>
  <c r="N405" i="57" s="1"/>
  <c r="M810" i="57"/>
  <c r="M387" i="57" s="1"/>
  <c r="M809" i="57"/>
  <c r="M386" i="57" s="1"/>
  <c r="M405" i="57" s="1"/>
  <c r="L810" i="57"/>
  <c r="L387" i="57" s="1"/>
  <c r="L809" i="57"/>
  <c r="L386" i="57" s="1"/>
  <c r="K405" i="57" s="1"/>
  <c r="K810" i="57"/>
  <c r="K387" i="57" s="1"/>
  <c r="K809" i="57"/>
  <c r="K386" i="57" s="1"/>
  <c r="L405" i="57" s="1"/>
  <c r="D377" i="4"/>
  <c r="B377" i="4"/>
  <c r="E377" i="4" s="1"/>
  <c r="AD795" i="58" l="1"/>
  <c r="Q795" i="58" s="1"/>
  <c r="Q386" i="57"/>
  <c r="AD796" i="58"/>
  <c r="Q796" i="58" s="1"/>
  <c r="Q387" i="57"/>
  <c r="L796" i="58"/>
  <c r="N796" i="58"/>
  <c r="K795" i="58"/>
  <c r="M795" i="58"/>
  <c r="K796" i="58"/>
  <c r="M796" i="58"/>
  <c r="L795" i="58"/>
  <c r="N795" i="58"/>
  <c r="S377" i="4"/>
  <c r="P377" i="4"/>
  <c r="R809" i="57"/>
  <c r="R386" i="57" s="1"/>
  <c r="Z405" i="57" s="1"/>
  <c r="R810" i="57"/>
  <c r="R387" i="57" s="1"/>
  <c r="Y405" i="57" s="1"/>
  <c r="G248" i="54"/>
  <c r="R551" i="54"/>
  <c r="R550" i="54"/>
  <c r="A551" i="54"/>
  <c r="C34" i="58"/>
  <c r="D34" i="58"/>
  <c r="E34" i="58"/>
  <c r="I34" i="58"/>
  <c r="J34" i="58"/>
  <c r="C35" i="58"/>
  <c r="D35" i="58"/>
  <c r="E35" i="58"/>
  <c r="I35" i="58"/>
  <c r="J35" i="58"/>
  <c r="C36" i="58"/>
  <c r="D36" i="58"/>
  <c r="E36" i="58"/>
  <c r="I36" i="58"/>
  <c r="J36" i="58"/>
  <c r="C37" i="58"/>
  <c r="D37" i="58"/>
  <c r="E37" i="58"/>
  <c r="I37" i="58"/>
  <c r="J37" i="58"/>
  <c r="C38" i="58"/>
  <c r="D38" i="58"/>
  <c r="E38" i="58"/>
  <c r="I38" i="58"/>
  <c r="J38" i="58"/>
  <c r="C39" i="58"/>
  <c r="D39" i="58"/>
  <c r="E39" i="58"/>
  <c r="I39" i="58"/>
  <c r="J39" i="58"/>
  <c r="C40" i="58"/>
  <c r="D40" i="58"/>
  <c r="E40" i="58"/>
  <c r="I40" i="58"/>
  <c r="J40" i="58"/>
  <c r="C41" i="58"/>
  <c r="D41" i="58"/>
  <c r="E41" i="58"/>
  <c r="I41" i="58"/>
  <c r="J41" i="58"/>
  <c r="C42" i="58"/>
  <c r="D42" i="58"/>
  <c r="E42" i="58"/>
  <c r="I42" i="58"/>
  <c r="J42" i="58"/>
  <c r="C43" i="58"/>
  <c r="D43" i="58"/>
  <c r="E43" i="58"/>
  <c r="I43" i="58"/>
  <c r="J43" i="58"/>
  <c r="C44" i="58"/>
  <c r="D44" i="58"/>
  <c r="E44" i="58"/>
  <c r="I44" i="58"/>
  <c r="J44" i="58"/>
  <c r="C45" i="58"/>
  <c r="D45" i="58"/>
  <c r="E45" i="58"/>
  <c r="I45" i="58"/>
  <c r="J45" i="58"/>
  <c r="C46" i="58"/>
  <c r="D46" i="58"/>
  <c r="E46" i="58"/>
  <c r="G46" i="58"/>
  <c r="I46" i="58"/>
  <c r="J46" i="58"/>
  <c r="D47" i="58"/>
  <c r="E47" i="58"/>
  <c r="G47" i="58"/>
  <c r="I47" i="58"/>
  <c r="J47" i="58"/>
  <c r="D48" i="58"/>
  <c r="E48" i="58"/>
  <c r="G48" i="58"/>
  <c r="I48" i="58"/>
  <c r="J48" i="58"/>
  <c r="C49" i="58"/>
  <c r="D49" i="58"/>
  <c r="E49" i="58"/>
  <c r="G49" i="58"/>
  <c r="I49" i="58"/>
  <c r="J49" i="58"/>
  <c r="C50" i="58"/>
  <c r="D50" i="58"/>
  <c r="E50" i="58"/>
  <c r="G50" i="58"/>
  <c r="I50" i="58"/>
  <c r="J50" i="58"/>
  <c r="C51" i="58"/>
  <c r="D51" i="58"/>
  <c r="E51" i="58"/>
  <c r="G51" i="58"/>
  <c r="I51" i="58"/>
  <c r="J51" i="58"/>
  <c r="D33" i="58"/>
  <c r="E33" i="58"/>
  <c r="I33" i="58"/>
  <c r="J33" i="58"/>
  <c r="C33" i="58"/>
  <c r="A30" i="58"/>
  <c r="B30" i="58"/>
  <c r="C30" i="58"/>
  <c r="D30" i="58"/>
  <c r="E30" i="58"/>
  <c r="G30" i="58"/>
  <c r="H30" i="58"/>
  <c r="J30" i="58"/>
  <c r="K30" i="58"/>
  <c r="L30" i="58"/>
  <c r="M30" i="58"/>
  <c r="C34" i="57"/>
  <c r="D34" i="57"/>
  <c r="E34" i="57"/>
  <c r="I34" i="57"/>
  <c r="J34" i="57"/>
  <c r="C35" i="57"/>
  <c r="D35" i="57"/>
  <c r="E35" i="57"/>
  <c r="I35" i="57"/>
  <c r="J35" i="57"/>
  <c r="C36" i="57"/>
  <c r="D36" i="57"/>
  <c r="E36" i="57"/>
  <c r="I36" i="57"/>
  <c r="J36" i="57"/>
  <c r="C37" i="57"/>
  <c r="D37" i="57"/>
  <c r="E37" i="57"/>
  <c r="I37" i="57"/>
  <c r="J37" i="57"/>
  <c r="C38" i="57"/>
  <c r="D38" i="57"/>
  <c r="E38" i="57"/>
  <c r="I38" i="57"/>
  <c r="J38" i="57"/>
  <c r="C39" i="57"/>
  <c r="D39" i="57"/>
  <c r="E39" i="57"/>
  <c r="I39" i="57"/>
  <c r="J39" i="57"/>
  <c r="C40" i="57"/>
  <c r="D40" i="57"/>
  <c r="E40" i="57"/>
  <c r="I40" i="57"/>
  <c r="J40" i="57"/>
  <c r="C41" i="57"/>
  <c r="D41" i="57"/>
  <c r="E41" i="57"/>
  <c r="I41" i="57"/>
  <c r="J41" i="57"/>
  <c r="C42" i="57"/>
  <c r="D42" i="57"/>
  <c r="E42" i="57"/>
  <c r="I42" i="57"/>
  <c r="J42" i="57"/>
  <c r="C43" i="57"/>
  <c r="D43" i="57"/>
  <c r="E43" i="57"/>
  <c r="I43" i="57"/>
  <c r="J43" i="57"/>
  <c r="C44" i="57"/>
  <c r="D44" i="57"/>
  <c r="E44" i="57"/>
  <c r="I44" i="57"/>
  <c r="J44" i="57"/>
  <c r="C45" i="57"/>
  <c r="D45" i="57"/>
  <c r="E45" i="57"/>
  <c r="I45" i="57"/>
  <c r="J45" i="57"/>
  <c r="C46" i="57"/>
  <c r="D46" i="57"/>
  <c r="E46" i="57"/>
  <c r="G46" i="57"/>
  <c r="I46" i="57"/>
  <c r="J46" i="57"/>
  <c r="D47" i="57"/>
  <c r="E47" i="57"/>
  <c r="G47" i="57"/>
  <c r="I47" i="57"/>
  <c r="J47" i="57"/>
  <c r="D48" i="57"/>
  <c r="E48" i="57"/>
  <c r="G48" i="57"/>
  <c r="I48" i="57"/>
  <c r="J48" i="57"/>
  <c r="C49" i="57"/>
  <c r="D49" i="57"/>
  <c r="E49" i="57"/>
  <c r="G49" i="57"/>
  <c r="I49" i="57"/>
  <c r="J49" i="57"/>
  <c r="C50" i="57"/>
  <c r="D50" i="57"/>
  <c r="E50" i="57"/>
  <c r="G50" i="57"/>
  <c r="I50" i="57"/>
  <c r="J50" i="57"/>
  <c r="C51" i="57"/>
  <c r="B886" i="57" s="1"/>
  <c r="D51" i="57"/>
  <c r="E51" i="57"/>
  <c r="G51" i="57"/>
  <c r="I51" i="57"/>
  <c r="J51" i="57"/>
  <c r="D33" i="57"/>
  <c r="E33" i="57"/>
  <c r="I33" i="57"/>
  <c r="J33" i="57"/>
  <c r="C33" i="57"/>
  <c r="B876" i="57" s="1"/>
  <c r="D37" i="54"/>
  <c r="E37" i="54"/>
  <c r="I37" i="54"/>
  <c r="J37" i="54"/>
  <c r="D38" i="54"/>
  <c r="E38" i="54"/>
  <c r="I38" i="54"/>
  <c r="J38" i="54"/>
  <c r="D39" i="54"/>
  <c r="E39" i="54"/>
  <c r="I39" i="54"/>
  <c r="J39" i="54"/>
  <c r="D40" i="54"/>
  <c r="E40" i="54"/>
  <c r="I40" i="54"/>
  <c r="J40" i="54"/>
  <c r="D41" i="54"/>
  <c r="E41" i="54"/>
  <c r="I41" i="54"/>
  <c r="J41" i="54"/>
  <c r="D42" i="54"/>
  <c r="E42" i="54"/>
  <c r="I42" i="54"/>
  <c r="J42" i="54"/>
  <c r="D43" i="54"/>
  <c r="E43" i="54"/>
  <c r="I43" i="54"/>
  <c r="J43" i="54"/>
  <c r="D44" i="54"/>
  <c r="E44" i="54"/>
  <c r="I44" i="54"/>
  <c r="J44" i="54"/>
  <c r="D45" i="54"/>
  <c r="E45" i="54"/>
  <c r="I45" i="54"/>
  <c r="J45" i="54"/>
  <c r="D46" i="54"/>
  <c r="E46" i="54"/>
  <c r="I46" i="54"/>
  <c r="J46" i="54"/>
  <c r="D47" i="54"/>
  <c r="E47" i="54"/>
  <c r="I47" i="54"/>
  <c r="J47" i="54"/>
  <c r="D48" i="54"/>
  <c r="E48" i="54"/>
  <c r="I48" i="54"/>
  <c r="J48" i="54"/>
  <c r="D49" i="54"/>
  <c r="E49" i="54"/>
  <c r="G49" i="54"/>
  <c r="I49" i="54"/>
  <c r="J49" i="54"/>
  <c r="D50" i="54"/>
  <c r="E50" i="54"/>
  <c r="G50" i="54"/>
  <c r="I50" i="54"/>
  <c r="J50" i="54"/>
  <c r="D51" i="54"/>
  <c r="E51" i="54"/>
  <c r="G51" i="54"/>
  <c r="I51" i="54"/>
  <c r="J51" i="54"/>
  <c r="D52" i="54"/>
  <c r="E52" i="54"/>
  <c r="G52" i="54"/>
  <c r="I52" i="54"/>
  <c r="J52" i="54"/>
  <c r="D53" i="54"/>
  <c r="E53" i="54"/>
  <c r="G53" i="54"/>
  <c r="I53" i="54"/>
  <c r="J53" i="54"/>
  <c r="D54" i="54"/>
  <c r="E54" i="54"/>
  <c r="G54" i="54"/>
  <c r="I54" i="54"/>
  <c r="J54" i="54"/>
  <c r="C37" i="54"/>
  <c r="C38" i="54"/>
  <c r="C39" i="54"/>
  <c r="C40" i="54"/>
  <c r="B670" i="54" s="1"/>
  <c r="C41" i="54"/>
  <c r="B672" i="54" s="1"/>
  <c r="C42" i="54"/>
  <c r="C43" i="54"/>
  <c r="C44" i="54"/>
  <c r="B674" i="54" s="1"/>
  <c r="B675" i="54" s="1"/>
  <c r="C45" i="54"/>
  <c r="C46" i="54"/>
  <c r="C47" i="54"/>
  <c r="C48" i="54"/>
  <c r="C49" i="54"/>
  <c r="B688" i="54" s="1"/>
  <c r="B689" i="54" s="1"/>
  <c r="C52" i="54"/>
  <c r="B696" i="54" s="1"/>
  <c r="C53" i="54"/>
  <c r="B666" i="54" s="1"/>
  <c r="C54" i="54"/>
  <c r="C36" i="54"/>
  <c r="D30" i="57"/>
  <c r="E30" i="57"/>
  <c r="G30" i="57"/>
  <c r="H30" i="57"/>
  <c r="J30" i="57"/>
  <c r="K30" i="57"/>
  <c r="L30" i="57"/>
  <c r="M30" i="57"/>
  <c r="A30" i="57"/>
  <c r="B30" i="57"/>
  <c r="C30" i="57"/>
  <c r="D1084" i="57" s="1"/>
  <c r="A157" i="54"/>
  <c r="A158" i="54"/>
  <c r="A159" i="54"/>
  <c r="E157" i="54"/>
  <c r="F157" i="54"/>
  <c r="E158" i="54"/>
  <c r="F158" i="54"/>
  <c r="E159" i="54"/>
  <c r="F159" i="54"/>
  <c r="A150" i="54"/>
  <c r="E150" i="54"/>
  <c r="F150" i="54"/>
  <c r="A151" i="54"/>
  <c r="E151" i="54"/>
  <c r="F151" i="54"/>
  <c r="A152" i="54"/>
  <c r="E152" i="54"/>
  <c r="F152" i="54"/>
  <c r="A153" i="54"/>
  <c r="E153" i="54"/>
  <c r="F153" i="54"/>
  <c r="A154" i="54"/>
  <c r="E154" i="54"/>
  <c r="F154" i="54"/>
  <c r="A155" i="54"/>
  <c r="E155" i="54"/>
  <c r="F155" i="54"/>
  <c r="A156" i="54"/>
  <c r="E156" i="54"/>
  <c r="F156" i="54"/>
  <c r="A44" i="54"/>
  <c r="B44" i="54"/>
  <c r="I30" i="4"/>
  <c r="I33" i="54" s="1"/>
  <c r="J33" i="54"/>
  <c r="D33" i="54"/>
  <c r="E33" i="54"/>
  <c r="G33" i="54"/>
  <c r="H33" i="54"/>
  <c r="K33" i="54"/>
  <c r="L33" i="54"/>
  <c r="M33" i="54"/>
  <c r="A33" i="54"/>
  <c r="B33" i="54"/>
  <c r="C33" i="54"/>
  <c r="G792" i="54" s="1"/>
  <c r="L148" i="4"/>
  <c r="M148" i="4"/>
  <c r="L149" i="4"/>
  <c r="M149" i="4"/>
  <c r="L150" i="4"/>
  <c r="M150" i="4"/>
  <c r="L151" i="4"/>
  <c r="M151" i="4"/>
  <c r="L152" i="4"/>
  <c r="M152" i="4"/>
  <c r="H149" i="4"/>
  <c r="I149" i="4"/>
  <c r="J149" i="4"/>
  <c r="K149" i="4"/>
  <c r="K151" i="54" s="1"/>
  <c r="H150" i="4"/>
  <c r="I150" i="4"/>
  <c r="I152" i="54" s="1"/>
  <c r="J150" i="4"/>
  <c r="K150" i="4"/>
  <c r="H151" i="4"/>
  <c r="I151" i="4"/>
  <c r="I153" i="54" s="1"/>
  <c r="J151" i="4"/>
  <c r="K151" i="4"/>
  <c r="K153" i="54" s="1"/>
  <c r="H152" i="4"/>
  <c r="I152" i="4"/>
  <c r="I154" i="54" s="1"/>
  <c r="J152" i="4"/>
  <c r="K152" i="4"/>
  <c r="K154" i="54" s="1"/>
  <c r="I148" i="4"/>
  <c r="I150" i="54" s="1"/>
  <c r="J148" i="4"/>
  <c r="K148" i="4"/>
  <c r="H148" i="4"/>
  <c r="D149" i="4"/>
  <c r="D150" i="4"/>
  <c r="G150" i="4" s="1"/>
  <c r="D151" i="4"/>
  <c r="D152" i="4"/>
  <c r="D153" i="4"/>
  <c r="D154" i="4"/>
  <c r="D155" i="4"/>
  <c r="D156" i="4"/>
  <c r="D157" i="4"/>
  <c r="B148" i="4"/>
  <c r="C148" i="4"/>
  <c r="B149" i="4"/>
  <c r="C149" i="4"/>
  <c r="B150" i="4"/>
  <c r="C150" i="4"/>
  <c r="B151" i="4"/>
  <c r="C151" i="4"/>
  <c r="B152" i="4"/>
  <c r="C152" i="4"/>
  <c r="B153" i="4"/>
  <c r="C153" i="4"/>
  <c r="B154" i="4"/>
  <c r="C154" i="4"/>
  <c r="B155" i="4"/>
  <c r="C155" i="4"/>
  <c r="B156" i="4"/>
  <c r="C156" i="4"/>
  <c r="B157" i="4"/>
  <c r="C157" i="4"/>
  <c r="D148" i="4"/>
  <c r="D147" i="4"/>
  <c r="D146" i="58" s="1"/>
  <c r="H41" i="4"/>
  <c r="F41" i="4"/>
  <c r="G41" i="4"/>
  <c r="A719" i="57"/>
  <c r="A751" i="57"/>
  <c r="A752" i="57"/>
  <c r="A753" i="57"/>
  <c r="A754" i="57"/>
  <c r="A755" i="57"/>
  <c r="A756" i="57"/>
  <c r="A757" i="57"/>
  <c r="A758" i="57"/>
  <c r="A759" i="57"/>
  <c r="A760" i="57"/>
  <c r="A761" i="57"/>
  <c r="A747" i="57"/>
  <c r="A748" i="57"/>
  <c r="A749" i="57"/>
  <c r="A750" i="57"/>
  <c r="A742" i="57"/>
  <c r="A743" i="57"/>
  <c r="A744" i="57"/>
  <c r="A745" i="57"/>
  <c r="A746" i="57"/>
  <c r="R796" i="58" l="1"/>
  <c r="R795" i="58"/>
  <c r="B157" i="54"/>
  <c r="B154" i="58"/>
  <c r="B154" i="57"/>
  <c r="B153" i="54"/>
  <c r="B150" i="58"/>
  <c r="B150" i="57"/>
  <c r="D155" i="58"/>
  <c r="D155" i="57"/>
  <c r="G148" i="4"/>
  <c r="D147" i="58"/>
  <c r="D147" i="57"/>
  <c r="B156" i="54"/>
  <c r="B153" i="58"/>
  <c r="B153" i="57"/>
  <c r="B154" i="54"/>
  <c r="B151" i="58"/>
  <c r="B151" i="57"/>
  <c r="B150" i="54"/>
  <c r="B147" i="58"/>
  <c r="B147" i="57"/>
  <c r="D156" i="54"/>
  <c r="D153" i="58"/>
  <c r="D153" i="57"/>
  <c r="D152" i="54"/>
  <c r="D149" i="58"/>
  <c r="D149" i="57"/>
  <c r="K150" i="54"/>
  <c r="K147" i="58"/>
  <c r="K147" i="57"/>
  <c r="J154" i="54"/>
  <c r="J151" i="58"/>
  <c r="J151" i="57"/>
  <c r="J153" i="54"/>
  <c r="J150" i="58"/>
  <c r="J150" i="57"/>
  <c r="J152" i="54"/>
  <c r="J149" i="58"/>
  <c r="J149" i="57"/>
  <c r="J151" i="54"/>
  <c r="J148" i="58"/>
  <c r="J148" i="57"/>
  <c r="L154" i="54"/>
  <c r="L151" i="58"/>
  <c r="L151" i="57"/>
  <c r="L152" i="54"/>
  <c r="L149" i="58"/>
  <c r="L149" i="57"/>
  <c r="L150" i="54"/>
  <c r="L147" i="58"/>
  <c r="L147" i="57"/>
  <c r="B159" i="54"/>
  <c r="B156" i="58"/>
  <c r="B156" i="57"/>
  <c r="B151" i="54"/>
  <c r="B148" i="58"/>
  <c r="B148" i="57"/>
  <c r="D151" i="58"/>
  <c r="D151" i="57"/>
  <c r="B158" i="54"/>
  <c r="B155" i="58"/>
  <c r="B155" i="57"/>
  <c r="B152" i="54"/>
  <c r="B149" i="58"/>
  <c r="B149" i="57"/>
  <c r="C159" i="54"/>
  <c r="C156" i="58"/>
  <c r="C156" i="57"/>
  <c r="C157" i="54"/>
  <c r="C154" i="58"/>
  <c r="C154" i="57"/>
  <c r="C155" i="54"/>
  <c r="C152" i="58"/>
  <c r="C152" i="57"/>
  <c r="C153" i="54"/>
  <c r="C150" i="58"/>
  <c r="C150" i="57"/>
  <c r="C151" i="54"/>
  <c r="C148" i="58"/>
  <c r="C148" i="57"/>
  <c r="D156" i="58"/>
  <c r="D156" i="57"/>
  <c r="D152" i="58"/>
  <c r="D152" i="57"/>
  <c r="D148" i="58"/>
  <c r="D148" i="57"/>
  <c r="J150" i="54"/>
  <c r="J147" i="58"/>
  <c r="J147" i="57"/>
  <c r="I151" i="58"/>
  <c r="I151" i="57"/>
  <c r="I150" i="58"/>
  <c r="I150" i="57"/>
  <c r="I149" i="58"/>
  <c r="I149" i="57"/>
  <c r="I148" i="58"/>
  <c r="I148" i="57"/>
  <c r="M150" i="58"/>
  <c r="M150" i="57"/>
  <c r="M153" i="54"/>
  <c r="M148" i="58"/>
  <c r="M148" i="57"/>
  <c r="M151" i="54"/>
  <c r="I151" i="54"/>
  <c r="B155" i="54"/>
  <c r="B152" i="58"/>
  <c r="B152" i="57"/>
  <c r="G152" i="54"/>
  <c r="G149" i="58"/>
  <c r="G149" i="57"/>
  <c r="I147" i="58"/>
  <c r="I147" i="57"/>
  <c r="H154" i="54"/>
  <c r="H151" i="58"/>
  <c r="H151" i="57"/>
  <c r="H153" i="54"/>
  <c r="H150" i="58"/>
  <c r="H150" i="57"/>
  <c r="H152" i="54"/>
  <c r="H149" i="58"/>
  <c r="H149" i="57"/>
  <c r="H151" i="54"/>
  <c r="H148" i="58"/>
  <c r="H148" i="57"/>
  <c r="L153" i="54"/>
  <c r="L150" i="58"/>
  <c r="L150" i="57"/>
  <c r="L151" i="54"/>
  <c r="L148" i="58"/>
  <c r="L148" i="57"/>
  <c r="C158" i="54"/>
  <c r="C155" i="58"/>
  <c r="C155" i="57"/>
  <c r="C156" i="54"/>
  <c r="C153" i="58"/>
  <c r="C153" i="57"/>
  <c r="C154" i="54"/>
  <c r="C151" i="58"/>
  <c r="C151" i="57"/>
  <c r="C152" i="54"/>
  <c r="C149" i="58"/>
  <c r="C149" i="57"/>
  <c r="C150" i="54"/>
  <c r="C147" i="58"/>
  <c r="C147" i="57"/>
  <c r="D154" i="58"/>
  <c r="D154" i="57"/>
  <c r="D153" i="54"/>
  <c r="D150" i="58"/>
  <c r="D150" i="57"/>
  <c r="H150" i="54"/>
  <c r="H147" i="58"/>
  <c r="H147" i="57"/>
  <c r="K151" i="58"/>
  <c r="K151" i="57"/>
  <c r="K150" i="58"/>
  <c r="K150" i="57"/>
  <c r="K149" i="58"/>
  <c r="K149" i="57"/>
  <c r="K148" i="58"/>
  <c r="K148" i="57"/>
  <c r="M151" i="58"/>
  <c r="M151" i="57"/>
  <c r="M154" i="54"/>
  <c r="M149" i="58"/>
  <c r="M149" i="57"/>
  <c r="M152" i="54"/>
  <c r="M147" i="58"/>
  <c r="M147" i="57"/>
  <c r="M150" i="54"/>
  <c r="K152" i="54"/>
  <c r="C241" i="58"/>
  <c r="G1037" i="58"/>
  <c r="Q377" i="4"/>
  <c r="C241" i="57"/>
  <c r="G1037" i="57"/>
  <c r="L551" i="54"/>
  <c r="AF551" i="54" s="1"/>
  <c r="D839" i="54"/>
  <c r="G156" i="4"/>
  <c r="D158" i="54"/>
  <c r="G152" i="4"/>
  <c r="D154" i="54"/>
  <c r="H41" i="58"/>
  <c r="H41" i="57"/>
  <c r="H44" i="54"/>
  <c r="D157" i="54"/>
  <c r="G155" i="4"/>
  <c r="G151" i="4"/>
  <c r="G41" i="58"/>
  <c r="G41" i="57"/>
  <c r="G44" i="54"/>
  <c r="F41" i="58"/>
  <c r="F41" i="57"/>
  <c r="F44" i="54"/>
  <c r="G157" i="4"/>
  <c r="D159" i="54"/>
  <c r="G153" i="4"/>
  <c r="D155" i="54"/>
  <c r="G149" i="4"/>
  <c r="D151" i="54"/>
  <c r="I30" i="58"/>
  <c r="G154" i="4"/>
  <c r="I30" i="57"/>
  <c r="D150" i="54"/>
  <c r="C248" i="54"/>
  <c r="D333" i="4"/>
  <c r="D334" i="4"/>
  <c r="B333" i="4"/>
  <c r="B334" i="4"/>
  <c r="G155" i="54" l="1"/>
  <c r="G152" i="58"/>
  <c r="G152" i="57"/>
  <c r="G153" i="54"/>
  <c r="G150" i="58"/>
  <c r="G150" i="57"/>
  <c r="G151" i="54"/>
  <c r="G148" i="58"/>
  <c r="G148" i="57"/>
  <c r="G159" i="54"/>
  <c r="G156" i="58"/>
  <c r="G156" i="57"/>
  <c r="G157" i="54"/>
  <c r="G154" i="58"/>
  <c r="G154" i="57"/>
  <c r="G158" i="54"/>
  <c r="G155" i="58"/>
  <c r="G155" i="57"/>
  <c r="G156" i="54"/>
  <c r="G153" i="58"/>
  <c r="G153" i="57"/>
  <c r="G154" i="54"/>
  <c r="G151" i="58"/>
  <c r="G151" i="57"/>
  <c r="G150" i="54"/>
  <c r="G147" i="58"/>
  <c r="G147" i="57"/>
  <c r="V830" i="58"/>
  <c r="V832" i="58"/>
  <c r="V834" i="58"/>
  <c r="V836" i="58"/>
  <c r="U830" i="58"/>
  <c r="U832" i="58"/>
  <c r="U834" i="58"/>
  <c r="U836" i="58"/>
  <c r="X830" i="58" l="1"/>
  <c r="X832" i="58"/>
  <c r="X834" i="58"/>
  <c r="X836" i="58"/>
  <c r="W830" i="58"/>
  <c r="W832" i="58"/>
  <c r="W834" i="58"/>
  <c r="W836" i="58"/>
  <c r="L328" i="58" l="1"/>
  <c r="J328" i="58"/>
  <c r="G328" i="58"/>
  <c r="F328" i="58"/>
  <c r="B2" i="57" l="1"/>
  <c r="Q356" i="57" l="1"/>
  <c r="C356" i="57"/>
  <c r="J356" i="57"/>
  <c r="B356" i="57"/>
  <c r="Q351" i="57"/>
  <c r="C351" i="57"/>
  <c r="Q341" i="57"/>
  <c r="C341" i="57"/>
  <c r="K331" i="57"/>
  <c r="R326" i="57"/>
  <c r="C326" i="57"/>
  <c r="D321" i="57"/>
  <c r="K311" i="57"/>
  <c r="R306" i="57"/>
  <c r="C306" i="57"/>
  <c r="D301" i="57"/>
  <c r="K291" i="57"/>
  <c r="R286" i="57"/>
  <c r="C286" i="57"/>
  <c r="D281" i="57"/>
  <c r="K271" i="57"/>
  <c r="C271" i="57"/>
  <c r="K261" i="57"/>
  <c r="C261" i="57"/>
  <c r="J351" i="57"/>
  <c r="B351" i="57"/>
  <c r="J341" i="57"/>
  <c r="B341" i="57"/>
  <c r="C336" i="57"/>
  <c r="R321" i="57"/>
  <c r="C321" i="57"/>
  <c r="D316" i="57"/>
  <c r="R301" i="57"/>
  <c r="C301" i="57"/>
  <c r="D296" i="57"/>
  <c r="R281" i="57"/>
  <c r="C281" i="57"/>
  <c r="D276" i="57"/>
  <c r="R266" i="57"/>
  <c r="D266" i="57"/>
  <c r="R256" i="57"/>
  <c r="F362" i="57"/>
  <c r="Q346" i="57"/>
  <c r="C346" i="57"/>
  <c r="Q336" i="57"/>
  <c r="B336" i="57"/>
  <c r="D331" i="57"/>
  <c r="K321" i="57"/>
  <c r="K326" i="57" s="1"/>
  <c r="R316" i="57"/>
  <c r="C316" i="57"/>
  <c r="D311" i="57"/>
  <c r="K301" i="57"/>
  <c r="K306" i="57" s="1"/>
  <c r="R296" i="57"/>
  <c r="C296" i="57"/>
  <c r="D291" i="57"/>
  <c r="K281" i="57"/>
  <c r="K286" i="57" s="1"/>
  <c r="R276" i="57"/>
  <c r="C276" i="57"/>
  <c r="K266" i="57"/>
  <c r="C266" i="57"/>
  <c r="K256" i="57"/>
  <c r="J346" i="57"/>
  <c r="B346" i="57"/>
  <c r="J336" i="57"/>
  <c r="R331" i="57"/>
  <c r="C331" i="57"/>
  <c r="D326" i="57"/>
  <c r="K316" i="57"/>
  <c r="R311" i="57"/>
  <c r="C311" i="57"/>
  <c r="D306" i="57"/>
  <c r="K296" i="57"/>
  <c r="R291" i="57"/>
  <c r="C291" i="57"/>
  <c r="D286" i="57"/>
  <c r="K276" i="57"/>
  <c r="R271" i="57"/>
  <c r="D271" i="57"/>
  <c r="R261" i="57"/>
  <c r="D261" i="57"/>
  <c r="Y423" i="57"/>
  <c r="B438" i="57"/>
  <c r="B437" i="57"/>
  <c r="Y428" i="57"/>
  <c r="Y433" i="57"/>
  <c r="BI1037" i="57"/>
  <c r="W1092" i="58"/>
  <c r="W537" i="58" l="1"/>
  <c r="W542" i="58" s="1"/>
  <c r="W507" i="58"/>
  <c r="W512" i="58" s="1"/>
  <c r="V469" i="58"/>
  <c r="V474" i="58" s="1"/>
  <c r="V439" i="58"/>
  <c r="V444" i="58" s="1"/>
  <c r="C210" i="58"/>
  <c r="B210" i="58"/>
  <c r="AS1099" i="58" s="1"/>
  <c r="AS1100" i="58" s="1"/>
  <c r="B208" i="58"/>
  <c r="A209" i="58"/>
  <c r="A210" i="58"/>
  <c r="A204" i="58"/>
  <c r="A205" i="58"/>
  <c r="C205" i="58"/>
  <c r="C203" i="58"/>
  <c r="B205" i="58"/>
  <c r="BP1091" i="58" s="1"/>
  <c r="B203" i="58"/>
  <c r="C200" i="58"/>
  <c r="C198" i="58"/>
  <c r="B200" i="58"/>
  <c r="B198" i="58"/>
  <c r="A199" i="58"/>
  <c r="A200" i="58"/>
  <c r="E194" i="58"/>
  <c r="D194" i="58"/>
  <c r="C194" i="58"/>
  <c r="B194" i="58"/>
  <c r="A194" i="58"/>
  <c r="D15" i="58"/>
  <c r="D488" i="58" s="1"/>
  <c r="D491" i="58" s="1"/>
  <c r="AA537" i="58" s="1"/>
  <c r="AA542" i="58" s="1"/>
  <c r="C15" i="58"/>
  <c r="C488" i="58" s="1"/>
  <c r="C491" i="58" s="1"/>
  <c r="O537" i="58" s="1"/>
  <c r="O542" i="58" s="1"/>
  <c r="B15" i="58"/>
  <c r="B488" i="58" s="1"/>
  <c r="B491" i="58" s="1"/>
  <c r="A15" i="58"/>
  <c r="D10" i="58"/>
  <c r="D420" i="58" s="1"/>
  <c r="D423" i="58" s="1"/>
  <c r="AB469" i="58" s="1"/>
  <c r="AB474" i="58" s="1"/>
  <c r="A10" i="58"/>
  <c r="BO1091" i="58" l="1"/>
  <c r="AR1099" i="58"/>
  <c r="AR1100" i="58" s="1"/>
  <c r="AA507" i="58"/>
  <c r="AA512" i="58" s="1"/>
  <c r="O507" i="58"/>
  <c r="O512" i="58" s="1"/>
  <c r="Q507" i="58"/>
  <c r="Q512" i="58" s="1"/>
  <c r="AB439" i="58"/>
  <c r="AB444" i="58" s="1"/>
  <c r="V570" i="57"/>
  <c r="V575" i="57" s="1"/>
  <c r="V540" i="57"/>
  <c r="V545" i="57" s="1"/>
  <c r="U501" i="57"/>
  <c r="U506" i="57" s="1"/>
  <c r="U471" i="57"/>
  <c r="U476" i="57" s="1"/>
  <c r="C209" i="57"/>
  <c r="C210" i="57"/>
  <c r="B209" i="57"/>
  <c r="B210" i="57"/>
  <c r="AS1111" i="57" s="1"/>
  <c r="AS1112" i="57" s="1"/>
  <c r="A209" i="57"/>
  <c r="A210" i="57"/>
  <c r="C204" i="57"/>
  <c r="C205" i="57"/>
  <c r="B204" i="57"/>
  <c r="B205" i="57"/>
  <c r="BP1103" i="57" s="1"/>
  <c r="BP1104" i="57" s="1"/>
  <c r="A204" i="57"/>
  <c r="A205" i="57"/>
  <c r="C199" i="57"/>
  <c r="C200" i="57"/>
  <c r="B200" i="57"/>
  <c r="AR1111" i="57" s="1"/>
  <c r="AR1112" i="57" s="1"/>
  <c r="B199" i="57"/>
  <c r="A199" i="57"/>
  <c r="A200" i="57"/>
  <c r="E194" i="57"/>
  <c r="D194" i="57"/>
  <c r="C194" i="57"/>
  <c r="B194" i="57"/>
  <c r="A194" i="57"/>
  <c r="D15" i="57"/>
  <c r="D521" i="57" s="1"/>
  <c r="D524" i="57" s="1"/>
  <c r="Z570" i="57" s="1"/>
  <c r="Z575" i="57" s="1"/>
  <c r="C15" i="57"/>
  <c r="C521" i="57" s="1"/>
  <c r="C524" i="57" s="1"/>
  <c r="N570" i="57" s="1"/>
  <c r="N575" i="57" s="1"/>
  <c r="B15" i="57"/>
  <c r="B521" i="57" s="1"/>
  <c r="B524" i="57" s="1"/>
  <c r="P570" i="57" s="1"/>
  <c r="P575" i="57" s="1"/>
  <c r="A15" i="57"/>
  <c r="D10" i="57"/>
  <c r="D452" i="57" s="1"/>
  <c r="D455" i="57" s="1"/>
  <c r="AA501" i="57" s="1"/>
  <c r="AA506" i="57" s="1"/>
  <c r="A10" i="57"/>
  <c r="BO1103" i="57" l="1"/>
  <c r="BO1104" i="57" s="1"/>
  <c r="Z540" i="57"/>
  <c r="Z545" i="57" s="1"/>
  <c r="N540" i="57"/>
  <c r="N545" i="57" s="1"/>
  <c r="P540" i="57"/>
  <c r="P545" i="57" s="1"/>
  <c r="AA471" i="57"/>
  <c r="AA476" i="57" s="1"/>
  <c r="V421" i="54"/>
  <c r="C252" i="4" l="1"/>
  <c r="C246" i="4"/>
  <c r="AO867" i="54" l="1"/>
  <c r="A202" i="54"/>
  <c r="A203" i="54"/>
  <c r="A197" i="54"/>
  <c r="V426" i="54"/>
  <c r="V391" i="54"/>
  <c r="V396" i="54" s="1"/>
  <c r="U352" i="54"/>
  <c r="U357" i="54" s="1"/>
  <c r="U322" i="54" l="1"/>
  <c r="U327" i="54" s="1"/>
  <c r="C212" i="54" l="1"/>
  <c r="C213" i="54"/>
  <c r="B212" i="54"/>
  <c r="B213" i="54"/>
  <c r="AS866" i="54" s="1"/>
  <c r="AS867" i="54" s="1"/>
  <c r="A212" i="54"/>
  <c r="A213" i="54"/>
  <c r="C207" i="54"/>
  <c r="C208" i="54"/>
  <c r="B207" i="54"/>
  <c r="B208" i="54"/>
  <c r="BP858" i="54" s="1"/>
  <c r="A207" i="54"/>
  <c r="A208" i="54"/>
  <c r="C202" i="54"/>
  <c r="C203" i="54"/>
  <c r="B203" i="54"/>
  <c r="B202" i="54"/>
  <c r="E197" i="54"/>
  <c r="P859" i="54" s="1"/>
  <c r="D197" i="54"/>
  <c r="O859" i="54" s="1"/>
  <c r="C197" i="54"/>
  <c r="B197" i="54"/>
  <c r="D18" i="54"/>
  <c r="D372" i="54" s="1"/>
  <c r="C18" i="54"/>
  <c r="C372" i="54" s="1"/>
  <c r="N421" i="54" s="1"/>
  <c r="N426" i="54" s="1"/>
  <c r="B18" i="54"/>
  <c r="B372" i="54" s="1"/>
  <c r="A18" i="54"/>
  <c r="D13" i="54"/>
  <c r="D303" i="54" s="1"/>
  <c r="A13" i="54"/>
  <c r="F560" i="4"/>
  <c r="F559" i="4"/>
  <c r="B559" i="4"/>
  <c r="B560" i="4"/>
  <c r="F552" i="4"/>
  <c r="F551" i="4"/>
  <c r="B551" i="4"/>
  <c r="B552" i="4"/>
  <c r="H543" i="4"/>
  <c r="C543" i="4"/>
  <c r="H544" i="4"/>
  <c r="C544" i="4"/>
  <c r="B10" i="4"/>
  <c r="C10" i="4" l="1"/>
  <c r="F333" i="4" s="1"/>
  <c r="F334" i="4" s="1"/>
  <c r="B10" i="58"/>
  <c r="B420" i="58" s="1"/>
  <c r="B10" i="57"/>
  <c r="B452" i="57" s="1"/>
  <c r="B13" i="54"/>
  <c r="B303" i="54" s="1"/>
  <c r="B306" i="54" s="1"/>
  <c r="AR866" i="54"/>
  <c r="AR867" i="54" s="1"/>
  <c r="BO858" i="54"/>
  <c r="B375" i="54"/>
  <c r="P391" i="54"/>
  <c r="P396" i="54" s="1"/>
  <c r="D375" i="54"/>
  <c r="Z421" i="54" s="1"/>
  <c r="Z426" i="54" s="1"/>
  <c r="Z391" i="54"/>
  <c r="Z396" i="54" s="1"/>
  <c r="C375" i="54"/>
  <c r="N391" i="54"/>
  <c r="N396" i="54" s="1"/>
  <c r="D306" i="54"/>
  <c r="AA352" i="54" s="1"/>
  <c r="AA357" i="54" s="1"/>
  <c r="AA322" i="54"/>
  <c r="AA327" i="54" s="1"/>
  <c r="B379" i="4"/>
  <c r="C13" i="54" l="1"/>
  <c r="C303" i="54" s="1"/>
  <c r="O327" i="54" s="1"/>
  <c r="N322" i="54"/>
  <c r="N327" i="54"/>
  <c r="B455" i="57"/>
  <c r="N501" i="57" s="1"/>
  <c r="N506" i="57" s="1"/>
  <c r="N471" i="57"/>
  <c r="N476" i="57" s="1"/>
  <c r="O439" i="58"/>
  <c r="O444" i="58" s="1"/>
  <c r="B423" i="58"/>
  <c r="O469" i="58" s="1"/>
  <c r="O474" i="58" s="1"/>
  <c r="D246" i="4"/>
  <c r="C10" i="58"/>
  <c r="C420" i="58" s="1"/>
  <c r="C10" i="57"/>
  <c r="C452" i="57" s="1"/>
  <c r="N352" i="54"/>
  <c r="N357" i="54"/>
  <c r="E305" i="4"/>
  <c r="P379" i="4"/>
  <c r="H18" i="57"/>
  <c r="D25" i="57"/>
  <c r="J25" i="57"/>
  <c r="O322" i="54" l="1"/>
  <c r="C306" i="54"/>
  <c r="O357" i="54" s="1"/>
  <c r="C455" i="57"/>
  <c r="O501" i="57" s="1"/>
  <c r="O506" i="57" s="1"/>
  <c r="O471" i="57"/>
  <c r="O476" i="57" s="1"/>
  <c r="C423" i="58"/>
  <c r="P469" i="58" s="1"/>
  <c r="P474" i="58" s="1"/>
  <c r="P439" i="58"/>
  <c r="P444" i="58" s="1"/>
  <c r="A3" i="54"/>
  <c r="A4" i="54"/>
  <c r="A5" i="54"/>
  <c r="O352" i="54" l="1"/>
  <c r="B325" i="4"/>
  <c r="B324" i="4"/>
  <c r="B320" i="4"/>
  <c r="B323" i="4"/>
  <c r="B322" i="4"/>
  <c r="B321" i="4"/>
  <c r="G1046" i="58" l="1"/>
  <c r="G1047" i="58"/>
  <c r="G1048" i="58"/>
  <c r="G1049" i="58"/>
  <c r="G1050" i="58"/>
  <c r="G1051" i="58"/>
  <c r="G1052" i="58"/>
  <c r="G1053" i="58"/>
  <c r="G1054" i="58"/>
  <c r="G1055" i="58"/>
  <c r="G1056" i="58"/>
  <c r="G1057" i="58"/>
  <c r="G1058" i="58"/>
  <c r="G1059" i="58"/>
  <c r="G1060" i="58"/>
  <c r="G1061" i="58"/>
  <c r="G1062" i="58"/>
  <c r="G1063" i="58"/>
  <c r="G1064" i="58"/>
  <c r="G1065" i="58"/>
  <c r="G1066" i="58"/>
  <c r="G1067" i="58"/>
  <c r="G1068" i="58"/>
  <c r="G1069" i="58"/>
  <c r="G1070" i="58"/>
  <c r="G1071" i="58"/>
  <c r="G1072" i="58"/>
  <c r="G1073" i="58"/>
  <c r="G1074" i="58"/>
  <c r="G1075" i="58"/>
  <c r="G1076" i="58"/>
  <c r="G1045" i="58"/>
  <c r="G1073" i="57"/>
  <c r="G1072" i="57"/>
  <c r="G1047" i="57"/>
  <c r="G1048" i="57"/>
  <c r="G1049" i="57"/>
  <c r="G1050" i="57"/>
  <c r="G1051" i="57"/>
  <c r="G1052" i="57"/>
  <c r="G1053" i="57"/>
  <c r="G1054" i="57"/>
  <c r="G1055" i="57"/>
  <c r="G1056" i="57"/>
  <c r="G1057" i="57"/>
  <c r="G1058" i="57"/>
  <c r="G1059" i="57"/>
  <c r="G1060" i="57"/>
  <c r="G1061" i="57"/>
  <c r="G1062" i="57"/>
  <c r="G1063" i="57"/>
  <c r="G1064" i="57"/>
  <c r="G1065" i="57"/>
  <c r="G1066" i="57"/>
  <c r="G1067" i="57"/>
  <c r="G1068" i="57"/>
  <c r="G1069" i="57"/>
  <c r="G1070" i="57"/>
  <c r="G1071" i="57"/>
  <c r="G1074" i="57"/>
  <c r="G1075" i="57"/>
  <c r="G1076" i="57"/>
  <c r="G1077" i="57"/>
  <c r="G1078" i="57"/>
  <c r="G1079" i="57"/>
  <c r="G1080" i="57"/>
  <c r="G1081" i="57"/>
  <c r="G1082" i="57"/>
  <c r="G1083" i="57"/>
  <c r="G1085" i="57"/>
  <c r="G1086" i="57"/>
  <c r="G1087" i="57"/>
  <c r="G1088" i="57"/>
  <c r="G1046" i="57"/>
  <c r="G801" i="54"/>
  <c r="G824" i="54"/>
  <c r="G823" i="54"/>
  <c r="G802" i="54"/>
  <c r="G803" i="54"/>
  <c r="G804" i="54"/>
  <c r="G805" i="54"/>
  <c r="G806" i="54"/>
  <c r="G807" i="54"/>
  <c r="G808" i="54"/>
  <c r="G809" i="54"/>
  <c r="G810" i="54"/>
  <c r="G811" i="54"/>
  <c r="G812" i="54"/>
  <c r="G813" i="54"/>
  <c r="G814" i="54"/>
  <c r="G815" i="54"/>
  <c r="G816" i="54"/>
  <c r="G817" i="54"/>
  <c r="G818" i="54"/>
  <c r="G819" i="54"/>
  <c r="G820" i="54"/>
  <c r="G821" i="54"/>
  <c r="G822" i="54"/>
  <c r="G825" i="54"/>
  <c r="G826" i="54"/>
  <c r="G827" i="54"/>
  <c r="G828" i="54"/>
  <c r="G829" i="54"/>
  <c r="G830" i="54"/>
  <c r="G831" i="54"/>
  <c r="G832" i="54"/>
  <c r="G833" i="54"/>
  <c r="G834" i="54"/>
  <c r="G835" i="54"/>
  <c r="G836" i="54"/>
  <c r="G837" i="54"/>
  <c r="G838" i="54"/>
  <c r="G840" i="54"/>
  <c r="G841" i="54"/>
  <c r="G842" i="54"/>
  <c r="G843" i="54"/>
  <c r="H532" i="4" l="1"/>
  <c r="G532" i="4"/>
  <c r="C532" i="4"/>
  <c r="H531" i="4"/>
  <c r="G531" i="4"/>
  <c r="C531" i="4"/>
  <c r="B337" i="4" l="1"/>
  <c r="N516" i="4" l="1"/>
  <c r="M516" i="4"/>
  <c r="N514" i="4"/>
  <c r="N517" i="4" s="1"/>
  <c r="M514" i="4"/>
  <c r="M517" i="4" s="1"/>
  <c r="N512" i="4"/>
  <c r="M512" i="4"/>
  <c r="N510" i="4"/>
  <c r="N513" i="4" s="1"/>
  <c r="M510" i="4"/>
  <c r="M511" i="4" s="1"/>
  <c r="L516" i="4"/>
  <c r="K516" i="4"/>
  <c r="L514" i="4"/>
  <c r="L517" i="4" s="1"/>
  <c r="K514" i="4"/>
  <c r="K517" i="4" s="1"/>
  <c r="L512" i="4"/>
  <c r="K512" i="4"/>
  <c r="L510" i="4"/>
  <c r="L513" i="4" s="1"/>
  <c r="K510" i="4"/>
  <c r="K513" i="4" s="1"/>
  <c r="K511" i="4" l="1"/>
  <c r="L511" i="4"/>
  <c r="M515" i="4"/>
  <c r="N515" i="4"/>
  <c r="M513" i="4"/>
  <c r="N511" i="4"/>
  <c r="K515" i="4"/>
  <c r="L515" i="4"/>
  <c r="A645" i="54"/>
  <c r="A642" i="54"/>
  <c r="A643" i="54"/>
  <c r="A644" i="54"/>
  <c r="A646" i="54"/>
  <c r="A647" i="54"/>
  <c r="A648" i="54"/>
  <c r="A649" i="54"/>
  <c r="M474" i="4" l="1"/>
  <c r="M482" i="4" s="1"/>
  <c r="L474" i="4"/>
  <c r="L482" i="4" s="1"/>
  <c r="L472" i="4"/>
  <c r="L480" i="4" s="1"/>
  <c r="K474" i="4"/>
  <c r="K482" i="4" s="1"/>
  <c r="K472" i="4"/>
  <c r="K480" i="4" s="1"/>
  <c r="J474" i="4"/>
  <c r="J482" i="4" s="1"/>
  <c r="L473" i="4" l="1"/>
  <c r="L481" i="4" s="1"/>
  <c r="L478" i="4"/>
  <c r="M478" i="4"/>
  <c r="K473" i="4"/>
  <c r="K481" i="4" s="1"/>
  <c r="K491" i="4"/>
  <c r="L475" i="4"/>
  <c r="L476" i="4"/>
  <c r="K478" i="4"/>
  <c r="K475" i="4"/>
  <c r="K476" i="4"/>
  <c r="J478" i="4"/>
  <c r="M271" i="4"/>
  <c r="M275" i="4" s="1"/>
  <c r="L271" i="4"/>
  <c r="L273" i="4" s="1"/>
  <c r="J80" i="54"/>
  <c r="L477" i="4" l="1"/>
  <c r="K477" i="4"/>
  <c r="L275" i="4"/>
  <c r="M273" i="4"/>
  <c r="K483" i="4"/>
  <c r="K479" i="4"/>
  <c r="L483" i="4"/>
  <c r="L479" i="4"/>
  <c r="B700" i="57"/>
  <c r="B701" i="57"/>
  <c r="B714" i="57"/>
  <c r="B715" i="57"/>
  <c r="B744" i="57"/>
  <c r="B745" i="57"/>
  <c r="B754" i="57"/>
  <c r="B755" i="57"/>
  <c r="A850" i="57" l="1"/>
  <c r="A851" i="57"/>
  <c r="A852" i="57"/>
  <c r="A853" i="57"/>
  <c r="A854" i="57"/>
  <c r="A855" i="57"/>
  <c r="A856" i="57"/>
  <c r="A857" i="57"/>
  <c r="A858" i="57"/>
  <c r="A859" i="57"/>
  <c r="A860" i="57"/>
  <c r="A861" i="57"/>
  <c r="A862" i="57"/>
  <c r="A863" i="57"/>
  <c r="A864" i="57"/>
  <c r="A865" i="57"/>
  <c r="A866" i="57"/>
  <c r="A867" i="57"/>
  <c r="A869" i="57"/>
  <c r="A848" i="57"/>
  <c r="W843" i="57"/>
  <c r="W844" i="57"/>
  <c r="W845" i="57"/>
  <c r="W848" i="57"/>
  <c r="W849" i="57"/>
  <c r="W850" i="57"/>
  <c r="W852" i="57"/>
  <c r="W853" i="57"/>
  <c r="W856" i="57"/>
  <c r="W857" i="57"/>
  <c r="W859" i="57"/>
  <c r="W860" i="57"/>
  <c r="W864" i="57"/>
  <c r="W865" i="57"/>
  <c r="W866" i="57"/>
  <c r="W867" i="57"/>
  <c r="W869" i="57"/>
  <c r="W842" i="57"/>
  <c r="H480" i="54" l="1"/>
  <c r="A544" i="54" l="1"/>
  <c r="A545" i="54"/>
  <c r="A546" i="54"/>
  <c r="A547" i="54"/>
  <c r="A548" i="54"/>
  <c r="A549" i="54"/>
  <c r="A550" i="54"/>
  <c r="A552" i="54"/>
  <c r="A553" i="54"/>
  <c r="A554" i="54"/>
  <c r="A555" i="54"/>
  <c r="A556" i="54"/>
  <c r="A557" i="54"/>
  <c r="A558" i="54"/>
  <c r="A559" i="54"/>
  <c r="A560" i="54"/>
  <c r="A561" i="54"/>
  <c r="A537" i="54"/>
  <c r="A538" i="54"/>
  <c r="A539" i="54"/>
  <c r="A540" i="54"/>
  <c r="A541" i="54"/>
  <c r="A542" i="54"/>
  <c r="L19" i="58" l="1"/>
  <c r="M19" i="58"/>
  <c r="L20" i="58"/>
  <c r="M20" i="58"/>
  <c r="L21" i="58"/>
  <c r="M21" i="58"/>
  <c r="L22" i="58"/>
  <c r="M22" i="58"/>
  <c r="L23" i="58"/>
  <c r="M23" i="58"/>
  <c r="L24" i="58"/>
  <c r="M24" i="58"/>
  <c r="L25" i="58"/>
  <c r="M25" i="58"/>
  <c r="L26" i="58"/>
  <c r="M26" i="58"/>
  <c r="L27" i="58"/>
  <c r="M27" i="58"/>
  <c r="L28" i="58"/>
  <c r="M28" i="58"/>
  <c r="L29" i="58"/>
  <c r="M29" i="58"/>
  <c r="L31" i="58"/>
  <c r="M31" i="58"/>
  <c r="M18" i="58"/>
  <c r="L19" i="57"/>
  <c r="M19" i="57"/>
  <c r="L20" i="57"/>
  <c r="M20" i="57"/>
  <c r="L21" i="57"/>
  <c r="M21" i="57"/>
  <c r="L22" i="57"/>
  <c r="M22" i="57"/>
  <c r="L23" i="57"/>
  <c r="M23" i="57"/>
  <c r="L24" i="57"/>
  <c r="M24" i="57"/>
  <c r="L25" i="57"/>
  <c r="M25" i="57"/>
  <c r="L26" i="57"/>
  <c r="M26" i="57"/>
  <c r="L27" i="57"/>
  <c r="M27" i="57"/>
  <c r="L28" i="57"/>
  <c r="M28" i="57"/>
  <c r="L29" i="57"/>
  <c r="M29" i="57"/>
  <c r="L31" i="57"/>
  <c r="M31" i="57"/>
  <c r="M18" i="57"/>
  <c r="L22" i="54"/>
  <c r="M22" i="54"/>
  <c r="L23" i="54"/>
  <c r="M23" i="54"/>
  <c r="L24" i="54"/>
  <c r="M24" i="54"/>
  <c r="L25" i="54"/>
  <c r="M25" i="54"/>
  <c r="L26" i="54"/>
  <c r="M26" i="54"/>
  <c r="L27" i="54"/>
  <c r="M27" i="54"/>
  <c r="L28" i="54"/>
  <c r="M28" i="54"/>
  <c r="L29" i="54"/>
  <c r="M29" i="54"/>
  <c r="L30" i="54"/>
  <c r="M30" i="54"/>
  <c r="L31" i="54"/>
  <c r="M31" i="54"/>
  <c r="L32" i="54"/>
  <c r="M32" i="54"/>
  <c r="L34" i="54"/>
  <c r="M34" i="54"/>
  <c r="M21" i="54"/>
  <c r="D282" i="4" l="1"/>
  <c r="B353" i="4"/>
  <c r="B354" i="4"/>
  <c r="B355" i="4"/>
  <c r="B356" i="4"/>
  <c r="D356" i="4"/>
  <c r="D357" i="4" s="1"/>
  <c r="E356" i="4"/>
  <c r="F356" i="4"/>
  <c r="G356" i="4"/>
  <c r="H356" i="4"/>
  <c r="I356" i="4"/>
  <c r="J356" i="4"/>
  <c r="K356" i="4"/>
  <c r="B357" i="4"/>
  <c r="E357" i="4"/>
  <c r="F357" i="4"/>
  <c r="G357" i="4"/>
  <c r="H357" i="4"/>
  <c r="I357" i="4"/>
  <c r="J357" i="4"/>
  <c r="K357" i="4"/>
  <c r="B358" i="4"/>
  <c r="C347" i="4"/>
  <c r="C344" i="4"/>
  <c r="C355" i="4" s="1"/>
  <c r="B332" i="4"/>
  <c r="B342" i="4"/>
  <c r="C342" i="4"/>
  <c r="D342" i="4" s="1"/>
  <c r="B343" i="4"/>
  <c r="C343" i="4"/>
  <c r="B344" i="4"/>
  <c r="B345" i="4"/>
  <c r="C345" i="4"/>
  <c r="D345" i="4"/>
  <c r="D346" i="4" s="1"/>
  <c r="B346" i="4"/>
  <c r="C346" i="4"/>
  <c r="C357" i="4" s="1"/>
  <c r="E532" i="4" s="1"/>
  <c r="B347" i="4"/>
  <c r="D347" i="4" l="1"/>
  <c r="C358" i="4"/>
  <c r="C356" i="4"/>
  <c r="E531" i="4" s="1"/>
  <c r="C354" i="4"/>
  <c r="C353" i="4"/>
  <c r="D344" i="4"/>
  <c r="D343" i="4"/>
  <c r="U332" i="54"/>
  <c r="U312" i="54"/>
  <c r="U317" i="54" s="1"/>
  <c r="A662" i="58"/>
  <c r="B662" i="58"/>
  <c r="R662" i="58"/>
  <c r="R671" i="58" s="1"/>
  <c r="AC662" i="58"/>
  <c r="AD662" i="58"/>
  <c r="A663" i="58"/>
  <c r="B663" i="58"/>
  <c r="R663" i="58"/>
  <c r="R672" i="58" s="1"/>
  <c r="AC663" i="58"/>
  <c r="AD663" i="58"/>
  <c r="A664" i="58"/>
  <c r="B664" i="58"/>
  <c r="R664" i="58"/>
  <c r="R673" i="58" s="1"/>
  <c r="AC664" i="58"/>
  <c r="AD664" i="58"/>
  <c r="A665" i="58"/>
  <c r="B665" i="58"/>
  <c r="R665" i="58"/>
  <c r="R674" i="58" s="1"/>
  <c r="AC665" i="58"/>
  <c r="AD665" i="58"/>
  <c r="A666" i="58"/>
  <c r="B666" i="58"/>
  <c r="A667" i="58"/>
  <c r="B667" i="58"/>
  <c r="A668" i="58"/>
  <c r="B668" i="58"/>
  <c r="A669" i="58"/>
  <c r="B669" i="58"/>
  <c r="R669" i="58"/>
  <c r="R675" i="58" s="1"/>
  <c r="AC669" i="58"/>
  <c r="AD669" i="58"/>
  <c r="A670" i="58"/>
  <c r="B670" i="58"/>
  <c r="R670" i="58"/>
  <c r="Y670" i="58"/>
  <c r="AA670" i="58" s="1"/>
  <c r="Z670" i="58"/>
  <c r="AB670" i="58" s="1"/>
  <c r="AC670" i="58"/>
  <c r="AD670" i="58"/>
  <c r="A671" i="58"/>
  <c r="B671" i="58"/>
  <c r="A672" i="58"/>
  <c r="B672" i="58"/>
  <c r="A673" i="58"/>
  <c r="B673" i="58"/>
  <c r="P673" i="58"/>
  <c r="A674" i="58"/>
  <c r="B674" i="58"/>
  <c r="P674" i="58"/>
  <c r="A675" i="58"/>
  <c r="B675" i="58"/>
  <c r="A676" i="58"/>
  <c r="B676" i="58"/>
  <c r="P676" i="58"/>
  <c r="A693" i="57"/>
  <c r="A694" i="57"/>
  <c r="A695" i="57"/>
  <c r="A696" i="57"/>
  <c r="A697" i="57"/>
  <c r="A698" i="57"/>
  <c r="A699" i="57"/>
  <c r="A700" i="57"/>
  <c r="R700" i="57"/>
  <c r="R706" i="57" s="1"/>
  <c r="AC700" i="57"/>
  <c r="AD700" i="57"/>
  <c r="R701" i="57"/>
  <c r="R711" i="57" s="1"/>
  <c r="AC701" i="57"/>
  <c r="AD701" i="57"/>
  <c r="A702" i="57"/>
  <c r="A703" i="57"/>
  <c r="A704" i="57"/>
  <c r="P704" i="57"/>
  <c r="A705" i="57"/>
  <c r="P705" i="57"/>
  <c r="A706" i="57"/>
  <c r="P707" i="57"/>
  <c r="A708" i="57"/>
  <c r="P708" i="57"/>
  <c r="A709" i="57"/>
  <c r="P709" i="57"/>
  <c r="A710" i="57"/>
  <c r="P710" i="57"/>
  <c r="A711" i="57"/>
  <c r="P711" i="57"/>
  <c r="A712" i="57"/>
  <c r="A713" i="57"/>
  <c r="A714" i="57"/>
  <c r="R714" i="57"/>
  <c r="AC714" i="57"/>
  <c r="AD714" i="57"/>
  <c r="A715" i="57"/>
  <c r="R715" i="57"/>
  <c r="R720" i="57" s="1"/>
  <c r="AC715" i="57"/>
  <c r="AD715" i="57"/>
  <c r="A716" i="57"/>
  <c r="A717" i="57"/>
  <c r="A718" i="57"/>
  <c r="A720" i="57"/>
  <c r="AC722" i="57"/>
  <c r="AD722" i="57"/>
  <c r="AC723" i="57"/>
  <c r="AD723" i="57"/>
  <c r="AC724" i="57"/>
  <c r="AD724" i="57"/>
  <c r="AC725" i="57"/>
  <c r="AD725" i="57"/>
  <c r="AC727" i="57"/>
  <c r="AD727" i="57"/>
  <c r="AC728" i="57"/>
  <c r="AD728" i="57"/>
  <c r="AC729" i="57"/>
  <c r="AD729" i="57"/>
  <c r="J24" i="58" l="1"/>
  <c r="J25" i="58"/>
  <c r="J26" i="58"/>
  <c r="T305" i="4" l="1"/>
  <c r="U305" i="4"/>
  <c r="V305" i="4"/>
  <c r="V306" i="4"/>
  <c r="G305" i="4"/>
  <c r="H305" i="4"/>
  <c r="G306" i="4"/>
  <c r="H306" i="4"/>
  <c r="G304" i="4"/>
  <c r="E306" i="4"/>
  <c r="C305" i="4"/>
  <c r="C306" i="4"/>
  <c r="Q294" i="4"/>
  <c r="R294" i="4"/>
  <c r="S294" i="4"/>
  <c r="Q295" i="4"/>
  <c r="R295" i="4"/>
  <c r="S295" i="4"/>
  <c r="S296" i="4"/>
  <c r="S297" i="4"/>
  <c r="G290" i="4"/>
  <c r="G294" i="4" s="1"/>
  <c r="E296" i="4"/>
  <c r="E297" i="4" s="1"/>
  <c r="E294" i="4"/>
  <c r="E295" i="4" s="1"/>
  <c r="E290" i="4"/>
  <c r="C294" i="4"/>
  <c r="C295" i="4"/>
  <c r="C296" i="4"/>
  <c r="C297" i="4"/>
  <c r="N895" i="58"/>
  <c r="AF895" i="58"/>
  <c r="AG895" i="58"/>
  <c r="AU895" i="58"/>
  <c r="N896" i="58"/>
  <c r="AF896" i="58"/>
  <c r="AG896" i="58"/>
  <c r="AU896" i="58"/>
  <c r="N897" i="58"/>
  <c r="AF897" i="58"/>
  <c r="AG897" i="58"/>
  <c r="AU897" i="58"/>
  <c r="N898" i="58"/>
  <c r="AF898" i="58"/>
  <c r="AG898" i="58"/>
  <c r="AU898" i="58"/>
  <c r="N899" i="58"/>
  <c r="AF899" i="58"/>
  <c r="AG899" i="58"/>
  <c r="AU899" i="58"/>
  <c r="N900" i="58"/>
  <c r="AF900" i="58"/>
  <c r="AG900" i="58"/>
  <c r="AU900" i="58"/>
  <c r="N901" i="58"/>
  <c r="AF901" i="58"/>
  <c r="AG901" i="58"/>
  <c r="AU901" i="58"/>
  <c r="N902" i="58"/>
  <c r="AF902" i="58"/>
  <c r="AG902" i="58"/>
  <c r="AU902" i="58"/>
  <c r="N903" i="58"/>
  <c r="AF903" i="58"/>
  <c r="AG903" i="58"/>
  <c r="AU903" i="58"/>
  <c r="N904" i="58"/>
  <c r="AF904" i="58"/>
  <c r="AG904" i="58"/>
  <c r="AU904" i="58"/>
  <c r="N905" i="58"/>
  <c r="AF905" i="58"/>
  <c r="AG905" i="58"/>
  <c r="AU905" i="58"/>
  <c r="N894" i="58"/>
  <c r="AF894" i="58"/>
  <c r="AG894" i="58"/>
  <c r="AU894" i="58"/>
  <c r="F235" i="58"/>
  <c r="F236" i="58" s="1"/>
  <c r="A44" i="58"/>
  <c r="B44" i="58"/>
  <c r="A37" i="58"/>
  <c r="B37" i="58"/>
  <c r="A38" i="58"/>
  <c r="B38" i="58"/>
  <c r="A39" i="58"/>
  <c r="B39" i="58"/>
  <c r="A40" i="58"/>
  <c r="B40" i="58"/>
  <c r="A41" i="58"/>
  <c r="B41" i="58"/>
  <c r="A42" i="58"/>
  <c r="B42" i="58"/>
  <c r="A43" i="58"/>
  <c r="B43" i="58"/>
  <c r="A157" i="58"/>
  <c r="E157" i="58"/>
  <c r="F157" i="58"/>
  <c r="H157" i="58"/>
  <c r="I157" i="58"/>
  <c r="J157" i="58"/>
  <c r="K157" i="58"/>
  <c r="L157" i="58"/>
  <c r="M157" i="58"/>
  <c r="A158" i="58"/>
  <c r="E158" i="58"/>
  <c r="F158" i="58"/>
  <c r="H158" i="58"/>
  <c r="I158" i="58"/>
  <c r="J158" i="58"/>
  <c r="K158" i="58"/>
  <c r="L158" i="58"/>
  <c r="M158" i="58"/>
  <c r="A159" i="58"/>
  <c r="E159" i="58"/>
  <c r="F159" i="58"/>
  <c r="H159" i="58"/>
  <c r="I159" i="58"/>
  <c r="J159" i="58"/>
  <c r="K159" i="58"/>
  <c r="L159" i="58"/>
  <c r="M159" i="58"/>
  <c r="A160" i="58"/>
  <c r="E160" i="58"/>
  <c r="F160" i="58"/>
  <c r="H160" i="58"/>
  <c r="I160" i="58"/>
  <c r="J160" i="58"/>
  <c r="K160" i="58"/>
  <c r="L160" i="58"/>
  <c r="M160" i="58"/>
  <c r="A161" i="58"/>
  <c r="E161" i="58"/>
  <c r="F161" i="58"/>
  <c r="H161" i="58"/>
  <c r="I161" i="58"/>
  <c r="J161" i="58"/>
  <c r="K161" i="58"/>
  <c r="L161" i="58"/>
  <c r="M161" i="58"/>
  <c r="A162" i="58"/>
  <c r="E162" i="58"/>
  <c r="F162" i="58"/>
  <c r="A163" i="58"/>
  <c r="E163" i="58"/>
  <c r="F163" i="58"/>
  <c r="A164" i="58"/>
  <c r="E164" i="58"/>
  <c r="F164" i="58"/>
  <c r="A165" i="58"/>
  <c r="E165" i="58"/>
  <c r="F165" i="58"/>
  <c r="A166" i="58"/>
  <c r="E166" i="58"/>
  <c r="F166" i="58"/>
  <c r="A167" i="58"/>
  <c r="E167" i="58"/>
  <c r="F167" i="58"/>
  <c r="A168" i="58"/>
  <c r="E168" i="58"/>
  <c r="F168" i="58"/>
  <c r="A169" i="58"/>
  <c r="E169" i="58"/>
  <c r="F169" i="58"/>
  <c r="A170" i="58"/>
  <c r="E170" i="58"/>
  <c r="F170" i="58"/>
  <c r="A171" i="58"/>
  <c r="E171" i="58"/>
  <c r="F171" i="58"/>
  <c r="A172" i="58"/>
  <c r="E172" i="58"/>
  <c r="F172" i="58"/>
  <c r="A173" i="58"/>
  <c r="E173" i="58"/>
  <c r="F173" i="58"/>
  <c r="A174" i="58"/>
  <c r="E174" i="58"/>
  <c r="F174" i="58"/>
  <c r="A175" i="58"/>
  <c r="E175" i="58"/>
  <c r="F175" i="58"/>
  <c r="A176" i="58"/>
  <c r="E176" i="58"/>
  <c r="F176" i="58"/>
  <c r="A177" i="58"/>
  <c r="E177" i="58"/>
  <c r="F177" i="58"/>
  <c r="A178" i="58"/>
  <c r="E178" i="58"/>
  <c r="F178" i="58"/>
  <c r="A179" i="58"/>
  <c r="E179" i="58"/>
  <c r="F179" i="58"/>
  <c r="A180" i="58"/>
  <c r="E180" i="58"/>
  <c r="F180" i="58"/>
  <c r="A181" i="58"/>
  <c r="E181" i="58"/>
  <c r="F181" i="58"/>
  <c r="A182" i="58"/>
  <c r="E182" i="58"/>
  <c r="F182" i="58"/>
  <c r="A183" i="58"/>
  <c r="E183" i="58"/>
  <c r="F183" i="58"/>
  <c r="A184" i="58"/>
  <c r="E184" i="58"/>
  <c r="F184" i="58"/>
  <c r="A185" i="58"/>
  <c r="E185" i="58"/>
  <c r="F185" i="58"/>
  <c r="A186" i="58"/>
  <c r="E186" i="58"/>
  <c r="F186" i="58"/>
  <c r="A24" i="58"/>
  <c r="B24" i="58"/>
  <c r="C24" i="58"/>
  <c r="C235" i="58" s="1"/>
  <c r="D24" i="58"/>
  <c r="E24" i="58"/>
  <c r="G24" i="58"/>
  <c r="H24" i="58"/>
  <c r="K24" i="58"/>
  <c r="A25" i="58"/>
  <c r="B25" i="58"/>
  <c r="C25" i="58"/>
  <c r="C236" i="58" s="1"/>
  <c r="D25" i="58"/>
  <c r="E25" i="58"/>
  <c r="G25" i="58"/>
  <c r="H25" i="58"/>
  <c r="K25" i="58"/>
  <c r="A26" i="58"/>
  <c r="B26" i="58"/>
  <c r="C26" i="58"/>
  <c r="C237" i="58" s="1"/>
  <c r="D26" i="58"/>
  <c r="E26" i="58"/>
  <c r="G26" i="58"/>
  <c r="H26" i="58"/>
  <c r="K26" i="58"/>
  <c r="D235" i="58"/>
  <c r="E235" i="58" s="1"/>
  <c r="D236" i="58"/>
  <c r="E236" i="58" s="1"/>
  <c r="D237" i="58"/>
  <c r="E237" i="58" s="1"/>
  <c r="G292" i="4" l="1"/>
  <c r="G296" i="4" s="1"/>
  <c r="M80" i="4" l="1"/>
  <c r="M81" i="4"/>
  <c r="M89" i="4" s="1"/>
  <c r="M97" i="4" s="1"/>
  <c r="M105" i="4" s="1"/>
  <c r="M113" i="4" s="1"/>
  <c r="M82" i="4"/>
  <c r="M90" i="4" s="1"/>
  <c r="M98" i="4" s="1"/>
  <c r="M106" i="4" s="1"/>
  <c r="M114" i="4" s="1"/>
  <c r="M83" i="4"/>
  <c r="M91" i="4" s="1"/>
  <c r="M99" i="4" s="1"/>
  <c r="M107" i="4" s="1"/>
  <c r="M115" i="4" s="1"/>
  <c r="L81" i="4"/>
  <c r="L89" i="4" s="1"/>
  <c r="L97" i="4" s="1"/>
  <c r="L105" i="4" s="1"/>
  <c r="L113" i="4" s="1"/>
  <c r="L82" i="4"/>
  <c r="L90" i="4" s="1"/>
  <c r="L98" i="4" s="1"/>
  <c r="L106" i="4" s="1"/>
  <c r="L114" i="4" s="1"/>
  <c r="L83" i="4"/>
  <c r="L91" i="4" s="1"/>
  <c r="L99" i="4" s="1"/>
  <c r="L107" i="4" s="1"/>
  <c r="L115" i="4" s="1"/>
  <c r="L80" i="4"/>
  <c r="L88" i="4" s="1"/>
  <c r="L96" i="4" s="1"/>
  <c r="L104" i="4" s="1"/>
  <c r="L112" i="4" s="1"/>
  <c r="I80" i="4"/>
  <c r="I81" i="4"/>
  <c r="I89" i="4" s="1"/>
  <c r="I97" i="4" s="1"/>
  <c r="I105" i="4" s="1"/>
  <c r="I113" i="4" s="1"/>
  <c r="I82" i="4"/>
  <c r="I90" i="4" s="1"/>
  <c r="I98" i="4" s="1"/>
  <c r="I83" i="4"/>
  <c r="I91" i="4" s="1"/>
  <c r="I99" i="4" s="1"/>
  <c r="I107" i="4" s="1"/>
  <c r="I115" i="4" s="1"/>
  <c r="H81" i="4"/>
  <c r="H89" i="4" s="1"/>
  <c r="H97" i="4" s="1"/>
  <c r="H105" i="4" s="1"/>
  <c r="H113" i="4" s="1"/>
  <c r="H82" i="4"/>
  <c r="H90" i="4" s="1"/>
  <c r="H98" i="4" s="1"/>
  <c r="H83" i="4"/>
  <c r="H91" i="4" s="1"/>
  <c r="H99" i="4" s="1"/>
  <c r="H107" i="4" s="1"/>
  <c r="H115" i="4" s="1"/>
  <c r="H80" i="4"/>
  <c r="H88" i="4" s="1"/>
  <c r="H96" i="4" s="1"/>
  <c r="H104" i="4" s="1"/>
  <c r="H112" i="4" s="1"/>
  <c r="M133" i="4"/>
  <c r="L133" i="4"/>
  <c r="L143" i="4" s="1"/>
  <c r="L153" i="4" s="1"/>
  <c r="M123" i="4"/>
  <c r="M134" i="4" s="1"/>
  <c r="M124" i="4"/>
  <c r="M135" i="4" s="1"/>
  <c r="M125" i="4"/>
  <c r="M136" i="4" s="1"/>
  <c r="M126" i="4"/>
  <c r="M137" i="4" s="1"/>
  <c r="M127" i="4"/>
  <c r="L124" i="4"/>
  <c r="L135" i="4" s="1"/>
  <c r="L125" i="4"/>
  <c r="L136" i="4" s="1"/>
  <c r="L126" i="4"/>
  <c r="L137" i="4" s="1"/>
  <c r="L127" i="4"/>
  <c r="L123" i="4"/>
  <c r="L134" i="4" s="1"/>
  <c r="L164" i="4" s="1"/>
  <c r="L163" i="57" s="1"/>
  <c r="I123" i="4"/>
  <c r="I124" i="4"/>
  <c r="I125" i="4"/>
  <c r="I126" i="4"/>
  <c r="I127" i="4"/>
  <c r="H124" i="4"/>
  <c r="H125" i="4"/>
  <c r="H126" i="4"/>
  <c r="H127" i="4"/>
  <c r="H123" i="4"/>
  <c r="K124" i="4"/>
  <c r="K125" i="4"/>
  <c r="K126" i="4"/>
  <c r="K127" i="4"/>
  <c r="K123" i="4"/>
  <c r="I88" i="4"/>
  <c r="I96" i="4" s="1"/>
  <c r="I104" i="4" s="1"/>
  <c r="I112" i="4" s="1"/>
  <c r="M88" i="4"/>
  <c r="M96" i="4" s="1"/>
  <c r="M104" i="4" s="1"/>
  <c r="M112" i="4" s="1"/>
  <c r="K81" i="4"/>
  <c r="K89" i="4" s="1"/>
  <c r="K97" i="4" s="1"/>
  <c r="K105" i="4" s="1"/>
  <c r="K113" i="4" s="1"/>
  <c r="K82" i="4"/>
  <c r="M272" i="4" s="1"/>
  <c r="K83" i="4"/>
  <c r="K91" i="4" s="1"/>
  <c r="K99" i="4" s="1"/>
  <c r="K107" i="4" s="1"/>
  <c r="K115" i="4" s="1"/>
  <c r="K80" i="4"/>
  <c r="K88" i="4" s="1"/>
  <c r="K96" i="4" s="1"/>
  <c r="K104" i="4" s="1"/>
  <c r="K112" i="4" s="1"/>
  <c r="J81" i="4"/>
  <c r="J89" i="4" s="1"/>
  <c r="J97" i="4" s="1"/>
  <c r="J105" i="4" s="1"/>
  <c r="J113" i="4" s="1"/>
  <c r="J82" i="4"/>
  <c r="L272" i="4" s="1"/>
  <c r="J83" i="4"/>
  <c r="J91" i="4" s="1"/>
  <c r="J99" i="4" s="1"/>
  <c r="J107" i="4" s="1"/>
  <c r="J115" i="4" s="1"/>
  <c r="J80" i="4"/>
  <c r="J88" i="4" s="1"/>
  <c r="J96" i="4" s="1"/>
  <c r="J104" i="4" s="1"/>
  <c r="J112" i="4" s="1"/>
  <c r="M163" i="4"/>
  <c r="M143" i="4"/>
  <c r="M153" i="4" s="1"/>
  <c r="J123" i="4"/>
  <c r="J124" i="4"/>
  <c r="J154" i="4" s="1"/>
  <c r="J125" i="4"/>
  <c r="J155" i="4" s="1"/>
  <c r="J126" i="4"/>
  <c r="J156" i="4" s="1"/>
  <c r="J127" i="4"/>
  <c r="J157" i="4" s="1"/>
  <c r="D890" i="57"/>
  <c r="D894" i="58" s="1"/>
  <c r="J890" i="57"/>
  <c r="J894" i="58" s="1"/>
  <c r="K890" i="57"/>
  <c r="K894" i="58" s="1"/>
  <c r="O890" i="57"/>
  <c r="O894" i="58" s="1"/>
  <c r="AH890" i="57"/>
  <c r="AH894" i="58" s="1"/>
  <c r="AJ890" i="57"/>
  <c r="AJ894" i="58" s="1"/>
  <c r="AK890" i="57"/>
  <c r="AK894" i="58" s="1"/>
  <c r="J891" i="57"/>
  <c r="J895" i="58" s="1"/>
  <c r="K891" i="57"/>
  <c r="K895" i="58" s="1"/>
  <c r="O891" i="57"/>
  <c r="O895" i="58" s="1"/>
  <c r="AH891" i="57"/>
  <c r="AH895" i="58" s="1"/>
  <c r="AJ891" i="57"/>
  <c r="AJ895" i="58" s="1"/>
  <c r="AK891" i="57"/>
  <c r="AK895" i="58" s="1"/>
  <c r="D892" i="57"/>
  <c r="D896" i="58" s="1"/>
  <c r="J892" i="57"/>
  <c r="J896" i="58" s="1"/>
  <c r="K892" i="57"/>
  <c r="K896" i="58" s="1"/>
  <c r="O892" i="57"/>
  <c r="O896" i="58" s="1"/>
  <c r="AH892" i="57"/>
  <c r="AH896" i="58" s="1"/>
  <c r="AJ892" i="57"/>
  <c r="AJ896" i="58" s="1"/>
  <c r="AK892" i="57"/>
  <c r="AK896" i="58" s="1"/>
  <c r="J893" i="57"/>
  <c r="J897" i="58" s="1"/>
  <c r="K893" i="57"/>
  <c r="K897" i="58" s="1"/>
  <c r="O893" i="57"/>
  <c r="O897" i="58" s="1"/>
  <c r="AH893" i="57"/>
  <c r="AH897" i="58" s="1"/>
  <c r="AJ893" i="57"/>
  <c r="AJ897" i="58" s="1"/>
  <c r="AK893" i="57"/>
  <c r="AK897" i="58" s="1"/>
  <c r="D894" i="57"/>
  <c r="D898" i="58" s="1"/>
  <c r="J894" i="57"/>
  <c r="J898" i="58" s="1"/>
  <c r="K894" i="57"/>
  <c r="K898" i="58" s="1"/>
  <c r="O894" i="57"/>
  <c r="O898" i="58" s="1"/>
  <c r="AH894" i="57"/>
  <c r="AH898" i="58" s="1"/>
  <c r="AJ894" i="57"/>
  <c r="AJ898" i="58" s="1"/>
  <c r="AK894" i="57"/>
  <c r="AK898" i="58" s="1"/>
  <c r="J895" i="57"/>
  <c r="J899" i="58" s="1"/>
  <c r="K895" i="57"/>
  <c r="K899" i="58" s="1"/>
  <c r="O895" i="57"/>
  <c r="O899" i="58" s="1"/>
  <c r="AH895" i="57"/>
  <c r="AH899" i="58" s="1"/>
  <c r="AJ895" i="57"/>
  <c r="AJ899" i="58" s="1"/>
  <c r="AK895" i="57"/>
  <c r="AK899" i="58" s="1"/>
  <c r="D896" i="57"/>
  <c r="D900" i="58" s="1"/>
  <c r="J896" i="57"/>
  <c r="J900" i="58" s="1"/>
  <c r="K896" i="57"/>
  <c r="K900" i="58" s="1"/>
  <c r="O896" i="57"/>
  <c r="O900" i="58" s="1"/>
  <c r="AH896" i="57"/>
  <c r="AH900" i="58" s="1"/>
  <c r="AJ896" i="57"/>
  <c r="AJ900" i="58" s="1"/>
  <c r="AK896" i="57"/>
  <c r="AK900" i="58" s="1"/>
  <c r="J897" i="57"/>
  <c r="J901" i="58" s="1"/>
  <c r="K897" i="57"/>
  <c r="K901" i="58" s="1"/>
  <c r="O897" i="57"/>
  <c r="O901" i="58" s="1"/>
  <c r="AH897" i="57"/>
  <c r="AH901" i="58" s="1"/>
  <c r="AJ897" i="57"/>
  <c r="AJ901" i="58" s="1"/>
  <c r="AK897" i="57"/>
  <c r="AK901" i="58" s="1"/>
  <c r="D898" i="57"/>
  <c r="D902" i="58" s="1"/>
  <c r="J898" i="57"/>
  <c r="J902" i="58" s="1"/>
  <c r="K898" i="57"/>
  <c r="K902" i="58" s="1"/>
  <c r="O898" i="57"/>
  <c r="O902" i="58" s="1"/>
  <c r="AH898" i="57"/>
  <c r="AH902" i="58" s="1"/>
  <c r="AJ898" i="57"/>
  <c r="AJ902" i="58" s="1"/>
  <c r="AK898" i="57"/>
  <c r="AK902" i="58" s="1"/>
  <c r="J899" i="57"/>
  <c r="J903" i="58" s="1"/>
  <c r="K899" i="57"/>
  <c r="K903" i="58" s="1"/>
  <c r="O899" i="57"/>
  <c r="O903" i="58" s="1"/>
  <c r="AH899" i="57"/>
  <c r="AH903" i="58" s="1"/>
  <c r="AJ899" i="57"/>
  <c r="AJ903" i="58" s="1"/>
  <c r="AK899" i="57"/>
  <c r="AK903" i="58" s="1"/>
  <c r="D900" i="57"/>
  <c r="D904" i="58" s="1"/>
  <c r="J900" i="57"/>
  <c r="J904" i="58" s="1"/>
  <c r="K900" i="57"/>
  <c r="K904" i="58" s="1"/>
  <c r="O900" i="57"/>
  <c r="O904" i="58" s="1"/>
  <c r="AH900" i="57"/>
  <c r="AH904" i="58" s="1"/>
  <c r="AJ900" i="57"/>
  <c r="AJ904" i="58" s="1"/>
  <c r="AK900" i="57"/>
  <c r="AK904" i="58" s="1"/>
  <c r="J901" i="57"/>
  <c r="J905" i="58" s="1"/>
  <c r="K901" i="57"/>
  <c r="K905" i="58" s="1"/>
  <c r="O901" i="57"/>
  <c r="O905" i="58" s="1"/>
  <c r="AH901" i="57"/>
  <c r="AH905" i="58" s="1"/>
  <c r="AJ901" i="57"/>
  <c r="AJ905" i="58" s="1"/>
  <c r="AK901" i="57"/>
  <c r="AK905" i="58" s="1"/>
  <c r="C891" i="57"/>
  <c r="C895" i="58" s="1"/>
  <c r="C892" i="57"/>
  <c r="C896" i="58" s="1"/>
  <c r="C893" i="57"/>
  <c r="C897" i="58" s="1"/>
  <c r="C894" i="57"/>
  <c r="C898" i="58" s="1"/>
  <c r="C895" i="57"/>
  <c r="C899" i="58" s="1"/>
  <c r="C896" i="57"/>
  <c r="C900" i="58" s="1"/>
  <c r="C897" i="57"/>
  <c r="C901" i="58" s="1"/>
  <c r="C898" i="57"/>
  <c r="C902" i="58" s="1"/>
  <c r="C899" i="57"/>
  <c r="C903" i="58" s="1"/>
  <c r="C900" i="57"/>
  <c r="C904" i="58" s="1"/>
  <c r="C901" i="57"/>
  <c r="C905" i="58" s="1"/>
  <c r="C890" i="57"/>
  <c r="C894" i="58" s="1"/>
  <c r="AO868" i="54"/>
  <c r="U866" i="57"/>
  <c r="V866" i="57"/>
  <c r="U865" i="57"/>
  <c r="V865" i="57"/>
  <c r="AA857" i="57"/>
  <c r="AA865" i="57"/>
  <c r="AA866" i="57"/>
  <c r="AC730" i="57"/>
  <c r="AD730" i="57"/>
  <c r="AC731" i="57"/>
  <c r="AD731" i="57"/>
  <c r="AC732" i="57"/>
  <c r="AD732" i="57"/>
  <c r="AC733" i="57"/>
  <c r="AD733" i="57"/>
  <c r="AC734" i="57"/>
  <c r="AD734" i="57"/>
  <c r="AC735" i="57"/>
  <c r="AD735" i="57"/>
  <c r="AC736" i="57"/>
  <c r="AD736" i="57"/>
  <c r="AC737" i="57"/>
  <c r="AD737" i="57"/>
  <c r="U857" i="57"/>
  <c r="V857" i="57"/>
  <c r="AA858" i="57"/>
  <c r="U859" i="57"/>
  <c r="V859" i="57"/>
  <c r="AA859" i="57"/>
  <c r="R750" i="57"/>
  <c r="R745" i="57"/>
  <c r="R744" i="57"/>
  <c r="R747" i="57" s="1"/>
  <c r="G235" i="57"/>
  <c r="G237" i="57" s="1"/>
  <c r="J19" i="57"/>
  <c r="J20" i="57"/>
  <c r="J21" i="57"/>
  <c r="J22" i="57"/>
  <c r="J23" i="57"/>
  <c r="J24" i="57"/>
  <c r="J26" i="57"/>
  <c r="D235" i="57"/>
  <c r="D236" i="57"/>
  <c r="D237" i="57"/>
  <c r="D234" i="57"/>
  <c r="A183" i="57"/>
  <c r="E183" i="57"/>
  <c r="F183" i="57"/>
  <c r="A184" i="57"/>
  <c r="E184" i="57"/>
  <c r="F184" i="57"/>
  <c r="A185" i="57"/>
  <c r="E185" i="57"/>
  <c r="F185" i="57"/>
  <c r="A186" i="57"/>
  <c r="E186" i="57"/>
  <c r="F186" i="57"/>
  <c r="A178" i="57"/>
  <c r="E178" i="57"/>
  <c r="F178" i="57"/>
  <c r="A179" i="57"/>
  <c r="E179" i="57"/>
  <c r="F179" i="57"/>
  <c r="A180" i="57"/>
  <c r="E180" i="57"/>
  <c r="F180" i="57"/>
  <c r="A181" i="57"/>
  <c r="E181" i="57"/>
  <c r="F181" i="57"/>
  <c r="A182" i="57"/>
  <c r="E182" i="57"/>
  <c r="F182" i="57"/>
  <c r="A157" i="57"/>
  <c r="E157" i="57"/>
  <c r="F157" i="57"/>
  <c r="H157" i="57"/>
  <c r="I157" i="57"/>
  <c r="J157" i="57"/>
  <c r="K157" i="57"/>
  <c r="L157" i="57"/>
  <c r="M157" i="57"/>
  <c r="A158" i="57"/>
  <c r="E158" i="57"/>
  <c r="F158" i="57"/>
  <c r="H158" i="57"/>
  <c r="I158" i="57"/>
  <c r="J158" i="57"/>
  <c r="K158" i="57"/>
  <c r="L158" i="57"/>
  <c r="M158" i="57"/>
  <c r="A159" i="57"/>
  <c r="E159" i="57"/>
  <c r="F159" i="57"/>
  <c r="H159" i="57"/>
  <c r="I159" i="57"/>
  <c r="J159" i="57"/>
  <c r="K159" i="57"/>
  <c r="L159" i="57"/>
  <c r="M159" i="57"/>
  <c r="A160" i="57"/>
  <c r="E160" i="57"/>
  <c r="F160" i="57"/>
  <c r="H160" i="57"/>
  <c r="I160" i="57"/>
  <c r="J160" i="57"/>
  <c r="K160" i="57"/>
  <c r="L160" i="57"/>
  <c r="M160" i="57"/>
  <c r="A161" i="57"/>
  <c r="E161" i="57"/>
  <c r="F161" i="57"/>
  <c r="H161" i="57"/>
  <c r="I161" i="57"/>
  <c r="J161" i="57"/>
  <c r="K161" i="57"/>
  <c r="L161" i="57"/>
  <c r="M161" i="57"/>
  <c r="A162" i="57"/>
  <c r="E162" i="57"/>
  <c r="F162" i="57"/>
  <c r="A163" i="57"/>
  <c r="E163" i="57"/>
  <c r="F163" i="57"/>
  <c r="A164" i="57"/>
  <c r="E164" i="57"/>
  <c r="F164" i="57"/>
  <c r="A165" i="57"/>
  <c r="E165" i="57"/>
  <c r="F165" i="57"/>
  <c r="A166" i="57"/>
  <c r="E166" i="57"/>
  <c r="F166" i="57"/>
  <c r="A167" i="57"/>
  <c r="E167" i="57"/>
  <c r="F167" i="57"/>
  <c r="A168" i="57"/>
  <c r="E168" i="57"/>
  <c r="F168" i="57"/>
  <c r="A169" i="57"/>
  <c r="E169" i="57"/>
  <c r="F169" i="57"/>
  <c r="A170" i="57"/>
  <c r="E170" i="57"/>
  <c r="F170" i="57"/>
  <c r="A171" i="57"/>
  <c r="E171" i="57"/>
  <c r="F171" i="57"/>
  <c r="A172" i="57"/>
  <c r="E172" i="57"/>
  <c r="F172" i="57"/>
  <c r="A173" i="57"/>
  <c r="E173" i="57"/>
  <c r="F173" i="57"/>
  <c r="A174" i="57"/>
  <c r="E174" i="57"/>
  <c r="F174" i="57"/>
  <c r="A175" i="57"/>
  <c r="E175" i="57"/>
  <c r="F175" i="57"/>
  <c r="A176" i="57"/>
  <c r="E176" i="57"/>
  <c r="F176" i="57"/>
  <c r="A177" i="57"/>
  <c r="E177" i="57"/>
  <c r="F177" i="57"/>
  <c r="A43" i="57"/>
  <c r="B43" i="57"/>
  <c r="A44" i="57"/>
  <c r="B44" i="57"/>
  <c r="A37" i="57"/>
  <c r="B37" i="57"/>
  <c r="A38" i="57"/>
  <c r="B38" i="57"/>
  <c r="A39" i="57"/>
  <c r="B39" i="57"/>
  <c r="A40" i="57"/>
  <c r="B40" i="57"/>
  <c r="A41" i="57"/>
  <c r="B41" i="57"/>
  <c r="A42" i="57"/>
  <c r="B42" i="57"/>
  <c r="E24" i="57"/>
  <c r="G24" i="57"/>
  <c r="H24" i="57"/>
  <c r="K24" i="57"/>
  <c r="E25" i="57"/>
  <c r="G25" i="57"/>
  <c r="H25" i="57"/>
  <c r="K25" i="57"/>
  <c r="E26" i="57"/>
  <c r="G26" i="57"/>
  <c r="H26" i="57"/>
  <c r="K26" i="57"/>
  <c r="D24" i="57"/>
  <c r="D26" i="57"/>
  <c r="A24" i="57"/>
  <c r="A25" i="57"/>
  <c r="A26" i="57"/>
  <c r="B24" i="57"/>
  <c r="C24" i="57"/>
  <c r="C235" i="57" s="1"/>
  <c r="B25" i="57"/>
  <c r="C25" i="57"/>
  <c r="C236" i="57" s="1"/>
  <c r="B26" i="57"/>
  <c r="C26" i="57"/>
  <c r="C237" i="57" s="1"/>
  <c r="AC527" i="54"/>
  <c r="AD527" i="54"/>
  <c r="J159" i="54" l="1"/>
  <c r="J156" i="58"/>
  <c r="J156" i="57"/>
  <c r="J158" i="54"/>
  <c r="J155" i="58"/>
  <c r="J155" i="57"/>
  <c r="M152" i="58"/>
  <c r="M152" i="57"/>
  <c r="M155" i="54"/>
  <c r="J157" i="54"/>
  <c r="J154" i="58"/>
  <c r="J154" i="57"/>
  <c r="L155" i="54"/>
  <c r="L152" i="58"/>
  <c r="L152" i="57"/>
  <c r="J156" i="54"/>
  <c r="J153" i="58"/>
  <c r="J153" i="57"/>
  <c r="G291" i="4"/>
  <c r="G295" i="4" s="1"/>
  <c r="J153" i="4"/>
  <c r="K135" i="4"/>
  <c r="K145" i="4" s="1"/>
  <c r="K155" i="4"/>
  <c r="H136" i="4"/>
  <c r="H146" i="4" s="1"/>
  <c r="H156" i="4"/>
  <c r="I136" i="4"/>
  <c r="I166" i="4" s="1"/>
  <c r="I165" i="58" s="1"/>
  <c r="I156" i="4"/>
  <c r="K133" i="4"/>
  <c r="K163" i="4" s="1"/>
  <c r="K162" i="58" s="1"/>
  <c r="K153" i="4"/>
  <c r="K134" i="4"/>
  <c r="K164" i="4" s="1"/>
  <c r="K163" i="58" s="1"/>
  <c r="K154" i="4"/>
  <c r="H135" i="4"/>
  <c r="H165" i="4" s="1"/>
  <c r="H155" i="4"/>
  <c r="I135" i="4"/>
  <c r="I145" i="4" s="1"/>
  <c r="I155" i="4"/>
  <c r="K137" i="4"/>
  <c r="K167" i="4" s="1"/>
  <c r="K157" i="4"/>
  <c r="H133" i="4"/>
  <c r="H163" i="4" s="1"/>
  <c r="H162" i="58" s="1"/>
  <c r="H153" i="4"/>
  <c r="H134" i="4"/>
  <c r="H164" i="4" s="1"/>
  <c r="H154" i="4"/>
  <c r="I134" i="4"/>
  <c r="I164" i="4" s="1"/>
  <c r="I163" i="58" s="1"/>
  <c r="I154" i="4"/>
  <c r="K136" i="4"/>
  <c r="K166" i="4" s="1"/>
  <c r="K165" i="58" s="1"/>
  <c r="K156" i="4"/>
  <c r="H137" i="4"/>
  <c r="H147" i="4" s="1"/>
  <c r="H157" i="4"/>
  <c r="I137" i="4"/>
  <c r="I167" i="4" s="1"/>
  <c r="I157" i="4"/>
  <c r="I133" i="4"/>
  <c r="I143" i="4" s="1"/>
  <c r="I153" i="4"/>
  <c r="L276" i="4"/>
  <c r="L274" i="4"/>
  <c r="M274" i="4"/>
  <c r="M276" i="4"/>
  <c r="J90" i="4"/>
  <c r="J98" i="4" s="1"/>
  <c r="J106" i="4" s="1"/>
  <c r="J114" i="4" s="1"/>
  <c r="I106" i="4"/>
  <c r="I114" i="4" s="1"/>
  <c r="H106" i="4"/>
  <c r="H114" i="4" s="1"/>
  <c r="K90" i="4"/>
  <c r="K98" i="4" s="1"/>
  <c r="K106" i="4" s="1"/>
  <c r="K114" i="4" s="1"/>
  <c r="M164" i="4"/>
  <c r="M163" i="57" s="1"/>
  <c r="M144" i="4"/>
  <c r="M154" i="4" s="1"/>
  <c r="H162" i="57"/>
  <c r="L163" i="4"/>
  <c r="M173" i="4"/>
  <c r="M172" i="58" s="1"/>
  <c r="M162" i="58"/>
  <c r="M162" i="57"/>
  <c r="L144" i="4"/>
  <c r="L154" i="4" s="1"/>
  <c r="L147" i="4"/>
  <c r="L157" i="4" s="1"/>
  <c r="L167" i="4"/>
  <c r="M147" i="4"/>
  <c r="M157" i="4" s="1"/>
  <c r="M167" i="4"/>
  <c r="H145" i="4"/>
  <c r="L146" i="4"/>
  <c r="L156" i="4" s="1"/>
  <c r="L166" i="4"/>
  <c r="M146" i="4"/>
  <c r="M156" i="4" s="1"/>
  <c r="M166" i="4"/>
  <c r="L145" i="4"/>
  <c r="L155" i="4" s="1"/>
  <c r="L165" i="4"/>
  <c r="M145" i="4"/>
  <c r="M155" i="4" s="1"/>
  <c r="M165" i="4"/>
  <c r="K165" i="4"/>
  <c r="L174" i="4"/>
  <c r="L173" i="58" s="1"/>
  <c r="L163" i="58"/>
  <c r="K165" i="57"/>
  <c r="K162" i="57"/>
  <c r="K143" i="4"/>
  <c r="I165" i="57"/>
  <c r="I144" i="4"/>
  <c r="D1071" i="57"/>
  <c r="D1068" i="57"/>
  <c r="D1074" i="57"/>
  <c r="D1069" i="57"/>
  <c r="D1075" i="57"/>
  <c r="D1070" i="57"/>
  <c r="D1066" i="57"/>
  <c r="D1067" i="57"/>
  <c r="G1029" i="57"/>
  <c r="G1030" i="57"/>
  <c r="G1027" i="57"/>
  <c r="G1031" i="57"/>
  <c r="L750" i="57"/>
  <c r="G236" i="57"/>
  <c r="L746" i="57"/>
  <c r="L745" i="57"/>
  <c r="H866" i="57" s="1"/>
  <c r="L748" i="57"/>
  <c r="L744" i="57"/>
  <c r="H865" i="57" s="1"/>
  <c r="L742" i="57"/>
  <c r="L743" i="57"/>
  <c r="L747" i="57"/>
  <c r="L749" i="57"/>
  <c r="AC526" i="54"/>
  <c r="AD526" i="54"/>
  <c r="H143" i="4" l="1"/>
  <c r="I163" i="57"/>
  <c r="I163" i="4"/>
  <c r="I162" i="57" s="1"/>
  <c r="H166" i="4"/>
  <c r="H165" i="58" s="1"/>
  <c r="H144" i="4"/>
  <c r="I146" i="4"/>
  <c r="I174" i="4"/>
  <c r="I173" i="58" s="1"/>
  <c r="K146" i="4"/>
  <c r="I147" i="4"/>
  <c r="I165" i="4"/>
  <c r="I164" i="58" s="1"/>
  <c r="K144" i="4"/>
  <c r="I176" i="4"/>
  <c r="I175" i="58" s="1"/>
  <c r="K173" i="4"/>
  <c r="K172" i="58" s="1"/>
  <c r="K176" i="4"/>
  <c r="K175" i="58" s="1"/>
  <c r="K147" i="4"/>
  <c r="M154" i="58"/>
  <c r="M154" i="57"/>
  <c r="M157" i="54"/>
  <c r="M156" i="58"/>
  <c r="M156" i="57"/>
  <c r="M159" i="54"/>
  <c r="M153" i="58"/>
  <c r="M153" i="57"/>
  <c r="M156" i="54"/>
  <c r="I159" i="54"/>
  <c r="I156" i="58"/>
  <c r="I156" i="57"/>
  <c r="K158" i="54"/>
  <c r="K155" i="58"/>
  <c r="K155" i="57"/>
  <c r="H156" i="54"/>
  <c r="H153" i="58"/>
  <c r="H153" i="57"/>
  <c r="K159" i="54"/>
  <c r="K156" i="58"/>
  <c r="K156" i="57"/>
  <c r="H157" i="54"/>
  <c r="H154" i="58"/>
  <c r="H154" i="57"/>
  <c r="K155" i="54"/>
  <c r="K152" i="58"/>
  <c r="K152" i="57"/>
  <c r="H158" i="54"/>
  <c r="H155" i="58"/>
  <c r="H155" i="57"/>
  <c r="J155" i="54"/>
  <c r="J152" i="58"/>
  <c r="J152" i="57"/>
  <c r="M155" i="58"/>
  <c r="M155" i="57"/>
  <c r="M158" i="54"/>
  <c r="L156" i="54"/>
  <c r="L153" i="58"/>
  <c r="L153" i="57"/>
  <c r="L157" i="54"/>
  <c r="L154" i="58"/>
  <c r="L154" i="57"/>
  <c r="L159" i="54"/>
  <c r="L156" i="58"/>
  <c r="L156" i="57"/>
  <c r="I155" i="54"/>
  <c r="I152" i="58"/>
  <c r="I152" i="57"/>
  <c r="H159" i="54"/>
  <c r="H156" i="58"/>
  <c r="H156" i="57"/>
  <c r="I156" i="54"/>
  <c r="I153" i="58"/>
  <c r="I153" i="57"/>
  <c r="H155" i="54"/>
  <c r="H152" i="58"/>
  <c r="H152" i="57"/>
  <c r="I157" i="54"/>
  <c r="I154" i="58"/>
  <c r="I154" i="57"/>
  <c r="K156" i="54"/>
  <c r="K153" i="58"/>
  <c r="K153" i="57"/>
  <c r="I158" i="54"/>
  <c r="I155" i="58"/>
  <c r="I155" i="57"/>
  <c r="K157" i="54"/>
  <c r="K154" i="58"/>
  <c r="K154" i="57"/>
  <c r="L158" i="54"/>
  <c r="L155" i="58"/>
  <c r="L155" i="57"/>
  <c r="H167" i="4"/>
  <c r="H166" i="58" s="1"/>
  <c r="D1072" i="57"/>
  <c r="D1073" i="57" s="1"/>
  <c r="K163" i="57"/>
  <c r="K174" i="4"/>
  <c r="K173" i="58" s="1"/>
  <c r="M163" i="58"/>
  <c r="M174" i="4"/>
  <c r="M173" i="58" s="1"/>
  <c r="L173" i="4"/>
  <c r="L172" i="58" s="1"/>
  <c r="L162" i="58"/>
  <c r="L162" i="57"/>
  <c r="I162" i="58"/>
  <c r="H163" i="58"/>
  <c r="H163" i="57"/>
  <c r="M176" i="4"/>
  <c r="M175" i="58" s="1"/>
  <c r="M165" i="58"/>
  <c r="M165" i="57"/>
  <c r="I177" i="4"/>
  <c r="I176" i="58" s="1"/>
  <c r="I166" i="58"/>
  <c r="I166" i="57"/>
  <c r="K164" i="58"/>
  <c r="K164" i="57"/>
  <c r="K175" i="4"/>
  <c r="K174" i="58" s="1"/>
  <c r="L164" i="58"/>
  <c r="L164" i="57"/>
  <c r="L175" i="4"/>
  <c r="L174" i="58" s="1"/>
  <c r="K166" i="58"/>
  <c r="K166" i="57"/>
  <c r="K177" i="4"/>
  <c r="K176" i="58" s="1"/>
  <c r="M177" i="4"/>
  <c r="M176" i="58" s="1"/>
  <c r="M166" i="58"/>
  <c r="M166" i="57"/>
  <c r="L176" i="4"/>
  <c r="L175" i="58" s="1"/>
  <c r="L165" i="58"/>
  <c r="L165" i="57"/>
  <c r="M175" i="4"/>
  <c r="M174" i="58" s="1"/>
  <c r="M164" i="58"/>
  <c r="M164" i="57"/>
  <c r="H164" i="58"/>
  <c r="H164" i="57"/>
  <c r="L177" i="4"/>
  <c r="L176" i="58" s="1"/>
  <c r="L166" i="58"/>
  <c r="L166" i="57"/>
  <c r="I173" i="4"/>
  <c r="I172" i="58" s="1"/>
  <c r="G1032" i="57"/>
  <c r="G1028" i="57"/>
  <c r="AF749" i="57"/>
  <c r="AF744" i="57"/>
  <c r="AF750" i="57"/>
  <c r="AF747" i="57"/>
  <c r="AF748" i="57"/>
  <c r="AF743" i="57"/>
  <c r="AF745" i="57"/>
  <c r="AF746" i="57"/>
  <c r="AF742" i="57"/>
  <c r="H165" i="57" l="1"/>
  <c r="I164" i="57"/>
  <c r="I175" i="4"/>
  <c r="I174" i="58" s="1"/>
  <c r="H166" i="57"/>
  <c r="D687" i="54"/>
  <c r="D901" i="57" s="1"/>
  <c r="D905" i="58" s="1"/>
  <c r="D685" i="54"/>
  <c r="D899" i="57" s="1"/>
  <c r="D903" i="58" s="1"/>
  <c r="D683" i="54"/>
  <c r="D897" i="57" s="1"/>
  <c r="D901" i="58" s="1"/>
  <c r="D681" i="54"/>
  <c r="D895" i="57" s="1"/>
  <c r="D899" i="58" s="1"/>
  <c r="D679" i="54"/>
  <c r="D893" i="57" s="1"/>
  <c r="D897" i="58" s="1"/>
  <c r="D677" i="54"/>
  <c r="D891" i="57" s="1"/>
  <c r="D895" i="58" s="1"/>
  <c r="U643" i="54"/>
  <c r="V643" i="54"/>
  <c r="W643" i="54"/>
  <c r="U645" i="54"/>
  <c r="V645" i="54"/>
  <c r="W645" i="54"/>
  <c r="U646" i="54"/>
  <c r="V646" i="54"/>
  <c r="W646" i="54"/>
  <c r="U647" i="54"/>
  <c r="V647" i="54"/>
  <c r="W647" i="54"/>
  <c r="U648" i="54"/>
  <c r="V648" i="54"/>
  <c r="W648" i="54"/>
  <c r="U649" i="54"/>
  <c r="V649" i="54"/>
  <c r="W649" i="54"/>
  <c r="AA642" i="54"/>
  <c r="AA643" i="54"/>
  <c r="AA644" i="54"/>
  <c r="AA645" i="54"/>
  <c r="AA646" i="54"/>
  <c r="AA647" i="54"/>
  <c r="AA648" i="54"/>
  <c r="AA649" i="54"/>
  <c r="R487" i="54"/>
  <c r="R488" i="54"/>
  <c r="R489" i="54"/>
  <c r="R494" i="54"/>
  <c r="R495" i="54"/>
  <c r="R496" i="54"/>
  <c r="R500" i="54"/>
  <c r="R501" i="54"/>
  <c r="R502" i="54"/>
  <c r="R503" i="54"/>
  <c r="R504" i="54"/>
  <c r="R505" i="54"/>
  <c r="R506" i="54"/>
  <c r="R507" i="54"/>
  <c r="R510" i="54"/>
  <c r="R511" i="54"/>
  <c r="R529" i="54"/>
  <c r="R530" i="54"/>
  <c r="R531" i="54"/>
  <c r="R532" i="54"/>
  <c r="R537" i="54"/>
  <c r="R538" i="54"/>
  <c r="R539" i="54"/>
  <c r="R540" i="54"/>
  <c r="R544" i="54"/>
  <c r="R545" i="54"/>
  <c r="R546" i="54"/>
  <c r="R547" i="54"/>
  <c r="R548" i="54"/>
  <c r="R549" i="54"/>
  <c r="R552" i="54"/>
  <c r="R553" i="54"/>
  <c r="R554" i="54"/>
  <c r="R555" i="54"/>
  <c r="R558" i="54"/>
  <c r="R559" i="54"/>
  <c r="R560" i="54"/>
  <c r="R561" i="54"/>
  <c r="R486" i="54"/>
  <c r="S512" i="54"/>
  <c r="B552" i="54"/>
  <c r="B553" i="54"/>
  <c r="B554" i="54"/>
  <c r="B555" i="54"/>
  <c r="B558" i="54"/>
  <c r="B559" i="54"/>
  <c r="B560" i="54"/>
  <c r="B561" i="54"/>
  <c r="G242" i="54"/>
  <c r="G244" i="54" s="1"/>
  <c r="J27" i="54"/>
  <c r="J28" i="54"/>
  <c r="J29" i="54"/>
  <c r="D243" i="54"/>
  <c r="D244" i="54"/>
  <c r="D242" i="54"/>
  <c r="B190" i="54"/>
  <c r="A190" i="54"/>
  <c r="A188" i="54"/>
  <c r="E188" i="54"/>
  <c r="F188" i="54"/>
  <c r="A189" i="54"/>
  <c r="E189" i="54"/>
  <c r="F189" i="54"/>
  <c r="A185" i="54"/>
  <c r="E185" i="54"/>
  <c r="F185" i="54"/>
  <c r="A186" i="54"/>
  <c r="E186" i="54"/>
  <c r="F186" i="54"/>
  <c r="A187" i="54"/>
  <c r="E187" i="54"/>
  <c r="F187" i="54"/>
  <c r="A160" i="54"/>
  <c r="E160" i="54"/>
  <c r="F160" i="54"/>
  <c r="H160" i="54"/>
  <c r="I160" i="54"/>
  <c r="J160" i="54"/>
  <c r="K160" i="54"/>
  <c r="L160" i="54"/>
  <c r="M160" i="54"/>
  <c r="A161" i="54"/>
  <c r="E161" i="54"/>
  <c r="F161" i="54"/>
  <c r="H161" i="54"/>
  <c r="I161" i="54"/>
  <c r="J161" i="54"/>
  <c r="K161" i="54"/>
  <c r="L161" i="54"/>
  <c r="M161" i="54"/>
  <c r="A162" i="54"/>
  <c r="E162" i="54"/>
  <c r="F162" i="54"/>
  <c r="H162" i="54"/>
  <c r="I162" i="54"/>
  <c r="J162" i="54"/>
  <c r="K162" i="54"/>
  <c r="L162" i="54"/>
  <c r="M162" i="54"/>
  <c r="A163" i="54"/>
  <c r="E163" i="54"/>
  <c r="F163" i="54"/>
  <c r="H163" i="54"/>
  <c r="I163" i="54"/>
  <c r="J163" i="54"/>
  <c r="K163" i="54"/>
  <c r="L163" i="54"/>
  <c r="M163" i="54"/>
  <c r="A164" i="54"/>
  <c r="E164" i="54"/>
  <c r="F164" i="54"/>
  <c r="H164" i="54"/>
  <c r="I164" i="54"/>
  <c r="J164" i="54"/>
  <c r="K164" i="54"/>
  <c r="L164" i="54"/>
  <c r="M164" i="54"/>
  <c r="A165" i="54"/>
  <c r="E165" i="54"/>
  <c r="F165" i="54"/>
  <c r="H165" i="54"/>
  <c r="I165" i="54"/>
  <c r="K165" i="54"/>
  <c r="L165" i="54"/>
  <c r="M165" i="54"/>
  <c r="A166" i="54"/>
  <c r="E166" i="54"/>
  <c r="F166" i="54"/>
  <c r="H166" i="54"/>
  <c r="I166" i="54"/>
  <c r="K166" i="54"/>
  <c r="L166" i="54"/>
  <c r="M166" i="54"/>
  <c r="A167" i="54"/>
  <c r="E167" i="54"/>
  <c r="F167" i="54"/>
  <c r="H167" i="54"/>
  <c r="I167" i="54"/>
  <c r="K167" i="54"/>
  <c r="L167" i="54"/>
  <c r="M167" i="54"/>
  <c r="A168" i="54"/>
  <c r="E168" i="54"/>
  <c r="F168" i="54"/>
  <c r="H168" i="54"/>
  <c r="I168" i="54"/>
  <c r="K168" i="54"/>
  <c r="L168" i="54"/>
  <c r="M168" i="54"/>
  <c r="A169" i="54"/>
  <c r="E169" i="54"/>
  <c r="F169" i="54"/>
  <c r="H169" i="54"/>
  <c r="I169" i="54"/>
  <c r="K169" i="54"/>
  <c r="L169" i="54"/>
  <c r="M169" i="54"/>
  <c r="A170" i="54"/>
  <c r="E170" i="54"/>
  <c r="F170" i="54"/>
  <c r="A171" i="54"/>
  <c r="E171" i="54"/>
  <c r="F171" i="54"/>
  <c r="A172" i="54"/>
  <c r="E172" i="54"/>
  <c r="F172" i="54"/>
  <c r="A173" i="54"/>
  <c r="E173" i="54"/>
  <c r="F173" i="54"/>
  <c r="A174" i="54"/>
  <c r="E174" i="54"/>
  <c r="F174" i="54"/>
  <c r="A175" i="54"/>
  <c r="E175" i="54"/>
  <c r="F175" i="54"/>
  <c r="A176" i="54"/>
  <c r="E176" i="54"/>
  <c r="F176" i="54"/>
  <c r="A177" i="54"/>
  <c r="E177" i="54"/>
  <c r="F177" i="54"/>
  <c r="A178" i="54"/>
  <c r="E178" i="54"/>
  <c r="F178" i="54"/>
  <c r="I178" i="54"/>
  <c r="A179" i="54"/>
  <c r="E179" i="54"/>
  <c r="F179" i="54"/>
  <c r="A180" i="54"/>
  <c r="E180" i="54"/>
  <c r="F180" i="54"/>
  <c r="A181" i="54"/>
  <c r="E181" i="54"/>
  <c r="F181" i="54"/>
  <c r="A182" i="54"/>
  <c r="E182" i="54"/>
  <c r="F182" i="54"/>
  <c r="A183" i="54"/>
  <c r="E183" i="54"/>
  <c r="F183" i="54"/>
  <c r="A184" i="54"/>
  <c r="E184" i="54"/>
  <c r="F184" i="54"/>
  <c r="A48" i="54"/>
  <c r="B48" i="54"/>
  <c r="B686" i="54"/>
  <c r="A47" i="54"/>
  <c r="B47" i="54"/>
  <c r="B684" i="54"/>
  <c r="A40" i="54"/>
  <c r="B40" i="54"/>
  <c r="A41" i="54"/>
  <c r="B41" i="54"/>
  <c r="A42" i="54"/>
  <c r="B42" i="54"/>
  <c r="B676" i="54"/>
  <c r="B890" i="57" s="1"/>
  <c r="A43" i="54"/>
  <c r="B43" i="54"/>
  <c r="B678" i="54"/>
  <c r="A45" i="54"/>
  <c r="B45" i="54"/>
  <c r="B680" i="54"/>
  <c r="B681" i="54" s="1"/>
  <c r="A46" i="54"/>
  <c r="B46" i="54"/>
  <c r="B682" i="54"/>
  <c r="D29" i="54"/>
  <c r="E29" i="54"/>
  <c r="G29" i="54"/>
  <c r="H29" i="54"/>
  <c r="K29" i="54"/>
  <c r="D27" i="54"/>
  <c r="E27" i="54"/>
  <c r="G27" i="54"/>
  <c r="H27" i="54"/>
  <c r="K27" i="54"/>
  <c r="D28" i="54"/>
  <c r="E28" i="54"/>
  <c r="G28" i="54"/>
  <c r="H28" i="54"/>
  <c r="K28" i="54"/>
  <c r="A27" i="54"/>
  <c r="B27" i="54"/>
  <c r="A28" i="54"/>
  <c r="B28" i="54"/>
  <c r="A29" i="54"/>
  <c r="B29" i="54"/>
  <c r="C27" i="54"/>
  <c r="L552" i="54" s="1"/>
  <c r="C28" i="54"/>
  <c r="C29" i="54"/>
  <c r="F394" i="4"/>
  <c r="F395" i="4" s="1"/>
  <c r="G394" i="4"/>
  <c r="G395" i="4" s="1"/>
  <c r="H394" i="4"/>
  <c r="H395" i="4" s="1"/>
  <c r="I394" i="4"/>
  <c r="I395" i="4" s="1"/>
  <c r="J394" i="4"/>
  <c r="J395" i="4" s="1"/>
  <c r="E394" i="4"/>
  <c r="E396" i="4" s="1"/>
  <c r="D394" i="4"/>
  <c r="D395" i="4" s="1"/>
  <c r="C394" i="4"/>
  <c r="C395" i="4"/>
  <c r="C396" i="4"/>
  <c r="B396" i="4"/>
  <c r="B395" i="4"/>
  <c r="B394" i="4"/>
  <c r="J378" i="4"/>
  <c r="K378" i="4"/>
  <c r="L378" i="4"/>
  <c r="M378" i="4"/>
  <c r="N378" i="4"/>
  <c r="O378" i="4"/>
  <c r="J379" i="4"/>
  <c r="K379" i="4"/>
  <c r="L379" i="4"/>
  <c r="M379" i="4"/>
  <c r="N379" i="4"/>
  <c r="O379" i="4"/>
  <c r="J380" i="4"/>
  <c r="K380" i="4"/>
  <c r="L380" i="4"/>
  <c r="M380" i="4"/>
  <c r="N380" i="4"/>
  <c r="O380" i="4"/>
  <c r="I379" i="4"/>
  <c r="I380" i="4"/>
  <c r="I378" i="4"/>
  <c r="D378" i="4"/>
  <c r="D379" i="4"/>
  <c r="D380" i="4"/>
  <c r="I168" i="4"/>
  <c r="J168" i="4"/>
  <c r="J170" i="54" s="1"/>
  <c r="K168" i="4"/>
  <c r="K170" i="54" s="1"/>
  <c r="L168" i="4"/>
  <c r="M168" i="4"/>
  <c r="I169" i="4"/>
  <c r="J169" i="4"/>
  <c r="K169" i="4"/>
  <c r="K171" i="54" s="1"/>
  <c r="L169" i="4"/>
  <c r="M169" i="4"/>
  <c r="I170" i="4"/>
  <c r="J170" i="4"/>
  <c r="J172" i="54" s="1"/>
  <c r="K170" i="4"/>
  <c r="K172" i="54" s="1"/>
  <c r="L170" i="4"/>
  <c r="L172" i="54" s="1"/>
  <c r="M170" i="4"/>
  <c r="I171" i="4"/>
  <c r="I173" i="54" s="1"/>
  <c r="J171" i="4"/>
  <c r="K171" i="4"/>
  <c r="L171" i="4"/>
  <c r="M171" i="4"/>
  <c r="M173" i="54" s="1"/>
  <c r="I172" i="4"/>
  <c r="I174" i="54" s="1"/>
  <c r="J172" i="4"/>
  <c r="J174" i="54" s="1"/>
  <c r="K172" i="4"/>
  <c r="L172" i="4"/>
  <c r="L174" i="54" s="1"/>
  <c r="M172" i="4"/>
  <c r="M174" i="54" s="1"/>
  <c r="I172" i="57"/>
  <c r="K172" i="57"/>
  <c r="L172" i="57"/>
  <c r="M172" i="57"/>
  <c r="I173" i="57"/>
  <c r="K173" i="57"/>
  <c r="L173" i="57"/>
  <c r="M173" i="57"/>
  <c r="I174" i="57"/>
  <c r="K174" i="57"/>
  <c r="L174" i="57"/>
  <c r="M174" i="57"/>
  <c r="I175" i="57"/>
  <c r="K175" i="57"/>
  <c r="L175" i="57"/>
  <c r="M175" i="57"/>
  <c r="I176" i="57"/>
  <c r="K176" i="57"/>
  <c r="L176" i="57"/>
  <c r="M176" i="57"/>
  <c r="I178" i="4"/>
  <c r="I180" i="54" s="1"/>
  <c r="J178" i="4"/>
  <c r="K178" i="4"/>
  <c r="L178" i="4"/>
  <c r="L180" i="54" s="1"/>
  <c r="M178" i="4"/>
  <c r="M180" i="54" s="1"/>
  <c r="I179" i="4"/>
  <c r="I181" i="54" s="1"/>
  <c r="J179" i="4"/>
  <c r="J181" i="54" s="1"/>
  <c r="K179" i="4"/>
  <c r="L179" i="4"/>
  <c r="M179" i="4"/>
  <c r="M181" i="54" s="1"/>
  <c r="I180" i="4"/>
  <c r="I182" i="54" s="1"/>
  <c r="J180" i="4"/>
  <c r="K180" i="4"/>
  <c r="L180" i="4"/>
  <c r="L182" i="54" s="1"/>
  <c r="M180" i="4"/>
  <c r="M182" i="54" s="1"/>
  <c r="I181" i="4"/>
  <c r="J181" i="4"/>
  <c r="K181" i="4"/>
  <c r="K183" i="54" s="1"/>
  <c r="L181" i="4"/>
  <c r="L183" i="54" s="1"/>
  <c r="M181" i="4"/>
  <c r="I182" i="4"/>
  <c r="J182" i="4"/>
  <c r="J184" i="54" s="1"/>
  <c r="K182" i="4"/>
  <c r="K184" i="54" s="1"/>
  <c r="L182" i="4"/>
  <c r="M182" i="4"/>
  <c r="I183" i="4"/>
  <c r="K183" i="4"/>
  <c r="L183" i="4"/>
  <c r="M183" i="4"/>
  <c r="I184" i="4"/>
  <c r="K184" i="4"/>
  <c r="L184" i="4"/>
  <c r="M184" i="4"/>
  <c r="I185" i="4"/>
  <c r="K185" i="4"/>
  <c r="L185" i="4"/>
  <c r="M185" i="4"/>
  <c r="I186" i="4"/>
  <c r="K186" i="4"/>
  <c r="L186" i="4"/>
  <c r="M186" i="4"/>
  <c r="I187" i="4"/>
  <c r="K187" i="4"/>
  <c r="L187" i="4"/>
  <c r="M187" i="4"/>
  <c r="H184" i="4"/>
  <c r="H185" i="4"/>
  <c r="H186" i="4"/>
  <c r="H187" i="4"/>
  <c r="H183" i="4"/>
  <c r="H179" i="4"/>
  <c r="H180" i="4"/>
  <c r="H181" i="4"/>
  <c r="H183" i="54" s="1"/>
  <c r="H182" i="4"/>
  <c r="H178" i="4"/>
  <c r="H180" i="54" s="1"/>
  <c r="H174" i="4"/>
  <c r="H175" i="4"/>
  <c r="H176" i="4"/>
  <c r="H177" i="4"/>
  <c r="H173" i="4"/>
  <c r="H169" i="4"/>
  <c r="H170" i="4"/>
  <c r="H172" i="54" s="1"/>
  <c r="H171" i="4"/>
  <c r="H172" i="4"/>
  <c r="H168" i="4"/>
  <c r="B380" i="4"/>
  <c r="S379" i="4"/>
  <c r="B378" i="4"/>
  <c r="B158" i="4"/>
  <c r="C158" i="4"/>
  <c r="B159" i="4"/>
  <c r="C159" i="4"/>
  <c r="C161" i="54" s="1"/>
  <c r="B160" i="4"/>
  <c r="C160" i="4"/>
  <c r="B161" i="4"/>
  <c r="C161" i="4"/>
  <c r="B162" i="4"/>
  <c r="B164" i="54" s="1"/>
  <c r="C162" i="4"/>
  <c r="B163" i="4"/>
  <c r="C163" i="4"/>
  <c r="C165" i="54" s="1"/>
  <c r="B164" i="4"/>
  <c r="C164" i="4"/>
  <c r="B165" i="4"/>
  <c r="C165" i="4"/>
  <c r="B166" i="4"/>
  <c r="B168" i="54" s="1"/>
  <c r="C166" i="4"/>
  <c r="B167" i="4"/>
  <c r="C167" i="4"/>
  <c r="C169" i="54" s="1"/>
  <c r="B168" i="4"/>
  <c r="C168" i="4"/>
  <c r="B169" i="4"/>
  <c r="C169" i="4"/>
  <c r="B170" i="4"/>
  <c r="C170" i="4"/>
  <c r="B171" i="4"/>
  <c r="C171" i="4"/>
  <c r="C173" i="54" s="1"/>
  <c r="B172" i="4"/>
  <c r="C172" i="4"/>
  <c r="B173" i="4"/>
  <c r="C173" i="4"/>
  <c r="B174" i="4"/>
  <c r="C174" i="4"/>
  <c r="B175" i="4"/>
  <c r="C175" i="4"/>
  <c r="C177" i="54" s="1"/>
  <c r="B176" i="4"/>
  <c r="C176" i="4"/>
  <c r="B177" i="4"/>
  <c r="C177" i="4"/>
  <c r="B178" i="4"/>
  <c r="C178" i="4"/>
  <c r="B179" i="4"/>
  <c r="B181" i="54" s="1"/>
  <c r="C179" i="4"/>
  <c r="C181" i="54" s="1"/>
  <c r="B180" i="4"/>
  <c r="B182" i="54" s="1"/>
  <c r="C180" i="4"/>
  <c r="B181" i="4"/>
  <c r="C181" i="4"/>
  <c r="C183" i="54" s="1"/>
  <c r="B182" i="4"/>
  <c r="B184" i="54" s="1"/>
  <c r="C182" i="4"/>
  <c r="B183" i="4"/>
  <c r="C183" i="4"/>
  <c r="B184" i="4"/>
  <c r="B186" i="54" s="1"/>
  <c r="C184" i="4"/>
  <c r="B185" i="4"/>
  <c r="C185" i="4"/>
  <c r="B186" i="4"/>
  <c r="C186" i="4"/>
  <c r="B187" i="4"/>
  <c r="C187" i="4"/>
  <c r="C189" i="54" s="1"/>
  <c r="D179" i="4"/>
  <c r="D181" i="54" s="1"/>
  <c r="D180" i="4"/>
  <c r="D181" i="4"/>
  <c r="D183" i="54" s="1"/>
  <c r="D182" i="4"/>
  <c r="D183" i="4"/>
  <c r="D184" i="4"/>
  <c r="D185" i="4"/>
  <c r="D186" i="4"/>
  <c r="D188" i="54" s="1"/>
  <c r="D187" i="4"/>
  <c r="D178" i="4"/>
  <c r="D169" i="4"/>
  <c r="D170" i="4"/>
  <c r="D171" i="4"/>
  <c r="D172" i="4"/>
  <c r="D173" i="4"/>
  <c r="D174" i="4"/>
  <c r="D175" i="4"/>
  <c r="D176" i="4"/>
  <c r="D177" i="4"/>
  <c r="D168" i="4"/>
  <c r="D164" i="4"/>
  <c r="D163" i="58" s="1"/>
  <c r="D165" i="4"/>
  <c r="D164" i="58" s="1"/>
  <c r="D166" i="4"/>
  <c r="D165" i="58" s="1"/>
  <c r="D167" i="4"/>
  <c r="D166" i="58" s="1"/>
  <c r="D163" i="4"/>
  <c r="D162" i="58" s="1"/>
  <c r="D159" i="4"/>
  <c r="D158" i="58" s="1"/>
  <c r="D160" i="4"/>
  <c r="D159" i="58" s="1"/>
  <c r="D161" i="4"/>
  <c r="D160" i="58" s="1"/>
  <c r="D162" i="4"/>
  <c r="D161" i="58" s="1"/>
  <c r="D158" i="4"/>
  <c r="D157" i="58" l="1"/>
  <c r="G158" i="4"/>
  <c r="S378" i="4"/>
  <c r="P378" i="4"/>
  <c r="S380" i="4"/>
  <c r="P380" i="4"/>
  <c r="G396" i="4"/>
  <c r="I396" i="4"/>
  <c r="E395" i="4"/>
  <c r="D396" i="4"/>
  <c r="G173" i="4"/>
  <c r="G172" i="58" s="1"/>
  <c r="D172" i="58"/>
  <c r="D172" i="57"/>
  <c r="G185" i="4"/>
  <c r="G184" i="58" s="1"/>
  <c r="D184" i="58"/>
  <c r="D184" i="57"/>
  <c r="B186" i="58"/>
  <c r="B186" i="57"/>
  <c r="B182" i="58"/>
  <c r="B182" i="57"/>
  <c r="B180" i="58"/>
  <c r="B180" i="57"/>
  <c r="B176" i="58"/>
  <c r="B176" i="57"/>
  <c r="B174" i="58"/>
  <c r="B174" i="57"/>
  <c r="B172" i="58"/>
  <c r="B172" i="57"/>
  <c r="B170" i="58"/>
  <c r="B170" i="57"/>
  <c r="B168" i="58"/>
  <c r="B168" i="57"/>
  <c r="B166" i="58"/>
  <c r="B166" i="57"/>
  <c r="B164" i="58"/>
  <c r="B164" i="57"/>
  <c r="B162" i="58"/>
  <c r="B162" i="57"/>
  <c r="B160" i="58"/>
  <c r="B160" i="57"/>
  <c r="B158" i="58"/>
  <c r="B158" i="57"/>
  <c r="K182" i="57"/>
  <c r="K182" i="58"/>
  <c r="G176" i="4"/>
  <c r="G178" i="54" s="1"/>
  <c r="D175" i="58"/>
  <c r="D175" i="57"/>
  <c r="G172" i="4"/>
  <c r="G171" i="58" s="1"/>
  <c r="D171" i="58"/>
  <c r="D171" i="57"/>
  <c r="G178" i="4"/>
  <c r="G180" i="54" s="1"/>
  <c r="D177" i="58"/>
  <c r="D177" i="57"/>
  <c r="G184" i="4"/>
  <c r="G186" i="54" s="1"/>
  <c r="D183" i="58"/>
  <c r="D183" i="57"/>
  <c r="G180" i="4"/>
  <c r="G182" i="54" s="1"/>
  <c r="D179" i="58"/>
  <c r="D179" i="57"/>
  <c r="C185" i="58"/>
  <c r="C185" i="57"/>
  <c r="C183" i="58"/>
  <c r="C183" i="57"/>
  <c r="C181" i="58"/>
  <c r="C181" i="57"/>
  <c r="C179" i="58"/>
  <c r="C179" i="57"/>
  <c r="C177" i="58"/>
  <c r="C177" i="57"/>
  <c r="C175" i="58"/>
  <c r="C175" i="57"/>
  <c r="C173" i="58"/>
  <c r="C173" i="57"/>
  <c r="C171" i="58"/>
  <c r="C171" i="57"/>
  <c r="C169" i="58"/>
  <c r="C169" i="57"/>
  <c r="C167" i="58"/>
  <c r="C167" i="57"/>
  <c r="C165" i="58"/>
  <c r="C165" i="57"/>
  <c r="C163" i="58"/>
  <c r="C163" i="57"/>
  <c r="C161" i="58"/>
  <c r="C161" i="57"/>
  <c r="C159" i="58"/>
  <c r="C159" i="57"/>
  <c r="C157" i="58"/>
  <c r="C157" i="57"/>
  <c r="H182" i="57"/>
  <c r="H182" i="58"/>
  <c r="K177" i="58"/>
  <c r="K177" i="57"/>
  <c r="M167" i="58"/>
  <c r="M167" i="57"/>
  <c r="I167" i="58"/>
  <c r="I167" i="57"/>
  <c r="J396" i="4"/>
  <c r="F396" i="4"/>
  <c r="D180" i="54"/>
  <c r="C178" i="54"/>
  <c r="B175" i="54"/>
  <c r="C174" i="54"/>
  <c r="B171" i="54"/>
  <c r="C168" i="54"/>
  <c r="B167" i="54"/>
  <c r="C164" i="54"/>
  <c r="B163" i="54"/>
  <c r="C160" i="54"/>
  <c r="C186" i="54"/>
  <c r="G171" i="4"/>
  <c r="G173" i="54" s="1"/>
  <c r="D170" i="58"/>
  <c r="D170" i="57"/>
  <c r="G183" i="4"/>
  <c r="G185" i="54" s="1"/>
  <c r="D182" i="58"/>
  <c r="D182" i="57"/>
  <c r="B185" i="58"/>
  <c r="B185" i="57"/>
  <c r="B181" i="58"/>
  <c r="B181" i="57"/>
  <c r="B175" i="58"/>
  <c r="B175" i="57"/>
  <c r="B171" i="58"/>
  <c r="B171" i="57"/>
  <c r="B167" i="58"/>
  <c r="B167" i="57"/>
  <c r="B163" i="58"/>
  <c r="B163" i="57"/>
  <c r="B157" i="58"/>
  <c r="B157" i="57"/>
  <c r="M182" i="57"/>
  <c r="M182" i="58"/>
  <c r="I182" i="57"/>
  <c r="I182" i="58"/>
  <c r="J177" i="58"/>
  <c r="J177" i="57"/>
  <c r="L167" i="58"/>
  <c r="L167" i="57"/>
  <c r="C180" i="54"/>
  <c r="B178" i="54"/>
  <c r="B174" i="54"/>
  <c r="B160" i="54"/>
  <c r="D187" i="54"/>
  <c r="D185" i="54"/>
  <c r="B189" i="54"/>
  <c r="G175" i="4"/>
  <c r="G174" i="57" s="1"/>
  <c r="D174" i="58"/>
  <c r="D174" i="57"/>
  <c r="G187" i="4"/>
  <c r="G186" i="58" s="1"/>
  <c r="D186" i="58"/>
  <c r="D186" i="57"/>
  <c r="G179" i="4"/>
  <c r="G178" i="58" s="1"/>
  <c r="D178" i="58"/>
  <c r="D178" i="57"/>
  <c r="B183" i="58"/>
  <c r="B183" i="57"/>
  <c r="B179" i="58"/>
  <c r="B179" i="57"/>
  <c r="B177" i="58"/>
  <c r="B177" i="57"/>
  <c r="B173" i="58"/>
  <c r="B173" i="57"/>
  <c r="B169" i="58"/>
  <c r="B169" i="57"/>
  <c r="B165" i="58"/>
  <c r="B165" i="57"/>
  <c r="B161" i="58"/>
  <c r="B161" i="57"/>
  <c r="B159" i="58"/>
  <c r="B159" i="57"/>
  <c r="H167" i="58"/>
  <c r="H167" i="57"/>
  <c r="G168" i="4"/>
  <c r="G167" i="58" s="1"/>
  <c r="D167" i="58"/>
  <c r="D167" i="57"/>
  <c r="G174" i="4"/>
  <c r="G173" i="57" s="1"/>
  <c r="D173" i="58"/>
  <c r="D173" i="57"/>
  <c r="G170" i="4"/>
  <c r="G169" i="58" s="1"/>
  <c r="D169" i="58"/>
  <c r="D169" i="57"/>
  <c r="G186" i="4"/>
  <c r="G185" i="57" s="1"/>
  <c r="D185" i="58"/>
  <c r="D185" i="57"/>
  <c r="G182" i="4"/>
  <c r="G181" i="57" s="1"/>
  <c r="D181" i="58"/>
  <c r="D181" i="57"/>
  <c r="C186" i="58"/>
  <c r="C186" i="57"/>
  <c r="C184" i="58"/>
  <c r="C184" i="57"/>
  <c r="C182" i="58"/>
  <c r="C182" i="57"/>
  <c r="C180" i="58"/>
  <c r="C180" i="57"/>
  <c r="C178" i="58"/>
  <c r="C178" i="57"/>
  <c r="C176" i="58"/>
  <c r="C176" i="57"/>
  <c r="C174" i="58"/>
  <c r="C174" i="57"/>
  <c r="C172" i="58"/>
  <c r="C172" i="57"/>
  <c r="C170" i="58"/>
  <c r="C170" i="57"/>
  <c r="C168" i="58"/>
  <c r="C168" i="57"/>
  <c r="C166" i="58"/>
  <c r="C166" i="57"/>
  <c r="C164" i="58"/>
  <c r="C164" i="57"/>
  <c r="C162" i="58"/>
  <c r="C162" i="57"/>
  <c r="C160" i="58"/>
  <c r="C160" i="57"/>
  <c r="C158" i="58"/>
  <c r="C158" i="57"/>
  <c r="H172" i="57"/>
  <c r="H172" i="58"/>
  <c r="L182" i="57"/>
  <c r="L182" i="58"/>
  <c r="M177" i="58"/>
  <c r="M177" i="57"/>
  <c r="I177" i="58"/>
  <c r="I177" i="57"/>
  <c r="K167" i="58"/>
  <c r="K167" i="57"/>
  <c r="H396" i="4"/>
  <c r="D184" i="54"/>
  <c r="B183" i="54"/>
  <c r="D182" i="54"/>
  <c r="K180" i="54"/>
  <c r="B180" i="54"/>
  <c r="C179" i="54"/>
  <c r="B177" i="54"/>
  <c r="C176" i="54"/>
  <c r="B173" i="54"/>
  <c r="C172" i="54"/>
  <c r="M170" i="54"/>
  <c r="I170" i="54"/>
  <c r="C170" i="54"/>
  <c r="B169" i="54"/>
  <c r="C166" i="54"/>
  <c r="B165" i="54"/>
  <c r="C162" i="54"/>
  <c r="B161" i="54"/>
  <c r="C187" i="54"/>
  <c r="C185" i="54"/>
  <c r="C188" i="54"/>
  <c r="G177" i="4"/>
  <c r="G176" i="58" s="1"/>
  <c r="D176" i="58"/>
  <c r="D176" i="57"/>
  <c r="G169" i="4"/>
  <c r="G168" i="57" s="1"/>
  <c r="D168" i="58"/>
  <c r="D168" i="57"/>
  <c r="G181" i="4"/>
  <c r="G180" i="57" s="1"/>
  <c r="D180" i="58"/>
  <c r="D180" i="57"/>
  <c r="B184" i="58"/>
  <c r="B184" i="57"/>
  <c r="B178" i="58"/>
  <c r="B178" i="57"/>
  <c r="H177" i="58"/>
  <c r="H177" i="57"/>
  <c r="L177" i="58"/>
  <c r="L177" i="57"/>
  <c r="J167" i="58"/>
  <c r="J167" i="57"/>
  <c r="C184" i="54"/>
  <c r="C182" i="54"/>
  <c r="J180" i="54"/>
  <c r="B179" i="54"/>
  <c r="B176" i="54"/>
  <c r="C175" i="54"/>
  <c r="B172" i="54"/>
  <c r="C171" i="54"/>
  <c r="L170" i="54"/>
  <c r="H170" i="54"/>
  <c r="B170" i="54"/>
  <c r="C167" i="54"/>
  <c r="B166" i="54"/>
  <c r="C163" i="54"/>
  <c r="B162" i="54"/>
  <c r="B187" i="54"/>
  <c r="D186" i="54"/>
  <c r="B185" i="54"/>
  <c r="D189" i="54"/>
  <c r="B188" i="54"/>
  <c r="H171" i="58"/>
  <c r="H171" i="57"/>
  <c r="H173" i="57"/>
  <c r="H173" i="58"/>
  <c r="H179" i="58"/>
  <c r="H179" i="57"/>
  <c r="H185" i="57"/>
  <c r="H185" i="58"/>
  <c r="L186" i="57"/>
  <c r="L186" i="58"/>
  <c r="M185" i="57"/>
  <c r="M185" i="58"/>
  <c r="I185" i="57"/>
  <c r="I185" i="58"/>
  <c r="K183" i="57"/>
  <c r="K183" i="58"/>
  <c r="M181" i="58"/>
  <c r="M181" i="57"/>
  <c r="I181" i="58"/>
  <c r="I181" i="57"/>
  <c r="J180" i="58"/>
  <c r="J180" i="57"/>
  <c r="K179" i="58"/>
  <c r="K179" i="57"/>
  <c r="L178" i="58"/>
  <c r="L178" i="57"/>
  <c r="K171" i="58"/>
  <c r="K171" i="57"/>
  <c r="L170" i="58"/>
  <c r="L170" i="57"/>
  <c r="M169" i="58"/>
  <c r="M169" i="57"/>
  <c r="I169" i="58"/>
  <c r="I169" i="57"/>
  <c r="J168" i="58"/>
  <c r="J168" i="57"/>
  <c r="H170" i="58"/>
  <c r="H170" i="57"/>
  <c r="H176" i="57"/>
  <c r="H176" i="58"/>
  <c r="H178" i="58"/>
  <c r="H178" i="57"/>
  <c r="H184" i="57"/>
  <c r="H184" i="58"/>
  <c r="K186" i="57"/>
  <c r="K186" i="58"/>
  <c r="L185" i="57"/>
  <c r="L185" i="58"/>
  <c r="M184" i="57"/>
  <c r="M184" i="58"/>
  <c r="I184" i="57"/>
  <c r="I184" i="58"/>
  <c r="L181" i="58"/>
  <c r="L181" i="57"/>
  <c r="M180" i="58"/>
  <c r="M180" i="57"/>
  <c r="I180" i="58"/>
  <c r="I180" i="57"/>
  <c r="J179" i="58"/>
  <c r="J179" i="57"/>
  <c r="K178" i="58"/>
  <c r="K178" i="57"/>
  <c r="J171" i="58"/>
  <c r="J171" i="57"/>
  <c r="K170" i="58"/>
  <c r="K170" i="57"/>
  <c r="L169" i="58"/>
  <c r="L169" i="57"/>
  <c r="M168" i="58"/>
  <c r="M168" i="57"/>
  <c r="I168" i="58"/>
  <c r="I168" i="57"/>
  <c r="H182" i="54"/>
  <c r="L173" i="54"/>
  <c r="H173" i="54"/>
  <c r="J171" i="54"/>
  <c r="H169" i="58"/>
  <c r="H169" i="57"/>
  <c r="H175" i="57"/>
  <c r="H175" i="58"/>
  <c r="H181" i="58"/>
  <c r="H181" i="57"/>
  <c r="H183" i="57"/>
  <c r="H183" i="58"/>
  <c r="K185" i="57"/>
  <c r="K185" i="58"/>
  <c r="L184" i="57"/>
  <c r="L184" i="58"/>
  <c r="M183" i="57"/>
  <c r="M183" i="58"/>
  <c r="I183" i="57"/>
  <c r="I183" i="58"/>
  <c r="K181" i="58"/>
  <c r="K181" i="57"/>
  <c r="L180" i="58"/>
  <c r="L180" i="57"/>
  <c r="M179" i="58"/>
  <c r="M179" i="57"/>
  <c r="I179" i="58"/>
  <c r="I179" i="57"/>
  <c r="J178" i="58"/>
  <c r="J178" i="57"/>
  <c r="M171" i="58"/>
  <c r="M171" i="57"/>
  <c r="I171" i="58"/>
  <c r="I171" i="57"/>
  <c r="J170" i="58"/>
  <c r="J170" i="57"/>
  <c r="K169" i="58"/>
  <c r="K169" i="57"/>
  <c r="L168" i="58"/>
  <c r="L168" i="57"/>
  <c r="M184" i="54"/>
  <c r="I184" i="54"/>
  <c r="J183" i="54"/>
  <c r="K182" i="54"/>
  <c r="L181" i="54"/>
  <c r="H181" i="54"/>
  <c r="H174" i="54"/>
  <c r="K173" i="54"/>
  <c r="M171" i="54"/>
  <c r="I171" i="54"/>
  <c r="H168" i="58"/>
  <c r="H168" i="57"/>
  <c r="H174" i="57"/>
  <c r="H174" i="58"/>
  <c r="H180" i="58"/>
  <c r="H180" i="57"/>
  <c r="H186" i="57"/>
  <c r="H186" i="58"/>
  <c r="M186" i="57"/>
  <c r="M186" i="58"/>
  <c r="I186" i="57"/>
  <c r="I186" i="58"/>
  <c r="K184" i="57"/>
  <c r="K184" i="58"/>
  <c r="L183" i="57"/>
  <c r="L183" i="58"/>
  <c r="J181" i="58"/>
  <c r="J181" i="57"/>
  <c r="K180" i="58"/>
  <c r="K180" i="57"/>
  <c r="L179" i="58"/>
  <c r="L179" i="57"/>
  <c r="M178" i="58"/>
  <c r="M178" i="57"/>
  <c r="I178" i="58"/>
  <c r="I178" i="57"/>
  <c r="L171" i="58"/>
  <c r="L171" i="57"/>
  <c r="M170" i="58"/>
  <c r="M170" i="57"/>
  <c r="I170" i="58"/>
  <c r="I170" i="57"/>
  <c r="J169" i="58"/>
  <c r="J169" i="57"/>
  <c r="K168" i="58"/>
  <c r="K168" i="57"/>
  <c r="L184" i="54"/>
  <c r="H184" i="54"/>
  <c r="M183" i="54"/>
  <c r="I183" i="54"/>
  <c r="J182" i="54"/>
  <c r="K181" i="54"/>
  <c r="K174" i="54"/>
  <c r="J173" i="54"/>
  <c r="M172" i="54"/>
  <c r="I172" i="54"/>
  <c r="L171" i="54"/>
  <c r="H171" i="54"/>
  <c r="G167" i="4"/>
  <c r="G166" i="58" s="1"/>
  <c r="D166" i="57"/>
  <c r="G161" i="4"/>
  <c r="G160" i="58" s="1"/>
  <c r="D160" i="57"/>
  <c r="G160" i="4"/>
  <c r="G159" i="58" s="1"/>
  <c r="D159" i="57"/>
  <c r="G166" i="4"/>
  <c r="G165" i="58" s="1"/>
  <c r="D165" i="57"/>
  <c r="G157" i="58"/>
  <c r="D157" i="57"/>
  <c r="G159" i="4"/>
  <c r="G158" i="58" s="1"/>
  <c r="D158" i="57"/>
  <c r="G165" i="4"/>
  <c r="G164" i="58" s="1"/>
  <c r="D164" i="57"/>
  <c r="G162" i="4"/>
  <c r="G161" i="58" s="1"/>
  <c r="D161" i="57"/>
  <c r="G163" i="4"/>
  <c r="G162" i="58" s="1"/>
  <c r="D162" i="57"/>
  <c r="G164" i="4"/>
  <c r="G163" i="58" s="1"/>
  <c r="D163" i="57"/>
  <c r="B677" i="54"/>
  <c r="B891" i="57" s="1"/>
  <c r="B895" i="58" s="1"/>
  <c r="B894" i="58"/>
  <c r="B679" i="54"/>
  <c r="B893" i="57" s="1"/>
  <c r="B897" i="58" s="1"/>
  <c r="B892" i="57"/>
  <c r="B896" i="58" s="1"/>
  <c r="B685" i="54"/>
  <c r="B899" i="57" s="1"/>
  <c r="B903" i="58" s="1"/>
  <c r="B898" i="57"/>
  <c r="B902" i="58" s="1"/>
  <c r="B895" i="57"/>
  <c r="B899" i="58" s="1"/>
  <c r="B894" i="57"/>
  <c r="B898" i="58" s="1"/>
  <c r="B683" i="54"/>
  <c r="B897" i="57" s="1"/>
  <c r="B901" i="58" s="1"/>
  <c r="B896" i="57"/>
  <c r="B900" i="58" s="1"/>
  <c r="B687" i="54"/>
  <c r="B901" i="57" s="1"/>
  <c r="B905" i="58" s="1"/>
  <c r="B900" i="57"/>
  <c r="B904" i="58" s="1"/>
  <c r="H187" i="54"/>
  <c r="H188" i="54"/>
  <c r="K179" i="54"/>
  <c r="L188" i="54"/>
  <c r="L175" i="54"/>
  <c r="K187" i="54"/>
  <c r="K188" i="54"/>
  <c r="M178" i="54"/>
  <c r="K175" i="54"/>
  <c r="L186" i="54"/>
  <c r="L179" i="54"/>
  <c r="L177" i="54"/>
  <c r="I176" i="54"/>
  <c r="K186" i="54"/>
  <c r="L178" i="54"/>
  <c r="L176" i="54"/>
  <c r="M187" i="54"/>
  <c r="I187" i="54"/>
  <c r="K177" i="54"/>
  <c r="K185" i="54"/>
  <c r="K189" i="54"/>
  <c r="M179" i="54"/>
  <c r="I179" i="54"/>
  <c r="K178" i="54"/>
  <c r="M177" i="54"/>
  <c r="I177" i="54"/>
  <c r="K176" i="54"/>
  <c r="M175" i="54"/>
  <c r="I175" i="54"/>
  <c r="L187" i="54"/>
  <c r="M186" i="54"/>
  <c r="I186" i="54"/>
  <c r="M185" i="54"/>
  <c r="I185" i="54"/>
  <c r="M189" i="54"/>
  <c r="I189" i="54"/>
  <c r="M188" i="54"/>
  <c r="I188" i="54"/>
  <c r="L185" i="54"/>
  <c r="L189" i="54"/>
  <c r="M176" i="54"/>
  <c r="H179" i="54"/>
  <c r="H186" i="54"/>
  <c r="H176" i="54"/>
  <c r="H189" i="54"/>
  <c r="H177" i="54"/>
  <c r="H178" i="54"/>
  <c r="H185" i="54"/>
  <c r="H175" i="54"/>
  <c r="L555" i="54"/>
  <c r="L556" i="54"/>
  <c r="L553" i="54"/>
  <c r="L557" i="54"/>
  <c r="L554" i="54"/>
  <c r="D825" i="54"/>
  <c r="L559" i="54"/>
  <c r="L558" i="54"/>
  <c r="D176" i="54"/>
  <c r="D172" i="54"/>
  <c r="D179" i="54"/>
  <c r="D175" i="54"/>
  <c r="D171" i="54"/>
  <c r="D178" i="54"/>
  <c r="D174" i="54"/>
  <c r="D170" i="54"/>
  <c r="D177" i="54"/>
  <c r="D173" i="54"/>
  <c r="D168" i="54"/>
  <c r="D164" i="54"/>
  <c r="D160" i="54"/>
  <c r="D167" i="54"/>
  <c r="D163" i="54"/>
  <c r="D166" i="54"/>
  <c r="D162" i="54"/>
  <c r="D169" i="54"/>
  <c r="D165" i="54"/>
  <c r="D161" i="54"/>
  <c r="C242" i="54"/>
  <c r="D821" i="54"/>
  <c r="C244" i="54"/>
  <c r="D829" i="54"/>
  <c r="C243" i="54"/>
  <c r="G784" i="54"/>
  <c r="G786" i="54"/>
  <c r="G782" i="54"/>
  <c r="L560" i="54"/>
  <c r="L561" i="54"/>
  <c r="G243" i="54"/>
  <c r="E378" i="4"/>
  <c r="E380" i="4"/>
  <c r="E379" i="4"/>
  <c r="H44" i="4"/>
  <c r="H42" i="4"/>
  <c r="F42" i="4"/>
  <c r="G45" i="4"/>
  <c r="G44" i="4"/>
  <c r="G43" i="4"/>
  <c r="G42" i="4"/>
  <c r="H39" i="4"/>
  <c r="F39" i="4"/>
  <c r="G40" i="4"/>
  <c r="G39" i="4"/>
  <c r="I26" i="4"/>
  <c r="I25" i="4"/>
  <c r="I24" i="4"/>
  <c r="D826" i="54" l="1"/>
  <c r="D830" i="54"/>
  <c r="G39" i="58"/>
  <c r="G39" i="57"/>
  <c r="G42" i="54"/>
  <c r="G42" i="58"/>
  <c r="G42" i="57"/>
  <c r="G45" i="54"/>
  <c r="F45" i="54"/>
  <c r="F42" i="58"/>
  <c r="F42" i="57"/>
  <c r="H45" i="54"/>
  <c r="H42" i="58"/>
  <c r="H42" i="57"/>
  <c r="G45" i="58"/>
  <c r="G45" i="57"/>
  <c r="G48" i="54"/>
  <c r="G40" i="58"/>
  <c r="G40" i="57"/>
  <c r="G43" i="54"/>
  <c r="G43" i="58"/>
  <c r="G43" i="57"/>
  <c r="G46" i="54"/>
  <c r="F42" i="54"/>
  <c r="F39" i="58"/>
  <c r="F39" i="57"/>
  <c r="G44" i="58"/>
  <c r="G44" i="57"/>
  <c r="G47" i="54"/>
  <c r="H44" i="58"/>
  <c r="H44" i="57"/>
  <c r="H47" i="54"/>
  <c r="H39" i="58"/>
  <c r="H39" i="57"/>
  <c r="H42" i="54"/>
  <c r="D823" i="54"/>
  <c r="D824" i="54"/>
  <c r="G171" i="57"/>
  <c r="G178" i="57"/>
  <c r="G181" i="54"/>
  <c r="G173" i="58"/>
  <c r="G174" i="54"/>
  <c r="G176" i="54"/>
  <c r="G175" i="54"/>
  <c r="G177" i="57"/>
  <c r="G170" i="57"/>
  <c r="G177" i="58"/>
  <c r="G169" i="57"/>
  <c r="G170" i="58"/>
  <c r="G172" i="57"/>
  <c r="G172" i="54"/>
  <c r="G183" i="54"/>
  <c r="G180" i="58"/>
  <c r="G182" i="57"/>
  <c r="G174" i="58"/>
  <c r="G177" i="54"/>
  <c r="G176" i="57"/>
  <c r="G183" i="57"/>
  <c r="G175" i="58"/>
  <c r="G187" i="54"/>
  <c r="G184" i="57"/>
  <c r="G179" i="54"/>
  <c r="G183" i="58"/>
  <c r="G182" i="58"/>
  <c r="G171" i="54"/>
  <c r="G188" i="54"/>
  <c r="G185" i="58"/>
  <c r="Q380" i="4"/>
  <c r="I26" i="58"/>
  <c r="I26" i="57"/>
  <c r="I29" i="54"/>
  <c r="G175" i="57"/>
  <c r="G168" i="58"/>
  <c r="G170" i="54"/>
  <c r="G184" i="54"/>
  <c r="G181" i="58"/>
  <c r="G189" i="54"/>
  <c r="G186" i="57"/>
  <c r="G179" i="57"/>
  <c r="G167" i="57"/>
  <c r="Q378" i="4"/>
  <c r="I24" i="58"/>
  <c r="I24" i="57"/>
  <c r="I27" i="54"/>
  <c r="H43" i="4"/>
  <c r="Q379" i="4"/>
  <c r="I25" i="58"/>
  <c r="I25" i="57"/>
  <c r="I28" i="54"/>
  <c r="F40" i="4"/>
  <c r="G179" i="58"/>
  <c r="G161" i="57"/>
  <c r="G164" i="54"/>
  <c r="G166" i="54"/>
  <c r="G163" i="57"/>
  <c r="G161" i="54"/>
  <c r="G158" i="57"/>
  <c r="G168" i="54"/>
  <c r="G165" i="57"/>
  <c r="G163" i="54"/>
  <c r="G160" i="57"/>
  <c r="G165" i="54"/>
  <c r="G162" i="57"/>
  <c r="G167" i="54"/>
  <c r="G164" i="57"/>
  <c r="G160" i="54"/>
  <c r="G157" i="57"/>
  <c r="G162" i="54"/>
  <c r="G159" i="57"/>
  <c r="G169" i="54"/>
  <c r="G166" i="57"/>
  <c r="D827" i="54"/>
  <c r="D828" i="54"/>
  <c r="H40" i="4"/>
  <c r="F44" i="4"/>
  <c r="H45" i="4"/>
  <c r="D822" i="54"/>
  <c r="G787" i="54"/>
  <c r="G785" i="54"/>
  <c r="G783" i="54"/>
  <c r="AF558" i="54"/>
  <c r="AF559" i="54"/>
  <c r="AF554" i="54"/>
  <c r="AF555" i="54"/>
  <c r="AF561" i="54"/>
  <c r="AF557" i="54"/>
  <c r="AF560" i="54"/>
  <c r="AF556" i="54"/>
  <c r="AF552" i="54"/>
  <c r="AF553" i="54"/>
  <c r="F45" i="4"/>
  <c r="F43" i="4"/>
  <c r="B566" i="4"/>
  <c r="H40" i="58" l="1"/>
  <c r="H40" i="57"/>
  <c r="H43" i="54"/>
  <c r="F43" i="54"/>
  <c r="F40" i="58"/>
  <c r="F40" i="57"/>
  <c r="H43" i="58"/>
  <c r="H43" i="57"/>
  <c r="H46" i="54"/>
  <c r="F46" i="54"/>
  <c r="F43" i="58"/>
  <c r="F43" i="57"/>
  <c r="H45" i="58"/>
  <c r="H45" i="57"/>
  <c r="H48" i="54"/>
  <c r="F45" i="58"/>
  <c r="F45" i="57"/>
  <c r="F48" i="54"/>
  <c r="F47" i="54"/>
  <c r="F44" i="58"/>
  <c r="F44" i="57"/>
  <c r="C529" i="4"/>
  <c r="F522" i="4"/>
  <c r="G530" i="4"/>
  <c r="H530" i="4"/>
  <c r="H529" i="4"/>
  <c r="G529" i="4"/>
  <c r="G523" i="4"/>
  <c r="H523" i="4"/>
  <c r="G524" i="4"/>
  <c r="H524" i="4"/>
  <c r="H522" i="4"/>
  <c r="G522" i="4"/>
  <c r="G507" i="4"/>
  <c r="H507" i="4"/>
  <c r="G508" i="4"/>
  <c r="H508" i="4"/>
  <c r="G509" i="4"/>
  <c r="H509" i="4"/>
  <c r="G510" i="4"/>
  <c r="H510" i="4"/>
  <c r="G511" i="4"/>
  <c r="H511" i="4"/>
  <c r="G512" i="4"/>
  <c r="H512" i="4"/>
  <c r="G513" i="4"/>
  <c r="H513" i="4"/>
  <c r="G514" i="4"/>
  <c r="H514" i="4"/>
  <c r="G515" i="4"/>
  <c r="H515" i="4"/>
  <c r="G516" i="4"/>
  <c r="H516" i="4"/>
  <c r="G517" i="4"/>
  <c r="H517" i="4"/>
  <c r="H506" i="4"/>
  <c r="G506" i="4"/>
  <c r="G489" i="4"/>
  <c r="H489" i="4"/>
  <c r="G472" i="4"/>
  <c r="C401" i="4"/>
  <c r="D401" i="4"/>
  <c r="C385" i="4"/>
  <c r="B385" i="4"/>
  <c r="B364" i="4"/>
  <c r="B331" i="4"/>
  <c r="D331" i="4"/>
  <c r="E303" i="4"/>
  <c r="H304" i="4"/>
  <c r="H303" i="4"/>
  <c r="B373" i="4"/>
  <c r="P373" i="4" s="1"/>
  <c r="D408" i="4"/>
  <c r="F408" i="4"/>
  <c r="D418" i="4"/>
  <c r="E435" i="4"/>
  <c r="J472" i="4"/>
  <c r="C472" i="4"/>
  <c r="D472" i="4"/>
  <c r="E489" i="4"/>
  <c r="E506" i="4"/>
  <c r="D522" i="4" s="1"/>
  <c r="C542" i="4"/>
  <c r="H545" i="4"/>
  <c r="H542" i="4"/>
  <c r="F550" i="4"/>
  <c r="C489" i="4"/>
  <c r="G272" i="4"/>
  <c r="G271" i="4"/>
  <c r="F272" i="4"/>
  <c r="F271" i="4"/>
  <c r="D271" i="4"/>
  <c r="D272" i="4" s="1"/>
  <c r="E271" i="4"/>
  <c r="C264" i="4"/>
  <c r="E264" i="4"/>
  <c r="E265" i="4"/>
  <c r="F259" i="4"/>
  <c r="G265" i="4" s="1"/>
  <c r="F258" i="4"/>
  <c r="G264" i="4" s="1"/>
  <c r="D239" i="4"/>
  <c r="F239" i="4"/>
  <c r="J240" i="4"/>
  <c r="J239" i="4"/>
  <c r="J473" i="4" l="1"/>
  <c r="J480" i="4"/>
  <c r="J476" i="4"/>
  <c r="J475" i="4"/>
  <c r="S373" i="4"/>
  <c r="E373" i="4"/>
  <c r="D566" i="4"/>
  <c r="C566" i="4"/>
  <c r="J483" i="4" l="1"/>
  <c r="J479" i="4"/>
  <c r="J481" i="4"/>
  <c r="J477" i="4"/>
  <c r="W1093" i="58"/>
  <c r="R687" i="58"/>
  <c r="D230" i="58"/>
  <c r="M843" i="58" l="1"/>
  <c r="M844" i="58"/>
  <c r="M845" i="58"/>
  <c r="M846" i="58"/>
  <c r="M847" i="58"/>
  <c r="M848" i="58"/>
  <c r="M849" i="58"/>
  <c r="M842" i="58"/>
  <c r="K843" i="58"/>
  <c r="K844" i="58"/>
  <c r="K845" i="58"/>
  <c r="K846" i="58"/>
  <c r="K847" i="58"/>
  <c r="K848" i="58"/>
  <c r="K849" i="58"/>
  <c r="K842" i="58"/>
  <c r="H849" i="58"/>
  <c r="H843" i="58"/>
  <c r="H844" i="58"/>
  <c r="H845" i="58"/>
  <c r="H846" i="58"/>
  <c r="H847" i="58"/>
  <c r="H848" i="58"/>
  <c r="H842" i="58"/>
  <c r="AC829" i="58"/>
  <c r="L842" i="58" s="1"/>
  <c r="AC830" i="58"/>
  <c r="L843" i="58" s="1"/>
  <c r="AC831" i="58"/>
  <c r="L844" i="58" s="1"/>
  <c r="AC832" i="58"/>
  <c r="L845" i="58" s="1"/>
  <c r="AC833" i="58"/>
  <c r="L846" i="58" s="1"/>
  <c r="AC834" i="58"/>
  <c r="L847" i="58" s="1"/>
  <c r="AC835" i="58"/>
  <c r="L848" i="58" s="1"/>
  <c r="AC836" i="58"/>
  <c r="L849" i="58" s="1"/>
  <c r="D231" i="58" l="1"/>
  <c r="D232" i="58"/>
  <c r="D233" i="58"/>
  <c r="D234" i="58"/>
  <c r="D238" i="58"/>
  <c r="D239" i="58"/>
  <c r="D240" i="58"/>
  <c r="D242" i="58"/>
  <c r="A870" i="58" l="1"/>
  <c r="A871" i="58"/>
  <c r="A872" i="58"/>
  <c r="A873" i="58"/>
  <c r="A866" i="58"/>
  <c r="AA870" i="58"/>
  <c r="AO1099" i="58"/>
  <c r="AI1099" i="58"/>
  <c r="BJ1091" i="58"/>
  <c r="BC1091" i="58"/>
  <c r="Q1091" i="58"/>
  <c r="M1017" i="58"/>
  <c r="L1017" i="58"/>
  <c r="K396" i="58" s="1"/>
  <c r="K1017" i="58"/>
  <c r="J396" i="58" s="1"/>
  <c r="M1016" i="58"/>
  <c r="L1016" i="58"/>
  <c r="K395" i="58" s="1"/>
  <c r="K1016" i="58"/>
  <c r="J395" i="58" s="1"/>
  <c r="M919" i="58"/>
  <c r="D919" i="58"/>
  <c r="M918" i="58"/>
  <c r="M917" i="58"/>
  <c r="D917" i="58"/>
  <c r="M916" i="58"/>
  <c r="M915" i="58"/>
  <c r="D915" i="58"/>
  <c r="M914" i="58"/>
  <c r="M913" i="58"/>
  <c r="D913" i="58"/>
  <c r="M912" i="58"/>
  <c r="M911" i="58"/>
  <c r="D911" i="58"/>
  <c r="M910" i="58"/>
  <c r="M909" i="58"/>
  <c r="D909" i="58"/>
  <c r="M908" i="58"/>
  <c r="M907" i="58"/>
  <c r="D907" i="58"/>
  <c r="M906" i="58"/>
  <c r="Y893" i="58"/>
  <c r="X893" i="58"/>
  <c r="M893" i="58"/>
  <c r="Y892" i="58"/>
  <c r="X892" i="58"/>
  <c r="Y891" i="58"/>
  <c r="X891" i="58"/>
  <c r="M891" i="58"/>
  <c r="Y890" i="58"/>
  <c r="X890" i="58"/>
  <c r="M890" i="58"/>
  <c r="M889" i="58"/>
  <c r="D889" i="58"/>
  <c r="M888" i="58"/>
  <c r="M887" i="58"/>
  <c r="D887" i="58"/>
  <c r="M886" i="58"/>
  <c r="M885" i="58"/>
  <c r="M884" i="58"/>
  <c r="M883" i="58"/>
  <c r="M882" i="58"/>
  <c r="M881" i="58"/>
  <c r="M880" i="58"/>
  <c r="V874" i="58"/>
  <c r="AD873" i="58"/>
  <c r="AA873" i="58"/>
  <c r="V873" i="58"/>
  <c r="U873" i="58"/>
  <c r="AD872" i="58"/>
  <c r="AA872" i="58"/>
  <c r="V872" i="58"/>
  <c r="U872" i="58"/>
  <c r="AA871" i="58"/>
  <c r="V871" i="58"/>
  <c r="U871" i="58"/>
  <c r="AA869" i="58"/>
  <c r="A869" i="58"/>
  <c r="AA868" i="58"/>
  <c r="W868" i="58"/>
  <c r="V868" i="58"/>
  <c r="U868" i="58"/>
  <c r="A868" i="58"/>
  <c r="AA867" i="58"/>
  <c r="W867" i="58"/>
  <c r="V867" i="58"/>
  <c r="U867" i="58"/>
  <c r="A867" i="58"/>
  <c r="AA866" i="58"/>
  <c r="W866" i="58"/>
  <c r="V866" i="58"/>
  <c r="U866" i="58"/>
  <c r="AA865" i="58"/>
  <c r="W865" i="58"/>
  <c r="V865" i="58"/>
  <c r="U865" i="58"/>
  <c r="A865" i="58"/>
  <c r="AA864" i="58"/>
  <c r="W864" i="58"/>
  <c r="V864" i="58"/>
  <c r="U864" i="58"/>
  <c r="A864" i="58"/>
  <c r="AA863" i="58"/>
  <c r="W863" i="58"/>
  <c r="V863" i="58"/>
  <c r="U863" i="58"/>
  <c r="A863" i="58"/>
  <c r="AA862" i="58"/>
  <c r="A862" i="58"/>
  <c r="AA861" i="58"/>
  <c r="A861" i="58"/>
  <c r="AA860" i="58"/>
  <c r="W860" i="58"/>
  <c r="V860" i="58"/>
  <c r="U860" i="58"/>
  <c r="A860" i="58"/>
  <c r="AA859" i="58"/>
  <c r="W859" i="58"/>
  <c r="V859" i="58"/>
  <c r="U859" i="58"/>
  <c r="A859" i="58"/>
  <c r="AA858" i="58"/>
  <c r="W858" i="58"/>
  <c r="V858" i="58"/>
  <c r="U858" i="58"/>
  <c r="A858" i="58"/>
  <c r="AA857" i="58"/>
  <c r="W857" i="58"/>
  <c r="V857" i="58"/>
  <c r="U857" i="58"/>
  <c r="N359" i="58"/>
  <c r="N375" i="58" s="1"/>
  <c r="N358" i="58"/>
  <c r="N357" i="58"/>
  <c r="N367" i="58" s="1"/>
  <c r="A709" i="58"/>
  <c r="A708" i="58"/>
  <c r="A707" i="58"/>
  <c r="A706" i="58"/>
  <c r="A705" i="58"/>
  <c r="A704" i="58"/>
  <c r="R703" i="58"/>
  <c r="R709" i="58" s="1"/>
  <c r="B703" i="58"/>
  <c r="A703" i="58"/>
  <c r="R702" i="58"/>
  <c r="R707" i="58" s="1"/>
  <c r="B702" i="58"/>
  <c r="A702" i="58"/>
  <c r="B708" i="58"/>
  <c r="A701" i="58"/>
  <c r="A700" i="58"/>
  <c r="B704" i="58"/>
  <c r="A699" i="58"/>
  <c r="AQ698" i="58"/>
  <c r="AK698" i="58"/>
  <c r="AJ698" i="58"/>
  <c r="AE698" i="58"/>
  <c r="AD698" i="58"/>
  <c r="AC698" i="58"/>
  <c r="Z698" i="58"/>
  <c r="AB698" i="58" s="1"/>
  <c r="Y698" i="58"/>
  <c r="AA698" i="58" s="1"/>
  <c r="R698" i="58"/>
  <c r="B698" i="58"/>
  <c r="A698" i="58"/>
  <c r="AD697" i="58"/>
  <c r="AC697" i="58"/>
  <c r="Z697" i="58"/>
  <c r="AB697" i="58" s="1"/>
  <c r="Y697" i="58"/>
  <c r="AA697" i="58" s="1"/>
  <c r="AD696" i="58"/>
  <c r="AC696" i="58"/>
  <c r="AD695" i="58"/>
  <c r="AC695" i="58"/>
  <c r="Z695" i="58"/>
  <c r="AB695" i="58" s="1"/>
  <c r="Y695" i="58"/>
  <c r="AA695" i="58" s="1"/>
  <c r="AD694" i="58"/>
  <c r="AC694" i="58"/>
  <c r="AD693" i="58"/>
  <c r="AC693" i="58"/>
  <c r="Z693" i="58"/>
  <c r="AB693" i="58" s="1"/>
  <c r="Y693" i="58"/>
  <c r="AA693" i="58" s="1"/>
  <c r="AD692" i="58"/>
  <c r="AC692" i="58"/>
  <c r="AD691" i="58"/>
  <c r="AC691" i="58"/>
  <c r="Z691" i="58"/>
  <c r="AB691" i="58" s="1"/>
  <c r="Y691" i="58"/>
  <c r="AA691" i="58" s="1"/>
  <c r="AD690" i="58"/>
  <c r="AC690" i="58"/>
  <c r="A689" i="58"/>
  <c r="A688" i="58"/>
  <c r="A687" i="58"/>
  <c r="A686" i="58"/>
  <c r="A685" i="58"/>
  <c r="AD684" i="58"/>
  <c r="AC684" i="58"/>
  <c r="Z684" i="58"/>
  <c r="AB684" i="58" s="1"/>
  <c r="Y684" i="58"/>
  <c r="AA684" i="58" s="1"/>
  <c r="R684" i="58"/>
  <c r="R689" i="58" s="1"/>
  <c r="B684" i="58"/>
  <c r="A684" i="58"/>
  <c r="AD683" i="58"/>
  <c r="AC683" i="58"/>
  <c r="R683" i="58"/>
  <c r="B683" i="58"/>
  <c r="A683" i="58"/>
  <c r="B688" i="58"/>
  <c r="A682" i="58"/>
  <c r="A681" i="58"/>
  <c r="AA680" i="58"/>
  <c r="P680" i="58"/>
  <c r="A680" i="58"/>
  <c r="P679" i="58"/>
  <c r="A679" i="58"/>
  <c r="P678" i="58"/>
  <c r="A678" i="58"/>
  <c r="P677" i="58"/>
  <c r="A677" i="58"/>
  <c r="R680" i="58"/>
  <c r="W547" i="58"/>
  <c r="W552" i="58" s="1"/>
  <c r="W527" i="58"/>
  <c r="W532" i="58" s="1"/>
  <c r="W517" i="58"/>
  <c r="W522" i="58" s="1"/>
  <c r="W497" i="58"/>
  <c r="W502" i="58" s="1"/>
  <c r="V479" i="58"/>
  <c r="V484" i="58" s="1"/>
  <c r="V459" i="58"/>
  <c r="V464" i="58" s="1"/>
  <c r="V449" i="58"/>
  <c r="V454" i="58" s="1"/>
  <c r="V429" i="58"/>
  <c r="V434" i="58" s="1"/>
  <c r="H396" i="58"/>
  <c r="H395" i="58"/>
  <c r="AA381" i="58"/>
  <c r="AC391" i="58" s="1"/>
  <c r="Z381" i="58"/>
  <c r="AA391" i="58" s="1"/>
  <c r="R381" i="58"/>
  <c r="Q381" i="58"/>
  <c r="P391" i="58" s="1"/>
  <c r="G381" i="58"/>
  <c r="AA380" i="58"/>
  <c r="Z380" i="58"/>
  <c r="Q380" i="58"/>
  <c r="G380" i="58"/>
  <c r="AA379" i="58"/>
  <c r="AC386" i="58" s="1"/>
  <c r="Z379" i="58"/>
  <c r="AB386" i="58" s="1"/>
  <c r="W379" i="58"/>
  <c r="Y386" i="58" s="1"/>
  <c r="V379" i="58"/>
  <c r="X386" i="58" s="1"/>
  <c r="U379" i="58"/>
  <c r="W386" i="58" s="1"/>
  <c r="T379" i="58"/>
  <c r="V386" i="58" s="1"/>
  <c r="Q379" i="58"/>
  <c r="P386" i="58" s="1"/>
  <c r="G379" i="58"/>
  <c r="I386" i="58" s="1"/>
  <c r="I391" i="58" s="1"/>
  <c r="AB378" i="58"/>
  <c r="AA378" i="58"/>
  <c r="Z378" i="58"/>
  <c r="Y378" i="58"/>
  <c r="X378" i="58"/>
  <c r="W378" i="58"/>
  <c r="V378" i="58"/>
  <c r="U378" i="58"/>
  <c r="T378" i="58"/>
  <c r="S378" i="58"/>
  <c r="R378" i="58"/>
  <c r="Q378" i="58"/>
  <c r="P378" i="58"/>
  <c r="O378" i="58"/>
  <c r="N378" i="58"/>
  <c r="M378" i="58"/>
  <c r="L378" i="58"/>
  <c r="K378" i="58"/>
  <c r="J378" i="58"/>
  <c r="I378" i="58"/>
  <c r="H378" i="58"/>
  <c r="G378" i="58"/>
  <c r="F378" i="58"/>
  <c r="E378" i="58"/>
  <c r="D378" i="58"/>
  <c r="C378" i="58"/>
  <c r="B378" i="58"/>
  <c r="AB377" i="58"/>
  <c r="AA377" i="58"/>
  <c r="Z377" i="58"/>
  <c r="Y377" i="58"/>
  <c r="X377" i="58"/>
  <c r="W377" i="58"/>
  <c r="V377" i="58"/>
  <c r="U377" i="58"/>
  <c r="T377" i="58"/>
  <c r="S377" i="58"/>
  <c r="R377" i="58"/>
  <c r="Q377" i="58"/>
  <c r="P377" i="58"/>
  <c r="O377" i="58"/>
  <c r="N377" i="58"/>
  <c r="M377" i="58"/>
  <c r="L377" i="58"/>
  <c r="K377" i="58"/>
  <c r="J377" i="58"/>
  <c r="I377" i="58"/>
  <c r="H377" i="58"/>
  <c r="G377" i="58"/>
  <c r="F377" i="58"/>
  <c r="E377" i="58"/>
  <c r="D377" i="58"/>
  <c r="C377" i="58"/>
  <c r="B377" i="58"/>
  <c r="V359" i="58"/>
  <c r="U359" i="58"/>
  <c r="Y375" i="58" s="1"/>
  <c r="O359" i="58"/>
  <c r="V358" i="58"/>
  <c r="U358" i="58"/>
  <c r="O358" i="58"/>
  <c r="V357" i="58"/>
  <c r="U357" i="58"/>
  <c r="Y367" i="58" s="1"/>
  <c r="V356" i="58"/>
  <c r="U356" i="58"/>
  <c r="Y371" i="58" s="1"/>
  <c r="O356" i="58"/>
  <c r="V355" i="58"/>
  <c r="U355" i="58"/>
  <c r="O355" i="58"/>
  <c r="V354" i="58"/>
  <c r="U354" i="58"/>
  <c r="Y363" i="58" s="1"/>
  <c r="X353" i="58"/>
  <c r="W353" i="58"/>
  <c r="V353" i="58"/>
  <c r="U353" i="58"/>
  <c r="T353" i="58"/>
  <c r="S353" i="58"/>
  <c r="R353" i="58"/>
  <c r="Q353" i="58"/>
  <c r="P353" i="58"/>
  <c r="O353" i="58"/>
  <c r="N353" i="58"/>
  <c r="M353" i="58"/>
  <c r="L353" i="58"/>
  <c r="K353" i="58"/>
  <c r="J353" i="58"/>
  <c r="I353" i="58"/>
  <c r="H353" i="58"/>
  <c r="G353" i="58"/>
  <c r="F353" i="58"/>
  <c r="E353" i="58"/>
  <c r="D353" i="58"/>
  <c r="C353" i="58"/>
  <c r="B353" i="58"/>
  <c r="X352" i="58"/>
  <c r="W352" i="58"/>
  <c r="V352" i="58"/>
  <c r="U352" i="58"/>
  <c r="T352" i="58"/>
  <c r="S352" i="58"/>
  <c r="R352" i="58"/>
  <c r="Q352" i="58"/>
  <c r="P352" i="58"/>
  <c r="O352" i="58"/>
  <c r="N352" i="58"/>
  <c r="M352" i="58"/>
  <c r="L352" i="58"/>
  <c r="K352" i="58"/>
  <c r="J352" i="58"/>
  <c r="I352" i="58"/>
  <c r="H352" i="58"/>
  <c r="G352" i="58"/>
  <c r="F352" i="58"/>
  <c r="E352" i="58"/>
  <c r="D352" i="58"/>
  <c r="C352" i="58"/>
  <c r="B352" i="58"/>
  <c r="O350" i="58"/>
  <c r="N350" i="58"/>
  <c r="M350" i="58"/>
  <c r="L350" i="58"/>
  <c r="O345" i="58"/>
  <c r="N345" i="58"/>
  <c r="M345" i="58"/>
  <c r="L345" i="58"/>
  <c r="E345" i="58"/>
  <c r="E350" i="58" s="1"/>
  <c r="O340" i="58"/>
  <c r="N340" i="58"/>
  <c r="M340" i="58"/>
  <c r="L340" i="58"/>
  <c r="G242" i="58"/>
  <c r="G238" i="58"/>
  <c r="G239" i="58" s="1"/>
  <c r="C208" i="58"/>
  <c r="AQ1099" i="58"/>
  <c r="AQ1101" i="58" s="1"/>
  <c r="A208" i="58"/>
  <c r="C207" i="58"/>
  <c r="B207" i="58"/>
  <c r="A207" i="58"/>
  <c r="B206" i="58"/>
  <c r="A206" i="58"/>
  <c r="BN1091" i="58"/>
  <c r="A203" i="58"/>
  <c r="C202" i="58"/>
  <c r="B202" i="58"/>
  <c r="A202" i="58"/>
  <c r="B201" i="58"/>
  <c r="A201" i="58"/>
  <c r="A198" i="58"/>
  <c r="C197" i="58"/>
  <c r="B197" i="58"/>
  <c r="A197" i="58"/>
  <c r="B196" i="58"/>
  <c r="A196" i="58"/>
  <c r="E195" i="58"/>
  <c r="D195" i="58"/>
  <c r="C195" i="58"/>
  <c r="B195" i="58"/>
  <c r="A195" i="58"/>
  <c r="E193" i="58"/>
  <c r="P1091" i="58" s="1"/>
  <c r="D193" i="58"/>
  <c r="O1091" i="58" s="1"/>
  <c r="C193" i="58"/>
  <c r="B193" i="58"/>
  <c r="A193" i="58"/>
  <c r="E192" i="58"/>
  <c r="D192" i="58"/>
  <c r="C192" i="58"/>
  <c r="B192" i="58"/>
  <c r="A192" i="58"/>
  <c r="B191" i="58"/>
  <c r="A191" i="58"/>
  <c r="H190" i="58"/>
  <c r="G190" i="58"/>
  <c r="F190" i="58"/>
  <c r="E190" i="58"/>
  <c r="D190" i="58"/>
  <c r="C190" i="58"/>
  <c r="A190" i="58"/>
  <c r="H189" i="58"/>
  <c r="G189" i="58"/>
  <c r="F189" i="58"/>
  <c r="E189" i="58"/>
  <c r="D189" i="58"/>
  <c r="C189" i="58"/>
  <c r="B189" i="58"/>
  <c r="A189" i="58"/>
  <c r="H188" i="58"/>
  <c r="G188" i="58"/>
  <c r="C188" i="58"/>
  <c r="B188" i="58"/>
  <c r="A188" i="58"/>
  <c r="B187" i="58"/>
  <c r="A187" i="58"/>
  <c r="M146" i="58"/>
  <c r="L146" i="58"/>
  <c r="I146" i="58"/>
  <c r="H146" i="58"/>
  <c r="F146" i="58"/>
  <c r="E146" i="58"/>
  <c r="A146" i="58"/>
  <c r="M145" i="58"/>
  <c r="L145" i="58"/>
  <c r="I145" i="58"/>
  <c r="H145" i="58"/>
  <c r="F145" i="58"/>
  <c r="E145" i="58"/>
  <c r="A145" i="58"/>
  <c r="M144" i="58"/>
  <c r="L144" i="58"/>
  <c r="I144" i="58"/>
  <c r="H144" i="58"/>
  <c r="F144" i="58"/>
  <c r="E144" i="58"/>
  <c r="A144" i="58"/>
  <c r="M143" i="58"/>
  <c r="L143" i="58"/>
  <c r="I143" i="58"/>
  <c r="H143" i="58"/>
  <c r="F143" i="58"/>
  <c r="E143" i="58"/>
  <c r="A143" i="58"/>
  <c r="M142" i="58"/>
  <c r="L142" i="58"/>
  <c r="I142" i="58"/>
  <c r="H142" i="58"/>
  <c r="F142" i="58"/>
  <c r="E142" i="58"/>
  <c r="A142" i="58"/>
  <c r="M141" i="58"/>
  <c r="L141" i="58"/>
  <c r="I141" i="58"/>
  <c r="H141" i="58"/>
  <c r="F141" i="58"/>
  <c r="E141" i="58"/>
  <c r="A141" i="58"/>
  <c r="M140" i="58"/>
  <c r="L140" i="58"/>
  <c r="I140" i="58"/>
  <c r="H140" i="58"/>
  <c r="F140" i="58"/>
  <c r="E140" i="58"/>
  <c r="A140" i="58"/>
  <c r="M139" i="58"/>
  <c r="L139" i="58"/>
  <c r="I139" i="58"/>
  <c r="H139" i="58"/>
  <c r="F139" i="58"/>
  <c r="E139" i="58"/>
  <c r="A139" i="58"/>
  <c r="M138" i="58"/>
  <c r="L138" i="58"/>
  <c r="I138" i="58"/>
  <c r="H138" i="58"/>
  <c r="F138" i="58"/>
  <c r="E138" i="58"/>
  <c r="A138" i="58"/>
  <c r="M137" i="58"/>
  <c r="L137" i="58"/>
  <c r="I137" i="58"/>
  <c r="H137" i="58"/>
  <c r="F137" i="58"/>
  <c r="E137" i="58"/>
  <c r="A137" i="58"/>
  <c r="M136" i="58"/>
  <c r="L136" i="58"/>
  <c r="I136" i="58"/>
  <c r="H136" i="58"/>
  <c r="F136" i="58"/>
  <c r="E136" i="58"/>
  <c r="A136" i="58"/>
  <c r="M135" i="58"/>
  <c r="L135" i="58"/>
  <c r="I135" i="58"/>
  <c r="H135" i="58"/>
  <c r="F135" i="58"/>
  <c r="E135" i="58"/>
  <c r="A135" i="58"/>
  <c r="M134" i="58"/>
  <c r="L134" i="58"/>
  <c r="I134" i="58"/>
  <c r="H134" i="58"/>
  <c r="F134" i="58"/>
  <c r="E134" i="58"/>
  <c r="A134" i="58"/>
  <c r="M133" i="58"/>
  <c r="L133" i="58"/>
  <c r="I133" i="58"/>
  <c r="H133" i="58"/>
  <c r="F133" i="58"/>
  <c r="E133" i="58"/>
  <c r="A133" i="58"/>
  <c r="M132" i="58"/>
  <c r="L132" i="58"/>
  <c r="I132" i="58"/>
  <c r="H132" i="58"/>
  <c r="F132" i="58"/>
  <c r="E132" i="58"/>
  <c r="A132" i="58"/>
  <c r="M131" i="58"/>
  <c r="L131" i="58"/>
  <c r="I131" i="58"/>
  <c r="H131" i="58"/>
  <c r="F131" i="58"/>
  <c r="E131" i="58"/>
  <c r="A131" i="58"/>
  <c r="M130" i="58"/>
  <c r="L130" i="58"/>
  <c r="I130" i="58"/>
  <c r="H130" i="58"/>
  <c r="F130" i="58"/>
  <c r="E130" i="58"/>
  <c r="A130" i="58"/>
  <c r="M129" i="58"/>
  <c r="L129" i="58"/>
  <c r="I129" i="58"/>
  <c r="H129" i="58"/>
  <c r="F129" i="58"/>
  <c r="E129" i="58"/>
  <c r="A129" i="58"/>
  <c r="M128" i="58"/>
  <c r="L128" i="58"/>
  <c r="I128" i="58"/>
  <c r="H128" i="58"/>
  <c r="F128" i="58"/>
  <c r="E128" i="58"/>
  <c r="A128" i="58"/>
  <c r="M127" i="58"/>
  <c r="L127" i="58"/>
  <c r="I127" i="58"/>
  <c r="H127" i="58"/>
  <c r="F127" i="58"/>
  <c r="E127" i="58"/>
  <c r="A127" i="58"/>
  <c r="M126" i="58"/>
  <c r="L126" i="58"/>
  <c r="I126" i="58"/>
  <c r="H126" i="58"/>
  <c r="F126" i="58"/>
  <c r="E126" i="58"/>
  <c r="A126" i="58"/>
  <c r="M125" i="58"/>
  <c r="L125" i="58"/>
  <c r="I125" i="58"/>
  <c r="H125" i="58"/>
  <c r="F125" i="58"/>
  <c r="E125" i="58"/>
  <c r="A125" i="58"/>
  <c r="M124" i="58"/>
  <c r="L124" i="58"/>
  <c r="I124" i="58"/>
  <c r="H124" i="58"/>
  <c r="F124" i="58"/>
  <c r="E124" i="58"/>
  <c r="A124" i="58"/>
  <c r="M123" i="58"/>
  <c r="L123" i="58"/>
  <c r="I123" i="58"/>
  <c r="H123" i="58"/>
  <c r="F123" i="58"/>
  <c r="E123" i="58"/>
  <c r="A123" i="58"/>
  <c r="M122" i="58"/>
  <c r="L122" i="58"/>
  <c r="I122" i="58"/>
  <c r="H122" i="58"/>
  <c r="F122" i="58"/>
  <c r="E122" i="58"/>
  <c r="A122" i="58"/>
  <c r="M121" i="58"/>
  <c r="L121" i="58"/>
  <c r="K121" i="58"/>
  <c r="J121" i="58"/>
  <c r="I121" i="58"/>
  <c r="H121" i="58"/>
  <c r="F121" i="58"/>
  <c r="E121" i="58"/>
  <c r="A121" i="58"/>
  <c r="M120" i="58"/>
  <c r="L120" i="58"/>
  <c r="K120" i="58"/>
  <c r="J120" i="58"/>
  <c r="I120" i="58"/>
  <c r="H120" i="58"/>
  <c r="F120" i="58"/>
  <c r="E120" i="58"/>
  <c r="A120" i="58"/>
  <c r="M119" i="58"/>
  <c r="L119" i="58"/>
  <c r="K119" i="58"/>
  <c r="J119" i="58"/>
  <c r="I119" i="58"/>
  <c r="H119" i="58"/>
  <c r="F119" i="58"/>
  <c r="E119" i="58"/>
  <c r="A119" i="58"/>
  <c r="M118" i="58"/>
  <c r="L118" i="58"/>
  <c r="K118" i="58"/>
  <c r="J118" i="58"/>
  <c r="I118" i="58"/>
  <c r="H118" i="58"/>
  <c r="F118" i="58"/>
  <c r="E118" i="58"/>
  <c r="A118" i="58"/>
  <c r="M117" i="58"/>
  <c r="L117" i="58"/>
  <c r="K117" i="58"/>
  <c r="J117" i="58"/>
  <c r="I117" i="58"/>
  <c r="H117" i="58"/>
  <c r="F117" i="58"/>
  <c r="E117" i="58"/>
  <c r="A117" i="58"/>
  <c r="M116" i="58"/>
  <c r="L116" i="58"/>
  <c r="K116" i="58"/>
  <c r="J116" i="58"/>
  <c r="I116" i="58"/>
  <c r="H116" i="58"/>
  <c r="G116" i="58"/>
  <c r="F116" i="58"/>
  <c r="E116" i="58"/>
  <c r="D116" i="58"/>
  <c r="C116" i="58"/>
  <c r="B116" i="58"/>
  <c r="A116" i="58"/>
  <c r="F115" i="58"/>
  <c r="B115" i="58"/>
  <c r="A115" i="58"/>
  <c r="M114" i="58"/>
  <c r="L114" i="58"/>
  <c r="K114" i="58"/>
  <c r="J114" i="58"/>
  <c r="I114" i="58"/>
  <c r="H114" i="58"/>
  <c r="F114" i="58"/>
  <c r="E114" i="58"/>
  <c r="A114" i="58"/>
  <c r="M113" i="58"/>
  <c r="L113" i="58"/>
  <c r="K113" i="58"/>
  <c r="J113" i="58"/>
  <c r="I113" i="58"/>
  <c r="H113" i="58"/>
  <c r="F113" i="58"/>
  <c r="E113" i="58"/>
  <c r="A113" i="58"/>
  <c r="M112" i="58"/>
  <c r="L112" i="58"/>
  <c r="K112" i="58"/>
  <c r="J112" i="58"/>
  <c r="I112" i="58"/>
  <c r="H112" i="58"/>
  <c r="F112" i="58"/>
  <c r="E112" i="58"/>
  <c r="A112" i="58"/>
  <c r="M111" i="58"/>
  <c r="L111" i="58"/>
  <c r="K111" i="58"/>
  <c r="J111" i="58"/>
  <c r="I111" i="58"/>
  <c r="H111" i="58"/>
  <c r="F111" i="58"/>
  <c r="E111" i="58"/>
  <c r="A111" i="58"/>
  <c r="M110" i="58"/>
  <c r="L110" i="58"/>
  <c r="K110" i="58"/>
  <c r="J110" i="58"/>
  <c r="I110" i="58"/>
  <c r="H110" i="58"/>
  <c r="F110" i="58"/>
  <c r="E110" i="58"/>
  <c r="A110" i="58"/>
  <c r="M109" i="58"/>
  <c r="L109" i="58"/>
  <c r="K109" i="58"/>
  <c r="J109" i="58"/>
  <c r="I109" i="58"/>
  <c r="H109" i="58"/>
  <c r="F109" i="58"/>
  <c r="E109" i="58"/>
  <c r="A109" i="58"/>
  <c r="M108" i="58"/>
  <c r="L108" i="58"/>
  <c r="K108" i="58"/>
  <c r="J108" i="58"/>
  <c r="I108" i="58"/>
  <c r="H108" i="58"/>
  <c r="F108" i="58"/>
  <c r="E108" i="58"/>
  <c r="A108" i="58"/>
  <c r="M107" i="58"/>
  <c r="L107" i="58"/>
  <c r="K107" i="58"/>
  <c r="J107" i="58"/>
  <c r="I107" i="58"/>
  <c r="H107" i="58"/>
  <c r="F107" i="58"/>
  <c r="E107" i="58"/>
  <c r="A107" i="58"/>
  <c r="M106" i="58"/>
  <c r="L106" i="58"/>
  <c r="K106" i="58"/>
  <c r="J106" i="58"/>
  <c r="I106" i="58"/>
  <c r="H106" i="58"/>
  <c r="F106" i="58"/>
  <c r="E106" i="58"/>
  <c r="A106" i="58"/>
  <c r="M105" i="58"/>
  <c r="L105" i="58"/>
  <c r="K105" i="58"/>
  <c r="J105" i="58"/>
  <c r="I105" i="58"/>
  <c r="H105" i="58"/>
  <c r="F105" i="58"/>
  <c r="E105" i="58"/>
  <c r="A105" i="58"/>
  <c r="M104" i="58"/>
  <c r="L104" i="58"/>
  <c r="K104" i="58"/>
  <c r="J104" i="58"/>
  <c r="I104" i="58"/>
  <c r="H104" i="58"/>
  <c r="F104" i="58"/>
  <c r="E104" i="58"/>
  <c r="A104" i="58"/>
  <c r="M103" i="58"/>
  <c r="L103" i="58"/>
  <c r="K103" i="58"/>
  <c r="J103" i="58"/>
  <c r="I103" i="58"/>
  <c r="H103" i="58"/>
  <c r="F103" i="58"/>
  <c r="E103" i="58"/>
  <c r="A103" i="58"/>
  <c r="M102" i="58"/>
  <c r="L102" i="58"/>
  <c r="K102" i="58"/>
  <c r="J102" i="58"/>
  <c r="I102" i="58"/>
  <c r="H102" i="58"/>
  <c r="F102" i="58"/>
  <c r="E102" i="58"/>
  <c r="A102" i="58"/>
  <c r="M101" i="58"/>
  <c r="L101" i="58"/>
  <c r="K101" i="58"/>
  <c r="J101" i="58"/>
  <c r="I101" i="58"/>
  <c r="H101" i="58"/>
  <c r="F101" i="58"/>
  <c r="E101" i="58"/>
  <c r="A101" i="58"/>
  <c r="M100" i="58"/>
  <c r="L100" i="58"/>
  <c r="K100" i="58"/>
  <c r="J100" i="58"/>
  <c r="I100" i="58"/>
  <c r="H100" i="58"/>
  <c r="F100" i="58"/>
  <c r="E100" i="58"/>
  <c r="A100" i="58"/>
  <c r="M99" i="58"/>
  <c r="L99" i="58"/>
  <c r="K99" i="58"/>
  <c r="J99" i="58"/>
  <c r="I99" i="58"/>
  <c r="H99" i="58"/>
  <c r="F99" i="58"/>
  <c r="E99" i="58"/>
  <c r="A99" i="58"/>
  <c r="M98" i="58"/>
  <c r="L98" i="58"/>
  <c r="K98" i="58"/>
  <c r="J98" i="58"/>
  <c r="I98" i="58"/>
  <c r="H98" i="58"/>
  <c r="F98" i="58"/>
  <c r="E98" i="58"/>
  <c r="A98" i="58"/>
  <c r="M97" i="58"/>
  <c r="L97" i="58"/>
  <c r="K97" i="58"/>
  <c r="J97" i="58"/>
  <c r="I97" i="58"/>
  <c r="H97" i="58"/>
  <c r="F97" i="58"/>
  <c r="E97" i="58"/>
  <c r="A97" i="58"/>
  <c r="M96" i="58"/>
  <c r="L96" i="58"/>
  <c r="K96" i="58"/>
  <c r="J96" i="58"/>
  <c r="I96" i="58"/>
  <c r="H96" i="58"/>
  <c r="F96" i="58"/>
  <c r="E96" i="58"/>
  <c r="A96" i="58"/>
  <c r="M95" i="58"/>
  <c r="L95" i="58"/>
  <c r="K95" i="58"/>
  <c r="J95" i="58"/>
  <c r="I95" i="58"/>
  <c r="H95" i="58"/>
  <c r="F95" i="58"/>
  <c r="E95" i="58"/>
  <c r="A95" i="58"/>
  <c r="M94" i="58"/>
  <c r="L94" i="58"/>
  <c r="K94" i="58"/>
  <c r="J94" i="58"/>
  <c r="I94" i="58"/>
  <c r="H94" i="58"/>
  <c r="F94" i="58"/>
  <c r="E94" i="58"/>
  <c r="A94" i="58"/>
  <c r="M93" i="58"/>
  <c r="L93" i="58"/>
  <c r="K93" i="58"/>
  <c r="J93" i="58"/>
  <c r="I93" i="58"/>
  <c r="H93" i="58"/>
  <c r="F93" i="58"/>
  <c r="E93" i="58"/>
  <c r="A93" i="58"/>
  <c r="M92" i="58"/>
  <c r="L92" i="58"/>
  <c r="K92" i="58"/>
  <c r="J92" i="58"/>
  <c r="I92" i="58"/>
  <c r="H92" i="58"/>
  <c r="F92" i="58"/>
  <c r="E92" i="58"/>
  <c r="A92" i="58"/>
  <c r="M91" i="58"/>
  <c r="L91" i="58"/>
  <c r="K91" i="58"/>
  <c r="J91" i="58"/>
  <c r="I91" i="58"/>
  <c r="H91" i="58"/>
  <c r="F91" i="58"/>
  <c r="E91" i="58"/>
  <c r="A91" i="58"/>
  <c r="M90" i="58"/>
  <c r="L90" i="58"/>
  <c r="K90" i="58"/>
  <c r="J90" i="58"/>
  <c r="I90" i="58"/>
  <c r="H90" i="58"/>
  <c r="F90" i="58"/>
  <c r="E90" i="58"/>
  <c r="A90" i="58"/>
  <c r="M89" i="58"/>
  <c r="L89" i="58"/>
  <c r="K89" i="58"/>
  <c r="J89" i="58"/>
  <c r="I89" i="58"/>
  <c r="H89" i="58"/>
  <c r="F89" i="58"/>
  <c r="E89" i="58"/>
  <c r="A89" i="58"/>
  <c r="M88" i="58"/>
  <c r="L88" i="58"/>
  <c r="K88" i="58"/>
  <c r="J88" i="58"/>
  <c r="I88" i="58"/>
  <c r="H88" i="58"/>
  <c r="F88" i="58"/>
  <c r="E88" i="58"/>
  <c r="A88" i="58"/>
  <c r="M87" i="58"/>
  <c r="L87" i="58"/>
  <c r="K87" i="58"/>
  <c r="J87" i="58"/>
  <c r="I87" i="58"/>
  <c r="H87" i="58"/>
  <c r="F87" i="58"/>
  <c r="E87" i="58"/>
  <c r="A87" i="58"/>
  <c r="M86" i="58"/>
  <c r="L86" i="58"/>
  <c r="K86" i="58"/>
  <c r="J86" i="58"/>
  <c r="I86" i="58"/>
  <c r="H86" i="58"/>
  <c r="F86" i="58"/>
  <c r="E86" i="58"/>
  <c r="A86" i="58"/>
  <c r="M85" i="58"/>
  <c r="L85" i="58"/>
  <c r="K85" i="58"/>
  <c r="J85" i="58"/>
  <c r="I85" i="58"/>
  <c r="H85" i="58"/>
  <c r="F85" i="58"/>
  <c r="E85" i="58"/>
  <c r="A85" i="58"/>
  <c r="M84" i="58"/>
  <c r="L84" i="58"/>
  <c r="K84" i="58"/>
  <c r="J84" i="58"/>
  <c r="I84" i="58"/>
  <c r="H84" i="58"/>
  <c r="F84" i="58"/>
  <c r="E84" i="58"/>
  <c r="A84" i="58"/>
  <c r="M83" i="58"/>
  <c r="L83" i="58"/>
  <c r="K83" i="58"/>
  <c r="J83" i="58"/>
  <c r="I83" i="58"/>
  <c r="H83" i="58"/>
  <c r="F83" i="58"/>
  <c r="E83" i="58"/>
  <c r="A83" i="58"/>
  <c r="M82" i="58"/>
  <c r="L82" i="58"/>
  <c r="K82" i="58"/>
  <c r="J82" i="58"/>
  <c r="I82" i="58"/>
  <c r="H82" i="58"/>
  <c r="F82" i="58"/>
  <c r="E82" i="58"/>
  <c r="A82" i="58"/>
  <c r="M81" i="58"/>
  <c r="L81" i="58"/>
  <c r="K81" i="58"/>
  <c r="J81" i="58"/>
  <c r="I81" i="58"/>
  <c r="H81" i="58"/>
  <c r="F81" i="58"/>
  <c r="E81" i="58"/>
  <c r="A81" i="58"/>
  <c r="M80" i="58"/>
  <c r="L80" i="58"/>
  <c r="K80" i="58"/>
  <c r="J80" i="58"/>
  <c r="I80" i="58"/>
  <c r="H80" i="58"/>
  <c r="F80" i="58"/>
  <c r="E80" i="58"/>
  <c r="A80" i="58"/>
  <c r="M79" i="58"/>
  <c r="L79" i="58"/>
  <c r="K79" i="58"/>
  <c r="J79" i="58"/>
  <c r="I79" i="58"/>
  <c r="H79" i="58"/>
  <c r="F79" i="58"/>
  <c r="E79" i="58"/>
  <c r="A79" i="58"/>
  <c r="M78" i="58"/>
  <c r="L78" i="58"/>
  <c r="K78" i="58"/>
  <c r="J78" i="58"/>
  <c r="I78" i="58"/>
  <c r="H78" i="58"/>
  <c r="F78" i="58"/>
  <c r="E78" i="58"/>
  <c r="A78" i="58"/>
  <c r="M77" i="58"/>
  <c r="L77" i="58"/>
  <c r="K77" i="58"/>
  <c r="J77" i="58"/>
  <c r="I77" i="58"/>
  <c r="H77" i="58"/>
  <c r="F77" i="58"/>
  <c r="E77" i="58"/>
  <c r="A77" i="58"/>
  <c r="M76" i="58"/>
  <c r="L76" i="58"/>
  <c r="K76" i="58"/>
  <c r="J76" i="58"/>
  <c r="I76" i="58"/>
  <c r="H76" i="58"/>
  <c r="F76" i="58"/>
  <c r="E76" i="58"/>
  <c r="A76" i="58"/>
  <c r="M75" i="58"/>
  <c r="L75" i="58"/>
  <c r="K75" i="58"/>
  <c r="J75" i="58"/>
  <c r="I75" i="58"/>
  <c r="H75" i="58"/>
  <c r="F75" i="58"/>
  <c r="E75" i="58"/>
  <c r="A75" i="58"/>
  <c r="M74" i="58"/>
  <c r="L74" i="58"/>
  <c r="K74" i="58"/>
  <c r="J74" i="58"/>
  <c r="I74" i="58"/>
  <c r="H74" i="58"/>
  <c r="G74" i="58"/>
  <c r="F74" i="58"/>
  <c r="E74" i="58"/>
  <c r="D74" i="58"/>
  <c r="C74" i="58"/>
  <c r="B74" i="58"/>
  <c r="A74" i="58"/>
  <c r="B73" i="58"/>
  <c r="A73" i="58"/>
  <c r="L72" i="58"/>
  <c r="K72" i="58"/>
  <c r="J72" i="58"/>
  <c r="I72" i="58"/>
  <c r="H72" i="58"/>
  <c r="G72" i="58"/>
  <c r="E72" i="58"/>
  <c r="D72" i="58"/>
  <c r="A72" i="58"/>
  <c r="L71" i="58"/>
  <c r="K71" i="58"/>
  <c r="J71" i="58"/>
  <c r="I71" i="58"/>
  <c r="H71" i="58"/>
  <c r="G71" i="58"/>
  <c r="E71" i="58"/>
  <c r="D71" i="58"/>
  <c r="A71" i="58"/>
  <c r="L70" i="58"/>
  <c r="K70" i="58"/>
  <c r="J70" i="58"/>
  <c r="I70" i="58"/>
  <c r="H70" i="58"/>
  <c r="G70" i="58"/>
  <c r="E70" i="58"/>
  <c r="D70" i="58"/>
  <c r="A70" i="58"/>
  <c r="L69" i="58"/>
  <c r="K69" i="58"/>
  <c r="J69" i="58"/>
  <c r="I69" i="58"/>
  <c r="H69" i="58"/>
  <c r="G69" i="58"/>
  <c r="E69" i="58"/>
  <c r="D69" i="58"/>
  <c r="A69" i="58"/>
  <c r="L68" i="58"/>
  <c r="K68" i="58"/>
  <c r="J68" i="58"/>
  <c r="I68" i="58"/>
  <c r="H68" i="58"/>
  <c r="G68" i="58"/>
  <c r="E68" i="58"/>
  <c r="D68" i="58"/>
  <c r="A68" i="58"/>
  <c r="L67" i="58"/>
  <c r="K67" i="58"/>
  <c r="J67" i="58"/>
  <c r="I67" i="58"/>
  <c r="H67" i="58"/>
  <c r="G67" i="58"/>
  <c r="E67" i="58"/>
  <c r="D67" i="58"/>
  <c r="A67" i="58"/>
  <c r="L66" i="58"/>
  <c r="K66" i="58"/>
  <c r="J66" i="58"/>
  <c r="I66" i="58"/>
  <c r="H66" i="58"/>
  <c r="G66" i="58"/>
  <c r="E66" i="58"/>
  <c r="D66" i="58"/>
  <c r="A66" i="58"/>
  <c r="L65" i="58"/>
  <c r="K65" i="58"/>
  <c r="J65" i="58"/>
  <c r="I65" i="58"/>
  <c r="H65" i="58"/>
  <c r="G65" i="58"/>
  <c r="E65" i="58"/>
  <c r="D65" i="58"/>
  <c r="A65" i="58"/>
  <c r="L64" i="58"/>
  <c r="K64" i="58"/>
  <c r="J64" i="58"/>
  <c r="I64" i="58"/>
  <c r="H64" i="58"/>
  <c r="G64" i="58"/>
  <c r="E64" i="58"/>
  <c r="D64" i="58"/>
  <c r="A64" i="58"/>
  <c r="L63" i="58"/>
  <c r="K63" i="58"/>
  <c r="J63" i="58"/>
  <c r="I63" i="58"/>
  <c r="H63" i="58"/>
  <c r="G63" i="58"/>
  <c r="E63" i="58"/>
  <c r="D63" i="58"/>
  <c r="A63" i="58"/>
  <c r="L62" i="58"/>
  <c r="K62" i="58"/>
  <c r="J62" i="58"/>
  <c r="I62" i="58"/>
  <c r="H62" i="58"/>
  <c r="G62" i="58"/>
  <c r="E62" i="58"/>
  <c r="D62" i="58"/>
  <c r="A62" i="58"/>
  <c r="L61" i="58"/>
  <c r="K61" i="58"/>
  <c r="J61" i="58"/>
  <c r="I61" i="58"/>
  <c r="H61" i="58"/>
  <c r="G61" i="58"/>
  <c r="E61" i="58"/>
  <c r="D61" i="58"/>
  <c r="A61" i="58"/>
  <c r="L60" i="58"/>
  <c r="K60" i="58"/>
  <c r="J60" i="58"/>
  <c r="I60" i="58"/>
  <c r="H60" i="58"/>
  <c r="G60" i="58"/>
  <c r="E60" i="58"/>
  <c r="D60" i="58"/>
  <c r="A60" i="58"/>
  <c r="L59" i="58"/>
  <c r="K59" i="58"/>
  <c r="J59" i="58"/>
  <c r="I59" i="58"/>
  <c r="H59" i="58"/>
  <c r="G59" i="58"/>
  <c r="E59" i="58"/>
  <c r="D59" i="58"/>
  <c r="A59" i="58"/>
  <c r="L58" i="58"/>
  <c r="K58" i="58"/>
  <c r="J58" i="58"/>
  <c r="I58" i="58"/>
  <c r="H58" i="58"/>
  <c r="G58" i="58"/>
  <c r="E58" i="58"/>
  <c r="D58" i="58"/>
  <c r="A58" i="58"/>
  <c r="L57" i="58"/>
  <c r="K57" i="58"/>
  <c r="J57" i="58"/>
  <c r="I57" i="58"/>
  <c r="H57" i="58"/>
  <c r="G57" i="58"/>
  <c r="E57" i="58"/>
  <c r="D57" i="58"/>
  <c r="A57" i="58"/>
  <c r="L56" i="58"/>
  <c r="K56" i="58"/>
  <c r="J56" i="58"/>
  <c r="I56" i="58"/>
  <c r="H56" i="58"/>
  <c r="G56" i="58"/>
  <c r="E56" i="58"/>
  <c r="D56" i="58"/>
  <c r="A56" i="58"/>
  <c r="L55" i="58"/>
  <c r="K55" i="58"/>
  <c r="J55" i="58"/>
  <c r="I55" i="58"/>
  <c r="H55" i="58"/>
  <c r="G55" i="58"/>
  <c r="E55" i="58"/>
  <c r="D55" i="58"/>
  <c r="A55" i="58"/>
  <c r="L54" i="58"/>
  <c r="K54" i="58"/>
  <c r="J54" i="58"/>
  <c r="I54" i="58"/>
  <c r="H54" i="58"/>
  <c r="G54" i="58"/>
  <c r="E54" i="58"/>
  <c r="D54" i="58"/>
  <c r="A54" i="58"/>
  <c r="L53" i="58"/>
  <c r="K53" i="58"/>
  <c r="J53" i="58"/>
  <c r="I53" i="58"/>
  <c r="H53" i="58"/>
  <c r="G53" i="58"/>
  <c r="E53" i="58"/>
  <c r="D53" i="58"/>
  <c r="A53" i="58"/>
  <c r="M52" i="58"/>
  <c r="L52" i="58"/>
  <c r="K52" i="58"/>
  <c r="J52" i="58"/>
  <c r="I52" i="58"/>
  <c r="H52" i="58"/>
  <c r="G52" i="58"/>
  <c r="F52" i="58"/>
  <c r="E52" i="58"/>
  <c r="D52" i="58"/>
  <c r="C52" i="58"/>
  <c r="B52" i="58"/>
  <c r="A52" i="58"/>
  <c r="B890" i="58"/>
  <c r="B51" i="58"/>
  <c r="A51" i="58"/>
  <c r="B50" i="58"/>
  <c r="A50" i="58"/>
  <c r="B49" i="58"/>
  <c r="A49" i="58"/>
  <c r="B48" i="58"/>
  <c r="A48" i="58"/>
  <c r="B47" i="58"/>
  <c r="A47" i="58"/>
  <c r="B908" i="58"/>
  <c r="B46" i="58"/>
  <c r="A46" i="58"/>
  <c r="B906" i="58"/>
  <c r="B45" i="58"/>
  <c r="A45" i="58"/>
  <c r="B36" i="58"/>
  <c r="A36" i="58"/>
  <c r="B35" i="58"/>
  <c r="A35" i="58"/>
  <c r="B34" i="58"/>
  <c r="A34" i="58"/>
  <c r="B880" i="58"/>
  <c r="B33" i="58"/>
  <c r="A33" i="58"/>
  <c r="J32" i="58"/>
  <c r="I32" i="58"/>
  <c r="H32" i="58"/>
  <c r="G32" i="58"/>
  <c r="F32" i="58"/>
  <c r="E32" i="58"/>
  <c r="D32" i="58"/>
  <c r="C32" i="58"/>
  <c r="B32" i="58"/>
  <c r="A32" i="58"/>
  <c r="K31" i="58"/>
  <c r="J31" i="58"/>
  <c r="I31" i="58"/>
  <c r="H31" i="58"/>
  <c r="G31" i="58"/>
  <c r="E31" i="58"/>
  <c r="D31" i="58"/>
  <c r="C242" i="58"/>
  <c r="B31" i="58"/>
  <c r="A31" i="58"/>
  <c r="K29" i="58"/>
  <c r="J29" i="58"/>
  <c r="S690" i="58" s="1"/>
  <c r="H29" i="58"/>
  <c r="G29" i="58"/>
  <c r="E29" i="58"/>
  <c r="D29" i="58"/>
  <c r="C29" i="58"/>
  <c r="C240" i="58" s="1"/>
  <c r="B29" i="58"/>
  <c r="A29" i="58"/>
  <c r="K28" i="58"/>
  <c r="J28" i="58"/>
  <c r="S695" i="58" s="1"/>
  <c r="R695" i="58" s="1"/>
  <c r="H28" i="58"/>
  <c r="G28" i="58"/>
  <c r="E28" i="58"/>
  <c r="D28" i="58"/>
  <c r="C28" i="58"/>
  <c r="B28" i="58"/>
  <c r="A28" i="58"/>
  <c r="K27" i="58"/>
  <c r="J27" i="58"/>
  <c r="H27" i="58"/>
  <c r="G27" i="58"/>
  <c r="E27" i="58"/>
  <c r="D27" i="58"/>
  <c r="C27" i="58"/>
  <c r="B27" i="58"/>
  <c r="A27" i="58"/>
  <c r="K23" i="58"/>
  <c r="H23" i="58"/>
  <c r="G23" i="58"/>
  <c r="E23" i="58"/>
  <c r="D23" i="58"/>
  <c r="C23" i="58"/>
  <c r="C234" i="58" s="1"/>
  <c r="G1031" i="58" s="1"/>
  <c r="B23" i="58"/>
  <c r="A23" i="58"/>
  <c r="K22" i="58"/>
  <c r="H22" i="58"/>
  <c r="G22" i="58"/>
  <c r="E22" i="58"/>
  <c r="D22" i="58"/>
  <c r="C22" i="58"/>
  <c r="B22" i="58"/>
  <c r="A22" i="58"/>
  <c r="K21" i="58"/>
  <c r="H21" i="58"/>
  <c r="G21" i="58"/>
  <c r="E21" i="58"/>
  <c r="D21" i="58"/>
  <c r="C21" i="58"/>
  <c r="C232" i="58" s="1"/>
  <c r="G1027" i="58" s="1"/>
  <c r="B21" i="58"/>
  <c r="A21" i="58"/>
  <c r="K20" i="58"/>
  <c r="H20" i="58"/>
  <c r="G20" i="58"/>
  <c r="E20" i="58"/>
  <c r="D20" i="58"/>
  <c r="C20" i="58"/>
  <c r="C231" i="58" s="1"/>
  <c r="G1025" i="58" s="1"/>
  <c r="B20" i="58"/>
  <c r="A20" i="58"/>
  <c r="K19" i="58"/>
  <c r="H19" i="58"/>
  <c r="G19" i="58"/>
  <c r="E19" i="58"/>
  <c r="D19" i="58"/>
  <c r="C19" i="58"/>
  <c r="B19" i="58"/>
  <c r="A19" i="58"/>
  <c r="L18" i="58"/>
  <c r="K18" i="58"/>
  <c r="J18" i="58"/>
  <c r="I18" i="58"/>
  <c r="H18" i="58"/>
  <c r="G18" i="58"/>
  <c r="F18" i="58"/>
  <c r="E18" i="58"/>
  <c r="D18" i="58"/>
  <c r="C18" i="58"/>
  <c r="B18" i="58"/>
  <c r="A18" i="58"/>
  <c r="B17" i="58"/>
  <c r="A17" i="58"/>
  <c r="D16" i="58"/>
  <c r="D489" i="58" s="1"/>
  <c r="D492" i="58" s="1"/>
  <c r="AA547" i="58" s="1"/>
  <c r="AA552" i="58" s="1"/>
  <c r="C16" i="58"/>
  <c r="C489" i="58" s="1"/>
  <c r="B16" i="58"/>
  <c r="B489" i="58" s="1"/>
  <c r="B492" i="58" s="1"/>
  <c r="A16" i="58"/>
  <c r="D14" i="58"/>
  <c r="D487" i="58" s="1"/>
  <c r="D490" i="58" s="1"/>
  <c r="AA527" i="58" s="1"/>
  <c r="AA532" i="58" s="1"/>
  <c r="C14" i="58"/>
  <c r="C487" i="58" s="1"/>
  <c r="B14" i="58"/>
  <c r="E252" i="58" s="1"/>
  <c r="A14" i="58"/>
  <c r="D13" i="58"/>
  <c r="D486" i="58" s="1"/>
  <c r="C13" i="58"/>
  <c r="C486" i="58" s="1"/>
  <c r="B13" i="58"/>
  <c r="B486" i="58" s="1"/>
  <c r="A13" i="58"/>
  <c r="B12" i="58"/>
  <c r="A12" i="58"/>
  <c r="D11" i="58"/>
  <c r="D421" i="58" s="1"/>
  <c r="D424" i="58" s="1"/>
  <c r="AB479" i="58" s="1"/>
  <c r="AB484" i="58" s="1"/>
  <c r="A11" i="58"/>
  <c r="D9" i="58"/>
  <c r="AT981" i="58" s="1"/>
  <c r="A9" i="58"/>
  <c r="D8" i="58"/>
  <c r="C8" i="58"/>
  <c r="B8" i="58"/>
  <c r="A8" i="58"/>
  <c r="B7" i="58"/>
  <c r="A7" i="58"/>
  <c r="G6" i="58"/>
  <c r="F6" i="58"/>
  <c r="E6" i="58"/>
  <c r="C6" i="58"/>
  <c r="B6" i="58"/>
  <c r="A6" i="58"/>
  <c r="G5" i="58"/>
  <c r="F5" i="58"/>
  <c r="E5" i="58"/>
  <c r="D5" i="58"/>
  <c r="D1037" i="58" s="1"/>
  <c r="C5" i="58"/>
  <c r="C1037" i="58" s="1"/>
  <c r="B5" i="58"/>
  <c r="A5" i="58"/>
  <c r="G4" i="58"/>
  <c r="F4" i="58"/>
  <c r="E4" i="58"/>
  <c r="D4" i="58"/>
  <c r="C4" i="58"/>
  <c r="B4" i="58"/>
  <c r="A4" i="58"/>
  <c r="B3" i="58"/>
  <c r="A3" i="58"/>
  <c r="A2" i="58"/>
  <c r="A1" i="58"/>
  <c r="U481" i="57"/>
  <c r="F1037" i="58" l="1"/>
  <c r="E268" i="58"/>
  <c r="E273" i="58" s="1"/>
  <c r="E279" i="58" s="1"/>
  <c r="E258" i="58"/>
  <c r="E263" i="58"/>
  <c r="BJ1037" i="58"/>
  <c r="D273" i="58"/>
  <c r="D268" i="58"/>
  <c r="D279" i="58"/>
  <c r="D263" i="58"/>
  <c r="D258" i="58"/>
  <c r="BV1037" i="58"/>
  <c r="I1037" i="58"/>
  <c r="BU1037" i="58"/>
  <c r="C328" i="58"/>
  <c r="B1037" i="58"/>
  <c r="AS981" i="58"/>
  <c r="K241" i="58"/>
  <c r="F241" i="58"/>
  <c r="AA981" i="58"/>
  <c r="AB981" i="58"/>
  <c r="AS968" i="58"/>
  <c r="AS998" i="58"/>
  <c r="AA998" i="58"/>
  <c r="AB998" i="58"/>
  <c r="AT968" i="58"/>
  <c r="AT998" i="58"/>
  <c r="AB968" i="58"/>
  <c r="AA968" i="58"/>
  <c r="C828" i="58"/>
  <c r="C827" i="58"/>
  <c r="E654" i="58"/>
  <c r="X798" i="58"/>
  <c r="X799" i="58"/>
  <c r="X800" i="58"/>
  <c r="X801" i="58"/>
  <c r="Y798" i="58"/>
  <c r="Y799" i="58"/>
  <c r="Y800" i="58"/>
  <c r="Y801" i="58"/>
  <c r="E614" i="58"/>
  <c r="E634" i="58"/>
  <c r="D574" i="58"/>
  <c r="E594" i="58"/>
  <c r="D1100" i="58"/>
  <c r="E574" i="58"/>
  <c r="B328" i="58"/>
  <c r="D252" i="58"/>
  <c r="D324" i="58"/>
  <c r="D328" i="58"/>
  <c r="C1100" i="58"/>
  <c r="C1084" i="58"/>
  <c r="C1092" i="58"/>
  <c r="D1084" i="58"/>
  <c r="D1092" i="58"/>
  <c r="F1111" i="58"/>
  <c r="AO1084" i="58"/>
  <c r="G488" i="58"/>
  <c r="N507" i="58" s="1"/>
  <c r="N512" i="58" s="1"/>
  <c r="G491" i="58"/>
  <c r="N537" i="58" s="1"/>
  <c r="N542" i="58" s="1"/>
  <c r="G420" i="58"/>
  <c r="M439" i="58" s="1"/>
  <c r="M444" i="58" s="1"/>
  <c r="G423" i="58"/>
  <c r="M469" i="58" s="1"/>
  <c r="M474" i="58" s="1"/>
  <c r="AT952" i="58"/>
  <c r="AT951" i="58"/>
  <c r="AS952" i="58"/>
  <c r="AS951" i="58"/>
  <c r="AB951" i="58"/>
  <c r="AA951" i="58"/>
  <c r="AA952" i="58"/>
  <c r="AB952" i="58"/>
  <c r="E1124" i="58"/>
  <c r="E1123" i="58"/>
  <c r="E1122" i="58"/>
  <c r="E1121" i="58"/>
  <c r="E1111" i="58"/>
  <c r="E1115" i="58"/>
  <c r="E1125" i="58"/>
  <c r="E1114" i="58"/>
  <c r="E1113" i="58"/>
  <c r="E1112" i="58"/>
  <c r="E564" i="58"/>
  <c r="E569" i="58"/>
  <c r="E629" i="58"/>
  <c r="E599" i="58"/>
  <c r="D569" i="58"/>
  <c r="E649" i="58"/>
  <c r="E624" i="58"/>
  <c r="E589" i="58"/>
  <c r="E644" i="58"/>
  <c r="E619" i="58"/>
  <c r="E609" i="58"/>
  <c r="E584" i="58"/>
  <c r="D564" i="58"/>
  <c r="E639" i="58"/>
  <c r="E604" i="58"/>
  <c r="E579" i="58"/>
  <c r="Y803" i="58"/>
  <c r="AN662" i="58"/>
  <c r="AN663" i="58"/>
  <c r="AN664" i="58"/>
  <c r="AN667" i="58"/>
  <c r="AN672" i="58"/>
  <c r="AN673" i="58"/>
  <c r="AN674" i="58"/>
  <c r="AN666" i="58"/>
  <c r="AN671" i="58"/>
  <c r="AN675" i="58"/>
  <c r="AN676" i="58"/>
  <c r="AN665" i="58"/>
  <c r="AN668" i="58"/>
  <c r="AN669" i="58"/>
  <c r="AN670" i="58"/>
  <c r="K665" i="58"/>
  <c r="K666" i="58"/>
  <c r="K667" i="58"/>
  <c r="K672" i="58"/>
  <c r="K675" i="58"/>
  <c r="K662" i="58"/>
  <c r="K664" i="58"/>
  <c r="K668" i="58"/>
  <c r="K669" i="58"/>
  <c r="K670" i="58"/>
  <c r="K671" i="58"/>
  <c r="K674" i="58"/>
  <c r="K663" i="58"/>
  <c r="K673" i="58"/>
  <c r="K676" i="58"/>
  <c r="L665" i="58"/>
  <c r="L664" i="58"/>
  <c r="E706" i="58"/>
  <c r="F706" i="58" s="1"/>
  <c r="G706" i="58" s="1"/>
  <c r="E663" i="58"/>
  <c r="F663" i="58" s="1"/>
  <c r="E664" i="58"/>
  <c r="F664" i="58" s="1"/>
  <c r="E667" i="58"/>
  <c r="F667" i="58" s="1"/>
  <c r="E668" i="58"/>
  <c r="F668" i="58" s="1"/>
  <c r="E672" i="58"/>
  <c r="F672" i="58" s="1"/>
  <c r="E676" i="58"/>
  <c r="F676" i="58" s="1"/>
  <c r="E666" i="58"/>
  <c r="F666" i="58" s="1"/>
  <c r="E669" i="58"/>
  <c r="F669" i="58" s="1"/>
  <c r="E662" i="58"/>
  <c r="F662" i="58" s="1"/>
  <c r="E670" i="58"/>
  <c r="F670" i="58" s="1"/>
  <c r="E671" i="58"/>
  <c r="F671" i="58" s="1"/>
  <c r="E665" i="58"/>
  <c r="F665" i="58" s="1"/>
  <c r="E673" i="58"/>
  <c r="F673" i="58" s="1"/>
  <c r="E674" i="58"/>
  <c r="F674" i="58" s="1"/>
  <c r="E675" i="58"/>
  <c r="F675" i="58" s="1"/>
  <c r="AH668" i="58"/>
  <c r="AH672" i="58"/>
  <c r="AH675" i="58"/>
  <c r="AH674" i="58"/>
  <c r="AH676" i="58"/>
  <c r="AH662" i="58"/>
  <c r="AH666" i="58"/>
  <c r="AH671" i="58"/>
  <c r="AH664" i="58"/>
  <c r="AH665" i="58"/>
  <c r="AH663" i="58"/>
  <c r="AH667" i="58"/>
  <c r="AH669" i="58"/>
  <c r="AH670" i="58"/>
  <c r="AH673" i="58"/>
  <c r="L663" i="58"/>
  <c r="L673" i="58"/>
  <c r="L676" i="58"/>
  <c r="L666" i="58"/>
  <c r="L667" i="58"/>
  <c r="L672" i="58"/>
  <c r="L662" i="58"/>
  <c r="L668" i="58"/>
  <c r="L669" i="58"/>
  <c r="L670" i="58"/>
  <c r="L671" i="58"/>
  <c r="L674" i="58"/>
  <c r="L675" i="58"/>
  <c r="M479" i="58"/>
  <c r="M449" i="58"/>
  <c r="M484" i="58"/>
  <c r="M454" i="58"/>
  <c r="M464" i="58"/>
  <c r="M459" i="58"/>
  <c r="B487" i="58"/>
  <c r="Q497" i="58" s="1"/>
  <c r="Q517" i="58" s="1"/>
  <c r="Q522" i="58" s="1"/>
  <c r="Q527" i="58" s="1"/>
  <c r="Q532" i="58" s="1"/>
  <c r="Q537" i="58" s="1"/>
  <c r="Q542" i="58" s="1"/>
  <c r="X803" i="58"/>
  <c r="K236" i="58"/>
  <c r="K237" i="58"/>
  <c r="K235" i="58"/>
  <c r="AT971" i="58"/>
  <c r="AT976" i="58"/>
  <c r="AT969" i="58"/>
  <c r="AT972" i="58"/>
  <c r="AT970" i="58"/>
  <c r="AT973" i="58"/>
  <c r="AT974" i="58"/>
  <c r="AT975" i="58"/>
  <c r="B843" i="58"/>
  <c r="B847" i="58"/>
  <c r="AS969" i="58"/>
  <c r="AS972" i="58"/>
  <c r="B844" i="58"/>
  <c r="B848" i="58"/>
  <c r="B845" i="58"/>
  <c r="B849" i="58"/>
  <c r="AS970" i="58"/>
  <c r="AS973" i="58"/>
  <c r="AS974" i="58"/>
  <c r="AS975" i="58"/>
  <c r="B842" i="58"/>
  <c r="B846" i="58"/>
  <c r="AS971" i="58"/>
  <c r="AS976" i="58"/>
  <c r="AA971" i="58"/>
  <c r="AB974" i="58"/>
  <c r="AA975" i="58"/>
  <c r="AA976" i="58"/>
  <c r="AA969" i="58"/>
  <c r="AA970" i="58"/>
  <c r="AB971" i="58"/>
  <c r="AA972" i="58"/>
  <c r="AA973" i="58"/>
  <c r="AB975" i="58"/>
  <c r="AB976" i="58"/>
  <c r="AB969" i="58"/>
  <c r="AB970" i="58"/>
  <c r="AB972" i="58"/>
  <c r="AB973" i="58"/>
  <c r="AA974" i="58"/>
  <c r="L702" i="58"/>
  <c r="AL702" i="58" s="1"/>
  <c r="G1039" i="58"/>
  <c r="C239" i="58"/>
  <c r="AT993" i="58"/>
  <c r="AT996" i="58"/>
  <c r="AT999" i="58"/>
  <c r="AT992" i="58"/>
  <c r="AT997" i="58"/>
  <c r="AT991" i="58"/>
  <c r="AT994" i="58"/>
  <c r="AT990" i="58"/>
  <c r="AT995" i="58"/>
  <c r="AT1000" i="58"/>
  <c r="AS992" i="58"/>
  <c r="AS997" i="58"/>
  <c r="AS991" i="58"/>
  <c r="AS994" i="58"/>
  <c r="AS990" i="58"/>
  <c r="AS995" i="58"/>
  <c r="AS1000" i="58"/>
  <c r="AS993" i="58"/>
  <c r="AS996" i="58"/>
  <c r="AS999" i="58"/>
  <c r="AA991" i="58"/>
  <c r="AB992" i="58"/>
  <c r="AB995" i="58"/>
  <c r="AA996" i="58"/>
  <c r="AA999" i="58"/>
  <c r="AB1000" i="58"/>
  <c r="AA990" i="58"/>
  <c r="AB991" i="58"/>
  <c r="AA994" i="58"/>
  <c r="AB996" i="58"/>
  <c r="AA997" i="58"/>
  <c r="AB999" i="58"/>
  <c r="AB990" i="58"/>
  <c r="AA993" i="58"/>
  <c r="AB994" i="58"/>
  <c r="AB997" i="58"/>
  <c r="AA992" i="58"/>
  <c r="AB993" i="58"/>
  <c r="AA995" i="58"/>
  <c r="AA1000" i="58"/>
  <c r="L406" i="58"/>
  <c r="L416" i="58"/>
  <c r="I406" i="58"/>
  <c r="I416" i="58"/>
  <c r="I401" i="58"/>
  <c r="I411" i="58"/>
  <c r="K406" i="58"/>
  <c r="K416" i="58"/>
  <c r="K401" i="58"/>
  <c r="K411" i="58"/>
  <c r="L401" i="58"/>
  <c r="L411" i="58"/>
  <c r="C832" i="58"/>
  <c r="C829" i="58"/>
  <c r="C833" i="58"/>
  <c r="C830" i="58"/>
  <c r="C834" i="58"/>
  <c r="C831" i="58"/>
  <c r="C835" i="58"/>
  <c r="C836" i="58"/>
  <c r="Y797" i="58"/>
  <c r="X359" i="58" s="1"/>
  <c r="Y806" i="58"/>
  <c r="Y810" i="58"/>
  <c r="Y814" i="58"/>
  <c r="Y818" i="58"/>
  <c r="Y805" i="58"/>
  <c r="Y807" i="58"/>
  <c r="Y809" i="58"/>
  <c r="Y811" i="58"/>
  <c r="Y813" i="58"/>
  <c r="Y815" i="58"/>
  <c r="Y817" i="58"/>
  <c r="Y804" i="58"/>
  <c r="Y808" i="58"/>
  <c r="Y812" i="58"/>
  <c r="Y816" i="58"/>
  <c r="X805" i="58"/>
  <c r="X807" i="58"/>
  <c r="X809" i="58"/>
  <c r="X811" i="58"/>
  <c r="X813" i="58"/>
  <c r="X815" i="58"/>
  <c r="X817" i="58"/>
  <c r="X804" i="58"/>
  <c r="X806" i="58"/>
  <c r="X808" i="58"/>
  <c r="X810" i="58"/>
  <c r="X812" i="58"/>
  <c r="X814" i="58"/>
  <c r="X816" i="58"/>
  <c r="X818" i="58"/>
  <c r="AT1006" i="58"/>
  <c r="AT1005" i="58"/>
  <c r="L683" i="58"/>
  <c r="M683" i="58" s="1"/>
  <c r="AA1005" i="58"/>
  <c r="AB1006" i="58"/>
  <c r="AB1005" i="58"/>
  <c r="AA1006" i="58"/>
  <c r="AS1006" i="58"/>
  <c r="AS1005" i="58"/>
  <c r="H1006" i="58"/>
  <c r="H1005" i="58"/>
  <c r="AN705" i="58"/>
  <c r="AT1003" i="58"/>
  <c r="AT1004" i="58"/>
  <c r="AA1003" i="58"/>
  <c r="AB1004" i="58"/>
  <c r="AB1003" i="58"/>
  <c r="AA1004" i="58"/>
  <c r="C826" i="58"/>
  <c r="B381" i="58" s="1"/>
  <c r="AS1003" i="58"/>
  <c r="AS1004" i="58"/>
  <c r="G868" i="58"/>
  <c r="H1003" i="58"/>
  <c r="H1004" i="58"/>
  <c r="B682" i="58"/>
  <c r="O354" i="58"/>
  <c r="AM702" i="58"/>
  <c r="AK702" i="58" s="1"/>
  <c r="K240" i="58"/>
  <c r="R333" i="58"/>
  <c r="I340" i="58" s="1"/>
  <c r="I345" i="58" s="1"/>
  <c r="I350" i="58" s="1"/>
  <c r="R335" i="58"/>
  <c r="K685" i="58"/>
  <c r="AN709" i="58"/>
  <c r="K231" i="58"/>
  <c r="B324" i="58"/>
  <c r="K230" i="58" s="1"/>
  <c r="G334" i="58"/>
  <c r="G487" i="58"/>
  <c r="N497" i="58" s="1"/>
  <c r="N502" i="58" s="1"/>
  <c r="AH677" i="58"/>
  <c r="AN686" i="58"/>
  <c r="L699" i="58"/>
  <c r="AF699" i="58" s="1"/>
  <c r="S739" i="58"/>
  <c r="K233" i="58"/>
  <c r="R334" i="58"/>
  <c r="G422" i="58"/>
  <c r="E559" i="58"/>
  <c r="AH678" i="58"/>
  <c r="E680" i="58"/>
  <c r="F680" i="58" s="1"/>
  <c r="G680" i="58" s="1"/>
  <c r="L682" i="58"/>
  <c r="AM682" i="58" s="1"/>
  <c r="AJ682" i="58" s="1"/>
  <c r="E683" i="58"/>
  <c r="F683" i="58" s="1"/>
  <c r="E685" i="58"/>
  <c r="F685" i="58" s="1"/>
  <c r="K238" i="58"/>
  <c r="G333" i="58"/>
  <c r="G335" i="58"/>
  <c r="J345" i="58"/>
  <c r="K680" i="58"/>
  <c r="AH683" i="58"/>
  <c r="AN700" i="58"/>
  <c r="D1049" i="58"/>
  <c r="G1026" i="58"/>
  <c r="BU1025" i="58"/>
  <c r="BV1025" i="58"/>
  <c r="I1025" i="58"/>
  <c r="D1061" i="58"/>
  <c r="G1032" i="58"/>
  <c r="BV1031" i="58"/>
  <c r="BU1031" i="58"/>
  <c r="I1031" i="58"/>
  <c r="O527" i="58"/>
  <c r="O532" i="58" s="1"/>
  <c r="O497" i="58"/>
  <c r="O502" i="58" s="1"/>
  <c r="C490" i="58"/>
  <c r="O517" i="58"/>
  <c r="O522" i="58" s="1"/>
  <c r="C492" i="58"/>
  <c r="O547" i="58" s="1"/>
  <c r="O552" i="58" s="1"/>
  <c r="D1053" i="58"/>
  <c r="G1028" i="58"/>
  <c r="BV1027" i="58"/>
  <c r="BU1027" i="58"/>
  <c r="I1027" i="58"/>
  <c r="S693" i="58"/>
  <c r="R693" i="58" s="1"/>
  <c r="R690" i="58"/>
  <c r="S691" i="58"/>
  <c r="R691" i="58" s="1"/>
  <c r="S692" i="58"/>
  <c r="R692" i="58" s="1"/>
  <c r="C1075" i="58"/>
  <c r="C1071" i="58"/>
  <c r="C1072" i="58"/>
  <c r="C1065" i="58"/>
  <c r="C1073" i="58"/>
  <c r="C1068" i="58"/>
  <c r="C1066" i="58"/>
  <c r="C1076" i="58"/>
  <c r="C1070" i="58"/>
  <c r="C1056" i="58"/>
  <c r="C1074" i="58"/>
  <c r="C1069" i="58"/>
  <c r="C1067" i="58"/>
  <c r="C1053" i="58"/>
  <c r="C1049" i="58"/>
  <c r="C1045" i="58"/>
  <c r="C1054" i="58"/>
  <c r="C1050" i="58"/>
  <c r="C1046" i="58"/>
  <c r="C1052" i="58"/>
  <c r="C1055" i="58"/>
  <c r="C1047" i="58"/>
  <c r="C1048" i="58"/>
  <c r="C1039" i="58"/>
  <c r="C1038" i="58"/>
  <c r="C1036" i="58"/>
  <c r="C1051" i="58"/>
  <c r="C1035" i="58"/>
  <c r="C1034" i="58"/>
  <c r="C1033" i="58"/>
  <c r="C1028" i="58"/>
  <c r="C1027" i="58"/>
  <c r="C1026" i="58"/>
  <c r="C1009" i="58"/>
  <c r="G1016" i="58" s="1"/>
  <c r="F395" i="58" s="1"/>
  <c r="C1024" i="58"/>
  <c r="C1025" i="58"/>
  <c r="C1023" i="58"/>
  <c r="C1010" i="58"/>
  <c r="G1017" i="58" s="1"/>
  <c r="F396" i="58" s="1"/>
  <c r="E737" i="58"/>
  <c r="G240" i="58"/>
  <c r="C396" i="58"/>
  <c r="G419" i="58"/>
  <c r="G490" i="58"/>
  <c r="AA497" i="58"/>
  <c r="AA502" i="58" s="1"/>
  <c r="D1085" i="58"/>
  <c r="D1083" i="58"/>
  <c r="D1093" i="58"/>
  <c r="D1091" i="58"/>
  <c r="D1039" i="58"/>
  <c r="D1038" i="58"/>
  <c r="D1036" i="58"/>
  <c r="D1035" i="58"/>
  <c r="D1034" i="58"/>
  <c r="D1033" i="58"/>
  <c r="D1032" i="58"/>
  <c r="D1031" i="58"/>
  <c r="D1030" i="58"/>
  <c r="D1029" i="58"/>
  <c r="D1028" i="58"/>
  <c r="D1027" i="58"/>
  <c r="D1026" i="58"/>
  <c r="D1024" i="58"/>
  <c r="D1025" i="58"/>
  <c r="D1023" i="58"/>
  <c r="D1010" i="58"/>
  <c r="H1017" i="58" s="1"/>
  <c r="G396" i="58" s="1"/>
  <c r="D1009" i="58"/>
  <c r="H1016" i="58" s="1"/>
  <c r="G395" i="58" s="1"/>
  <c r="AT986" i="58"/>
  <c r="AT1001" i="58"/>
  <c r="AT988" i="58"/>
  <c r="AT984" i="58"/>
  <c r="AT1002" i="58"/>
  <c r="AT989" i="58"/>
  <c r="AT987" i="58"/>
  <c r="AT983" i="58"/>
  <c r="AT957" i="58"/>
  <c r="AT985" i="58"/>
  <c r="AT982" i="58"/>
  <c r="AT979" i="58"/>
  <c r="AT967" i="58"/>
  <c r="AT965" i="58"/>
  <c r="AT963" i="58"/>
  <c r="AT961" i="58"/>
  <c r="AT958" i="58"/>
  <c r="AT978" i="58"/>
  <c r="AT959" i="58"/>
  <c r="AT980" i="58"/>
  <c r="AT977" i="58"/>
  <c r="AT966" i="58"/>
  <c r="AT964" i="58"/>
  <c r="AT962" i="58"/>
  <c r="AT960" i="58"/>
  <c r="AT953" i="58"/>
  <c r="AT947" i="58"/>
  <c r="AT943" i="58"/>
  <c r="AT939" i="58"/>
  <c r="AT954" i="58"/>
  <c r="AT955" i="58"/>
  <c r="AT949" i="58"/>
  <c r="AT945" i="58"/>
  <c r="AT941" i="58"/>
  <c r="AT937" i="58"/>
  <c r="AT956" i="58"/>
  <c r="AT950" i="58"/>
  <c r="AT942" i="58"/>
  <c r="AT948" i="58"/>
  <c r="AT940" i="58"/>
  <c r="AT936" i="58"/>
  <c r="AT932" i="58"/>
  <c r="AT946" i="58"/>
  <c r="AT938" i="58"/>
  <c r="AT933" i="58"/>
  <c r="AT929" i="58"/>
  <c r="AT944" i="58"/>
  <c r="AT934" i="58"/>
  <c r="AT930" i="58"/>
  <c r="AT926" i="58"/>
  <c r="AQ916" i="58"/>
  <c r="AQ915" i="58"/>
  <c r="AQ912" i="58"/>
  <c r="AQ893" i="58"/>
  <c r="AQ919" i="58"/>
  <c r="AQ910" i="58"/>
  <c r="AQ908" i="58"/>
  <c r="AQ907" i="58"/>
  <c r="AQ891" i="58"/>
  <c r="AQ890" i="58"/>
  <c r="AQ883" i="58"/>
  <c r="AQ880" i="58"/>
  <c r="Y796" i="58"/>
  <c r="X358" i="58" s="1"/>
  <c r="I367" i="58" s="1"/>
  <c r="AT931" i="58"/>
  <c r="AQ918" i="58"/>
  <c r="AQ913" i="58"/>
  <c r="AQ906" i="58"/>
  <c r="AQ889" i="58"/>
  <c r="AQ888" i="58"/>
  <c r="AQ881" i="58"/>
  <c r="AT935" i="58"/>
  <c r="AT928" i="58"/>
  <c r="AT927" i="58"/>
  <c r="AQ914" i="58"/>
  <c r="AQ892" i="58"/>
  <c r="AQ886" i="58"/>
  <c r="AQ884" i="58"/>
  <c r="AQ917" i="58"/>
  <c r="AQ911" i="58"/>
  <c r="AQ909" i="58"/>
  <c r="Y794" i="58"/>
  <c r="X356" i="58" s="1"/>
  <c r="AN702" i="58"/>
  <c r="AN697" i="58"/>
  <c r="AN693" i="58"/>
  <c r="AN689" i="58"/>
  <c r="AN688" i="58"/>
  <c r="AQ885" i="58"/>
  <c r="AQ882" i="58"/>
  <c r="AQ887" i="58"/>
  <c r="Y795" i="58"/>
  <c r="X357" i="58" s="1"/>
  <c r="Y792" i="58"/>
  <c r="X354" i="58" s="1"/>
  <c r="I363" i="58" s="1"/>
  <c r="AN695" i="58"/>
  <c r="AN691" i="58"/>
  <c r="AN682" i="58"/>
  <c r="AN681" i="58"/>
  <c r="AN678" i="58"/>
  <c r="I738" i="58"/>
  <c r="I739" i="58"/>
  <c r="L689" i="58"/>
  <c r="L688" i="58"/>
  <c r="L687" i="58"/>
  <c r="L686" i="58"/>
  <c r="L685" i="58"/>
  <c r="L684" i="58"/>
  <c r="B881" i="58"/>
  <c r="B884" i="58"/>
  <c r="B882" i="58"/>
  <c r="B888" i="58"/>
  <c r="B907" i="58"/>
  <c r="B892" i="58"/>
  <c r="B891" i="58"/>
  <c r="AB1002" i="58"/>
  <c r="AB989" i="58"/>
  <c r="AB987" i="58"/>
  <c r="AA1002" i="58"/>
  <c r="AA989" i="58"/>
  <c r="AB1001" i="58"/>
  <c r="AB988" i="58"/>
  <c r="AA986" i="58"/>
  <c r="AB985" i="58"/>
  <c r="AB982" i="58"/>
  <c r="AA1001" i="58"/>
  <c r="AA988" i="58"/>
  <c r="AA985" i="58"/>
  <c r="AB984" i="58"/>
  <c r="AA982" i="58"/>
  <c r="AA984" i="58"/>
  <c r="AB980" i="58"/>
  <c r="AA978" i="58"/>
  <c r="AB977" i="58"/>
  <c r="AB966" i="58"/>
  <c r="AB964" i="58"/>
  <c r="AB962" i="58"/>
  <c r="AB960" i="58"/>
  <c r="AA959" i="58"/>
  <c r="AA980" i="58"/>
  <c r="AA977" i="58"/>
  <c r="AA966" i="58"/>
  <c r="AA964" i="58"/>
  <c r="AA962" i="58"/>
  <c r="AA960" i="58"/>
  <c r="AB986" i="58"/>
  <c r="AB983" i="58"/>
  <c r="AB979" i="58"/>
  <c r="AB967" i="58"/>
  <c r="AB965" i="58"/>
  <c r="AB963" i="58"/>
  <c r="AB961" i="58"/>
  <c r="AB958" i="58"/>
  <c r="AA987" i="58"/>
  <c r="AA983" i="58"/>
  <c r="AA979" i="58"/>
  <c r="AB978" i="58"/>
  <c r="AA967" i="58"/>
  <c r="AA965" i="58"/>
  <c r="AA963" i="58"/>
  <c r="AA961" i="58"/>
  <c r="AA958" i="58"/>
  <c r="AB956" i="58"/>
  <c r="AA955" i="58"/>
  <c r="AB950" i="58"/>
  <c r="AA949" i="58"/>
  <c r="AB946" i="58"/>
  <c r="AA945" i="58"/>
  <c r="AB942" i="58"/>
  <c r="AA941" i="58"/>
  <c r="AB959" i="58"/>
  <c r="AB957" i="58"/>
  <c r="AA956" i="58"/>
  <c r="AA957" i="58"/>
  <c r="AB954" i="58"/>
  <c r="AA953" i="58"/>
  <c r="AB948" i="58"/>
  <c r="AA947" i="58"/>
  <c r="AB944" i="58"/>
  <c r="AA943" i="58"/>
  <c r="AB940" i="58"/>
  <c r="AA939" i="58"/>
  <c r="AB955" i="58"/>
  <c r="AB953" i="58"/>
  <c r="AA944" i="58"/>
  <c r="AB943" i="58"/>
  <c r="AA950" i="58"/>
  <c r="AB949" i="58"/>
  <c r="AA942" i="58"/>
  <c r="AB941" i="58"/>
  <c r="AB938" i="58"/>
  <c r="AB935" i="58"/>
  <c r="AA934" i="58"/>
  <c r="AB931" i="58"/>
  <c r="AA930" i="58"/>
  <c r="AA948" i="58"/>
  <c r="AB947" i="58"/>
  <c r="AA940" i="58"/>
  <c r="AB939" i="58"/>
  <c r="AA938" i="58"/>
  <c r="AB937" i="58"/>
  <c r="AB936" i="58"/>
  <c r="AA935" i="58"/>
  <c r="AB932" i="58"/>
  <c r="AA931" i="58"/>
  <c r="AB928" i="58"/>
  <c r="AA927" i="58"/>
  <c r="AA954" i="58"/>
  <c r="AA946" i="58"/>
  <c r="AB945" i="58"/>
  <c r="AA937" i="58"/>
  <c r="AA936" i="58"/>
  <c r="AB933" i="58"/>
  <c r="AA932" i="58"/>
  <c r="AB929" i="58"/>
  <c r="AA928" i="58"/>
  <c r="X919" i="58"/>
  <c r="X916" i="58"/>
  <c r="X915" i="58"/>
  <c r="Y914" i="58"/>
  <c r="Y912" i="58"/>
  <c r="Y911" i="58"/>
  <c r="Y908" i="58"/>
  <c r="Y907" i="58"/>
  <c r="X906" i="58"/>
  <c r="AA926" i="58"/>
  <c r="X912" i="58"/>
  <c r="X910" i="58"/>
  <c r="X907" i="58"/>
  <c r="X887" i="58"/>
  <c r="Y885" i="58"/>
  <c r="X884" i="58"/>
  <c r="Y882" i="58"/>
  <c r="AB930" i="58"/>
  <c r="AA929" i="58"/>
  <c r="Y919" i="58"/>
  <c r="X908" i="58"/>
  <c r="X885" i="58"/>
  <c r="Y883" i="58"/>
  <c r="X882" i="58"/>
  <c r="Y880" i="58"/>
  <c r="AB934" i="58"/>
  <c r="AA933" i="58"/>
  <c r="Y918" i="58"/>
  <c r="Y917" i="58"/>
  <c r="Y915" i="58"/>
  <c r="X914" i="58"/>
  <c r="Y913" i="58"/>
  <c r="Y909" i="58"/>
  <c r="Y906" i="58"/>
  <c r="Y889" i="58"/>
  <c r="Y888" i="58"/>
  <c r="Y886" i="58"/>
  <c r="X883" i="58"/>
  <c r="Y881" i="58"/>
  <c r="X880" i="58"/>
  <c r="AB927" i="58"/>
  <c r="AB926" i="58"/>
  <c r="X918" i="58"/>
  <c r="X917" i="58"/>
  <c r="Y916" i="58"/>
  <c r="X913" i="58"/>
  <c r="X911" i="58"/>
  <c r="Y910" i="58"/>
  <c r="X909" i="58"/>
  <c r="X889" i="58"/>
  <c r="X886" i="58"/>
  <c r="X888" i="58"/>
  <c r="X881" i="58"/>
  <c r="Y887" i="58"/>
  <c r="Y884" i="58"/>
  <c r="C233" i="58"/>
  <c r="K234" i="58"/>
  <c r="K242" i="58"/>
  <c r="H333" i="58"/>
  <c r="Q334" i="58"/>
  <c r="H335" i="58"/>
  <c r="J350" i="58"/>
  <c r="G424" i="58"/>
  <c r="AB449" i="58"/>
  <c r="AB454" i="58" s="1"/>
  <c r="G489" i="58"/>
  <c r="E677" i="58"/>
  <c r="F677" i="58" s="1"/>
  <c r="K677" i="58"/>
  <c r="E678" i="58"/>
  <c r="F678" i="58" s="1"/>
  <c r="L678" i="58"/>
  <c r="K679" i="58"/>
  <c r="AH681" i="58"/>
  <c r="K682" i="58"/>
  <c r="E684" i="58"/>
  <c r="F684" i="58" s="1"/>
  <c r="K684" i="58"/>
  <c r="E686" i="58"/>
  <c r="F686" i="58" s="1"/>
  <c r="K686" i="58"/>
  <c r="AN687" i="58"/>
  <c r="K691" i="58"/>
  <c r="K693" i="58"/>
  <c r="S694" i="58"/>
  <c r="AH694" i="58"/>
  <c r="S696" i="58"/>
  <c r="R696" i="58" s="1"/>
  <c r="AH696" i="58"/>
  <c r="AH699" i="58"/>
  <c r="E700" i="58"/>
  <c r="F700" i="58" s="1"/>
  <c r="AH701" i="58"/>
  <c r="AH703" i="58"/>
  <c r="AN704" i="58"/>
  <c r="E705" i="58"/>
  <c r="F705" i="58" s="1"/>
  <c r="L706" i="58"/>
  <c r="AH707" i="58"/>
  <c r="AN708" i="58"/>
  <c r="E709" i="58"/>
  <c r="F709" i="58" s="1"/>
  <c r="X718" i="58"/>
  <c r="X724" i="58"/>
  <c r="K728" i="58"/>
  <c r="F737" i="58"/>
  <c r="S738" i="58"/>
  <c r="Y793" i="58"/>
  <c r="X355" i="58" s="1"/>
  <c r="X794" i="58"/>
  <c r="W356" i="58" s="1"/>
  <c r="C230" i="58"/>
  <c r="L679" i="58"/>
  <c r="L690" i="58"/>
  <c r="L692" i="58"/>
  <c r="K695" i="58"/>
  <c r="K697" i="58"/>
  <c r="L701" i="58"/>
  <c r="L703" i="58"/>
  <c r="AH704" i="58"/>
  <c r="L707" i="58"/>
  <c r="AH708" i="58"/>
  <c r="X716" i="58"/>
  <c r="K720" i="58"/>
  <c r="X723" i="58"/>
  <c r="K726" i="58"/>
  <c r="X729" i="58"/>
  <c r="H737" i="58"/>
  <c r="G864" i="58"/>
  <c r="F242" i="58"/>
  <c r="B1074" i="58"/>
  <c r="B1070" i="58"/>
  <c r="B1076" i="58"/>
  <c r="B1071" i="58"/>
  <c r="B1064" i="58"/>
  <c r="B1060" i="58"/>
  <c r="B1072" i="58"/>
  <c r="B1065" i="58"/>
  <c r="B1061" i="58"/>
  <c r="B1057" i="58"/>
  <c r="B1075" i="58"/>
  <c r="B1063" i="58"/>
  <c r="B1055" i="58"/>
  <c r="B1066" i="58"/>
  <c r="B1056" i="58"/>
  <c r="B1052" i="58"/>
  <c r="B1048" i="58"/>
  <c r="B1069" i="58"/>
  <c r="B1067" i="58"/>
  <c r="B1058" i="58"/>
  <c r="B1053" i="58"/>
  <c r="B1049" i="58"/>
  <c r="B1068" i="58"/>
  <c r="B1051" i="58"/>
  <c r="B1073" i="58"/>
  <c r="B1059" i="58"/>
  <c r="B1054" i="58"/>
  <c r="B1046" i="58"/>
  <c r="B1047" i="58"/>
  <c r="B1045" i="58"/>
  <c r="B1062" i="58"/>
  <c r="B1050" i="58"/>
  <c r="B1039" i="58"/>
  <c r="B1038" i="58"/>
  <c r="B1036" i="58"/>
  <c r="B1035" i="58"/>
  <c r="B1034" i="58"/>
  <c r="B1033" i="58"/>
  <c r="B1032" i="58"/>
  <c r="B1031" i="58"/>
  <c r="B1030" i="58"/>
  <c r="B1029" i="58"/>
  <c r="B1028" i="58"/>
  <c r="B1027" i="58"/>
  <c r="B1026" i="58"/>
  <c r="B1025" i="58"/>
  <c r="B1023" i="58"/>
  <c r="B1009" i="58"/>
  <c r="B1024" i="58"/>
  <c r="E695" i="58"/>
  <c r="F695" i="58" s="1"/>
  <c r="E691" i="58"/>
  <c r="F691" i="58" s="1"/>
  <c r="E689" i="58"/>
  <c r="F689" i="58" s="1"/>
  <c r="E702" i="58"/>
  <c r="F702" i="58" s="1"/>
  <c r="E697" i="58"/>
  <c r="F697" i="58" s="1"/>
  <c r="E693" i="58"/>
  <c r="F693" i="58" s="1"/>
  <c r="E682" i="58"/>
  <c r="F682" i="58" s="1"/>
  <c r="E681" i="58"/>
  <c r="F681" i="58" s="1"/>
  <c r="E679" i="58"/>
  <c r="F679" i="58" s="1"/>
  <c r="C1085" i="58"/>
  <c r="Q1074" i="58"/>
  <c r="Q1070" i="58"/>
  <c r="C1099" i="58"/>
  <c r="Q1072" i="58"/>
  <c r="Q1067" i="58"/>
  <c r="Q1064" i="58"/>
  <c r="Q1060" i="58"/>
  <c r="C1093" i="58"/>
  <c r="Q1073" i="58"/>
  <c r="Q1068" i="58"/>
  <c r="Q1065" i="58"/>
  <c r="Q1061" i="58"/>
  <c r="Q1057" i="58"/>
  <c r="C1101" i="58"/>
  <c r="C1091" i="58"/>
  <c r="Q1075" i="58"/>
  <c r="Q1059" i="58"/>
  <c r="Q1056" i="58"/>
  <c r="Q1055" i="58"/>
  <c r="Q1069" i="58"/>
  <c r="Q1062" i="58"/>
  <c r="Q1058" i="58"/>
  <c r="Q1052" i="58"/>
  <c r="Q1048" i="58"/>
  <c r="Q1076" i="58"/>
  <c r="Q1071" i="58"/>
  <c r="Q1063" i="58"/>
  <c r="Q1053" i="58"/>
  <c r="Q1049" i="58"/>
  <c r="Q1045" i="58"/>
  <c r="Q1047" i="58"/>
  <c r="BJ1039" i="58"/>
  <c r="Q1050" i="58"/>
  <c r="Q1066" i="58"/>
  <c r="Q1054" i="58"/>
  <c r="Q1051" i="58"/>
  <c r="BJ1038" i="58"/>
  <c r="BJ1036" i="58"/>
  <c r="BJ1035" i="58"/>
  <c r="C1083" i="58"/>
  <c r="Q1046" i="58"/>
  <c r="BJ1034" i="58"/>
  <c r="BJ1033" i="58"/>
  <c r="BJ1032" i="58"/>
  <c r="BJ1031" i="58"/>
  <c r="BJ1030" i="58"/>
  <c r="BJ1029" i="58"/>
  <c r="BJ1028" i="58"/>
  <c r="BJ1027" i="58"/>
  <c r="BJ1026" i="58"/>
  <c r="BJ1025" i="58"/>
  <c r="D1017" i="58"/>
  <c r="AS1002" i="58"/>
  <c r="AS989" i="58"/>
  <c r="AS987" i="58"/>
  <c r="BJ1024" i="58"/>
  <c r="D1016" i="58"/>
  <c r="AS1001" i="58"/>
  <c r="AS988" i="58"/>
  <c r="AS985" i="58"/>
  <c r="AS982" i="58"/>
  <c r="BJ1023" i="58"/>
  <c r="AS984" i="58"/>
  <c r="AS980" i="58"/>
  <c r="AS977" i="58"/>
  <c r="AS966" i="58"/>
  <c r="AS964" i="58"/>
  <c r="AS962" i="58"/>
  <c r="AS960" i="58"/>
  <c r="AS986" i="58"/>
  <c r="AS983" i="58"/>
  <c r="AS979" i="58"/>
  <c r="AS967" i="58"/>
  <c r="AS965" i="58"/>
  <c r="AS963" i="58"/>
  <c r="AS961" i="58"/>
  <c r="AS958" i="58"/>
  <c r="AS978" i="58"/>
  <c r="AS956" i="58"/>
  <c r="AS950" i="58"/>
  <c r="AS946" i="58"/>
  <c r="AS942" i="58"/>
  <c r="AS938" i="58"/>
  <c r="AS959" i="58"/>
  <c r="AS957" i="58"/>
  <c r="AS954" i="58"/>
  <c r="AS948" i="58"/>
  <c r="AS944" i="58"/>
  <c r="AS940" i="58"/>
  <c r="AS955" i="58"/>
  <c r="AS953" i="58"/>
  <c r="AS943" i="58"/>
  <c r="AS949" i="58"/>
  <c r="AS941" i="58"/>
  <c r="AS935" i="58"/>
  <c r="AS931" i="58"/>
  <c r="AS947" i="58"/>
  <c r="AS939" i="58"/>
  <c r="AS937" i="58"/>
  <c r="AS936" i="58"/>
  <c r="AS932" i="58"/>
  <c r="AS928" i="58"/>
  <c r="AS945" i="58"/>
  <c r="AS933" i="58"/>
  <c r="AS929" i="58"/>
  <c r="AP917" i="58"/>
  <c r="AP908" i="58"/>
  <c r="AP891" i="58"/>
  <c r="AP916" i="58"/>
  <c r="AP912" i="58"/>
  <c r="AP911" i="58"/>
  <c r="AP909" i="58"/>
  <c r="AP887" i="58"/>
  <c r="AP885" i="58"/>
  <c r="AP882" i="58"/>
  <c r="X797" i="58"/>
  <c r="W359" i="58" s="1"/>
  <c r="AS930" i="58"/>
  <c r="AP919" i="58"/>
  <c r="AP910" i="58"/>
  <c r="AP907" i="58"/>
  <c r="AP890" i="58"/>
  <c r="AP883" i="58"/>
  <c r="AP880" i="58"/>
  <c r="AS934" i="58"/>
  <c r="AP918" i="58"/>
  <c r="AP913" i="58"/>
  <c r="AP906" i="58"/>
  <c r="AP893" i="58"/>
  <c r="AP889" i="58"/>
  <c r="AP888" i="58"/>
  <c r="AP881" i="58"/>
  <c r="AS927" i="58"/>
  <c r="AS926" i="58"/>
  <c r="AP915" i="58"/>
  <c r="AP914" i="58"/>
  <c r="AP886" i="58"/>
  <c r="AP892" i="58"/>
  <c r="R739" i="58"/>
  <c r="R737" i="58"/>
  <c r="X727" i="58"/>
  <c r="X717" i="58"/>
  <c r="AH695" i="58"/>
  <c r="AH691" i="58"/>
  <c r="AP884" i="58"/>
  <c r="C824" i="58"/>
  <c r="B379" i="58" s="1"/>
  <c r="C386" i="58" s="1"/>
  <c r="C391" i="58" s="1"/>
  <c r="X793" i="58"/>
  <c r="W355" i="58" s="1"/>
  <c r="R738" i="58"/>
  <c r="X728" i="58"/>
  <c r="X725" i="58"/>
  <c r="X722" i="58"/>
  <c r="X719" i="58"/>
  <c r="AH702" i="58"/>
  <c r="AH697" i="58"/>
  <c r="AH693" i="58"/>
  <c r="AH689" i="58"/>
  <c r="AH688" i="58"/>
  <c r="AH687" i="58"/>
  <c r="AH686" i="58"/>
  <c r="AH685" i="58"/>
  <c r="AH684" i="58"/>
  <c r="D559" i="58"/>
  <c r="C395" i="58"/>
  <c r="C1061" i="58"/>
  <c r="C1062" i="58"/>
  <c r="C1058" i="58"/>
  <c r="C1064" i="58"/>
  <c r="C1057" i="58"/>
  <c r="C1060" i="58"/>
  <c r="C1059" i="58"/>
  <c r="C1063" i="58"/>
  <c r="C1032" i="58"/>
  <c r="C1031" i="58"/>
  <c r="C1030" i="58"/>
  <c r="C1029" i="58"/>
  <c r="G890" i="58"/>
  <c r="E738" i="58"/>
  <c r="AO1085" i="58"/>
  <c r="R1075" i="58"/>
  <c r="R1071" i="58"/>
  <c r="R1067" i="58"/>
  <c r="R1073" i="58"/>
  <c r="R1068" i="58"/>
  <c r="R1065" i="58"/>
  <c r="R1061" i="58"/>
  <c r="D1101" i="58"/>
  <c r="R1074" i="58"/>
  <c r="R1069" i="58"/>
  <c r="R1066" i="58"/>
  <c r="R1062" i="58"/>
  <c r="R1058" i="58"/>
  <c r="AO1083" i="58"/>
  <c r="R1076" i="58"/>
  <c r="R1072" i="58"/>
  <c r="R1060" i="58"/>
  <c r="R1057" i="58"/>
  <c r="D1099" i="58"/>
  <c r="R1063" i="58"/>
  <c r="R1053" i="58"/>
  <c r="R1049" i="58"/>
  <c r="R1045" i="58"/>
  <c r="R1064" i="58"/>
  <c r="R1054" i="58"/>
  <c r="R1050" i="58"/>
  <c r="R1046" i="58"/>
  <c r="R1070" i="58"/>
  <c r="R1048" i="58"/>
  <c r="F1039" i="58"/>
  <c r="F1038" i="58"/>
  <c r="R1051" i="58"/>
  <c r="R1055" i="58"/>
  <c r="R1052" i="58"/>
  <c r="R1059" i="58"/>
  <c r="R1056" i="58"/>
  <c r="R1047" i="58"/>
  <c r="F1035" i="58"/>
  <c r="F1034" i="58"/>
  <c r="F1033" i="58"/>
  <c r="F1032" i="58"/>
  <c r="F1031" i="58"/>
  <c r="F1030" i="58"/>
  <c r="F1029" i="58"/>
  <c r="F1028" i="58"/>
  <c r="F1036" i="58"/>
  <c r="F1025" i="58"/>
  <c r="F1023" i="58"/>
  <c r="E1016" i="58"/>
  <c r="E1010" i="58"/>
  <c r="E1009" i="58"/>
  <c r="F1027" i="58"/>
  <c r="F1026" i="58"/>
  <c r="F1024" i="58"/>
  <c r="E1017" i="58"/>
  <c r="G873" i="58"/>
  <c r="G869" i="58"/>
  <c r="G865" i="58"/>
  <c r="G861" i="58"/>
  <c r="G872" i="58"/>
  <c r="G866" i="58"/>
  <c r="G862" i="58"/>
  <c r="G858" i="58"/>
  <c r="G857" i="58"/>
  <c r="G871" i="58"/>
  <c r="G867" i="58"/>
  <c r="G863" i="58"/>
  <c r="G859" i="58"/>
  <c r="K727" i="58"/>
  <c r="K724" i="58"/>
  <c r="K721" i="58"/>
  <c r="K717" i="58"/>
  <c r="K709" i="58"/>
  <c r="K707" i="58"/>
  <c r="K705" i="58"/>
  <c r="K703" i="58"/>
  <c r="K700" i="58"/>
  <c r="K694" i="58"/>
  <c r="K690" i="58"/>
  <c r="G870" i="58"/>
  <c r="K725" i="58"/>
  <c r="K722" i="58"/>
  <c r="K719" i="58"/>
  <c r="K708" i="58"/>
  <c r="K706" i="58"/>
  <c r="K704" i="58"/>
  <c r="K701" i="58"/>
  <c r="K699" i="58"/>
  <c r="K696" i="58"/>
  <c r="K692" i="58"/>
  <c r="K683" i="58"/>
  <c r="K678" i="58"/>
  <c r="D396" i="58"/>
  <c r="B909" i="58"/>
  <c r="B914" i="58"/>
  <c r="B918" i="58"/>
  <c r="BM1091" i="58"/>
  <c r="AP1099" i="58"/>
  <c r="AP1101" i="58" s="1"/>
  <c r="K232" i="58"/>
  <c r="C238" i="58"/>
  <c r="K239" i="58"/>
  <c r="C324" i="58"/>
  <c r="K324" i="58" s="1"/>
  <c r="Q333" i="58"/>
  <c r="C340" i="58" s="1"/>
  <c r="C345" i="58" s="1"/>
  <c r="C350" i="58" s="1"/>
  <c r="H334" i="58"/>
  <c r="Q335" i="58"/>
  <c r="J340" i="58"/>
  <c r="O357" i="58"/>
  <c r="D395" i="58"/>
  <c r="D419" i="58"/>
  <c r="G421" i="58"/>
  <c r="G492" i="58"/>
  <c r="AA517" i="58"/>
  <c r="AA522" i="58" s="1"/>
  <c r="AN677" i="58"/>
  <c r="L680" i="58"/>
  <c r="K681" i="58"/>
  <c r="AH682" i="58"/>
  <c r="AN683" i="58"/>
  <c r="AN685" i="58"/>
  <c r="E688" i="58"/>
  <c r="F688" i="58" s="1"/>
  <c r="K688" i="58"/>
  <c r="E690" i="58"/>
  <c r="F690" i="58" s="1"/>
  <c r="AN690" i="58"/>
  <c r="E692" i="58"/>
  <c r="F692" i="58" s="1"/>
  <c r="AN692" i="58"/>
  <c r="L694" i="58"/>
  <c r="L696" i="58"/>
  <c r="E699" i="58"/>
  <c r="F699" i="58" s="1"/>
  <c r="AH700" i="58"/>
  <c r="E701" i="58"/>
  <c r="F701" i="58" s="1"/>
  <c r="K702" i="58"/>
  <c r="E703" i="58"/>
  <c r="F703" i="58" s="1"/>
  <c r="L704" i="58"/>
  <c r="AH705" i="58"/>
  <c r="AN706" i="58"/>
  <c r="E707" i="58"/>
  <c r="F707" i="58" s="1"/>
  <c r="L708" i="58"/>
  <c r="AH709" i="58"/>
  <c r="K718" i="58"/>
  <c r="X721" i="58"/>
  <c r="H738" i="58"/>
  <c r="X792" i="58"/>
  <c r="W354" i="58" s="1"/>
  <c r="C363" i="58" s="1"/>
  <c r="C371" i="58" s="1"/>
  <c r="C375" i="58" s="1"/>
  <c r="X795" i="58"/>
  <c r="W357" i="58" s="1"/>
  <c r="F1009" i="58"/>
  <c r="L697" i="58"/>
  <c r="L693" i="58"/>
  <c r="I737" i="58"/>
  <c r="L695" i="58"/>
  <c r="L691" i="58"/>
  <c r="L677" i="58"/>
  <c r="B677" i="58"/>
  <c r="AH679" i="58"/>
  <c r="AN679" i="58"/>
  <c r="L681" i="58"/>
  <c r="AN684" i="58"/>
  <c r="E687" i="58"/>
  <c r="F687" i="58" s="1"/>
  <c r="K687" i="58"/>
  <c r="K689" i="58"/>
  <c r="AH690" i="58"/>
  <c r="AH692" i="58"/>
  <c r="E694" i="58"/>
  <c r="F694" i="58" s="1"/>
  <c r="AN694" i="58"/>
  <c r="E696" i="58"/>
  <c r="F696" i="58" s="1"/>
  <c r="AN696" i="58"/>
  <c r="AN699" i="58"/>
  <c r="B705" i="58"/>
  <c r="C727" i="58" s="1"/>
  <c r="L700" i="58"/>
  <c r="AN701" i="58"/>
  <c r="AN703" i="58"/>
  <c r="E704" i="58"/>
  <c r="F704" i="58" s="1"/>
  <c r="L705" i="58"/>
  <c r="AH706" i="58"/>
  <c r="AN707" i="58"/>
  <c r="E708" i="58"/>
  <c r="F708" i="58" s="1"/>
  <c r="L709" i="58"/>
  <c r="K716" i="58"/>
  <c r="X720" i="58"/>
  <c r="K723" i="58"/>
  <c r="X726" i="58"/>
  <c r="K729" i="58"/>
  <c r="D737" i="58"/>
  <c r="S737" i="58"/>
  <c r="H739" i="58"/>
  <c r="X796" i="58"/>
  <c r="W358" i="58" s="1"/>
  <c r="C367" i="58" s="1"/>
  <c r="C825" i="58"/>
  <c r="B380" i="58" s="1"/>
  <c r="G860" i="58"/>
  <c r="B699" i="58"/>
  <c r="B701" i="58"/>
  <c r="S823" i="57"/>
  <c r="O806" i="57"/>
  <c r="O383" i="57" s="1"/>
  <c r="O807" i="57"/>
  <c r="O384" i="57" s="1"/>
  <c r="O808" i="57"/>
  <c r="O385" i="57" s="1"/>
  <c r="O813" i="57"/>
  <c r="O390" i="57" s="1"/>
  <c r="O814" i="57"/>
  <c r="O391" i="57" s="1"/>
  <c r="O815" i="57"/>
  <c r="O392" i="57" s="1"/>
  <c r="AE825" i="58" l="1"/>
  <c r="S825" i="58" s="1"/>
  <c r="S415" i="57"/>
  <c r="O800" i="58"/>
  <c r="O792" i="58"/>
  <c r="N354" i="58" s="1"/>
  <c r="N363" i="58" s="1"/>
  <c r="O799" i="58"/>
  <c r="O794" i="58"/>
  <c r="N356" i="58" s="1"/>
  <c r="N371" i="58" s="1"/>
  <c r="O801" i="58"/>
  <c r="O793" i="58"/>
  <c r="N355" i="58" s="1"/>
  <c r="G1035" i="58"/>
  <c r="G1036" i="58"/>
  <c r="R1037" i="58"/>
  <c r="I1049" i="58"/>
  <c r="J1049" i="58"/>
  <c r="J1053" i="58"/>
  <c r="I1053" i="58"/>
  <c r="J1061" i="58"/>
  <c r="I1061" i="58"/>
  <c r="L1100" i="58"/>
  <c r="M1100" i="58"/>
  <c r="AD1084" i="58"/>
  <c r="W1084" i="58"/>
  <c r="AH1084" i="58"/>
  <c r="AF1084" i="58"/>
  <c r="AD1085" i="58"/>
  <c r="Y1084" i="58"/>
  <c r="G1038" i="58"/>
  <c r="B490" i="58"/>
  <c r="M674" i="58"/>
  <c r="AL674" i="58"/>
  <c r="T674" i="58"/>
  <c r="AM674" i="58"/>
  <c r="AF674" i="58"/>
  <c r="T668" i="58"/>
  <c r="AL668" i="58"/>
  <c r="AM668" i="58"/>
  <c r="M668" i="58"/>
  <c r="AF668" i="58"/>
  <c r="T666" i="58"/>
  <c r="AM666" i="58"/>
  <c r="M666" i="58"/>
  <c r="AL666" i="58"/>
  <c r="AF666" i="58"/>
  <c r="G674" i="58"/>
  <c r="AI674" i="58"/>
  <c r="AI670" i="58"/>
  <c r="G670" i="58"/>
  <c r="G676" i="58"/>
  <c r="AI676" i="58"/>
  <c r="AI664" i="58"/>
  <c r="T665" i="58"/>
  <c r="AL665" i="58"/>
  <c r="AM665" i="58"/>
  <c r="M665" i="58"/>
  <c r="AF665" i="58"/>
  <c r="M671" i="58"/>
  <c r="AM671" i="58"/>
  <c r="T671" i="58"/>
  <c r="AL671" i="58"/>
  <c r="M662" i="58"/>
  <c r="AE662" i="58" s="1"/>
  <c r="T662" i="58"/>
  <c r="AM662" i="58"/>
  <c r="AL662" i="58"/>
  <c r="T676" i="58"/>
  <c r="AM676" i="58"/>
  <c r="M676" i="58"/>
  <c r="AL676" i="58"/>
  <c r="AF676" i="58"/>
  <c r="G673" i="58"/>
  <c r="AI673" i="58"/>
  <c r="G662" i="58"/>
  <c r="AI662" i="58"/>
  <c r="G672" i="58"/>
  <c r="AI672" i="58"/>
  <c r="G663" i="58"/>
  <c r="AI663" i="58"/>
  <c r="T670" i="58"/>
  <c r="AL670" i="58"/>
  <c r="AM670" i="58"/>
  <c r="M670" i="58"/>
  <c r="AF670" i="58"/>
  <c r="T672" i="58"/>
  <c r="M672" i="58"/>
  <c r="AL672" i="58"/>
  <c r="AM672" i="58"/>
  <c r="T673" i="58"/>
  <c r="M673" i="58"/>
  <c r="AL673" i="58"/>
  <c r="AM673" i="58"/>
  <c r="AF673" i="58"/>
  <c r="AI665" i="58"/>
  <c r="AI669" i="58"/>
  <c r="G669" i="58"/>
  <c r="AI668" i="58"/>
  <c r="G668" i="58"/>
  <c r="M675" i="58"/>
  <c r="AM675" i="58"/>
  <c r="T675" i="58"/>
  <c r="AF675" i="58"/>
  <c r="AL675" i="58"/>
  <c r="T669" i="58"/>
  <c r="AL669" i="58"/>
  <c r="AM669" i="58"/>
  <c r="M669" i="58"/>
  <c r="AF669" i="58"/>
  <c r="T667" i="58"/>
  <c r="M667" i="58"/>
  <c r="AF667" i="58"/>
  <c r="AL667" i="58"/>
  <c r="AM667" i="58"/>
  <c r="M663" i="58"/>
  <c r="AE663" i="58" s="1"/>
  <c r="T663" i="58"/>
  <c r="AM663" i="58"/>
  <c r="AL663" i="58"/>
  <c r="G675" i="58"/>
  <c r="AI675" i="58"/>
  <c r="AI671" i="58"/>
  <c r="G671" i="58"/>
  <c r="AI666" i="58"/>
  <c r="G666" i="58"/>
  <c r="G667" i="58"/>
  <c r="AI667" i="58"/>
  <c r="T664" i="58"/>
  <c r="AL664" i="58"/>
  <c r="AM664" i="58"/>
  <c r="AF664" i="58"/>
  <c r="M664" i="58"/>
  <c r="AE664" i="58" s="1"/>
  <c r="AF702" i="58"/>
  <c r="M702" i="58"/>
  <c r="AE702" i="58" s="1"/>
  <c r="F239" i="58"/>
  <c r="R1036" i="58"/>
  <c r="F240" i="58"/>
  <c r="H785" i="58"/>
  <c r="H779" i="58"/>
  <c r="H784" i="58"/>
  <c r="H778" i="58"/>
  <c r="H786" i="58"/>
  <c r="H780" i="58"/>
  <c r="H783" i="58"/>
  <c r="H777" i="58"/>
  <c r="E406" i="58"/>
  <c r="E416" i="58"/>
  <c r="H406" i="58"/>
  <c r="H416" i="58"/>
  <c r="E401" i="58"/>
  <c r="E411" i="58"/>
  <c r="D401" i="58"/>
  <c r="D411" i="58"/>
  <c r="H401" i="58"/>
  <c r="H411" i="58"/>
  <c r="D406" i="58"/>
  <c r="D416" i="58"/>
  <c r="G406" i="58"/>
  <c r="G416" i="58"/>
  <c r="G401" i="58"/>
  <c r="G411" i="58"/>
  <c r="AL683" i="58"/>
  <c r="AF683" i="58"/>
  <c r="K829" i="58"/>
  <c r="J842" i="58" s="1"/>
  <c r="P842" i="58" s="1"/>
  <c r="G1029" i="58"/>
  <c r="K833" i="58"/>
  <c r="M699" i="58"/>
  <c r="AE699" i="58" s="1"/>
  <c r="AL699" i="58"/>
  <c r="AM683" i="58"/>
  <c r="AJ683" i="58" s="1"/>
  <c r="Q547" i="58"/>
  <c r="Q552" i="58" s="1"/>
  <c r="AI706" i="58"/>
  <c r="Q502" i="58"/>
  <c r="N517" i="58"/>
  <c r="N522" i="58" s="1"/>
  <c r="N527" i="58" s="1"/>
  <c r="N547" i="58" s="1"/>
  <c r="N552" i="58" s="1"/>
  <c r="M682" i="58"/>
  <c r="AE682" i="58" s="1"/>
  <c r="AL682" i="58"/>
  <c r="AF682" i="58"/>
  <c r="T682" i="58"/>
  <c r="AI685" i="58"/>
  <c r="AK682" i="58"/>
  <c r="L1099" i="58"/>
  <c r="B706" i="58"/>
  <c r="C728" i="58" s="1"/>
  <c r="L1101" i="58"/>
  <c r="AM699" i="58"/>
  <c r="AJ699" i="58" s="1"/>
  <c r="C333" i="58"/>
  <c r="F340" i="58" s="1"/>
  <c r="F345" i="58" s="1"/>
  <c r="F350" i="58" s="1"/>
  <c r="D738" i="58"/>
  <c r="AI708" i="58"/>
  <c r="G708" i="58"/>
  <c r="AI704" i="58"/>
  <c r="G704" i="58"/>
  <c r="AM700" i="58"/>
  <c r="T700" i="58"/>
  <c r="AF700" i="58"/>
  <c r="M700" i="58"/>
  <c r="AL700" i="58"/>
  <c r="AL691" i="58"/>
  <c r="AF691" i="58"/>
  <c r="T691" i="58"/>
  <c r="AM691" i="58"/>
  <c r="M691" i="58"/>
  <c r="AL693" i="58"/>
  <c r="AM693" i="58"/>
  <c r="T693" i="58"/>
  <c r="M693" i="58"/>
  <c r="AF693" i="58"/>
  <c r="M680" i="58"/>
  <c r="T680" i="58"/>
  <c r="B919" i="58"/>
  <c r="AI682" i="58"/>
  <c r="AI689" i="58"/>
  <c r="F1016" i="58"/>
  <c r="E395" i="58" s="1"/>
  <c r="B1010" i="58"/>
  <c r="F1017" i="58" s="1"/>
  <c r="E396" i="58" s="1"/>
  <c r="AM707" i="58"/>
  <c r="T707" i="58"/>
  <c r="AF707" i="58"/>
  <c r="M707" i="58"/>
  <c r="AL707" i="58"/>
  <c r="AF692" i="58"/>
  <c r="T692" i="58"/>
  <c r="M692" i="58"/>
  <c r="AM692" i="58"/>
  <c r="AL692" i="58"/>
  <c r="T683" i="58"/>
  <c r="AI686" i="58"/>
  <c r="B885" i="58"/>
  <c r="B886" i="58"/>
  <c r="AL685" i="58"/>
  <c r="M685" i="58"/>
  <c r="AM685" i="58"/>
  <c r="AF685" i="58"/>
  <c r="T685" i="58"/>
  <c r="AL689" i="58"/>
  <c r="AF689" i="58"/>
  <c r="AM689" i="58"/>
  <c r="T689" i="58"/>
  <c r="M689" i="58"/>
  <c r="M1099" i="58"/>
  <c r="V1025" i="58"/>
  <c r="U1025" i="58"/>
  <c r="AI696" i="58"/>
  <c r="G696" i="58"/>
  <c r="AL695" i="58"/>
  <c r="AM695" i="58"/>
  <c r="M695" i="58"/>
  <c r="AF695" i="58"/>
  <c r="T695" i="58"/>
  <c r="AL697" i="58"/>
  <c r="M697" i="58"/>
  <c r="AF697" i="58"/>
  <c r="AM697" i="58"/>
  <c r="T697" i="58"/>
  <c r="AI699" i="58"/>
  <c r="G699" i="58"/>
  <c r="AI692" i="58"/>
  <c r="G692" i="58"/>
  <c r="AB429" i="58"/>
  <c r="AB434" i="58" s="1"/>
  <c r="D422" i="58"/>
  <c r="AB459" i="58" s="1"/>
  <c r="AB464" i="58" s="1"/>
  <c r="B915" i="58"/>
  <c r="B917" i="58"/>
  <c r="B916" i="58"/>
  <c r="E739" i="58"/>
  <c r="D334" i="58"/>
  <c r="G693" i="58"/>
  <c r="AI693" i="58"/>
  <c r="G691" i="58"/>
  <c r="AI691" i="58"/>
  <c r="AF701" i="58"/>
  <c r="M701" i="58"/>
  <c r="AM701" i="58"/>
  <c r="T701" i="58"/>
  <c r="AL701" i="58"/>
  <c r="AM690" i="58"/>
  <c r="AF690" i="58"/>
  <c r="T690" i="58"/>
  <c r="M690" i="58"/>
  <c r="AL690" i="58"/>
  <c r="AM679" i="58"/>
  <c r="AL679" i="58"/>
  <c r="AF679" i="58"/>
  <c r="M679" i="58"/>
  <c r="T679" i="58"/>
  <c r="G1023" i="58"/>
  <c r="E333" i="58"/>
  <c r="H340" i="58" s="1"/>
  <c r="H345" i="58" s="1"/>
  <c r="H350" i="58" s="1"/>
  <c r="G677" i="58"/>
  <c r="AI677" i="58"/>
  <c r="B893" i="58"/>
  <c r="AL686" i="58"/>
  <c r="T686" i="58"/>
  <c r="M686" i="58"/>
  <c r="AM686" i="58"/>
  <c r="AF686" i="58"/>
  <c r="J739" i="58"/>
  <c r="I371" i="58"/>
  <c r="I375" i="58"/>
  <c r="BV1028" i="58"/>
  <c r="BU1028" i="58"/>
  <c r="R1028" i="58"/>
  <c r="I1028" i="58"/>
  <c r="M1101" i="58"/>
  <c r="BV1032" i="58"/>
  <c r="BU1032" i="58"/>
  <c r="R1032" i="58"/>
  <c r="I1032" i="58"/>
  <c r="BU1026" i="58"/>
  <c r="R1026" i="58"/>
  <c r="I1026" i="58"/>
  <c r="BV1026" i="58"/>
  <c r="AI687" i="58"/>
  <c r="AL681" i="58"/>
  <c r="AF681" i="58"/>
  <c r="T681" i="58"/>
  <c r="AM681" i="58"/>
  <c r="M681" i="58"/>
  <c r="J737" i="58"/>
  <c r="AF708" i="58"/>
  <c r="M708" i="58"/>
  <c r="AM708" i="58"/>
  <c r="T708" i="58"/>
  <c r="AL708" i="58"/>
  <c r="AF704" i="58"/>
  <c r="M704" i="58"/>
  <c r="AM704" i="58"/>
  <c r="T704" i="58"/>
  <c r="AL704" i="58"/>
  <c r="AI701" i="58"/>
  <c r="G701" i="58"/>
  <c r="AF696" i="58"/>
  <c r="T696" i="58"/>
  <c r="M696" i="58"/>
  <c r="AM696" i="58"/>
  <c r="AL696" i="58"/>
  <c r="AI688" i="58"/>
  <c r="G1034" i="58"/>
  <c r="G1033" i="58"/>
  <c r="F238" i="58"/>
  <c r="G893" i="58"/>
  <c r="AR893" i="58" s="1"/>
  <c r="G891" i="58"/>
  <c r="AR891" i="58" s="1"/>
  <c r="G892" i="58"/>
  <c r="AR892" i="58" s="1"/>
  <c r="AR890" i="58"/>
  <c r="AI679" i="58"/>
  <c r="G679" i="58"/>
  <c r="G697" i="58"/>
  <c r="AI697" i="58"/>
  <c r="G695" i="58"/>
  <c r="AI695" i="58"/>
  <c r="C717" i="58"/>
  <c r="D1069" i="58"/>
  <c r="BU1035" i="58"/>
  <c r="R1035" i="58"/>
  <c r="BV1035" i="58"/>
  <c r="I1035" i="58"/>
  <c r="AM703" i="58"/>
  <c r="T703" i="58"/>
  <c r="AF703" i="58"/>
  <c r="M703" i="58"/>
  <c r="AL703" i="58"/>
  <c r="T699" i="58"/>
  <c r="AI683" i="58"/>
  <c r="AF706" i="58"/>
  <c r="M706" i="58"/>
  <c r="AM706" i="58"/>
  <c r="T706" i="58"/>
  <c r="AL706" i="58"/>
  <c r="S697" i="58"/>
  <c r="R697" i="58" s="1"/>
  <c r="R694" i="58"/>
  <c r="T678" i="58"/>
  <c r="AM678" i="58"/>
  <c r="M678" i="58"/>
  <c r="AL678" i="58"/>
  <c r="AF678" i="58"/>
  <c r="K350" i="58"/>
  <c r="I335" i="58"/>
  <c r="K340" i="58"/>
  <c r="I333" i="58"/>
  <c r="B889" i="58"/>
  <c r="AL687" i="58"/>
  <c r="AM687" i="58"/>
  <c r="AF687" i="58"/>
  <c r="T687" i="58"/>
  <c r="M687" i="58"/>
  <c r="J738" i="58"/>
  <c r="M434" i="58"/>
  <c r="M429" i="58"/>
  <c r="D333" i="58"/>
  <c r="G340" i="58" s="1"/>
  <c r="G345" i="58" s="1"/>
  <c r="G350" i="58" s="1"/>
  <c r="R1027" i="58"/>
  <c r="O1053" i="58"/>
  <c r="D1054" i="58"/>
  <c r="D1055" i="58"/>
  <c r="D1056" i="58"/>
  <c r="R1031" i="58"/>
  <c r="D1062" i="58"/>
  <c r="D1063" i="58"/>
  <c r="O1061" i="58"/>
  <c r="D1064" i="58"/>
  <c r="BU1039" i="58"/>
  <c r="BV1039" i="58"/>
  <c r="R1039" i="58"/>
  <c r="I1039" i="58"/>
  <c r="R1025" i="58"/>
  <c r="D1050" i="58"/>
  <c r="D1051" i="58"/>
  <c r="O1049" i="58"/>
  <c r="D1052" i="58"/>
  <c r="AM709" i="58"/>
  <c r="T709" i="58"/>
  <c r="AF709" i="58"/>
  <c r="M709" i="58"/>
  <c r="AL709" i="58"/>
  <c r="AM705" i="58"/>
  <c r="T705" i="58"/>
  <c r="AF705" i="58"/>
  <c r="M705" i="58"/>
  <c r="AL705" i="58"/>
  <c r="AI694" i="58"/>
  <c r="G694" i="58"/>
  <c r="AF677" i="58"/>
  <c r="T677" i="58"/>
  <c r="AM677" i="58"/>
  <c r="M677" i="58"/>
  <c r="AL677" i="58"/>
  <c r="F1010" i="58"/>
  <c r="G1009" i="58"/>
  <c r="J1016" i="58"/>
  <c r="I395" i="58" s="1"/>
  <c r="Y1009" i="58"/>
  <c r="N1009" i="58"/>
  <c r="AI707" i="58"/>
  <c r="G707" i="58"/>
  <c r="AI703" i="58"/>
  <c r="G703" i="58"/>
  <c r="AM694" i="58"/>
  <c r="AF694" i="58"/>
  <c r="T694" i="58"/>
  <c r="M694" i="58"/>
  <c r="AL694" i="58"/>
  <c r="AI690" i="58"/>
  <c r="G690" i="58"/>
  <c r="AE683" i="58"/>
  <c r="K345" i="58"/>
  <c r="I334" i="58"/>
  <c r="AI681" i="58"/>
  <c r="G702" i="58"/>
  <c r="AI702" i="58"/>
  <c r="T702" i="58"/>
  <c r="AI709" i="58"/>
  <c r="G709" i="58"/>
  <c r="AI705" i="58"/>
  <c r="G705" i="58"/>
  <c r="AI700" i="58"/>
  <c r="G700" i="58"/>
  <c r="AI684" i="58"/>
  <c r="AI678" i="58"/>
  <c r="G678" i="58"/>
  <c r="B883" i="58"/>
  <c r="AL684" i="58"/>
  <c r="T684" i="58"/>
  <c r="AM684" i="58"/>
  <c r="AF684" i="58"/>
  <c r="M684" i="58"/>
  <c r="AL688" i="58"/>
  <c r="AM688" i="58"/>
  <c r="M688" i="58"/>
  <c r="T688" i="58"/>
  <c r="AF688" i="58"/>
  <c r="Y1085" i="58"/>
  <c r="AF1085" i="58"/>
  <c r="AH1083" i="58"/>
  <c r="Y1083" i="58"/>
  <c r="W1083" i="58"/>
  <c r="AH1085" i="58"/>
  <c r="W1085" i="58"/>
  <c r="AF1083" i="58"/>
  <c r="C719" i="58"/>
  <c r="V1027" i="58"/>
  <c r="U1027" i="58"/>
  <c r="V1031" i="58"/>
  <c r="U1031" i="58"/>
  <c r="D1057" i="58" l="1"/>
  <c r="I1057" i="58" s="1"/>
  <c r="BU1038" i="58"/>
  <c r="J1056" i="58"/>
  <c r="I1056" i="58"/>
  <c r="I1055" i="58"/>
  <c r="J1055" i="58"/>
  <c r="J1052" i="58"/>
  <c r="I1052" i="58"/>
  <c r="I1054" i="58"/>
  <c r="J1054" i="58"/>
  <c r="J1069" i="58"/>
  <c r="I1069" i="58"/>
  <c r="I1064" i="58"/>
  <c r="J1064" i="58"/>
  <c r="I1051" i="58"/>
  <c r="J1051" i="58"/>
  <c r="I1050" i="58"/>
  <c r="J1050" i="58"/>
  <c r="J1063" i="58"/>
  <c r="I1063" i="58"/>
  <c r="I1062" i="58"/>
  <c r="J1062" i="58"/>
  <c r="BV1038" i="58"/>
  <c r="R1038" i="58"/>
  <c r="I1038" i="58"/>
  <c r="D1073" i="58"/>
  <c r="AE667" i="58"/>
  <c r="AJ669" i="58"/>
  <c r="AK669" i="58"/>
  <c r="AK672" i="58"/>
  <c r="AJ672" i="58"/>
  <c r="AK676" i="58"/>
  <c r="AJ676" i="58"/>
  <c r="AK666" i="58"/>
  <c r="AJ666" i="58"/>
  <c r="AK668" i="58"/>
  <c r="AJ668" i="58"/>
  <c r="AK674" i="58"/>
  <c r="AJ674" i="58"/>
  <c r="AK664" i="58"/>
  <c r="AJ664" i="58"/>
  <c r="AK663" i="58"/>
  <c r="AJ663" i="58"/>
  <c r="AJ667" i="58"/>
  <c r="AK667" i="58"/>
  <c r="AD673" i="58"/>
  <c r="AE673" i="58"/>
  <c r="AE670" i="58"/>
  <c r="AE665" i="58"/>
  <c r="AJ675" i="58"/>
  <c r="AK675" i="58"/>
  <c r="AE672" i="58"/>
  <c r="AD672" i="58"/>
  <c r="AK670" i="58"/>
  <c r="AJ670" i="58"/>
  <c r="AK671" i="58"/>
  <c r="AJ671" i="58"/>
  <c r="AJ665" i="58"/>
  <c r="AK665" i="58"/>
  <c r="AE669" i="58"/>
  <c r="AE675" i="58"/>
  <c r="AD675" i="58"/>
  <c r="AK673" i="58"/>
  <c r="AJ673" i="58"/>
  <c r="AE676" i="58"/>
  <c r="AJ662" i="58"/>
  <c r="AK662" i="58"/>
  <c r="AE671" i="58"/>
  <c r="AD671" i="58"/>
  <c r="AE666" i="58"/>
  <c r="AE668" i="58"/>
  <c r="AE674" i="58"/>
  <c r="AD674" i="58"/>
  <c r="BU1036" i="58"/>
  <c r="BV1036" i="58"/>
  <c r="I1036" i="58"/>
  <c r="AJ702" i="58"/>
  <c r="H781" i="58"/>
  <c r="J846" i="58"/>
  <c r="P846" i="58" s="1"/>
  <c r="L833" i="58"/>
  <c r="N532" i="58"/>
  <c r="BU1029" i="58"/>
  <c r="V1029" i="58" s="1"/>
  <c r="R379" i="58"/>
  <c r="R380" i="58"/>
  <c r="R1029" i="58"/>
  <c r="BV1029" i="58"/>
  <c r="F406" i="58"/>
  <c r="F416" i="58"/>
  <c r="J401" i="58"/>
  <c r="J411" i="58"/>
  <c r="F401" i="58"/>
  <c r="F411" i="58"/>
  <c r="I1029" i="58"/>
  <c r="G1030" i="58"/>
  <c r="K831" i="58"/>
  <c r="J844" i="58" s="1"/>
  <c r="P844" i="58" s="1"/>
  <c r="K830" i="58"/>
  <c r="J843" i="58" s="1"/>
  <c r="P843" i="58" s="1"/>
  <c r="P829" i="58"/>
  <c r="O842" i="58" s="1"/>
  <c r="L829" i="58"/>
  <c r="AD829" i="58"/>
  <c r="K832" i="58"/>
  <c r="J845" i="58" s="1"/>
  <c r="P845" i="58" s="1"/>
  <c r="K836" i="58"/>
  <c r="J849" i="58" s="1"/>
  <c r="P849" i="58" s="1"/>
  <c r="K835" i="58"/>
  <c r="J848" i="58" s="1"/>
  <c r="P848" i="58" s="1"/>
  <c r="K834" i="58"/>
  <c r="J847" i="58" s="1"/>
  <c r="P847" i="58" s="1"/>
  <c r="P833" i="58"/>
  <c r="O846" i="58" s="1"/>
  <c r="AD833" i="58"/>
  <c r="AK683" i="58"/>
  <c r="AK699" i="58"/>
  <c r="C716" i="58"/>
  <c r="AE688" i="58"/>
  <c r="AK677" i="58"/>
  <c r="AJ677" i="58"/>
  <c r="AE705" i="58"/>
  <c r="AK709" i="58"/>
  <c r="AJ709" i="58"/>
  <c r="O1050" i="58"/>
  <c r="O1055" i="58"/>
  <c r="AK687" i="58"/>
  <c r="AJ687" i="58"/>
  <c r="AE703" i="58"/>
  <c r="D1072" i="58"/>
  <c r="D1071" i="58"/>
  <c r="O1069" i="58"/>
  <c r="D1070" i="58"/>
  <c r="BV1034" i="58"/>
  <c r="BU1034" i="58"/>
  <c r="R1034" i="58"/>
  <c r="I1034" i="58"/>
  <c r="AE708" i="58"/>
  <c r="AJ681" i="58"/>
  <c r="AK681" i="58"/>
  <c r="V1026" i="58"/>
  <c r="U1026" i="58"/>
  <c r="AK686" i="58"/>
  <c r="AJ686" i="58"/>
  <c r="AK679" i="58"/>
  <c r="AJ679" i="58"/>
  <c r="AK701" i="58"/>
  <c r="AJ701" i="58"/>
  <c r="AJ689" i="58"/>
  <c r="AK689" i="58"/>
  <c r="AF1099" i="58"/>
  <c r="AW1091" i="58"/>
  <c r="AJ1099" i="58"/>
  <c r="BD1091" i="58"/>
  <c r="AU1091" i="58"/>
  <c r="AD1099" i="58"/>
  <c r="AJ688" i="58"/>
  <c r="AK688" i="58"/>
  <c r="AK684" i="58"/>
  <c r="AJ684" i="58"/>
  <c r="Y1010" i="58"/>
  <c r="N1010" i="58"/>
  <c r="J1017" i="58"/>
  <c r="I396" i="58" s="1"/>
  <c r="G1010" i="58"/>
  <c r="AE709" i="58"/>
  <c r="O1063" i="58"/>
  <c r="AE687" i="58"/>
  <c r="AK706" i="58"/>
  <c r="AJ706" i="58"/>
  <c r="V1028" i="58"/>
  <c r="U1028" i="58"/>
  <c r="AE686" i="58"/>
  <c r="D1045" i="58"/>
  <c r="BU1023" i="58"/>
  <c r="G1024" i="58"/>
  <c r="R1023" i="58"/>
  <c r="BV1023" i="58"/>
  <c r="I1023" i="58"/>
  <c r="AE679" i="58"/>
  <c r="AE701" i="58"/>
  <c r="D335" i="58"/>
  <c r="AJ685" i="58"/>
  <c r="AK685" i="58"/>
  <c r="B887" i="58"/>
  <c r="AK707" i="58"/>
  <c r="AJ707" i="58"/>
  <c r="AQ680" i="58"/>
  <c r="AD680" i="58"/>
  <c r="AK700" i="58"/>
  <c r="AJ700" i="58"/>
  <c r="BF1091" i="58"/>
  <c r="AL1099" i="58"/>
  <c r="O1051" i="58"/>
  <c r="O1064" i="58"/>
  <c r="O1056" i="58"/>
  <c r="O1054" i="58"/>
  <c r="AE678" i="58"/>
  <c r="AE706" i="58"/>
  <c r="AK696" i="58"/>
  <c r="AJ696" i="58"/>
  <c r="AK704" i="58"/>
  <c r="AJ704" i="58"/>
  <c r="V1032" i="58"/>
  <c r="U1032" i="58"/>
  <c r="B686" i="58"/>
  <c r="C724" i="58" s="1"/>
  <c r="AJ695" i="58"/>
  <c r="AK695" i="58"/>
  <c r="B709" i="58"/>
  <c r="AE689" i="58"/>
  <c r="AD689" i="58"/>
  <c r="AE685" i="58"/>
  <c r="AE707" i="58"/>
  <c r="AJ691" i="58"/>
  <c r="AK691" i="58"/>
  <c r="AE700" i="58"/>
  <c r="D739" i="58"/>
  <c r="C334" i="58"/>
  <c r="AE684" i="58"/>
  <c r="AK694" i="58"/>
  <c r="AJ694" i="58"/>
  <c r="AE677" i="58"/>
  <c r="AK705" i="58"/>
  <c r="AJ705" i="58"/>
  <c r="O1052" i="58"/>
  <c r="O1062" i="58"/>
  <c r="AJ678" i="58"/>
  <c r="AK678" i="58"/>
  <c r="AK703" i="58"/>
  <c r="AJ703" i="58"/>
  <c r="D1065" i="58"/>
  <c r="BV1033" i="58"/>
  <c r="BU1033" i="58"/>
  <c r="R1033" i="58"/>
  <c r="I1033" i="58"/>
  <c r="AE704" i="58"/>
  <c r="AK708" i="58"/>
  <c r="AJ708" i="58"/>
  <c r="AE681" i="58"/>
  <c r="AK690" i="58"/>
  <c r="AJ690" i="58"/>
  <c r="B689" i="58"/>
  <c r="AJ697" i="58"/>
  <c r="AK697" i="58"/>
  <c r="B680" i="58"/>
  <c r="AK692" i="58"/>
  <c r="AJ692" i="58"/>
  <c r="B707" i="58"/>
  <c r="C729" i="58" s="1"/>
  <c r="AJ693" i="58"/>
  <c r="AK693" i="58"/>
  <c r="M887" i="57"/>
  <c r="M886" i="57"/>
  <c r="G238" i="57"/>
  <c r="D231" i="57"/>
  <c r="D232" i="57"/>
  <c r="D233" i="57"/>
  <c r="D238" i="57"/>
  <c r="D239" i="57"/>
  <c r="D240" i="57"/>
  <c r="D242" i="57"/>
  <c r="D230" i="57"/>
  <c r="N877" i="57"/>
  <c r="A877" i="57" s="1"/>
  <c r="O1057" i="58" l="1"/>
  <c r="D1060" i="58"/>
  <c r="I1060" i="58" s="1"/>
  <c r="D1059" i="58"/>
  <c r="I1059" i="58" s="1"/>
  <c r="J1057" i="58"/>
  <c r="BU1030" i="58"/>
  <c r="V1030" i="58" s="1"/>
  <c r="D1058" i="58"/>
  <c r="I1058" i="58" s="1"/>
  <c r="I1065" i="58"/>
  <c r="J1065" i="58"/>
  <c r="J1045" i="58"/>
  <c r="I1045" i="58"/>
  <c r="I1070" i="58"/>
  <c r="J1070" i="58"/>
  <c r="I1071" i="58"/>
  <c r="J1071" i="58"/>
  <c r="I1072" i="58"/>
  <c r="J1072" i="58"/>
  <c r="I1073" i="58"/>
  <c r="J1073" i="58"/>
  <c r="D1076" i="58"/>
  <c r="O1073" i="58"/>
  <c r="D1075" i="58"/>
  <c r="D1074" i="58"/>
  <c r="H782" i="58"/>
  <c r="H716" i="58"/>
  <c r="BV1030" i="58"/>
  <c r="U1029" i="58"/>
  <c r="R716" i="58"/>
  <c r="M716" i="58"/>
  <c r="I1030" i="58"/>
  <c r="R1030" i="58"/>
  <c r="N716" i="58"/>
  <c r="J406" i="58"/>
  <c r="J416" i="58"/>
  <c r="L716" i="58"/>
  <c r="Q716" i="58"/>
  <c r="Y716" i="58"/>
  <c r="V716" i="58"/>
  <c r="Z716" i="58"/>
  <c r="F716" i="58"/>
  <c r="N717" i="58"/>
  <c r="W716" i="58"/>
  <c r="P835" i="58"/>
  <c r="O848" i="58" s="1"/>
  <c r="L835" i="58"/>
  <c r="AD835" i="58"/>
  <c r="P836" i="58"/>
  <c r="O849" i="58" s="1"/>
  <c r="L836" i="58"/>
  <c r="AD836" i="58"/>
  <c r="P832" i="58"/>
  <c r="O845" i="58" s="1"/>
  <c r="L832" i="58"/>
  <c r="AD832" i="58"/>
  <c r="L830" i="58"/>
  <c r="AD830" i="58"/>
  <c r="P830" i="58"/>
  <c r="O843" i="58" s="1"/>
  <c r="P831" i="58"/>
  <c r="O844" i="58" s="1"/>
  <c r="L831" i="58"/>
  <c r="AD831" i="58"/>
  <c r="L834" i="58"/>
  <c r="AD834" i="58"/>
  <c r="P834" i="58"/>
  <c r="O847" i="58" s="1"/>
  <c r="E717" i="58"/>
  <c r="T717" i="58"/>
  <c r="G717" i="58"/>
  <c r="R717" i="58"/>
  <c r="O717" i="58"/>
  <c r="Z719" i="58"/>
  <c r="Q717" i="58"/>
  <c r="S717" i="58"/>
  <c r="G716" i="58"/>
  <c r="S716" i="58"/>
  <c r="H717" i="58"/>
  <c r="V717" i="58"/>
  <c r="F717" i="58"/>
  <c r="Y717" i="58"/>
  <c r="L717" i="58"/>
  <c r="M717" i="58" s="1"/>
  <c r="Z717" i="58"/>
  <c r="E716" i="58"/>
  <c r="O716" i="58"/>
  <c r="T716" i="58"/>
  <c r="W717" i="58"/>
  <c r="O1072" i="58"/>
  <c r="N719" i="58"/>
  <c r="S719" i="58"/>
  <c r="D1068" i="58"/>
  <c r="D1066" i="58"/>
  <c r="D1067" i="58"/>
  <c r="O1065" i="58"/>
  <c r="C335" i="58"/>
  <c r="B687" i="58"/>
  <c r="C725" i="58" s="1"/>
  <c r="C718" i="58"/>
  <c r="R1024" i="58"/>
  <c r="BV1024" i="58"/>
  <c r="I1024" i="58"/>
  <c r="BU1024" i="58"/>
  <c r="O1071" i="58"/>
  <c r="Y719" i="58"/>
  <c r="L719" i="58"/>
  <c r="M719" i="58" s="1"/>
  <c r="W719" i="58"/>
  <c r="E719" i="58"/>
  <c r="Y724" i="58"/>
  <c r="T724" i="58"/>
  <c r="O724" i="58"/>
  <c r="G724" i="58"/>
  <c r="E724" i="58"/>
  <c r="L724" i="58"/>
  <c r="S724" i="58"/>
  <c r="Z724" i="58"/>
  <c r="H724" i="58"/>
  <c r="N724" i="58"/>
  <c r="F724" i="58"/>
  <c r="V1023" i="58"/>
  <c r="U1023" i="58"/>
  <c r="T719" i="58"/>
  <c r="G719" i="58"/>
  <c r="Q719" i="58"/>
  <c r="D1046" i="58"/>
  <c r="D1047" i="58"/>
  <c r="O1045" i="58"/>
  <c r="O1070" i="58"/>
  <c r="H719" i="58"/>
  <c r="R719" i="58"/>
  <c r="F719" i="58"/>
  <c r="O719" i="58"/>
  <c r="V719" i="58"/>
  <c r="A51" i="57"/>
  <c r="B51" i="57"/>
  <c r="Y889" i="57"/>
  <c r="X889" i="57"/>
  <c r="Y888" i="57"/>
  <c r="X888" i="57"/>
  <c r="Y887" i="57"/>
  <c r="X887" i="57"/>
  <c r="Y886" i="57"/>
  <c r="X886" i="57"/>
  <c r="M724" i="58" l="1"/>
  <c r="O1060" i="58"/>
  <c r="J1060" i="58"/>
  <c r="U1030" i="58"/>
  <c r="O1059" i="58"/>
  <c r="J1059" i="58"/>
  <c r="J1058" i="58"/>
  <c r="O1058" i="58"/>
  <c r="I1047" i="58"/>
  <c r="J1047" i="58"/>
  <c r="J1066" i="58"/>
  <c r="I1066" i="58"/>
  <c r="I1074" i="58"/>
  <c r="J1074" i="58"/>
  <c r="I1046" i="58"/>
  <c r="J1046" i="58"/>
  <c r="I1068" i="58"/>
  <c r="J1068" i="58"/>
  <c r="I1075" i="58"/>
  <c r="J1075" i="58"/>
  <c r="J1076" i="58"/>
  <c r="I1076" i="58"/>
  <c r="J1067" i="58"/>
  <c r="I1067" i="58"/>
  <c r="O1076" i="58"/>
  <c r="O1074" i="58"/>
  <c r="O1075" i="58"/>
  <c r="O1047" i="58"/>
  <c r="D1048" i="58"/>
  <c r="V1024" i="58"/>
  <c r="U1024" i="58"/>
  <c r="Z725" i="58"/>
  <c r="Q725" i="58"/>
  <c r="E725" i="58"/>
  <c r="S725" i="58"/>
  <c r="O725" i="58"/>
  <c r="G725" i="58"/>
  <c r="N725" i="58"/>
  <c r="F725" i="58"/>
  <c r="T725" i="58"/>
  <c r="L725" i="58"/>
  <c r="Y725" i="58"/>
  <c r="H725" i="58"/>
  <c r="O1066" i="58"/>
  <c r="AD687" i="58"/>
  <c r="O1068" i="58"/>
  <c r="O1046" i="58"/>
  <c r="O1067" i="58"/>
  <c r="Y718" i="58"/>
  <c r="T718" i="58"/>
  <c r="L718" i="58"/>
  <c r="M718" i="58" s="1"/>
  <c r="H718" i="58"/>
  <c r="W718" i="58"/>
  <c r="R718" i="58"/>
  <c r="N718" i="58"/>
  <c r="F718" i="58"/>
  <c r="V718" i="58"/>
  <c r="E718" i="58"/>
  <c r="S718" i="58"/>
  <c r="Z718" i="58"/>
  <c r="Q718" i="58"/>
  <c r="O718" i="58"/>
  <c r="G718" i="58"/>
  <c r="B887" i="57"/>
  <c r="B888" i="57"/>
  <c r="AA855" i="57"/>
  <c r="AA856" i="57"/>
  <c r="AA867" i="57"/>
  <c r="AA869" i="57"/>
  <c r="V844" i="57"/>
  <c r="V845" i="57"/>
  <c r="V848" i="57"/>
  <c r="V849" i="57"/>
  <c r="V850" i="57"/>
  <c r="V869" i="57"/>
  <c r="U844" i="57"/>
  <c r="U845" i="57"/>
  <c r="U848" i="57"/>
  <c r="U849" i="57"/>
  <c r="U850" i="57"/>
  <c r="U869" i="57"/>
  <c r="AD867" i="57"/>
  <c r="AD869" i="57"/>
  <c r="AA854" i="57"/>
  <c r="Q807" i="57"/>
  <c r="Q808" i="57"/>
  <c r="Q814" i="57"/>
  <c r="Q815" i="57"/>
  <c r="R755" i="57"/>
  <c r="R761" i="57" s="1"/>
  <c r="A640" i="54"/>
  <c r="U640" i="54"/>
  <c r="V640" i="54"/>
  <c r="W640" i="54"/>
  <c r="AA640" i="54"/>
  <c r="AD801" i="58" l="1"/>
  <c r="Q801" i="58" s="1"/>
  <c r="Q392" i="57"/>
  <c r="AC400" i="57" s="1"/>
  <c r="AD800" i="58"/>
  <c r="Q800" i="58" s="1"/>
  <c r="Q391" i="57"/>
  <c r="AD794" i="58"/>
  <c r="Q794" i="58" s="1"/>
  <c r="Q385" i="57"/>
  <c r="AD793" i="58"/>
  <c r="Q793" i="58" s="1"/>
  <c r="Q384" i="57"/>
  <c r="M725" i="58"/>
  <c r="I1048" i="58"/>
  <c r="J1048" i="58"/>
  <c r="O1048" i="58"/>
  <c r="M892" i="58"/>
  <c r="B889" i="57"/>
  <c r="P359" i="58" l="1"/>
  <c r="Q375" i="58" s="1"/>
  <c r="P356" i="58"/>
  <c r="Q371" i="58" s="1"/>
  <c r="P355" i="58"/>
  <c r="P358" i="58"/>
  <c r="A696" i="58"/>
  <c r="B696" i="58"/>
  <c r="AE696" i="58"/>
  <c r="B695" i="58"/>
  <c r="A695" i="58"/>
  <c r="AE695" i="58"/>
  <c r="B691" i="58"/>
  <c r="A691" i="58"/>
  <c r="AE691" i="58"/>
  <c r="A692" i="58"/>
  <c r="B692" i="58"/>
  <c r="AE692" i="58"/>
  <c r="B697" i="58"/>
  <c r="A697" i="58"/>
  <c r="AE697" i="58"/>
  <c r="A690" i="58"/>
  <c r="B690" i="58"/>
  <c r="AE690" i="58"/>
  <c r="B693" i="58"/>
  <c r="A693" i="58"/>
  <c r="AE693" i="58"/>
  <c r="A694" i="58"/>
  <c r="B694" i="58"/>
  <c r="AE694" i="58"/>
  <c r="AC510" i="54"/>
  <c r="AD510" i="54"/>
  <c r="AC511" i="54"/>
  <c r="AD511" i="54"/>
  <c r="A511" i="54"/>
  <c r="A510" i="54"/>
  <c r="H50" i="4"/>
  <c r="F50" i="4"/>
  <c r="F53" i="54" l="1"/>
  <c r="F50" i="58"/>
  <c r="F50" i="57"/>
  <c r="H53" i="54"/>
  <c r="H50" i="58"/>
  <c r="H50" i="57"/>
  <c r="O728" i="58"/>
  <c r="F727" i="58"/>
  <c r="S727" i="58"/>
  <c r="H727" i="58"/>
  <c r="Z728" i="58"/>
  <c r="F729" i="58"/>
  <c r="L729" i="58"/>
  <c r="Z729" i="58"/>
  <c r="S728" i="58"/>
  <c r="Q727" i="58"/>
  <c r="L728" i="58"/>
  <c r="G727" i="58"/>
  <c r="T728" i="58"/>
  <c r="Y729" i="58"/>
  <c r="H729" i="58"/>
  <c r="Q729" i="58"/>
  <c r="E729" i="58"/>
  <c r="H728" i="58"/>
  <c r="Z727" i="58"/>
  <c r="Y727" i="58"/>
  <c r="N729" i="58"/>
  <c r="T729" i="58"/>
  <c r="O729" i="58"/>
  <c r="N727" i="58"/>
  <c r="L727" i="58"/>
  <c r="N728" i="58"/>
  <c r="S729" i="58"/>
  <c r="G729" i="58"/>
  <c r="T727" i="58"/>
  <c r="E727" i="58"/>
  <c r="Y728" i="58"/>
  <c r="E728" i="58"/>
  <c r="O727" i="58"/>
  <c r="G728" i="58"/>
  <c r="F728" i="58"/>
  <c r="F51" i="4"/>
  <c r="H51" i="4"/>
  <c r="B667" i="54"/>
  <c r="B668" i="54"/>
  <c r="B669" i="54" s="1"/>
  <c r="M727" i="58" l="1"/>
  <c r="M728" i="58"/>
  <c r="M729" i="58"/>
  <c r="H51" i="58"/>
  <c r="H51" i="57"/>
  <c r="H54" i="54"/>
  <c r="F54" i="54"/>
  <c r="F51" i="58"/>
  <c r="F51" i="57"/>
  <c r="AO1111" i="57"/>
  <c r="BJ1103" i="57"/>
  <c r="Q1103" i="57"/>
  <c r="L1010" i="57"/>
  <c r="L438" i="57" s="1"/>
  <c r="K1010" i="57"/>
  <c r="J1010" i="57"/>
  <c r="L1009" i="57"/>
  <c r="L437" i="57" s="1"/>
  <c r="K1009" i="57"/>
  <c r="J1009" i="57"/>
  <c r="D915" i="57"/>
  <c r="M913" i="57"/>
  <c r="D913" i="57"/>
  <c r="M912" i="57"/>
  <c r="D911" i="57"/>
  <c r="D909" i="57"/>
  <c r="D907" i="57"/>
  <c r="D905" i="57"/>
  <c r="D903" i="57"/>
  <c r="N885" i="57"/>
  <c r="D885" i="57"/>
  <c r="N883" i="57"/>
  <c r="A883" i="57" s="1"/>
  <c r="D883" i="57"/>
  <c r="N881" i="57"/>
  <c r="A881" i="57" s="1"/>
  <c r="N879" i="57"/>
  <c r="A879" i="57" s="1"/>
  <c r="AA853" i="57"/>
  <c r="AA852" i="57"/>
  <c r="AA851" i="57"/>
  <c r="AA850" i="57"/>
  <c r="AA849" i="57"/>
  <c r="AA848" i="57"/>
  <c r="AA845" i="57"/>
  <c r="AA844" i="57"/>
  <c r="AA843" i="57"/>
  <c r="AA842" i="57"/>
  <c r="R754" i="57"/>
  <c r="R759" i="57" s="1"/>
  <c r="V580" i="57"/>
  <c r="V585" i="57" s="1"/>
  <c r="V560" i="57"/>
  <c r="V565" i="57" s="1"/>
  <c r="V550" i="57"/>
  <c r="V555" i="57" s="1"/>
  <c r="V530" i="57"/>
  <c r="V535" i="57" s="1"/>
  <c r="U511" i="57"/>
  <c r="U516" i="57" s="1"/>
  <c r="U491" i="57"/>
  <c r="U496" i="57" s="1"/>
  <c r="U486" i="57"/>
  <c r="U461" i="57"/>
  <c r="U466" i="57" s="1"/>
  <c r="I448" i="57"/>
  <c r="I443" i="57"/>
  <c r="G242" i="57"/>
  <c r="G240" i="57"/>
  <c r="C208" i="57"/>
  <c r="B208" i="57"/>
  <c r="AQ1111" i="57" s="1"/>
  <c r="AQ1113" i="57" s="1"/>
  <c r="A208" i="57"/>
  <c r="C207" i="57"/>
  <c r="B207" i="57"/>
  <c r="A207" i="57"/>
  <c r="B206" i="57"/>
  <c r="A206" i="57"/>
  <c r="C203" i="57"/>
  <c r="B203" i="57"/>
  <c r="BN1103" i="57" s="1"/>
  <c r="BN1105" i="57" s="1"/>
  <c r="A203" i="57"/>
  <c r="C202" i="57"/>
  <c r="B202" i="57"/>
  <c r="A202" i="57"/>
  <c r="B201" i="57"/>
  <c r="A201" i="57"/>
  <c r="C198" i="57"/>
  <c r="B198" i="57"/>
  <c r="BM1103" i="57" s="1"/>
  <c r="A198" i="57"/>
  <c r="C197" i="57"/>
  <c r="A197" i="57"/>
  <c r="B196" i="57"/>
  <c r="A196" i="57"/>
  <c r="E195" i="57"/>
  <c r="D195" i="57"/>
  <c r="C195" i="57"/>
  <c r="B195" i="57"/>
  <c r="A195" i="57"/>
  <c r="E193" i="57"/>
  <c r="P1103" i="57" s="1"/>
  <c r="D193" i="57"/>
  <c r="O1103" i="57" s="1"/>
  <c r="C193" i="57"/>
  <c r="B193" i="57"/>
  <c r="A193" i="57"/>
  <c r="E192" i="57"/>
  <c r="D192" i="57"/>
  <c r="C192" i="57"/>
  <c r="B192" i="57"/>
  <c r="A192" i="57"/>
  <c r="B191" i="57"/>
  <c r="A191" i="57"/>
  <c r="H190" i="57"/>
  <c r="G190" i="57"/>
  <c r="F190" i="57"/>
  <c r="E190" i="57"/>
  <c r="D190" i="57"/>
  <c r="C190" i="57"/>
  <c r="A190" i="57"/>
  <c r="H189" i="57"/>
  <c r="G189" i="57"/>
  <c r="F189" i="57"/>
  <c r="E189" i="57"/>
  <c r="D189" i="57"/>
  <c r="C189" i="57"/>
  <c r="B189" i="57"/>
  <c r="A189" i="57"/>
  <c r="H188" i="57"/>
  <c r="G188" i="57"/>
  <c r="C188" i="57"/>
  <c r="B188" i="57"/>
  <c r="A188" i="57"/>
  <c r="B187" i="57"/>
  <c r="A187" i="57"/>
  <c r="M146" i="57"/>
  <c r="L146" i="57"/>
  <c r="I146" i="57"/>
  <c r="H146" i="57"/>
  <c r="F146" i="57"/>
  <c r="E146" i="57"/>
  <c r="A146" i="57"/>
  <c r="M145" i="57"/>
  <c r="L145" i="57"/>
  <c r="I145" i="57"/>
  <c r="H145" i="57"/>
  <c r="F145" i="57"/>
  <c r="E145" i="57"/>
  <c r="A145" i="57"/>
  <c r="M144" i="57"/>
  <c r="L144" i="57"/>
  <c r="I144" i="57"/>
  <c r="H144" i="57"/>
  <c r="F144" i="57"/>
  <c r="E144" i="57"/>
  <c r="A144" i="57"/>
  <c r="M143" i="57"/>
  <c r="L143" i="57"/>
  <c r="I143" i="57"/>
  <c r="H143" i="57"/>
  <c r="F143" i="57"/>
  <c r="E143" i="57"/>
  <c r="A143" i="57"/>
  <c r="M142" i="57"/>
  <c r="L142" i="57"/>
  <c r="I142" i="57"/>
  <c r="H142" i="57"/>
  <c r="F142" i="57"/>
  <c r="E142" i="57"/>
  <c r="A142" i="57"/>
  <c r="M141" i="57"/>
  <c r="L141" i="57"/>
  <c r="I141" i="57"/>
  <c r="H141" i="57"/>
  <c r="F141" i="57"/>
  <c r="E141" i="57"/>
  <c r="A141" i="57"/>
  <c r="M140" i="57"/>
  <c r="L140" i="57"/>
  <c r="I140" i="57"/>
  <c r="H140" i="57"/>
  <c r="F140" i="57"/>
  <c r="E140" i="57"/>
  <c r="A140" i="57"/>
  <c r="M139" i="57"/>
  <c r="L139" i="57"/>
  <c r="I139" i="57"/>
  <c r="H139" i="57"/>
  <c r="F139" i="57"/>
  <c r="E139" i="57"/>
  <c r="A139" i="57"/>
  <c r="M138" i="57"/>
  <c r="L138" i="57"/>
  <c r="I138" i="57"/>
  <c r="H138" i="57"/>
  <c r="F138" i="57"/>
  <c r="E138" i="57"/>
  <c r="A138" i="57"/>
  <c r="M137" i="57"/>
  <c r="L137" i="57"/>
  <c r="I137" i="57"/>
  <c r="H137" i="57"/>
  <c r="F137" i="57"/>
  <c r="E137" i="57"/>
  <c r="A137" i="57"/>
  <c r="M136" i="57"/>
  <c r="L136" i="57"/>
  <c r="I136" i="57"/>
  <c r="H136" i="57"/>
  <c r="F136" i="57"/>
  <c r="E136" i="57"/>
  <c r="A136" i="57"/>
  <c r="M135" i="57"/>
  <c r="L135" i="57"/>
  <c r="I135" i="57"/>
  <c r="H135" i="57"/>
  <c r="F135" i="57"/>
  <c r="E135" i="57"/>
  <c r="A135" i="57"/>
  <c r="M134" i="57"/>
  <c r="L134" i="57"/>
  <c r="I134" i="57"/>
  <c r="H134" i="57"/>
  <c r="F134" i="57"/>
  <c r="E134" i="57"/>
  <c r="A134" i="57"/>
  <c r="M133" i="57"/>
  <c r="L133" i="57"/>
  <c r="I133" i="57"/>
  <c r="H133" i="57"/>
  <c r="F133" i="57"/>
  <c r="E133" i="57"/>
  <c r="A133" i="57"/>
  <c r="M132" i="57"/>
  <c r="L132" i="57"/>
  <c r="I132" i="57"/>
  <c r="H132" i="57"/>
  <c r="F132" i="57"/>
  <c r="E132" i="57"/>
  <c r="A132" i="57"/>
  <c r="M131" i="57"/>
  <c r="L131" i="57"/>
  <c r="I131" i="57"/>
  <c r="H131" i="57"/>
  <c r="F131" i="57"/>
  <c r="E131" i="57"/>
  <c r="A131" i="57"/>
  <c r="M130" i="57"/>
  <c r="L130" i="57"/>
  <c r="I130" i="57"/>
  <c r="H130" i="57"/>
  <c r="F130" i="57"/>
  <c r="E130" i="57"/>
  <c r="A130" i="57"/>
  <c r="M129" i="57"/>
  <c r="L129" i="57"/>
  <c r="I129" i="57"/>
  <c r="H129" i="57"/>
  <c r="F129" i="57"/>
  <c r="E129" i="57"/>
  <c r="A129" i="57"/>
  <c r="M128" i="57"/>
  <c r="L128" i="57"/>
  <c r="I128" i="57"/>
  <c r="H128" i="57"/>
  <c r="F128" i="57"/>
  <c r="E128" i="57"/>
  <c r="A128" i="57"/>
  <c r="M127" i="57"/>
  <c r="L127" i="57"/>
  <c r="I127" i="57"/>
  <c r="H127" i="57"/>
  <c r="F127" i="57"/>
  <c r="E127" i="57"/>
  <c r="A127" i="57"/>
  <c r="M126" i="57"/>
  <c r="L126" i="57"/>
  <c r="I126" i="57"/>
  <c r="H126" i="57"/>
  <c r="F126" i="57"/>
  <c r="E126" i="57"/>
  <c r="A126" i="57"/>
  <c r="M125" i="57"/>
  <c r="L125" i="57"/>
  <c r="I125" i="57"/>
  <c r="H125" i="57"/>
  <c r="F125" i="57"/>
  <c r="E125" i="57"/>
  <c r="A125" i="57"/>
  <c r="M124" i="57"/>
  <c r="L124" i="57"/>
  <c r="I124" i="57"/>
  <c r="H124" i="57"/>
  <c r="F124" i="57"/>
  <c r="E124" i="57"/>
  <c r="A124" i="57"/>
  <c r="M123" i="57"/>
  <c r="L123" i="57"/>
  <c r="I123" i="57"/>
  <c r="H123" i="57"/>
  <c r="F123" i="57"/>
  <c r="E123" i="57"/>
  <c r="A123" i="57"/>
  <c r="M122" i="57"/>
  <c r="L122" i="57"/>
  <c r="I122" i="57"/>
  <c r="H122" i="57"/>
  <c r="F122" i="57"/>
  <c r="E122" i="57"/>
  <c r="A122" i="57"/>
  <c r="M121" i="57"/>
  <c r="L121" i="57"/>
  <c r="K121" i="57"/>
  <c r="J121" i="57"/>
  <c r="I121" i="57"/>
  <c r="H121" i="57"/>
  <c r="F121" i="57"/>
  <c r="E121" i="57"/>
  <c r="A121" i="57"/>
  <c r="M120" i="57"/>
  <c r="L120" i="57"/>
  <c r="K120" i="57"/>
  <c r="J120" i="57"/>
  <c r="I120" i="57"/>
  <c r="H120" i="57"/>
  <c r="F120" i="57"/>
  <c r="E120" i="57"/>
  <c r="A120" i="57"/>
  <c r="M119" i="57"/>
  <c r="L119" i="57"/>
  <c r="K119" i="57"/>
  <c r="J119" i="57"/>
  <c r="I119" i="57"/>
  <c r="H119" i="57"/>
  <c r="F119" i="57"/>
  <c r="E119" i="57"/>
  <c r="A119" i="57"/>
  <c r="M118" i="57"/>
  <c r="L118" i="57"/>
  <c r="K118" i="57"/>
  <c r="J118" i="57"/>
  <c r="I118" i="57"/>
  <c r="H118" i="57"/>
  <c r="F118" i="57"/>
  <c r="E118" i="57"/>
  <c r="A118" i="57"/>
  <c r="M117" i="57"/>
  <c r="L117" i="57"/>
  <c r="K117" i="57"/>
  <c r="J117" i="57"/>
  <c r="I117" i="57"/>
  <c r="H117" i="57"/>
  <c r="F117" i="57"/>
  <c r="E117" i="57"/>
  <c r="A117" i="57"/>
  <c r="M116" i="57"/>
  <c r="L116" i="57"/>
  <c r="K116" i="57"/>
  <c r="J116" i="57"/>
  <c r="I116" i="57"/>
  <c r="H116" i="57"/>
  <c r="G116" i="57"/>
  <c r="F116" i="57"/>
  <c r="E116" i="57"/>
  <c r="D116" i="57"/>
  <c r="C116" i="57"/>
  <c r="B116" i="57"/>
  <c r="A116" i="57"/>
  <c r="F115" i="57"/>
  <c r="B115" i="57"/>
  <c r="A115" i="57"/>
  <c r="M114" i="57"/>
  <c r="L114" i="57"/>
  <c r="K114" i="57"/>
  <c r="J114" i="57"/>
  <c r="I114" i="57"/>
  <c r="H114" i="57"/>
  <c r="F114" i="57"/>
  <c r="E114" i="57"/>
  <c r="A114" i="57"/>
  <c r="M113" i="57"/>
  <c r="L113" i="57"/>
  <c r="K113" i="57"/>
  <c r="J113" i="57"/>
  <c r="I113" i="57"/>
  <c r="H113" i="57"/>
  <c r="F113" i="57"/>
  <c r="E113" i="57"/>
  <c r="A113" i="57"/>
  <c r="M112" i="57"/>
  <c r="L112" i="57"/>
  <c r="K112" i="57"/>
  <c r="J112" i="57"/>
  <c r="I112" i="57"/>
  <c r="H112" i="57"/>
  <c r="F112" i="57"/>
  <c r="E112" i="57"/>
  <c r="A112" i="57"/>
  <c r="M111" i="57"/>
  <c r="L111" i="57"/>
  <c r="K111" i="57"/>
  <c r="J111" i="57"/>
  <c r="I111" i="57"/>
  <c r="H111" i="57"/>
  <c r="F111" i="57"/>
  <c r="E111" i="57"/>
  <c r="A111" i="57"/>
  <c r="M110" i="57"/>
  <c r="L110" i="57"/>
  <c r="K110" i="57"/>
  <c r="J110" i="57"/>
  <c r="I110" i="57"/>
  <c r="H110" i="57"/>
  <c r="F110" i="57"/>
  <c r="E110" i="57"/>
  <c r="A110" i="57"/>
  <c r="M109" i="57"/>
  <c r="L109" i="57"/>
  <c r="K109" i="57"/>
  <c r="J109" i="57"/>
  <c r="I109" i="57"/>
  <c r="H109" i="57"/>
  <c r="F109" i="57"/>
  <c r="E109" i="57"/>
  <c r="A109" i="57"/>
  <c r="M108" i="57"/>
  <c r="L108" i="57"/>
  <c r="K108" i="57"/>
  <c r="J108" i="57"/>
  <c r="I108" i="57"/>
  <c r="H108" i="57"/>
  <c r="F108" i="57"/>
  <c r="E108" i="57"/>
  <c r="A108" i="57"/>
  <c r="M107" i="57"/>
  <c r="L107" i="57"/>
  <c r="K107" i="57"/>
  <c r="J107" i="57"/>
  <c r="I107" i="57"/>
  <c r="H107" i="57"/>
  <c r="F107" i="57"/>
  <c r="E107" i="57"/>
  <c r="A107" i="57"/>
  <c r="M106" i="57"/>
  <c r="L106" i="57"/>
  <c r="K106" i="57"/>
  <c r="J106" i="57"/>
  <c r="I106" i="57"/>
  <c r="H106" i="57"/>
  <c r="F106" i="57"/>
  <c r="E106" i="57"/>
  <c r="A106" i="57"/>
  <c r="M105" i="57"/>
  <c r="L105" i="57"/>
  <c r="K105" i="57"/>
  <c r="J105" i="57"/>
  <c r="I105" i="57"/>
  <c r="H105" i="57"/>
  <c r="F105" i="57"/>
  <c r="E105" i="57"/>
  <c r="A105" i="57"/>
  <c r="M104" i="57"/>
  <c r="L104" i="57"/>
  <c r="K104" i="57"/>
  <c r="J104" i="57"/>
  <c r="I104" i="57"/>
  <c r="H104" i="57"/>
  <c r="F104" i="57"/>
  <c r="E104" i="57"/>
  <c r="A104" i="57"/>
  <c r="M103" i="57"/>
  <c r="L103" i="57"/>
  <c r="K103" i="57"/>
  <c r="J103" i="57"/>
  <c r="I103" i="57"/>
  <c r="H103" i="57"/>
  <c r="F103" i="57"/>
  <c r="E103" i="57"/>
  <c r="A103" i="57"/>
  <c r="M102" i="57"/>
  <c r="L102" i="57"/>
  <c r="K102" i="57"/>
  <c r="J102" i="57"/>
  <c r="I102" i="57"/>
  <c r="H102" i="57"/>
  <c r="F102" i="57"/>
  <c r="E102" i="57"/>
  <c r="A102" i="57"/>
  <c r="M101" i="57"/>
  <c r="L101" i="57"/>
  <c r="K101" i="57"/>
  <c r="J101" i="57"/>
  <c r="I101" i="57"/>
  <c r="H101" i="57"/>
  <c r="F101" i="57"/>
  <c r="E101" i="57"/>
  <c r="A101" i="57"/>
  <c r="M100" i="57"/>
  <c r="L100" i="57"/>
  <c r="K100" i="57"/>
  <c r="J100" i="57"/>
  <c r="I100" i="57"/>
  <c r="H100" i="57"/>
  <c r="F100" i="57"/>
  <c r="E100" i="57"/>
  <c r="A100" i="57"/>
  <c r="M99" i="57"/>
  <c r="L99" i="57"/>
  <c r="K99" i="57"/>
  <c r="J99" i="57"/>
  <c r="I99" i="57"/>
  <c r="H99" i="57"/>
  <c r="F99" i="57"/>
  <c r="E99" i="57"/>
  <c r="A99" i="57"/>
  <c r="M98" i="57"/>
  <c r="L98" i="57"/>
  <c r="K98" i="57"/>
  <c r="J98" i="57"/>
  <c r="I98" i="57"/>
  <c r="H98" i="57"/>
  <c r="F98" i="57"/>
  <c r="E98" i="57"/>
  <c r="A98" i="57"/>
  <c r="M97" i="57"/>
  <c r="L97" i="57"/>
  <c r="K97" i="57"/>
  <c r="J97" i="57"/>
  <c r="I97" i="57"/>
  <c r="H97" i="57"/>
  <c r="F97" i="57"/>
  <c r="E97" i="57"/>
  <c r="A97" i="57"/>
  <c r="M96" i="57"/>
  <c r="L96" i="57"/>
  <c r="K96" i="57"/>
  <c r="J96" i="57"/>
  <c r="I96" i="57"/>
  <c r="H96" i="57"/>
  <c r="F96" i="57"/>
  <c r="E96" i="57"/>
  <c r="A96" i="57"/>
  <c r="M95" i="57"/>
  <c r="L95" i="57"/>
  <c r="K95" i="57"/>
  <c r="J95" i="57"/>
  <c r="I95" i="57"/>
  <c r="H95" i="57"/>
  <c r="F95" i="57"/>
  <c r="E95" i="57"/>
  <c r="A95" i="57"/>
  <c r="M94" i="57"/>
  <c r="L94" i="57"/>
  <c r="K94" i="57"/>
  <c r="J94" i="57"/>
  <c r="I94" i="57"/>
  <c r="H94" i="57"/>
  <c r="F94" i="57"/>
  <c r="E94" i="57"/>
  <c r="A94" i="57"/>
  <c r="M93" i="57"/>
  <c r="L93" i="57"/>
  <c r="K93" i="57"/>
  <c r="J93" i="57"/>
  <c r="I93" i="57"/>
  <c r="H93" i="57"/>
  <c r="F93" i="57"/>
  <c r="E93" i="57"/>
  <c r="A93" i="57"/>
  <c r="M92" i="57"/>
  <c r="L92" i="57"/>
  <c r="K92" i="57"/>
  <c r="J92" i="57"/>
  <c r="I92" i="57"/>
  <c r="H92" i="57"/>
  <c r="F92" i="57"/>
  <c r="E92" i="57"/>
  <c r="A92" i="57"/>
  <c r="M91" i="57"/>
  <c r="L91" i="57"/>
  <c r="K91" i="57"/>
  <c r="J91" i="57"/>
  <c r="I91" i="57"/>
  <c r="H91" i="57"/>
  <c r="F91" i="57"/>
  <c r="E91" i="57"/>
  <c r="A91" i="57"/>
  <c r="M90" i="57"/>
  <c r="L90" i="57"/>
  <c r="K90" i="57"/>
  <c r="J90" i="57"/>
  <c r="I90" i="57"/>
  <c r="H90" i="57"/>
  <c r="F90" i="57"/>
  <c r="E90" i="57"/>
  <c r="A90" i="57"/>
  <c r="M89" i="57"/>
  <c r="L89" i="57"/>
  <c r="K89" i="57"/>
  <c r="J89" i="57"/>
  <c r="I89" i="57"/>
  <c r="H89" i="57"/>
  <c r="F89" i="57"/>
  <c r="E89" i="57"/>
  <c r="A89" i="57"/>
  <c r="M88" i="57"/>
  <c r="L88" i="57"/>
  <c r="K88" i="57"/>
  <c r="J88" i="57"/>
  <c r="I88" i="57"/>
  <c r="H88" i="57"/>
  <c r="F88" i="57"/>
  <c r="E88" i="57"/>
  <c r="A88" i="57"/>
  <c r="M87" i="57"/>
  <c r="L87" i="57"/>
  <c r="K87" i="57"/>
  <c r="J87" i="57"/>
  <c r="I87" i="57"/>
  <c r="H87" i="57"/>
  <c r="F87" i="57"/>
  <c r="E87" i="57"/>
  <c r="A87" i="57"/>
  <c r="M86" i="57"/>
  <c r="L86" i="57"/>
  <c r="K86" i="57"/>
  <c r="J86" i="57"/>
  <c r="I86" i="57"/>
  <c r="H86" i="57"/>
  <c r="F86" i="57"/>
  <c r="E86" i="57"/>
  <c r="A86" i="57"/>
  <c r="M85" i="57"/>
  <c r="L85" i="57"/>
  <c r="K85" i="57"/>
  <c r="J85" i="57"/>
  <c r="I85" i="57"/>
  <c r="H85" i="57"/>
  <c r="F85" i="57"/>
  <c r="E85" i="57"/>
  <c r="A85" i="57"/>
  <c r="M84" i="57"/>
  <c r="L84" i="57"/>
  <c r="K84" i="57"/>
  <c r="J84" i="57"/>
  <c r="I84" i="57"/>
  <c r="H84" i="57"/>
  <c r="F84" i="57"/>
  <c r="E84" i="57"/>
  <c r="A84" i="57"/>
  <c r="M83" i="57"/>
  <c r="L83" i="57"/>
  <c r="K83" i="57"/>
  <c r="J83" i="57"/>
  <c r="I83" i="57"/>
  <c r="H83" i="57"/>
  <c r="F83" i="57"/>
  <c r="E83" i="57"/>
  <c r="A83" i="57"/>
  <c r="M82" i="57"/>
  <c r="L82" i="57"/>
  <c r="K82" i="57"/>
  <c r="J82" i="57"/>
  <c r="I82" i="57"/>
  <c r="H82" i="57"/>
  <c r="F82" i="57"/>
  <c r="E82" i="57"/>
  <c r="A82" i="57"/>
  <c r="M81" i="57"/>
  <c r="L81" i="57"/>
  <c r="K81" i="57"/>
  <c r="J81" i="57"/>
  <c r="I81" i="57"/>
  <c r="H81" i="57"/>
  <c r="F81" i="57"/>
  <c r="E81" i="57"/>
  <c r="A81" i="57"/>
  <c r="M80" i="57"/>
  <c r="L80" i="57"/>
  <c r="K80" i="57"/>
  <c r="J80" i="57"/>
  <c r="I80" i="57"/>
  <c r="H80" i="57"/>
  <c r="F80" i="57"/>
  <c r="E80" i="57"/>
  <c r="A80" i="57"/>
  <c r="M79" i="57"/>
  <c r="L79" i="57"/>
  <c r="K79" i="57"/>
  <c r="J79" i="57"/>
  <c r="I79" i="57"/>
  <c r="H79" i="57"/>
  <c r="F79" i="57"/>
  <c r="E79" i="57"/>
  <c r="A79" i="57"/>
  <c r="M78" i="57"/>
  <c r="L78" i="57"/>
  <c r="K78" i="57"/>
  <c r="J78" i="57"/>
  <c r="I78" i="57"/>
  <c r="H78" i="57"/>
  <c r="F78" i="57"/>
  <c r="E78" i="57"/>
  <c r="A78" i="57"/>
  <c r="M77" i="57"/>
  <c r="L77" i="57"/>
  <c r="K77" i="57"/>
  <c r="J77" i="57"/>
  <c r="I77" i="57"/>
  <c r="H77" i="57"/>
  <c r="F77" i="57"/>
  <c r="E77" i="57"/>
  <c r="A77" i="57"/>
  <c r="M76" i="57"/>
  <c r="L76" i="57"/>
  <c r="K76" i="57"/>
  <c r="J76" i="57"/>
  <c r="I76" i="57"/>
  <c r="H76" i="57"/>
  <c r="F76" i="57"/>
  <c r="E76" i="57"/>
  <c r="A76" i="57"/>
  <c r="M75" i="57"/>
  <c r="L75" i="57"/>
  <c r="K75" i="57"/>
  <c r="J75" i="57"/>
  <c r="I75" i="57"/>
  <c r="H75" i="57"/>
  <c r="F75" i="57"/>
  <c r="E75" i="57"/>
  <c r="A75" i="57"/>
  <c r="M74" i="57"/>
  <c r="L74" i="57"/>
  <c r="K74" i="57"/>
  <c r="J74" i="57"/>
  <c r="I74" i="57"/>
  <c r="H74" i="57"/>
  <c r="G74" i="57"/>
  <c r="F74" i="57"/>
  <c r="E74" i="57"/>
  <c r="D74" i="57"/>
  <c r="C74" i="57"/>
  <c r="B74" i="57"/>
  <c r="A74" i="57"/>
  <c r="B73" i="57"/>
  <c r="A73" i="57"/>
  <c r="L72" i="57"/>
  <c r="K72" i="57"/>
  <c r="J72" i="57"/>
  <c r="I72" i="57"/>
  <c r="H72" i="57"/>
  <c r="G72" i="57"/>
  <c r="E72" i="57"/>
  <c r="D72" i="57"/>
  <c r="A72" i="57"/>
  <c r="L71" i="57"/>
  <c r="K71" i="57"/>
  <c r="J71" i="57"/>
  <c r="I71" i="57"/>
  <c r="H71" i="57"/>
  <c r="G71" i="57"/>
  <c r="E71" i="57"/>
  <c r="D71" i="57"/>
  <c r="A71" i="57"/>
  <c r="L70" i="57"/>
  <c r="K70" i="57"/>
  <c r="J70" i="57"/>
  <c r="I70" i="57"/>
  <c r="H70" i="57"/>
  <c r="G70" i="57"/>
  <c r="E70" i="57"/>
  <c r="D70" i="57"/>
  <c r="A70" i="57"/>
  <c r="L69" i="57"/>
  <c r="K69" i="57"/>
  <c r="J69" i="57"/>
  <c r="I69" i="57"/>
  <c r="H69" i="57"/>
  <c r="G69" i="57"/>
  <c r="E69" i="57"/>
  <c r="D69" i="57"/>
  <c r="A69" i="57"/>
  <c r="L68" i="57"/>
  <c r="K68" i="57"/>
  <c r="J68" i="57"/>
  <c r="I68" i="57"/>
  <c r="H68" i="57"/>
  <c r="G68" i="57"/>
  <c r="E68" i="57"/>
  <c r="D68" i="57"/>
  <c r="A68" i="57"/>
  <c r="L67" i="57"/>
  <c r="K67" i="57"/>
  <c r="J67" i="57"/>
  <c r="I67" i="57"/>
  <c r="H67" i="57"/>
  <c r="G67" i="57"/>
  <c r="E67" i="57"/>
  <c r="D67" i="57"/>
  <c r="A67" i="57"/>
  <c r="L66" i="57"/>
  <c r="K66" i="57"/>
  <c r="J66" i="57"/>
  <c r="I66" i="57"/>
  <c r="H66" i="57"/>
  <c r="G66" i="57"/>
  <c r="E66" i="57"/>
  <c r="D66" i="57"/>
  <c r="A66" i="57"/>
  <c r="L65" i="57"/>
  <c r="K65" i="57"/>
  <c r="J65" i="57"/>
  <c r="I65" i="57"/>
  <c r="H65" i="57"/>
  <c r="G65" i="57"/>
  <c r="E65" i="57"/>
  <c r="D65" i="57"/>
  <c r="A65" i="57"/>
  <c r="L64" i="57"/>
  <c r="K64" i="57"/>
  <c r="J64" i="57"/>
  <c r="I64" i="57"/>
  <c r="H64" i="57"/>
  <c r="G64" i="57"/>
  <c r="E64" i="57"/>
  <c r="D64" i="57"/>
  <c r="A64" i="57"/>
  <c r="L63" i="57"/>
  <c r="K63" i="57"/>
  <c r="J63" i="57"/>
  <c r="I63" i="57"/>
  <c r="H63" i="57"/>
  <c r="G63" i="57"/>
  <c r="E63" i="57"/>
  <c r="D63" i="57"/>
  <c r="A63" i="57"/>
  <c r="L62" i="57"/>
  <c r="K62" i="57"/>
  <c r="J62" i="57"/>
  <c r="I62" i="57"/>
  <c r="H62" i="57"/>
  <c r="G62" i="57"/>
  <c r="E62" i="57"/>
  <c r="D62" i="57"/>
  <c r="A62" i="57"/>
  <c r="L61" i="57"/>
  <c r="K61" i="57"/>
  <c r="J61" i="57"/>
  <c r="I61" i="57"/>
  <c r="H61" i="57"/>
  <c r="G61" i="57"/>
  <c r="E61" i="57"/>
  <c r="D61" i="57"/>
  <c r="A61" i="57"/>
  <c r="L60" i="57"/>
  <c r="K60" i="57"/>
  <c r="J60" i="57"/>
  <c r="I60" i="57"/>
  <c r="H60" i="57"/>
  <c r="G60" i="57"/>
  <c r="E60" i="57"/>
  <c r="D60" i="57"/>
  <c r="A60" i="57"/>
  <c r="L59" i="57"/>
  <c r="K59" i="57"/>
  <c r="J59" i="57"/>
  <c r="I59" i="57"/>
  <c r="H59" i="57"/>
  <c r="G59" i="57"/>
  <c r="E59" i="57"/>
  <c r="D59" i="57"/>
  <c r="A59" i="57"/>
  <c r="L58" i="57"/>
  <c r="K58" i="57"/>
  <c r="J58" i="57"/>
  <c r="I58" i="57"/>
  <c r="H58" i="57"/>
  <c r="G58" i="57"/>
  <c r="E58" i="57"/>
  <c r="D58" i="57"/>
  <c r="A58" i="57"/>
  <c r="L57" i="57"/>
  <c r="K57" i="57"/>
  <c r="J57" i="57"/>
  <c r="I57" i="57"/>
  <c r="H57" i="57"/>
  <c r="G57" i="57"/>
  <c r="E57" i="57"/>
  <c r="D57" i="57"/>
  <c r="A57" i="57"/>
  <c r="L56" i="57"/>
  <c r="K56" i="57"/>
  <c r="J56" i="57"/>
  <c r="I56" i="57"/>
  <c r="H56" i="57"/>
  <c r="G56" i="57"/>
  <c r="E56" i="57"/>
  <c r="D56" i="57"/>
  <c r="A56" i="57"/>
  <c r="L55" i="57"/>
  <c r="K55" i="57"/>
  <c r="J55" i="57"/>
  <c r="I55" i="57"/>
  <c r="H55" i="57"/>
  <c r="G55" i="57"/>
  <c r="E55" i="57"/>
  <c r="D55" i="57"/>
  <c r="A55" i="57"/>
  <c r="L54" i="57"/>
  <c r="K54" i="57"/>
  <c r="J54" i="57"/>
  <c r="I54" i="57"/>
  <c r="H54" i="57"/>
  <c r="G54" i="57"/>
  <c r="E54" i="57"/>
  <c r="D54" i="57"/>
  <c r="A54" i="57"/>
  <c r="L53" i="57"/>
  <c r="K53" i="57"/>
  <c r="J53" i="57"/>
  <c r="I53" i="57"/>
  <c r="H53" i="57"/>
  <c r="G53" i="57"/>
  <c r="E53" i="57"/>
  <c r="D53" i="57"/>
  <c r="A53" i="57"/>
  <c r="M52" i="57"/>
  <c r="L52" i="57"/>
  <c r="K52" i="57"/>
  <c r="J52" i="57"/>
  <c r="I52" i="57"/>
  <c r="H52" i="57"/>
  <c r="G52" i="57"/>
  <c r="F52" i="57"/>
  <c r="E52" i="57"/>
  <c r="D52" i="57"/>
  <c r="C52" i="57"/>
  <c r="B52" i="57"/>
  <c r="A52" i="57"/>
  <c r="B50" i="57"/>
  <c r="A50" i="57"/>
  <c r="B49" i="57"/>
  <c r="A49" i="57"/>
  <c r="B48" i="57"/>
  <c r="A48" i="57"/>
  <c r="B47" i="57"/>
  <c r="A47" i="57"/>
  <c r="B904" i="57"/>
  <c r="B46" i="57"/>
  <c r="A46" i="57"/>
  <c r="B902" i="57"/>
  <c r="B45" i="57"/>
  <c r="A45" i="57"/>
  <c r="B36" i="57"/>
  <c r="A36" i="57"/>
  <c r="B35" i="57"/>
  <c r="A35" i="57"/>
  <c r="B34" i="57"/>
  <c r="A34" i="57"/>
  <c r="B33" i="57"/>
  <c r="A33" i="57"/>
  <c r="J32" i="57"/>
  <c r="I32" i="57"/>
  <c r="H32" i="57"/>
  <c r="G32" i="57"/>
  <c r="F32" i="57"/>
  <c r="E32" i="57"/>
  <c r="D32" i="57"/>
  <c r="C32" i="57"/>
  <c r="B32" i="57"/>
  <c r="A32" i="57"/>
  <c r="K31" i="57"/>
  <c r="J31" i="57"/>
  <c r="I31" i="57"/>
  <c r="H31" i="57"/>
  <c r="G31" i="57"/>
  <c r="E31" i="57"/>
  <c r="D31" i="57"/>
  <c r="C31" i="57"/>
  <c r="C242" i="57" s="1"/>
  <c r="B31" i="57"/>
  <c r="A31" i="57"/>
  <c r="K29" i="57"/>
  <c r="J29" i="57"/>
  <c r="S722" i="57" s="1"/>
  <c r="H29" i="57"/>
  <c r="G29" i="57"/>
  <c r="E29" i="57"/>
  <c r="D29" i="57"/>
  <c r="C29" i="57"/>
  <c r="B29" i="57"/>
  <c r="A29" i="57"/>
  <c r="K28" i="57"/>
  <c r="J28" i="57"/>
  <c r="H28" i="57"/>
  <c r="G28" i="57"/>
  <c r="E28" i="57"/>
  <c r="D28" i="57"/>
  <c r="C28" i="57"/>
  <c r="B28" i="57"/>
  <c r="A28" i="57"/>
  <c r="K27" i="57"/>
  <c r="J27" i="57"/>
  <c r="H27" i="57"/>
  <c r="G27" i="57"/>
  <c r="E27" i="57"/>
  <c r="D27" i="57"/>
  <c r="C27" i="57"/>
  <c r="B27" i="57"/>
  <c r="A27" i="57"/>
  <c r="K23" i="57"/>
  <c r="H23" i="57"/>
  <c r="G23" i="57"/>
  <c r="E23" i="57"/>
  <c r="D23" i="57"/>
  <c r="C23" i="57"/>
  <c r="B23" i="57"/>
  <c r="A23" i="57"/>
  <c r="K22" i="57"/>
  <c r="H22" i="57"/>
  <c r="G22" i="57"/>
  <c r="E22" i="57"/>
  <c r="D22" i="57"/>
  <c r="C22" i="57"/>
  <c r="L737" i="57" s="1"/>
  <c r="B22" i="57"/>
  <c r="A22" i="57"/>
  <c r="K21" i="57"/>
  <c r="H21" i="57"/>
  <c r="G21" i="57"/>
  <c r="E21" i="57"/>
  <c r="D21" i="57"/>
  <c r="C21" i="57"/>
  <c r="B21" i="57"/>
  <c r="A21" i="57"/>
  <c r="K20" i="57"/>
  <c r="H20" i="57"/>
  <c r="G20" i="57"/>
  <c r="E20" i="57"/>
  <c r="D20" i="57"/>
  <c r="C20" i="57"/>
  <c r="L739" i="57" s="1"/>
  <c r="B20" i="57"/>
  <c r="A20" i="57"/>
  <c r="K19" i="57"/>
  <c r="H19" i="57"/>
  <c r="G19" i="57"/>
  <c r="E19" i="57"/>
  <c r="D19" i="57"/>
  <c r="E362" i="57" s="1"/>
  <c r="C19" i="57"/>
  <c r="B19" i="57"/>
  <c r="A19" i="57"/>
  <c r="L18" i="57"/>
  <c r="K18" i="57"/>
  <c r="J18" i="57"/>
  <c r="I18" i="57"/>
  <c r="G18" i="57"/>
  <c r="F18" i="57"/>
  <c r="E18" i="57"/>
  <c r="D18" i="57"/>
  <c r="C18" i="57"/>
  <c r="B18" i="57"/>
  <c r="A18" i="57"/>
  <c r="B17" i="57"/>
  <c r="A17" i="57"/>
  <c r="D16" i="57"/>
  <c r="D522" i="57" s="1"/>
  <c r="C16" i="57"/>
  <c r="C522" i="57" s="1"/>
  <c r="B16" i="57"/>
  <c r="A16" i="57"/>
  <c r="D14" i="57"/>
  <c r="D520" i="57" s="1"/>
  <c r="C14" i="57"/>
  <c r="C520" i="57" s="1"/>
  <c r="B14" i="57"/>
  <c r="A14" i="57"/>
  <c r="D13" i="57"/>
  <c r="D519" i="57" s="1"/>
  <c r="C13" i="57"/>
  <c r="C519" i="57" s="1"/>
  <c r="B13" i="57"/>
  <c r="B519" i="57" s="1"/>
  <c r="A13" i="57"/>
  <c r="B12" i="57"/>
  <c r="A12" i="57"/>
  <c r="D11" i="57"/>
  <c r="D453" i="57" s="1"/>
  <c r="A11" i="57"/>
  <c r="D9" i="57"/>
  <c r="A9" i="57"/>
  <c r="D8" i="57"/>
  <c r="C8" i="57"/>
  <c r="B8" i="57"/>
  <c r="A8" i="57"/>
  <c r="B7" i="57"/>
  <c r="A7" i="57"/>
  <c r="G6" i="57"/>
  <c r="F6" i="57"/>
  <c r="E6" i="57"/>
  <c r="C6" i="57"/>
  <c r="B6" i="57"/>
  <c r="A6" i="57"/>
  <c r="G5" i="57"/>
  <c r="F5" i="57"/>
  <c r="D356" i="57" s="1"/>
  <c r="E5" i="57"/>
  <c r="D5" i="57"/>
  <c r="C5" i="57"/>
  <c r="B5" i="57"/>
  <c r="D362" i="57" s="1"/>
  <c r="L362" i="57" s="1"/>
  <c r="A5" i="57"/>
  <c r="G4" i="57"/>
  <c r="F4" i="57"/>
  <c r="E4" i="57"/>
  <c r="D4" i="57"/>
  <c r="C4" i="57"/>
  <c r="B4" i="57"/>
  <c r="A4" i="57"/>
  <c r="B3" i="57"/>
  <c r="A3" i="57"/>
  <c r="A2" i="57"/>
  <c r="B1" i="57"/>
  <c r="A1" i="57"/>
  <c r="G193" i="54"/>
  <c r="J438" i="57" l="1"/>
  <c r="K448" i="57" s="1"/>
  <c r="J437" i="57"/>
  <c r="K443" i="57" s="1"/>
  <c r="K438" i="57"/>
  <c r="L448" i="57" s="1"/>
  <c r="K437" i="57"/>
  <c r="L443" i="57" s="1"/>
  <c r="D336" i="57"/>
  <c r="E316" i="57"/>
  <c r="E296" i="57"/>
  <c r="E276" i="57"/>
  <c r="E266" i="57"/>
  <c r="D346" i="57"/>
  <c r="E331" i="57"/>
  <c r="E311" i="57"/>
  <c r="E291" i="57"/>
  <c r="Q367" i="57"/>
  <c r="E326" i="57"/>
  <c r="E306" i="57"/>
  <c r="E286" i="57"/>
  <c r="E271" i="57"/>
  <c r="E261" i="57"/>
  <c r="C362" i="57"/>
  <c r="D351" i="57"/>
  <c r="D341" i="57"/>
  <c r="E321" i="57"/>
  <c r="E301" i="57"/>
  <c r="E281" i="57"/>
  <c r="E256" i="57"/>
  <c r="Q366" i="57"/>
  <c r="C372" i="57" s="1"/>
  <c r="C377" i="57" s="1"/>
  <c r="J377" i="57"/>
  <c r="J372" i="57"/>
  <c r="R366" i="57"/>
  <c r="I372" i="57" s="1"/>
  <c r="I377" i="57" s="1"/>
  <c r="R367" i="57"/>
  <c r="BJ1037" i="57"/>
  <c r="C438" i="57"/>
  <c r="C437" i="57"/>
  <c r="H994" i="57"/>
  <c r="H998" i="58" s="1"/>
  <c r="D437" i="57"/>
  <c r="D438" i="57"/>
  <c r="B1084" i="57"/>
  <c r="D799" i="57"/>
  <c r="D367" i="57" s="1"/>
  <c r="G377" i="57" s="1"/>
  <c r="Q1084" i="57"/>
  <c r="AS994" i="57"/>
  <c r="AB994" i="57"/>
  <c r="AA994" i="57"/>
  <c r="AT964" i="57"/>
  <c r="AT994" i="57"/>
  <c r="C1037" i="57"/>
  <c r="C1084" i="57"/>
  <c r="F1037" i="57"/>
  <c r="R1084" i="57"/>
  <c r="O1084" i="57"/>
  <c r="I1037" i="57"/>
  <c r="BU1037" i="57"/>
  <c r="BV1037" i="57"/>
  <c r="E721" i="57"/>
  <c r="F721" i="57" s="1"/>
  <c r="AI721" i="57" s="1"/>
  <c r="B1037" i="57"/>
  <c r="E798" i="57"/>
  <c r="E366" i="57" s="1"/>
  <c r="H372" i="57" s="1"/>
  <c r="H377" i="57" s="1"/>
  <c r="D1037" i="57"/>
  <c r="K242" i="57"/>
  <c r="K241" i="57"/>
  <c r="F241" i="57"/>
  <c r="AS977" i="57"/>
  <c r="AS964" i="57"/>
  <c r="AA964" i="57"/>
  <c r="AB964" i="57"/>
  <c r="H977" i="57"/>
  <c r="H981" i="58" s="1"/>
  <c r="H964" i="57"/>
  <c r="H968" i="58" s="1"/>
  <c r="AA977" i="57"/>
  <c r="AB977" i="57"/>
  <c r="AN721" i="57"/>
  <c r="AN739" i="57"/>
  <c r="AN740" i="57"/>
  <c r="AT977" i="57"/>
  <c r="AN741" i="57"/>
  <c r="AN738" i="57"/>
  <c r="W779" i="57"/>
  <c r="W780" i="57"/>
  <c r="J779" i="57"/>
  <c r="J780" i="57"/>
  <c r="AH721" i="57"/>
  <c r="AH740" i="57"/>
  <c r="AH739" i="57"/>
  <c r="AH741" i="57"/>
  <c r="K721" i="57"/>
  <c r="K740" i="57"/>
  <c r="K741" i="57"/>
  <c r="L721" i="57"/>
  <c r="AF721" i="57" s="1"/>
  <c r="L741" i="57"/>
  <c r="L740" i="57"/>
  <c r="E811" i="57"/>
  <c r="E388" i="57" s="1"/>
  <c r="F833" i="57"/>
  <c r="F825" i="57"/>
  <c r="F417" i="57" s="1"/>
  <c r="X811" i="57"/>
  <c r="X388" i="57" s="1"/>
  <c r="X812" i="57"/>
  <c r="X389" i="57" s="1"/>
  <c r="AN711" i="57"/>
  <c r="Y811" i="57"/>
  <c r="Y388" i="57" s="1"/>
  <c r="Y812" i="57"/>
  <c r="Y389" i="57" s="1"/>
  <c r="D798" i="57"/>
  <c r="D366" i="57" s="1"/>
  <c r="G372" i="57" s="1"/>
  <c r="C234" i="57"/>
  <c r="G1025" i="57" s="1"/>
  <c r="G1026" i="57" s="1"/>
  <c r="H799" i="57"/>
  <c r="H367" i="57" s="1"/>
  <c r="K377" i="57" s="1"/>
  <c r="L738" i="57"/>
  <c r="AH711" i="57"/>
  <c r="AH738" i="57"/>
  <c r="G868" i="57"/>
  <c r="K738" i="57"/>
  <c r="Y866" i="57"/>
  <c r="Y865" i="57"/>
  <c r="L726" i="57"/>
  <c r="AC866" i="57"/>
  <c r="P865" i="57"/>
  <c r="AC865" i="57"/>
  <c r="P866" i="57"/>
  <c r="W778" i="57"/>
  <c r="C824" i="57"/>
  <c r="C416" i="57" s="1"/>
  <c r="K739" i="57"/>
  <c r="J778" i="57"/>
  <c r="M739" i="57"/>
  <c r="AM739" i="57"/>
  <c r="AL739" i="57"/>
  <c r="A885" i="57"/>
  <c r="E739" i="57"/>
  <c r="E738" i="57" s="1"/>
  <c r="C798" i="57"/>
  <c r="C366" i="57" s="1"/>
  <c r="F372" i="57" s="1"/>
  <c r="F377" i="57" s="1"/>
  <c r="X809" i="57"/>
  <c r="X386" i="57" s="1"/>
  <c r="X810" i="57"/>
  <c r="X387" i="57" s="1"/>
  <c r="R798" i="57"/>
  <c r="R799" i="57" s="1"/>
  <c r="Y809" i="57"/>
  <c r="Y386" i="57" s="1"/>
  <c r="Y810" i="57"/>
  <c r="Y387" i="57" s="1"/>
  <c r="H798" i="57"/>
  <c r="H366" i="57" s="1"/>
  <c r="K372" i="57" s="1"/>
  <c r="C1112" i="57"/>
  <c r="Q798" i="57"/>
  <c r="Q799" i="57" s="1"/>
  <c r="AO1096" i="57"/>
  <c r="D1112" i="57"/>
  <c r="C1096" i="57"/>
  <c r="C1104" i="57"/>
  <c r="D1096" i="57"/>
  <c r="D1104" i="57"/>
  <c r="G521" i="57"/>
  <c r="M540" i="57" s="1"/>
  <c r="M545" i="57" s="1"/>
  <c r="G524" i="57"/>
  <c r="M570" i="57" s="1"/>
  <c r="M575" i="57" s="1"/>
  <c r="L501" i="57"/>
  <c r="L506" i="57"/>
  <c r="G452" i="57"/>
  <c r="L471" i="57" s="1"/>
  <c r="L476" i="57" s="1"/>
  <c r="G455" i="57"/>
  <c r="B545" i="4"/>
  <c r="B544" i="4"/>
  <c r="B543" i="4"/>
  <c r="E645" i="57"/>
  <c r="E625" i="57"/>
  <c r="D685" i="57"/>
  <c r="E605" i="57"/>
  <c r="E665" i="57"/>
  <c r="B532" i="4"/>
  <c r="B531" i="4"/>
  <c r="B1072" i="57"/>
  <c r="B1073" i="57"/>
  <c r="C1073" i="57"/>
  <c r="C1072" i="57"/>
  <c r="O1072" i="57"/>
  <c r="O1073" i="57"/>
  <c r="AT947" i="57"/>
  <c r="AT948" i="57"/>
  <c r="F1123" i="57"/>
  <c r="H947" i="57"/>
  <c r="H951" i="58" s="1"/>
  <c r="H761" i="58" s="1"/>
  <c r="H948" i="57"/>
  <c r="H952" i="58" s="1"/>
  <c r="H762" i="58" s="1"/>
  <c r="AS947" i="57"/>
  <c r="AS948" i="57"/>
  <c r="AA948" i="57"/>
  <c r="AA947" i="57"/>
  <c r="AB948" i="57"/>
  <c r="AB947" i="57"/>
  <c r="AT995" i="57"/>
  <c r="AT996" i="57"/>
  <c r="AS996" i="57"/>
  <c r="AS995" i="57"/>
  <c r="AB996" i="57"/>
  <c r="AA995" i="57"/>
  <c r="AB995" i="57"/>
  <c r="AA996" i="57"/>
  <c r="E1127" i="57"/>
  <c r="E1137" i="57"/>
  <c r="E1126" i="57"/>
  <c r="E1125" i="57"/>
  <c r="E1124" i="57"/>
  <c r="E1136" i="57"/>
  <c r="E1123" i="57"/>
  <c r="E1135" i="57"/>
  <c r="E1134" i="57"/>
  <c r="E1133" i="57"/>
  <c r="D670" i="57"/>
  <c r="E660" i="57"/>
  <c r="E630" i="57"/>
  <c r="E620" i="57"/>
  <c r="E600" i="57"/>
  <c r="E655" i="57"/>
  <c r="E615" i="57"/>
  <c r="D680" i="57"/>
  <c r="E650" i="57"/>
  <c r="E640" i="57"/>
  <c r="E610" i="57"/>
  <c r="E595" i="57"/>
  <c r="D675" i="57"/>
  <c r="E635" i="57"/>
  <c r="AN695" i="57"/>
  <c r="AN693" i="57"/>
  <c r="AN694" i="57"/>
  <c r="K693" i="57"/>
  <c r="K695" i="57"/>
  <c r="K694" i="57"/>
  <c r="E695" i="57"/>
  <c r="F695" i="57" s="1"/>
  <c r="E693" i="57"/>
  <c r="F693" i="57" s="1"/>
  <c r="E694" i="57"/>
  <c r="F694" i="57" s="1"/>
  <c r="AH693" i="57"/>
  <c r="AH694" i="57"/>
  <c r="AH695" i="57"/>
  <c r="L694" i="57"/>
  <c r="L693" i="57"/>
  <c r="L695" i="57"/>
  <c r="AN696" i="57"/>
  <c r="AN701" i="57"/>
  <c r="AN703" i="57"/>
  <c r="AN709" i="57"/>
  <c r="AN710" i="57"/>
  <c r="AN713" i="57"/>
  <c r="AN714" i="57"/>
  <c r="AN716" i="57"/>
  <c r="AN697" i="57"/>
  <c r="AN698" i="57"/>
  <c r="AN699" i="57"/>
  <c r="AN704" i="57"/>
  <c r="AN705" i="57"/>
  <c r="AN712" i="57"/>
  <c r="AN715" i="57"/>
  <c r="AN702" i="57"/>
  <c r="AN708" i="57"/>
  <c r="AN707" i="57"/>
  <c r="AN700" i="57"/>
  <c r="AN706" i="57"/>
  <c r="K704" i="57"/>
  <c r="K706" i="57"/>
  <c r="K710" i="57"/>
  <c r="K711" i="57"/>
  <c r="K713" i="57"/>
  <c r="K716" i="57"/>
  <c r="K696" i="57"/>
  <c r="K703" i="57"/>
  <c r="K705" i="57"/>
  <c r="K709" i="57"/>
  <c r="K702" i="57"/>
  <c r="K697" i="57"/>
  <c r="K698" i="57"/>
  <c r="K699" i="57"/>
  <c r="K707" i="57"/>
  <c r="K715" i="57"/>
  <c r="K708" i="57"/>
  <c r="K700" i="57"/>
  <c r="K701" i="57"/>
  <c r="K712" i="57"/>
  <c r="K714" i="57"/>
  <c r="L712" i="57"/>
  <c r="L714" i="57"/>
  <c r="L713" i="57"/>
  <c r="L716" i="57"/>
  <c r="L715" i="57"/>
  <c r="E700" i="57"/>
  <c r="F700" i="57" s="1"/>
  <c r="E701" i="57"/>
  <c r="F701" i="57" s="1"/>
  <c r="E706" i="57"/>
  <c r="F706" i="57" s="1"/>
  <c r="E707" i="57"/>
  <c r="F707" i="57" s="1"/>
  <c r="E708" i="57"/>
  <c r="F708" i="57" s="1"/>
  <c r="E696" i="57"/>
  <c r="F696" i="57" s="1"/>
  <c r="E703" i="57"/>
  <c r="F703" i="57" s="1"/>
  <c r="E704" i="57"/>
  <c r="F704" i="57" s="1"/>
  <c r="E710" i="57"/>
  <c r="F710" i="57" s="1"/>
  <c r="E711" i="57"/>
  <c r="F711" i="57" s="1"/>
  <c r="E713" i="57"/>
  <c r="F713" i="57" s="1"/>
  <c r="E714" i="57"/>
  <c r="F714" i="57" s="1"/>
  <c r="E716" i="57"/>
  <c r="F716" i="57" s="1"/>
  <c r="E705" i="57"/>
  <c r="F705" i="57" s="1"/>
  <c r="E697" i="57"/>
  <c r="F697" i="57" s="1"/>
  <c r="E698" i="57"/>
  <c r="F698" i="57" s="1"/>
  <c r="E699" i="57"/>
  <c r="F699" i="57" s="1"/>
  <c r="E712" i="57"/>
  <c r="F712" i="57" s="1"/>
  <c r="E702" i="57"/>
  <c r="F702" i="57" s="1"/>
  <c r="E709" i="57"/>
  <c r="F709" i="57" s="1"/>
  <c r="E715" i="57"/>
  <c r="F715" i="57" s="1"/>
  <c r="L700" i="57"/>
  <c r="L701" i="57"/>
  <c r="L707" i="57"/>
  <c r="L708" i="57"/>
  <c r="L705" i="57"/>
  <c r="L704" i="57"/>
  <c r="L706" i="57"/>
  <c r="L710" i="57"/>
  <c r="L711" i="57"/>
  <c r="L696" i="57"/>
  <c r="L703" i="57"/>
  <c r="L709" i="57"/>
  <c r="L697" i="57"/>
  <c r="L698" i="57"/>
  <c r="L699" i="57"/>
  <c r="L702" i="57"/>
  <c r="AH701" i="57"/>
  <c r="AH703" i="57"/>
  <c r="AH708" i="57"/>
  <c r="AH715" i="57"/>
  <c r="AH705" i="57"/>
  <c r="AH700" i="57"/>
  <c r="AH706" i="57"/>
  <c r="AH710" i="57"/>
  <c r="AH712" i="57"/>
  <c r="AH713" i="57"/>
  <c r="AH714" i="57"/>
  <c r="AH696" i="57"/>
  <c r="AH697" i="57"/>
  <c r="AH698" i="57"/>
  <c r="AH699" i="57"/>
  <c r="AH707" i="57"/>
  <c r="AH709" i="57"/>
  <c r="AH716" i="57"/>
  <c r="AH702" i="57"/>
  <c r="AH704" i="57"/>
  <c r="AN718" i="57"/>
  <c r="AN723" i="57"/>
  <c r="AN725" i="57"/>
  <c r="AN727" i="57"/>
  <c r="AN719" i="57"/>
  <c r="AN724" i="57"/>
  <c r="AN726" i="57"/>
  <c r="AN717" i="57"/>
  <c r="AN720" i="57"/>
  <c r="AN729" i="57"/>
  <c r="AN722" i="57"/>
  <c r="AN728" i="57"/>
  <c r="K722" i="57"/>
  <c r="K727" i="57"/>
  <c r="K729" i="57"/>
  <c r="K718" i="57"/>
  <c r="K726" i="57"/>
  <c r="K719" i="57"/>
  <c r="K720" i="57"/>
  <c r="K724" i="57"/>
  <c r="K723" i="57"/>
  <c r="K725" i="57"/>
  <c r="K717" i="57"/>
  <c r="K728" i="57"/>
  <c r="L719" i="57"/>
  <c r="L717" i="57"/>
  <c r="L718" i="57"/>
  <c r="L720" i="57"/>
  <c r="AH717" i="57"/>
  <c r="AH720" i="57"/>
  <c r="AH725" i="57"/>
  <c r="AH722" i="57"/>
  <c r="AH723" i="57"/>
  <c r="AH729" i="57"/>
  <c r="AH718" i="57"/>
  <c r="AH719" i="57"/>
  <c r="AH724" i="57"/>
  <c r="AH728" i="57"/>
  <c r="AH726" i="57"/>
  <c r="AH727" i="57"/>
  <c r="L723" i="57"/>
  <c r="L724" i="57"/>
  <c r="L725" i="57"/>
  <c r="L722" i="57"/>
  <c r="L727" i="57"/>
  <c r="L729" i="57"/>
  <c r="L728" i="57"/>
  <c r="S726" i="57"/>
  <c r="R726" i="57" s="1"/>
  <c r="S727" i="57"/>
  <c r="R727" i="57" s="1"/>
  <c r="S728" i="57"/>
  <c r="R728" i="57" s="1"/>
  <c r="E724" i="57"/>
  <c r="F724" i="57" s="1"/>
  <c r="E727" i="57"/>
  <c r="F727" i="57" s="1"/>
  <c r="E729" i="57"/>
  <c r="F729" i="57" s="1"/>
  <c r="F739" i="57" s="1"/>
  <c r="E717" i="57"/>
  <c r="F717" i="57" s="1"/>
  <c r="E718" i="57"/>
  <c r="F718" i="57" s="1"/>
  <c r="E722" i="57"/>
  <c r="F722" i="57" s="1"/>
  <c r="E725" i="57"/>
  <c r="F725" i="57" s="1"/>
  <c r="E723" i="57"/>
  <c r="F723" i="57" s="1"/>
  <c r="E719" i="57"/>
  <c r="F719" i="57" s="1"/>
  <c r="E728" i="57"/>
  <c r="F728" i="57" s="1"/>
  <c r="E726" i="57"/>
  <c r="F726" i="57" s="1"/>
  <c r="E720" i="57"/>
  <c r="F720" i="57" s="1"/>
  <c r="S725" i="57"/>
  <c r="R725" i="57" s="1"/>
  <c r="S723" i="57"/>
  <c r="R723" i="57" s="1"/>
  <c r="S724" i="57"/>
  <c r="R724" i="57" s="1"/>
  <c r="R722" i="57"/>
  <c r="D251" i="57"/>
  <c r="L496" i="57"/>
  <c r="L481" i="57"/>
  <c r="L511" i="57"/>
  <c r="L491" i="57"/>
  <c r="L486" i="57"/>
  <c r="L516" i="57"/>
  <c r="B520" i="57"/>
  <c r="B523" i="57" s="1"/>
  <c r="E251" i="57"/>
  <c r="B295" i="4"/>
  <c r="B306" i="4"/>
  <c r="B296" i="4"/>
  <c r="B297" i="4"/>
  <c r="B305" i="4"/>
  <c r="B294" i="4"/>
  <c r="B290" i="4"/>
  <c r="BM1105" i="57"/>
  <c r="AS989" i="57"/>
  <c r="AS993" i="57"/>
  <c r="AS988" i="57"/>
  <c r="AS992" i="57"/>
  <c r="AS986" i="57"/>
  <c r="AS987" i="57"/>
  <c r="AS991" i="57"/>
  <c r="AS990" i="57"/>
  <c r="AT986" i="57"/>
  <c r="AT988" i="57"/>
  <c r="AT990" i="57"/>
  <c r="AT992" i="57"/>
  <c r="AT987" i="57"/>
  <c r="AT989" i="57"/>
  <c r="AT991" i="57"/>
  <c r="AT993" i="57"/>
  <c r="H986" i="57"/>
  <c r="H990" i="58" s="1"/>
  <c r="H988" i="57"/>
  <c r="H992" i="58" s="1"/>
  <c r="H990" i="57"/>
  <c r="H994" i="58" s="1"/>
  <c r="H992" i="57"/>
  <c r="H996" i="58" s="1"/>
  <c r="H987" i="57"/>
  <c r="H991" i="58" s="1"/>
  <c r="H989" i="57"/>
  <c r="H993" i="58" s="1"/>
  <c r="H991" i="57"/>
  <c r="H995" i="58" s="1"/>
  <c r="H993" i="57"/>
  <c r="H997" i="58" s="1"/>
  <c r="AB987" i="57"/>
  <c r="AB989" i="57"/>
  <c r="AB991" i="57"/>
  <c r="AB993" i="57"/>
  <c r="AB986" i="57"/>
  <c r="AB988" i="57"/>
  <c r="AB990" i="57"/>
  <c r="AB992" i="57"/>
  <c r="AA988" i="57"/>
  <c r="AA992" i="57"/>
  <c r="AA987" i="57"/>
  <c r="AA991" i="57"/>
  <c r="AA993" i="57"/>
  <c r="AA986" i="57"/>
  <c r="AA990" i="57"/>
  <c r="AA989" i="57"/>
  <c r="R1069" i="57"/>
  <c r="R1075" i="57"/>
  <c r="R1068" i="57"/>
  <c r="R1074" i="57"/>
  <c r="R1067" i="57"/>
  <c r="R1071" i="57"/>
  <c r="R1066" i="57"/>
  <c r="R1070" i="57"/>
  <c r="B1066" i="57"/>
  <c r="B1068" i="57"/>
  <c r="B1070" i="57"/>
  <c r="B1074" i="57"/>
  <c r="B1067" i="57"/>
  <c r="B1069" i="57"/>
  <c r="B1071" i="57"/>
  <c r="B1075" i="57"/>
  <c r="O1075" i="57"/>
  <c r="O1071" i="57"/>
  <c r="O1074" i="57"/>
  <c r="O1069" i="57"/>
  <c r="O1070" i="57"/>
  <c r="O1068" i="57"/>
  <c r="O1067" i="57"/>
  <c r="O1066" i="57"/>
  <c r="Q1068" i="57"/>
  <c r="Q1074" i="57"/>
  <c r="Q1067" i="57"/>
  <c r="Q1071" i="57"/>
  <c r="Q1066" i="57"/>
  <c r="Q1070" i="57"/>
  <c r="Q1069" i="57"/>
  <c r="Q1075" i="57"/>
  <c r="C1067" i="57"/>
  <c r="C1069" i="57"/>
  <c r="C1071" i="57"/>
  <c r="C1075" i="57"/>
  <c r="C1066" i="57"/>
  <c r="C1068" i="57"/>
  <c r="C1070" i="57"/>
  <c r="C1074" i="57"/>
  <c r="F1027" i="57"/>
  <c r="F1028" i="57"/>
  <c r="F1029" i="57"/>
  <c r="F1030" i="57"/>
  <c r="F1031" i="57"/>
  <c r="F1032" i="57"/>
  <c r="B1027" i="57"/>
  <c r="B1028" i="57"/>
  <c r="B1029" i="57"/>
  <c r="B1030" i="57"/>
  <c r="B1031" i="57"/>
  <c r="B1032" i="57"/>
  <c r="BJ1028" i="57"/>
  <c r="BJ1030" i="57"/>
  <c r="BJ1027" i="57"/>
  <c r="BJ1029" i="57"/>
  <c r="BJ1032" i="57"/>
  <c r="BJ1031" i="57"/>
  <c r="G886" i="57"/>
  <c r="G887" i="57" s="1"/>
  <c r="AR887" i="57" s="1"/>
  <c r="C1027" i="57"/>
  <c r="C1028" i="57"/>
  <c r="C1029" i="57"/>
  <c r="C1030" i="57"/>
  <c r="C1031" i="57"/>
  <c r="C1032" i="57"/>
  <c r="BU1029" i="57"/>
  <c r="I1031" i="57"/>
  <c r="I1030" i="57"/>
  <c r="BU1030" i="57"/>
  <c r="I1029" i="57"/>
  <c r="BV1031" i="57"/>
  <c r="BV1027" i="57"/>
  <c r="BV1029" i="57"/>
  <c r="BU1031" i="57"/>
  <c r="I1027" i="57"/>
  <c r="BU1027" i="57"/>
  <c r="BV1030" i="57"/>
  <c r="BV1032" i="57"/>
  <c r="BV1028" i="57"/>
  <c r="BU1032" i="57"/>
  <c r="BU1028" i="57"/>
  <c r="I1032" i="57"/>
  <c r="I1028" i="57"/>
  <c r="D1027" i="57"/>
  <c r="D1028" i="57"/>
  <c r="D1029" i="57"/>
  <c r="D1030" i="57"/>
  <c r="D1031" i="57"/>
  <c r="D1032" i="57"/>
  <c r="H995" i="57"/>
  <c r="H999" i="58" s="1"/>
  <c r="H996" i="57"/>
  <c r="H1000" i="58" s="1"/>
  <c r="AT968" i="57"/>
  <c r="AT970" i="57"/>
  <c r="AT967" i="57"/>
  <c r="AT971" i="57"/>
  <c r="AT972" i="57"/>
  <c r="AT966" i="57"/>
  <c r="AT965" i="57"/>
  <c r="AT969" i="57"/>
  <c r="H965" i="57"/>
  <c r="H969" i="58" s="1"/>
  <c r="H969" i="57"/>
  <c r="H973" i="58" s="1"/>
  <c r="H966" i="57"/>
  <c r="H970" i="58" s="1"/>
  <c r="H971" i="57"/>
  <c r="H975" i="58" s="1"/>
  <c r="H967" i="57"/>
  <c r="H971" i="58" s="1"/>
  <c r="H970" i="57"/>
  <c r="H974" i="58" s="1"/>
  <c r="H972" i="57"/>
  <c r="H976" i="58" s="1"/>
  <c r="H968" i="57"/>
  <c r="H972" i="58" s="1"/>
  <c r="AA965" i="57"/>
  <c r="AA967" i="57"/>
  <c r="AA968" i="57"/>
  <c r="AA971" i="57"/>
  <c r="AA972" i="57"/>
  <c r="AB965" i="57"/>
  <c r="AB967" i="57"/>
  <c r="AB968" i="57"/>
  <c r="AA969" i="57"/>
  <c r="AA970" i="57"/>
  <c r="AB971" i="57"/>
  <c r="AB966" i="57"/>
  <c r="AB972" i="57"/>
  <c r="AA966" i="57"/>
  <c r="AB969" i="57"/>
  <c r="AB970" i="57"/>
  <c r="AS967" i="57"/>
  <c r="AS971" i="57"/>
  <c r="AS968" i="57"/>
  <c r="AS965" i="57"/>
  <c r="AS969" i="57"/>
  <c r="AS972" i="57"/>
  <c r="AS966" i="57"/>
  <c r="AS970" i="57"/>
  <c r="AH730" i="57"/>
  <c r="AH734" i="57"/>
  <c r="AH735" i="57"/>
  <c r="AH731" i="57"/>
  <c r="AH736" i="57"/>
  <c r="AH737" i="57"/>
  <c r="AH732" i="57"/>
  <c r="AH733" i="57"/>
  <c r="AN735" i="57"/>
  <c r="AN730" i="57"/>
  <c r="AN731" i="57"/>
  <c r="AN734" i="57"/>
  <c r="AN737" i="57"/>
  <c r="AN736" i="57"/>
  <c r="AN732" i="57"/>
  <c r="AN733" i="57"/>
  <c r="I865" i="57"/>
  <c r="AB866" i="57"/>
  <c r="AB865" i="57"/>
  <c r="I866" i="57"/>
  <c r="G865" i="57"/>
  <c r="G866" i="57"/>
  <c r="G857" i="57"/>
  <c r="G859" i="57"/>
  <c r="G861" i="57"/>
  <c r="G863" i="57"/>
  <c r="G862" i="57"/>
  <c r="G864" i="57"/>
  <c r="G858" i="57"/>
  <c r="G860" i="57"/>
  <c r="J781" i="57"/>
  <c r="J783" i="57"/>
  <c r="J782" i="57"/>
  <c r="J785" i="57"/>
  <c r="J784" i="57"/>
  <c r="W783" i="57"/>
  <c r="W785" i="57"/>
  <c r="W782" i="57"/>
  <c r="W781" i="57"/>
  <c r="W784" i="57"/>
  <c r="AN742" i="57"/>
  <c r="AN743" i="57"/>
  <c r="AN744" i="57"/>
  <c r="AN745" i="57"/>
  <c r="AN746" i="57"/>
  <c r="AN747" i="57"/>
  <c r="AN748" i="57"/>
  <c r="AN749" i="57"/>
  <c r="AN750" i="57"/>
  <c r="K750" i="57"/>
  <c r="K746" i="57"/>
  <c r="E750" i="57"/>
  <c r="F750" i="57" s="1"/>
  <c r="E746" i="57"/>
  <c r="F746" i="57" s="1"/>
  <c r="AH742" i="57"/>
  <c r="AH743" i="57"/>
  <c r="AH744" i="57"/>
  <c r="AH745" i="57"/>
  <c r="AH746" i="57"/>
  <c r="AH747" i="57"/>
  <c r="AH748" i="57"/>
  <c r="AH749" i="57"/>
  <c r="AH750" i="57"/>
  <c r="AM749" i="57"/>
  <c r="AM744" i="57"/>
  <c r="AM750" i="57"/>
  <c r="M748" i="57"/>
  <c r="AL745" i="57"/>
  <c r="AL746" i="57"/>
  <c r="M746" i="57"/>
  <c r="M750" i="57"/>
  <c r="AM743" i="57"/>
  <c r="AL742" i="57"/>
  <c r="M749" i="57"/>
  <c r="AL747" i="57"/>
  <c r="AL743" i="57"/>
  <c r="AM742" i="57"/>
  <c r="AM747" i="57"/>
  <c r="AL744" i="57"/>
  <c r="AL750" i="57"/>
  <c r="M747" i="57"/>
  <c r="AL748" i="57"/>
  <c r="AM745" i="57"/>
  <c r="AM746" i="57"/>
  <c r="AM748" i="57"/>
  <c r="AL749" i="57"/>
  <c r="K742" i="57"/>
  <c r="K747" i="57"/>
  <c r="K743" i="57"/>
  <c r="K748" i="57"/>
  <c r="K744" i="57"/>
  <c r="K749" i="57"/>
  <c r="K745" i="57"/>
  <c r="E748" i="57"/>
  <c r="F748" i="57" s="1"/>
  <c r="AI748" i="57" s="1"/>
  <c r="E745" i="57"/>
  <c r="F745" i="57" s="1"/>
  <c r="AI745" i="57" s="1"/>
  <c r="E749" i="57"/>
  <c r="F749" i="57" s="1"/>
  <c r="AI749" i="57" s="1"/>
  <c r="E743" i="57"/>
  <c r="F743" i="57" s="1"/>
  <c r="AI743" i="57" s="1"/>
  <c r="E747" i="57"/>
  <c r="F747" i="57" s="1"/>
  <c r="AI747" i="57" s="1"/>
  <c r="E744" i="57"/>
  <c r="F744" i="57" s="1"/>
  <c r="AI744" i="57" s="1"/>
  <c r="E742" i="57"/>
  <c r="F742" i="57" s="1"/>
  <c r="AI742" i="57" s="1"/>
  <c r="M743" i="57"/>
  <c r="M744" i="57"/>
  <c r="M745" i="57"/>
  <c r="M742" i="57"/>
  <c r="C822" i="57"/>
  <c r="C414" i="57" s="1"/>
  <c r="K235" i="57"/>
  <c r="K237" i="57"/>
  <c r="K236" i="57"/>
  <c r="F235" i="57"/>
  <c r="F237" i="57"/>
  <c r="F236" i="57"/>
  <c r="K732" i="57"/>
  <c r="K735" i="57"/>
  <c r="K734" i="57"/>
  <c r="K737" i="57"/>
  <c r="K731" i="57"/>
  <c r="K736" i="57"/>
  <c r="K730" i="57"/>
  <c r="K733" i="57"/>
  <c r="L733" i="57"/>
  <c r="L735" i="57"/>
  <c r="L732" i="57"/>
  <c r="L736" i="57"/>
  <c r="L734" i="57"/>
  <c r="L730" i="57"/>
  <c r="L731" i="57"/>
  <c r="E731" i="57"/>
  <c r="F731" i="57" s="1"/>
  <c r="AI731" i="57" s="1"/>
  <c r="E734" i="57"/>
  <c r="F734" i="57" s="1"/>
  <c r="AI734" i="57" s="1"/>
  <c r="E732" i="57"/>
  <c r="F732" i="57" s="1"/>
  <c r="AI732" i="57" s="1"/>
  <c r="E735" i="57"/>
  <c r="F735" i="57" s="1"/>
  <c r="AI735" i="57" s="1"/>
  <c r="E730" i="57"/>
  <c r="F730" i="57" s="1"/>
  <c r="AI730" i="57" s="1"/>
  <c r="E737" i="57"/>
  <c r="E733" i="57"/>
  <c r="F733" i="57" s="1"/>
  <c r="AI733" i="57" s="1"/>
  <c r="E736" i="57"/>
  <c r="F736" i="57" s="1"/>
  <c r="AI736" i="57" s="1"/>
  <c r="B489" i="4"/>
  <c r="B291" i="4"/>
  <c r="B283" i="4"/>
  <c r="B274" i="4"/>
  <c r="B529" i="4"/>
  <c r="B435" i="4"/>
  <c r="B292" i="4"/>
  <c r="B284" i="4"/>
  <c r="B275" i="4"/>
  <c r="B522" i="4"/>
  <c r="B304" i="4"/>
  <c r="B293" i="4"/>
  <c r="B282" i="4"/>
  <c r="B272" i="4"/>
  <c r="B276" i="4"/>
  <c r="B303" i="4"/>
  <c r="B273" i="4"/>
  <c r="B271" i="4"/>
  <c r="M448" i="57"/>
  <c r="L396" i="58"/>
  <c r="M443" i="57"/>
  <c r="L395" i="58"/>
  <c r="L832" i="57"/>
  <c r="C823" i="57"/>
  <c r="C415" i="57" s="1"/>
  <c r="C826" i="57"/>
  <c r="C418" i="57" s="1"/>
  <c r="B522" i="57"/>
  <c r="B525" i="57" s="1"/>
  <c r="AS975" i="57"/>
  <c r="AS979" i="57"/>
  <c r="AS981" i="57"/>
  <c r="AS983" i="57"/>
  <c r="AS985" i="57"/>
  <c r="AS997" i="57"/>
  <c r="AS973" i="57"/>
  <c r="AS974" i="57"/>
  <c r="AS976" i="57"/>
  <c r="AS978" i="57"/>
  <c r="AS980" i="57"/>
  <c r="AS982" i="57"/>
  <c r="AS984" i="57"/>
  <c r="AS998" i="57"/>
  <c r="AA975" i="57"/>
  <c r="AA978" i="57"/>
  <c r="AA979" i="57"/>
  <c r="AA981" i="57"/>
  <c r="AA982" i="57"/>
  <c r="AA984" i="57"/>
  <c r="AA985" i="57"/>
  <c r="AA997" i="57"/>
  <c r="AA973" i="57"/>
  <c r="AA974" i="57"/>
  <c r="AA976" i="57"/>
  <c r="AA980" i="57"/>
  <c r="AA983" i="57"/>
  <c r="AA998" i="57"/>
  <c r="AB973" i="57"/>
  <c r="AB974" i="57"/>
  <c r="AB975" i="57"/>
  <c r="AB976" i="57"/>
  <c r="AB978" i="57"/>
  <c r="AB979" i="57"/>
  <c r="AB980" i="57"/>
  <c r="AB981" i="57"/>
  <c r="AB982" i="57"/>
  <c r="AB983" i="57"/>
  <c r="AB984" i="57"/>
  <c r="AB985" i="57"/>
  <c r="AB997" i="57"/>
  <c r="AB998" i="57"/>
  <c r="AT973" i="57"/>
  <c r="AT974" i="57"/>
  <c r="AT975" i="57"/>
  <c r="AT976" i="57"/>
  <c r="AT978" i="57"/>
  <c r="AT979" i="57"/>
  <c r="AT980" i="57"/>
  <c r="AT981" i="57"/>
  <c r="AT982" i="57"/>
  <c r="AT983" i="57"/>
  <c r="AT984" i="57"/>
  <c r="AT985" i="57"/>
  <c r="AT997" i="57"/>
  <c r="AT998" i="57"/>
  <c r="AQ886" i="57"/>
  <c r="AQ887" i="57"/>
  <c r="AQ888" i="57"/>
  <c r="AQ889" i="57"/>
  <c r="AQ902" i="57"/>
  <c r="AP886" i="57"/>
  <c r="AP887" i="57"/>
  <c r="AP888" i="57"/>
  <c r="AP889" i="57"/>
  <c r="AP902" i="57"/>
  <c r="B905" i="57"/>
  <c r="B880" i="57"/>
  <c r="B903" i="57"/>
  <c r="J776" i="57"/>
  <c r="J788" i="57"/>
  <c r="J786" i="57"/>
  <c r="J775" i="57"/>
  <c r="J787" i="57"/>
  <c r="J777" i="57"/>
  <c r="J789" i="57"/>
  <c r="G798" i="57" s="1"/>
  <c r="G366" i="57" s="1"/>
  <c r="J774" i="57"/>
  <c r="W776" i="57"/>
  <c r="W788" i="57"/>
  <c r="W786" i="57"/>
  <c r="W775" i="57"/>
  <c r="W787" i="57"/>
  <c r="W777" i="57"/>
  <c r="W789" i="57"/>
  <c r="W774" i="57"/>
  <c r="H981" i="57"/>
  <c r="H985" i="58" s="1"/>
  <c r="H770" i="58" s="1"/>
  <c r="H985" i="57"/>
  <c r="H957" i="57"/>
  <c r="H961" i="58" s="1"/>
  <c r="H961" i="57"/>
  <c r="H965" i="58" s="1"/>
  <c r="H974" i="57"/>
  <c r="H978" i="58" s="1"/>
  <c r="H764" i="58" s="1"/>
  <c r="H978" i="57"/>
  <c r="H982" i="58" s="1"/>
  <c r="H767" i="58" s="1"/>
  <c r="H982" i="57"/>
  <c r="H986" i="58" s="1"/>
  <c r="H771" i="58" s="1"/>
  <c r="H997" i="57"/>
  <c r="H1001" i="58" s="1"/>
  <c r="H775" i="58" s="1"/>
  <c r="H958" i="57"/>
  <c r="H962" i="58" s="1"/>
  <c r="H962" i="57"/>
  <c r="H966" i="58" s="1"/>
  <c r="H975" i="57"/>
  <c r="H979" i="58" s="1"/>
  <c r="H765" i="58" s="1"/>
  <c r="H979" i="57"/>
  <c r="H983" i="58" s="1"/>
  <c r="H768" i="58" s="1"/>
  <c r="H983" i="57"/>
  <c r="H987" i="58" s="1"/>
  <c r="H772" i="58" s="1"/>
  <c r="H998" i="57"/>
  <c r="H1002" i="58" s="1"/>
  <c r="H776" i="58" s="1"/>
  <c r="H959" i="57"/>
  <c r="H963" i="58" s="1"/>
  <c r="H963" i="57"/>
  <c r="H967" i="58" s="1"/>
  <c r="H980" i="57"/>
  <c r="H984" i="58" s="1"/>
  <c r="H769" i="58" s="1"/>
  <c r="H984" i="57"/>
  <c r="H988" i="58" s="1"/>
  <c r="H773" i="58" s="1"/>
  <c r="H960" i="57"/>
  <c r="H964" i="58" s="1"/>
  <c r="H973" i="57"/>
  <c r="H977" i="58" s="1"/>
  <c r="H763" i="58" s="1"/>
  <c r="AT959" i="57"/>
  <c r="AT963" i="57"/>
  <c r="AT958" i="57"/>
  <c r="AT962" i="57"/>
  <c r="AT957" i="57"/>
  <c r="AT961" i="57"/>
  <c r="AT960" i="57"/>
  <c r="AS958" i="57"/>
  <c r="AS962" i="57"/>
  <c r="AS963" i="57"/>
  <c r="AS957" i="57"/>
  <c r="AS961" i="57"/>
  <c r="AS960" i="57"/>
  <c r="AS959" i="57"/>
  <c r="AA958" i="57"/>
  <c r="AA959" i="57"/>
  <c r="AA962" i="57"/>
  <c r="AB963" i="57"/>
  <c r="AB958" i="57"/>
  <c r="AB959" i="57"/>
  <c r="AA960" i="57"/>
  <c r="AB962" i="57"/>
  <c r="AA957" i="57"/>
  <c r="AB960" i="57"/>
  <c r="AA961" i="57"/>
  <c r="AB957" i="57"/>
  <c r="AB961" i="57"/>
  <c r="AA963" i="57"/>
  <c r="G843" i="57"/>
  <c r="G847" i="57"/>
  <c r="G851" i="57"/>
  <c r="G855" i="57"/>
  <c r="G844" i="57"/>
  <c r="G848" i="57"/>
  <c r="G852" i="57"/>
  <c r="G856" i="57"/>
  <c r="G842" i="57"/>
  <c r="G845" i="57"/>
  <c r="G849" i="57"/>
  <c r="G853" i="57"/>
  <c r="G867" i="57"/>
  <c r="G846" i="57"/>
  <c r="G850" i="57"/>
  <c r="G854" i="57"/>
  <c r="G869" i="57"/>
  <c r="C240" i="57"/>
  <c r="F240" i="57" s="1"/>
  <c r="C239" i="57"/>
  <c r="F239" i="57" s="1"/>
  <c r="AN751" i="57"/>
  <c r="K751" i="57"/>
  <c r="C238" i="57"/>
  <c r="G1033" i="57" s="1"/>
  <c r="G239" i="57"/>
  <c r="F242" i="57"/>
  <c r="N560" i="57"/>
  <c r="N565" i="57" s="1"/>
  <c r="N530" i="57"/>
  <c r="N535" i="57" s="1"/>
  <c r="C523" i="57"/>
  <c r="C525" i="57"/>
  <c r="N580" i="57" s="1"/>
  <c r="N585" i="57" s="1"/>
  <c r="N550" i="57"/>
  <c r="N555" i="57" s="1"/>
  <c r="D523" i="57"/>
  <c r="Z560" i="57" s="1"/>
  <c r="Z565" i="57" s="1"/>
  <c r="Z530" i="57"/>
  <c r="Z535" i="57" s="1"/>
  <c r="D525" i="57"/>
  <c r="Z580" i="57" s="1"/>
  <c r="Z585" i="57" s="1"/>
  <c r="Z550" i="57"/>
  <c r="Z555" i="57" s="1"/>
  <c r="AA481" i="57"/>
  <c r="AA486" i="57" s="1"/>
  <c r="D456" i="57"/>
  <c r="AA511" i="57" s="1"/>
  <c r="AA516" i="57" s="1"/>
  <c r="C1085" i="57"/>
  <c r="C1080" i="57"/>
  <c r="C1086" i="57"/>
  <c r="C1081" i="57"/>
  <c r="C1088" i="57"/>
  <c r="C1082" i="57"/>
  <c r="C1057" i="57"/>
  <c r="C1053" i="57"/>
  <c r="C1083" i="57"/>
  <c r="C1076" i="57"/>
  <c r="C1087" i="57"/>
  <c r="C1078" i="57"/>
  <c r="C1055" i="57"/>
  <c r="C1051" i="57"/>
  <c r="C1079" i="57"/>
  <c r="C1077" i="57"/>
  <c r="C1049" i="57"/>
  <c r="C1039" i="57"/>
  <c r="C1052" i="57"/>
  <c r="C1050" i="57"/>
  <c r="C1046" i="57"/>
  <c r="C1054" i="57"/>
  <c r="C1047" i="57"/>
  <c r="C1056" i="57"/>
  <c r="C1048" i="57"/>
  <c r="C1036" i="57"/>
  <c r="C1035" i="57"/>
  <c r="C1034" i="57"/>
  <c r="C1033" i="57"/>
  <c r="C1038" i="57"/>
  <c r="C1022" i="57"/>
  <c r="C1021" i="57"/>
  <c r="C1020" i="57"/>
  <c r="C1019" i="57"/>
  <c r="C1003" i="57"/>
  <c r="F1010" i="57" s="1"/>
  <c r="C1018" i="57"/>
  <c r="C1017" i="57"/>
  <c r="C1002" i="57"/>
  <c r="F1009" i="57" s="1"/>
  <c r="F1002" i="57"/>
  <c r="K231" i="57"/>
  <c r="K232" i="57"/>
  <c r="K233" i="57"/>
  <c r="K234" i="57"/>
  <c r="K239" i="57"/>
  <c r="E443" i="57"/>
  <c r="D451" i="57"/>
  <c r="G520" i="57"/>
  <c r="M530" i="57" s="1"/>
  <c r="G522" i="57"/>
  <c r="G523" i="57"/>
  <c r="G525" i="57"/>
  <c r="K752" i="57"/>
  <c r="D1103" i="57"/>
  <c r="D1095" i="57"/>
  <c r="D1105" i="57"/>
  <c r="D1097" i="57"/>
  <c r="D1039" i="57"/>
  <c r="D1038" i="57"/>
  <c r="D1036" i="57"/>
  <c r="D1035" i="57"/>
  <c r="D1034" i="57"/>
  <c r="D1033" i="57"/>
  <c r="D1026" i="57"/>
  <c r="D1018" i="57"/>
  <c r="D1025" i="57"/>
  <c r="D1024" i="57"/>
  <c r="D1023" i="57"/>
  <c r="D1022" i="57"/>
  <c r="D1021" i="57"/>
  <c r="D1020" i="57"/>
  <c r="D1019" i="57"/>
  <c r="D1017" i="57"/>
  <c r="D1002" i="57"/>
  <c r="G1009" i="57" s="1"/>
  <c r="D1003" i="57"/>
  <c r="G1010" i="57" s="1"/>
  <c r="AT955" i="57"/>
  <c r="AT953" i="57"/>
  <c r="AT951" i="57"/>
  <c r="AT956" i="57"/>
  <c r="AT954" i="57"/>
  <c r="AT952" i="57"/>
  <c r="AT950" i="57"/>
  <c r="AT946" i="57"/>
  <c r="AT944" i="57"/>
  <c r="AT942" i="57"/>
  <c r="AT940" i="57"/>
  <c r="AT938" i="57"/>
  <c r="AT936" i="57"/>
  <c r="AT934" i="57"/>
  <c r="AT949" i="57"/>
  <c r="AT945" i="57"/>
  <c r="AT943" i="57"/>
  <c r="AT941" i="57"/>
  <c r="AT939" i="57"/>
  <c r="AT937" i="57"/>
  <c r="AT935" i="57"/>
  <c r="AT933" i="57"/>
  <c r="AT931" i="57"/>
  <c r="AT929" i="57"/>
  <c r="AT927" i="57"/>
  <c r="AT925" i="57"/>
  <c r="AT923" i="57"/>
  <c r="AT932" i="57"/>
  <c r="AQ907" i="57"/>
  <c r="AQ903" i="57"/>
  <c r="AQ882" i="57"/>
  <c r="AT930" i="57"/>
  <c r="AT928" i="57"/>
  <c r="AT926" i="57"/>
  <c r="AT924" i="57"/>
  <c r="AT922" i="57"/>
  <c r="AQ914" i="57"/>
  <c r="AQ915" i="57"/>
  <c r="AQ911" i="57"/>
  <c r="AQ908" i="57"/>
  <c r="AQ904" i="57"/>
  <c r="AQ910" i="57"/>
  <c r="AQ906" i="57"/>
  <c r="AQ884" i="57"/>
  <c r="AQ880" i="57"/>
  <c r="AQ881" i="57"/>
  <c r="AQ878" i="57"/>
  <c r="Y815" i="57"/>
  <c r="Y392" i="57" s="1"/>
  <c r="Y807" i="57"/>
  <c r="Y384" i="57" s="1"/>
  <c r="AQ913" i="57"/>
  <c r="AQ912" i="57"/>
  <c r="AQ909" i="57"/>
  <c r="AQ905" i="57"/>
  <c r="AQ885" i="57"/>
  <c r="AQ879" i="57"/>
  <c r="AQ876" i="57"/>
  <c r="AQ883" i="57"/>
  <c r="AQ877" i="57"/>
  <c r="Y813" i="57"/>
  <c r="Y390" i="57" s="1"/>
  <c r="Y806" i="57"/>
  <c r="Y383" i="57" s="1"/>
  <c r="H396" i="57" s="1"/>
  <c r="AN756" i="57"/>
  <c r="Y808" i="57"/>
  <c r="Y385" i="57" s="1"/>
  <c r="AN755" i="57"/>
  <c r="Y814" i="57"/>
  <c r="Y391" i="57" s="1"/>
  <c r="H400" i="57" s="1"/>
  <c r="AN761" i="57"/>
  <c r="AN760" i="57"/>
  <c r="AN759" i="57"/>
  <c r="AN758" i="57"/>
  <c r="AN754" i="57"/>
  <c r="AN753" i="57"/>
  <c r="AN757" i="57"/>
  <c r="B884" i="57"/>
  <c r="B878" i="57"/>
  <c r="AA956" i="57"/>
  <c r="AA954" i="57"/>
  <c r="AA952" i="57"/>
  <c r="AA955" i="57"/>
  <c r="AA953" i="57"/>
  <c r="AB955" i="57"/>
  <c r="AB951" i="57"/>
  <c r="AB949" i="57"/>
  <c r="AB945" i="57"/>
  <c r="AB943" i="57"/>
  <c r="AB941" i="57"/>
  <c r="AB939" i="57"/>
  <c r="AB956" i="57"/>
  <c r="AB952" i="57"/>
  <c r="AA951" i="57"/>
  <c r="AA949" i="57"/>
  <c r="AA945" i="57"/>
  <c r="AA943" i="57"/>
  <c r="AA941" i="57"/>
  <c r="AA939" i="57"/>
  <c r="AA937" i="57"/>
  <c r="AA935" i="57"/>
  <c r="AB953" i="57"/>
  <c r="AB950" i="57"/>
  <c r="AB946" i="57"/>
  <c r="AB944" i="57"/>
  <c r="AB942" i="57"/>
  <c r="AB940" i="57"/>
  <c r="AB938" i="57"/>
  <c r="AB954" i="57"/>
  <c r="AA950" i="57"/>
  <c r="AA946" i="57"/>
  <c r="AA944" i="57"/>
  <c r="AA942" i="57"/>
  <c r="AA940" i="57"/>
  <c r="AA938" i="57"/>
  <c r="AA936" i="57"/>
  <c r="AA934" i="57"/>
  <c r="AA932" i="57"/>
  <c r="AB937" i="57"/>
  <c r="AA933" i="57"/>
  <c r="AB931" i="57"/>
  <c r="AA930" i="57"/>
  <c r="AA928" i="57"/>
  <c r="AA926" i="57"/>
  <c r="AA924" i="57"/>
  <c r="AA922" i="57"/>
  <c r="Y915" i="57"/>
  <c r="AB934" i="57"/>
  <c r="AA931" i="57"/>
  <c r="AB929" i="57"/>
  <c r="AB927" i="57"/>
  <c r="AB925" i="57"/>
  <c r="AB923" i="57"/>
  <c r="X915" i="57"/>
  <c r="Y909" i="57"/>
  <c r="X908" i="57"/>
  <c r="X907" i="57"/>
  <c r="Y906" i="57"/>
  <c r="Y905" i="57"/>
  <c r="X904" i="57"/>
  <c r="X903" i="57"/>
  <c r="Y885" i="57"/>
  <c r="Y884" i="57"/>
  <c r="Y882" i="57"/>
  <c r="AB935" i="57"/>
  <c r="AB932" i="57"/>
  <c r="AA929" i="57"/>
  <c r="AA927" i="57"/>
  <c r="AA925" i="57"/>
  <c r="AA923" i="57"/>
  <c r="AB936" i="57"/>
  <c r="AB933" i="57"/>
  <c r="AB930" i="57"/>
  <c r="AB928" i="57"/>
  <c r="AB926" i="57"/>
  <c r="AB924" i="57"/>
  <c r="AB922" i="57"/>
  <c r="Y914" i="57"/>
  <c r="Y913" i="57"/>
  <c r="Y912" i="57"/>
  <c r="X911" i="57"/>
  <c r="Y910" i="57"/>
  <c r="Y902" i="57"/>
  <c r="X883" i="57"/>
  <c r="X914" i="57"/>
  <c r="Y911" i="57"/>
  <c r="X910" i="57"/>
  <c r="Y907" i="57"/>
  <c r="X906" i="57"/>
  <c r="X902" i="57"/>
  <c r="X879" i="57"/>
  <c r="Y877" i="57"/>
  <c r="X876" i="57"/>
  <c r="Y904" i="57"/>
  <c r="X884" i="57"/>
  <c r="Y881" i="57"/>
  <c r="Y880" i="57"/>
  <c r="X877" i="57"/>
  <c r="X913" i="57"/>
  <c r="X912" i="57"/>
  <c r="Y908" i="57"/>
  <c r="X905" i="57"/>
  <c r="X881" i="57"/>
  <c r="X880" i="57"/>
  <c r="Y878" i="57"/>
  <c r="X909" i="57"/>
  <c r="Y903" i="57"/>
  <c r="X885" i="57"/>
  <c r="Y883" i="57"/>
  <c r="X882" i="57"/>
  <c r="Y879" i="57"/>
  <c r="X878" i="57"/>
  <c r="Y876" i="57"/>
  <c r="K230" i="57"/>
  <c r="G451" i="57"/>
  <c r="G453" i="57"/>
  <c r="G454" i="57"/>
  <c r="G456" i="57"/>
  <c r="C230" i="57"/>
  <c r="C231" i="57"/>
  <c r="G1019" i="57" s="1"/>
  <c r="C232" i="57"/>
  <c r="G1021" i="57" s="1"/>
  <c r="C233" i="57"/>
  <c r="G1023" i="57" s="1"/>
  <c r="K238" i="57"/>
  <c r="K240" i="57"/>
  <c r="D448" i="57"/>
  <c r="AN752" i="57"/>
  <c r="B1088" i="57"/>
  <c r="B1083" i="57"/>
  <c r="B1079" i="57"/>
  <c r="B1085" i="57"/>
  <c r="B1080" i="57"/>
  <c r="B1081" i="57"/>
  <c r="B1077" i="57"/>
  <c r="B1064" i="57"/>
  <c r="B1060" i="57"/>
  <c r="B1056" i="57"/>
  <c r="B1052" i="57"/>
  <c r="B1082" i="57"/>
  <c r="B1065" i="57"/>
  <c r="B1086" i="57"/>
  <c r="B1076" i="57"/>
  <c r="B1062" i="57"/>
  <c r="B1058" i="57"/>
  <c r="B1054" i="57"/>
  <c r="B1057" i="57"/>
  <c r="B1048" i="57"/>
  <c r="B1059" i="57"/>
  <c r="B1051" i="57"/>
  <c r="B1049" i="57"/>
  <c r="B1039" i="57"/>
  <c r="B1038" i="57"/>
  <c r="B1078" i="57"/>
  <c r="B1061" i="57"/>
  <c r="B1053" i="57"/>
  <c r="B1050" i="57"/>
  <c r="B1046" i="57"/>
  <c r="B1087" i="57"/>
  <c r="B1063" i="57"/>
  <c r="B1055" i="57"/>
  <c r="B1047" i="57"/>
  <c r="B1036" i="57"/>
  <c r="B1035" i="57"/>
  <c r="B1034" i="57"/>
  <c r="B1033" i="57"/>
  <c r="B1026" i="57"/>
  <c r="B1025" i="57"/>
  <c r="B1024" i="57"/>
  <c r="B1023" i="57"/>
  <c r="B1022" i="57"/>
  <c r="B1021" i="57"/>
  <c r="B1020" i="57"/>
  <c r="B1019" i="57"/>
  <c r="B1017" i="57"/>
  <c r="B1002" i="57"/>
  <c r="B1018" i="57"/>
  <c r="E757" i="57"/>
  <c r="F757" i="57" s="1"/>
  <c r="E756" i="57"/>
  <c r="F756" i="57" s="1"/>
  <c r="E755" i="57"/>
  <c r="F755" i="57" s="1"/>
  <c r="E761" i="57"/>
  <c r="E760" i="57"/>
  <c r="E759" i="57"/>
  <c r="E758" i="57"/>
  <c r="E754" i="57"/>
  <c r="E753" i="57"/>
  <c r="E752" i="57"/>
  <c r="E751" i="57"/>
  <c r="F751" i="57" s="1"/>
  <c r="C1113" i="57"/>
  <c r="Q1088" i="57"/>
  <c r="Q1083" i="57"/>
  <c r="Q1079" i="57"/>
  <c r="C1103" i="57"/>
  <c r="C1095" i="57"/>
  <c r="Q1085" i="57"/>
  <c r="Q1080" i="57"/>
  <c r="C1111" i="57"/>
  <c r="C1105" i="57"/>
  <c r="C1097" i="57"/>
  <c r="Q1087" i="57"/>
  <c r="Q1086" i="57"/>
  <c r="Q1077" i="57"/>
  <c r="Q1064" i="57"/>
  <c r="Q1060" i="57"/>
  <c r="Q1056" i="57"/>
  <c r="Q1052" i="57"/>
  <c r="Q1078" i="57"/>
  <c r="Q1065" i="57"/>
  <c r="Q1081" i="57"/>
  <c r="Q1076" i="57"/>
  <c r="Q1062" i="57"/>
  <c r="Q1058" i="57"/>
  <c r="Q1054" i="57"/>
  <c r="Q1050" i="57"/>
  <c r="Q1061" i="57"/>
  <c r="Q1053" i="57"/>
  <c r="Q1048" i="57"/>
  <c r="BJ1038" i="57"/>
  <c r="Q1082" i="57"/>
  <c r="Q1063" i="57"/>
  <c r="Q1055" i="57"/>
  <c r="Q1049" i="57"/>
  <c r="Q1057" i="57"/>
  <c r="Q1046" i="57"/>
  <c r="BJ1039" i="57"/>
  <c r="Q1059" i="57"/>
  <c r="Q1051" i="57"/>
  <c r="Q1047" i="57"/>
  <c r="BJ1036" i="57"/>
  <c r="BJ1035" i="57"/>
  <c r="BJ1034" i="57"/>
  <c r="BJ1033" i="57"/>
  <c r="BJ1026" i="57"/>
  <c r="BJ1024" i="57"/>
  <c r="BJ1023" i="57"/>
  <c r="BJ1022" i="57"/>
  <c r="BJ1021" i="57"/>
  <c r="BJ1020" i="57"/>
  <c r="BJ1019" i="57"/>
  <c r="BJ1025" i="57"/>
  <c r="BJ1017" i="57"/>
  <c r="C1009" i="57"/>
  <c r="BJ1018" i="57"/>
  <c r="C1010" i="57"/>
  <c r="AS955" i="57"/>
  <c r="AS951" i="57"/>
  <c r="AS949" i="57"/>
  <c r="AS945" i="57"/>
  <c r="AS943" i="57"/>
  <c r="AS941" i="57"/>
  <c r="AS939" i="57"/>
  <c r="AS956" i="57"/>
  <c r="AS952" i="57"/>
  <c r="AS953" i="57"/>
  <c r="AS950" i="57"/>
  <c r="AS946" i="57"/>
  <c r="AS944" i="57"/>
  <c r="AS942" i="57"/>
  <c r="AS940" i="57"/>
  <c r="AS938" i="57"/>
  <c r="AS954" i="57"/>
  <c r="AS937" i="57"/>
  <c r="AS931" i="57"/>
  <c r="AP915" i="57"/>
  <c r="AS934" i="57"/>
  <c r="AS929" i="57"/>
  <c r="AS927" i="57"/>
  <c r="AS925" i="57"/>
  <c r="AS923" i="57"/>
  <c r="AP913" i="57"/>
  <c r="AP912" i="57"/>
  <c r="AP910" i="57"/>
  <c r="AP909" i="57"/>
  <c r="AP885" i="57"/>
  <c r="AP884" i="57"/>
  <c r="AS935" i="57"/>
  <c r="AS932" i="57"/>
  <c r="AS936" i="57"/>
  <c r="AS933" i="57"/>
  <c r="AS930" i="57"/>
  <c r="AS928" i="57"/>
  <c r="AS926" i="57"/>
  <c r="AS924" i="57"/>
  <c r="AS922" i="57"/>
  <c r="AP914" i="57"/>
  <c r="AP906" i="57"/>
  <c r="AP905" i="57"/>
  <c r="AP883" i="57"/>
  <c r="AP881" i="57"/>
  <c r="AP903" i="57"/>
  <c r="AP877" i="57"/>
  <c r="AP911" i="57"/>
  <c r="AP907" i="57"/>
  <c r="AP904" i="57"/>
  <c r="AP880" i="57"/>
  <c r="B832" i="57"/>
  <c r="B833" i="57" s="1"/>
  <c r="X814" i="57"/>
  <c r="X391" i="57" s="1"/>
  <c r="B400" i="57" s="1"/>
  <c r="X806" i="57"/>
  <c r="X383" i="57" s="1"/>
  <c r="B396" i="57" s="1"/>
  <c r="AP908" i="57"/>
  <c r="AP878" i="57"/>
  <c r="AP882" i="57"/>
  <c r="AP879" i="57"/>
  <c r="AP876" i="57"/>
  <c r="X808" i="57"/>
  <c r="X385" i="57" s="1"/>
  <c r="X813" i="57"/>
  <c r="X390" i="57" s="1"/>
  <c r="W771" i="57"/>
  <c r="W768" i="57"/>
  <c r="AH761" i="57"/>
  <c r="AH760" i="57"/>
  <c r="AH759" i="57"/>
  <c r="AH758" i="57"/>
  <c r="AH754" i="57"/>
  <c r="AH753" i="57"/>
  <c r="AH752" i="57"/>
  <c r="AH751" i="57"/>
  <c r="X815" i="57"/>
  <c r="X392" i="57" s="1"/>
  <c r="B405" i="57" s="1"/>
  <c r="B409" i="57" s="1"/>
  <c r="X807" i="57"/>
  <c r="X384" i="57" s="1"/>
  <c r="W772" i="57"/>
  <c r="AH757" i="57"/>
  <c r="W769" i="57"/>
  <c r="AH756" i="57"/>
  <c r="W773" i="57"/>
  <c r="W770" i="57"/>
  <c r="AH755" i="57"/>
  <c r="C1065" i="57"/>
  <c r="C1061" i="57"/>
  <c r="C1063" i="57"/>
  <c r="C1059" i="57"/>
  <c r="C1058" i="57"/>
  <c r="C1060" i="57"/>
  <c r="C1062" i="57"/>
  <c r="C1064" i="57"/>
  <c r="C1026" i="57"/>
  <c r="C1025" i="57"/>
  <c r="C1024" i="57"/>
  <c r="C1023" i="57"/>
  <c r="R1085" i="57"/>
  <c r="R1080" i="57"/>
  <c r="R1076" i="57"/>
  <c r="AO1095" i="57"/>
  <c r="R1086" i="57"/>
  <c r="R1081" i="57"/>
  <c r="R1077" i="57"/>
  <c r="D1111" i="57"/>
  <c r="D1113" i="57"/>
  <c r="AO1097" i="57"/>
  <c r="R1088" i="57"/>
  <c r="R1078" i="57"/>
  <c r="R1065" i="57"/>
  <c r="R1061" i="57"/>
  <c r="R1057" i="57"/>
  <c r="R1053" i="57"/>
  <c r="R1079" i="57"/>
  <c r="R1087" i="57"/>
  <c r="R1082" i="57"/>
  <c r="R1063" i="57"/>
  <c r="R1059" i="57"/>
  <c r="R1055" i="57"/>
  <c r="R1051" i="57"/>
  <c r="R1064" i="57"/>
  <c r="R1062" i="57"/>
  <c r="R1054" i="57"/>
  <c r="R1049" i="57"/>
  <c r="R1056" i="57"/>
  <c r="R1046" i="57"/>
  <c r="R1058" i="57"/>
  <c r="R1050" i="57"/>
  <c r="R1047" i="57"/>
  <c r="F1039" i="57"/>
  <c r="R1083" i="57"/>
  <c r="R1060" i="57"/>
  <c r="R1052" i="57"/>
  <c r="R1048" i="57"/>
  <c r="F1038" i="57"/>
  <c r="F1036" i="57"/>
  <c r="F1035" i="57"/>
  <c r="F1034" i="57"/>
  <c r="F1033" i="57"/>
  <c r="F1026" i="57"/>
  <c r="D1009" i="57"/>
  <c r="E1003" i="57"/>
  <c r="F1025" i="57"/>
  <c r="F1024" i="57"/>
  <c r="F1023" i="57"/>
  <c r="F1022" i="57"/>
  <c r="F1021" i="57"/>
  <c r="F1020" i="57"/>
  <c r="D1010" i="57"/>
  <c r="F1018" i="57"/>
  <c r="F1017" i="57"/>
  <c r="E1002" i="57"/>
  <c r="F1019" i="57"/>
  <c r="H976" i="57"/>
  <c r="H980" i="58" s="1"/>
  <c r="H766" i="58" s="1"/>
  <c r="H953" i="57"/>
  <c r="H957" i="58" s="1"/>
  <c r="H951" i="57"/>
  <c r="H955" i="58" s="1"/>
  <c r="H949" i="57"/>
  <c r="H953" i="58" s="1"/>
  <c r="H945" i="57"/>
  <c r="H949" i="58" s="1"/>
  <c r="H759" i="58" s="1"/>
  <c r="H943" i="57"/>
  <c r="H947" i="58" s="1"/>
  <c r="H757" i="58" s="1"/>
  <c r="H941" i="57"/>
  <c r="H945" i="58" s="1"/>
  <c r="H755" i="58" s="1"/>
  <c r="H954" i="57"/>
  <c r="H958" i="58" s="1"/>
  <c r="H955" i="57"/>
  <c r="H959" i="58" s="1"/>
  <c r="H950" i="57"/>
  <c r="H954" i="58" s="1"/>
  <c r="H946" i="57"/>
  <c r="H950" i="58" s="1"/>
  <c r="H760" i="58" s="1"/>
  <c r="H944" i="57"/>
  <c r="H948" i="58" s="1"/>
  <c r="H758" i="58" s="1"/>
  <c r="H942" i="57"/>
  <c r="H946" i="58" s="1"/>
  <c r="H756" i="58" s="1"/>
  <c r="H940" i="57"/>
  <c r="H944" i="58" s="1"/>
  <c r="H754" i="58" s="1"/>
  <c r="H956" i="57"/>
  <c r="H960" i="58" s="1"/>
  <c r="H952" i="57"/>
  <c r="H956" i="58" s="1"/>
  <c r="H939" i="57"/>
  <c r="H943" i="58" s="1"/>
  <c r="H753" i="58" s="1"/>
  <c r="H935" i="57"/>
  <c r="H939" i="58" s="1"/>
  <c r="H751" i="58" s="1"/>
  <c r="H934" i="57"/>
  <c r="H938" i="58" s="1"/>
  <c r="H750" i="58" s="1"/>
  <c r="H936" i="57"/>
  <c r="H940" i="58" s="1"/>
  <c r="H752" i="58" s="1"/>
  <c r="H932" i="57"/>
  <c r="H936" i="58" s="1"/>
  <c r="H931" i="57"/>
  <c r="H935" i="58" s="1"/>
  <c r="H929" i="57"/>
  <c r="H933" i="58" s="1"/>
  <c r="H927" i="57"/>
  <c r="H931" i="58" s="1"/>
  <c r="H747" i="58" s="1"/>
  <c r="H925" i="57"/>
  <c r="H929" i="58" s="1"/>
  <c r="H745" i="58" s="1"/>
  <c r="H923" i="57"/>
  <c r="H927" i="58" s="1"/>
  <c r="H743" i="58" s="1"/>
  <c r="H937" i="57"/>
  <c r="H941" i="58" s="1"/>
  <c r="H933" i="57"/>
  <c r="H937" i="58" s="1"/>
  <c r="H749" i="58" s="1"/>
  <c r="H938" i="57"/>
  <c r="H942" i="58" s="1"/>
  <c r="H930" i="57"/>
  <c r="H934" i="58" s="1"/>
  <c r="H928" i="57"/>
  <c r="H932" i="58" s="1"/>
  <c r="H748" i="58" s="1"/>
  <c r="H926" i="57"/>
  <c r="H930" i="58" s="1"/>
  <c r="H746" i="58" s="1"/>
  <c r="H924" i="57"/>
  <c r="H928" i="58" s="1"/>
  <c r="H744" i="58" s="1"/>
  <c r="H922" i="57"/>
  <c r="H926" i="58" s="1"/>
  <c r="H742" i="58" s="1"/>
  <c r="K756" i="57"/>
  <c r="J773" i="57"/>
  <c r="J770" i="57"/>
  <c r="J769" i="57"/>
  <c r="J768" i="57"/>
  <c r="K755" i="57"/>
  <c r="J771" i="57"/>
  <c r="K761" i="57"/>
  <c r="K760" i="57"/>
  <c r="K759" i="57"/>
  <c r="K758" i="57"/>
  <c r="K754" i="57"/>
  <c r="K753" i="57"/>
  <c r="J772" i="57"/>
  <c r="K757" i="57"/>
  <c r="L755" i="57"/>
  <c r="L761" i="57"/>
  <c r="L760" i="57"/>
  <c r="L759" i="57"/>
  <c r="L758" i="57"/>
  <c r="L754" i="57"/>
  <c r="L753" i="57"/>
  <c r="L752" i="57"/>
  <c r="L751" i="57"/>
  <c r="L757" i="57"/>
  <c r="L756" i="57"/>
  <c r="B914" i="57"/>
  <c r="B910" i="57"/>
  <c r="AP1111" i="57"/>
  <c r="AP1113" i="57" s="1"/>
  <c r="D443" i="57"/>
  <c r="E448" i="57"/>
  <c r="E590" i="57"/>
  <c r="H409" i="57" l="1"/>
  <c r="H405" i="57"/>
  <c r="B423" i="57"/>
  <c r="B428" i="57" s="1"/>
  <c r="B433" i="57" s="1"/>
  <c r="G438" i="57"/>
  <c r="H448" i="57" s="1"/>
  <c r="G437" i="57"/>
  <c r="H443" i="57" s="1"/>
  <c r="F438" i="57"/>
  <c r="G448" i="57" s="1"/>
  <c r="F437" i="57"/>
  <c r="G443" i="57" s="1"/>
  <c r="C825" i="57"/>
  <c r="C417" i="57" s="1"/>
  <c r="F827" i="58"/>
  <c r="G832" i="57"/>
  <c r="F832" i="57"/>
  <c r="J832" i="57"/>
  <c r="AL721" i="57"/>
  <c r="E812" i="57"/>
  <c r="E389" i="57" s="1"/>
  <c r="F409" i="57" s="1"/>
  <c r="E797" i="58"/>
  <c r="E799" i="57"/>
  <c r="E367" i="57" s="1"/>
  <c r="I1084" i="57"/>
  <c r="J1084" i="57"/>
  <c r="R1037" i="57"/>
  <c r="M721" i="57"/>
  <c r="AE721" i="57" s="1"/>
  <c r="E809" i="57"/>
  <c r="E386" i="57" s="1"/>
  <c r="F405" i="57" s="1"/>
  <c r="AM721" i="57"/>
  <c r="AK721" i="57" s="1"/>
  <c r="E810" i="57"/>
  <c r="E387" i="57" s="1"/>
  <c r="P739" i="57"/>
  <c r="AF739" i="57" s="1"/>
  <c r="F737" i="57"/>
  <c r="E740" i="57"/>
  <c r="E741" i="57" s="1"/>
  <c r="F738" i="57"/>
  <c r="AI738" i="57" s="1"/>
  <c r="AI739" i="57"/>
  <c r="AM741" i="57"/>
  <c r="S741" i="57"/>
  <c r="M741" i="57"/>
  <c r="T741" i="57"/>
  <c r="O741" i="57"/>
  <c r="AL741" i="57"/>
  <c r="P741" i="57"/>
  <c r="AF741" i="57" s="1"/>
  <c r="O739" i="57"/>
  <c r="T740" i="57"/>
  <c r="AL740" i="57"/>
  <c r="M740" i="57"/>
  <c r="AM740" i="57"/>
  <c r="O740" i="57"/>
  <c r="P740" i="57"/>
  <c r="AF740" i="57" s="1"/>
  <c r="S740" i="57"/>
  <c r="S739" i="57"/>
  <c r="T721" i="57"/>
  <c r="BU1025" i="57"/>
  <c r="U1025" i="57" s="1"/>
  <c r="J833" i="57"/>
  <c r="P833" i="57" s="1"/>
  <c r="K825" i="57"/>
  <c r="K417" i="57" s="1"/>
  <c r="I799" i="57"/>
  <c r="I367" i="57" s="1"/>
  <c r="I811" i="57"/>
  <c r="I388" i="57" s="1"/>
  <c r="D1062" i="57"/>
  <c r="I1062" i="57" s="1"/>
  <c r="I1025" i="57"/>
  <c r="BV1025" i="57"/>
  <c r="E832" i="57"/>
  <c r="C799" i="57"/>
  <c r="C367" i="57" s="1"/>
  <c r="P530" i="57"/>
  <c r="P535" i="57" s="1"/>
  <c r="I832" i="57"/>
  <c r="G799" i="57"/>
  <c r="G367" i="57" s="1"/>
  <c r="M738" i="57"/>
  <c r="AF738" i="57"/>
  <c r="AL738" i="57"/>
  <c r="T738" i="57"/>
  <c r="AM738" i="57"/>
  <c r="G711" i="57"/>
  <c r="AI711" i="57"/>
  <c r="AF711" i="57"/>
  <c r="AL711" i="57"/>
  <c r="AM711" i="57"/>
  <c r="I809" i="57"/>
  <c r="I386" i="57" s="1"/>
  <c r="J405" i="57" s="1"/>
  <c r="K824" i="57"/>
  <c r="K416" i="57" s="1"/>
  <c r="T739" i="57"/>
  <c r="AJ739" i="57"/>
  <c r="AK739" i="57"/>
  <c r="I810" i="57"/>
  <c r="I387" i="57" s="1"/>
  <c r="I798" i="57"/>
  <c r="I366" i="57" s="1"/>
  <c r="A886" i="57"/>
  <c r="M1112" i="57"/>
  <c r="L1112" i="57"/>
  <c r="Y1096" i="57"/>
  <c r="W1096" i="57"/>
  <c r="AH1096" i="57"/>
  <c r="AF1096" i="57"/>
  <c r="I1067" i="57"/>
  <c r="I1075" i="57"/>
  <c r="J1071" i="57"/>
  <c r="J1067" i="57"/>
  <c r="J1075" i="57"/>
  <c r="I1069" i="57"/>
  <c r="I1074" i="57"/>
  <c r="J1069" i="57"/>
  <c r="J1074" i="57"/>
  <c r="I1066" i="57"/>
  <c r="I1068" i="57"/>
  <c r="J1066" i="57"/>
  <c r="J1068" i="57"/>
  <c r="I1070" i="57"/>
  <c r="J1070" i="57"/>
  <c r="I1071" i="57"/>
  <c r="I1072" i="57"/>
  <c r="J1072" i="57"/>
  <c r="I1073" i="57"/>
  <c r="J1073" i="57"/>
  <c r="AI693" i="57"/>
  <c r="G693" i="57"/>
  <c r="M695" i="57"/>
  <c r="T695" i="57"/>
  <c r="AF695" i="57"/>
  <c r="AL695" i="57"/>
  <c r="AM695" i="57"/>
  <c r="G695" i="57"/>
  <c r="AI695" i="57"/>
  <c r="AM693" i="57"/>
  <c r="T693" i="57"/>
  <c r="M693" i="57"/>
  <c r="AL693" i="57"/>
  <c r="M694" i="57"/>
  <c r="T694" i="57"/>
  <c r="AL694" i="57"/>
  <c r="AM694" i="57"/>
  <c r="AI694" i="57"/>
  <c r="G694" i="57"/>
  <c r="M697" i="57"/>
  <c r="AL697" i="57"/>
  <c r="T697" i="57"/>
  <c r="AF697" i="57"/>
  <c r="AM697" i="57"/>
  <c r="AM704" i="57"/>
  <c r="T704" i="57"/>
  <c r="AF704" i="57"/>
  <c r="M704" i="57"/>
  <c r="AL704" i="57"/>
  <c r="AF707" i="57"/>
  <c r="T707" i="57"/>
  <c r="M707" i="57"/>
  <c r="AM707" i="57"/>
  <c r="AL707" i="57"/>
  <c r="AI715" i="57"/>
  <c r="AI712" i="57"/>
  <c r="AI713" i="57"/>
  <c r="AI703" i="57"/>
  <c r="G703" i="57"/>
  <c r="AI707" i="57"/>
  <c r="G707" i="57"/>
  <c r="M715" i="57"/>
  <c r="AM715" i="57"/>
  <c r="AF715" i="57"/>
  <c r="AL715" i="57"/>
  <c r="T715" i="57"/>
  <c r="AF712" i="57"/>
  <c r="AM712" i="57"/>
  <c r="M712" i="57"/>
  <c r="T712" i="57"/>
  <c r="AL712" i="57"/>
  <c r="M702" i="57"/>
  <c r="T702" i="57"/>
  <c r="AM702" i="57"/>
  <c r="AL702" i="57"/>
  <c r="AM709" i="57"/>
  <c r="T709" i="57"/>
  <c r="M709" i="57"/>
  <c r="AL709" i="57"/>
  <c r="AF709" i="57"/>
  <c r="M711" i="57"/>
  <c r="T711" i="57"/>
  <c r="M701" i="57"/>
  <c r="AL701" i="57"/>
  <c r="AM701" i="57"/>
  <c r="AF701" i="57"/>
  <c r="T701" i="57"/>
  <c r="G709" i="57"/>
  <c r="AI709" i="57"/>
  <c r="AI699" i="57"/>
  <c r="G699" i="57"/>
  <c r="G705" i="57"/>
  <c r="AI705" i="57"/>
  <c r="G696" i="57"/>
  <c r="AI696" i="57"/>
  <c r="AI706" i="57"/>
  <c r="G706" i="57"/>
  <c r="T716" i="57"/>
  <c r="AM716" i="57"/>
  <c r="AF716" i="57"/>
  <c r="M716" i="57"/>
  <c r="AL716" i="57"/>
  <c r="M699" i="57"/>
  <c r="AL699" i="57"/>
  <c r="T699" i="57"/>
  <c r="AF699" i="57"/>
  <c r="AM699" i="57"/>
  <c r="AM703" i="57"/>
  <c r="T703" i="57"/>
  <c r="M703" i="57"/>
  <c r="AL703" i="57"/>
  <c r="AM710" i="57"/>
  <c r="T710" i="57"/>
  <c r="M710" i="57"/>
  <c r="AL710" i="57"/>
  <c r="AF710" i="57"/>
  <c r="AM705" i="57"/>
  <c r="T705" i="57"/>
  <c r="M705" i="57"/>
  <c r="AL705" i="57"/>
  <c r="AF705" i="57"/>
  <c r="M700" i="57"/>
  <c r="AE700" i="57" s="1"/>
  <c r="AF700" i="57"/>
  <c r="AL700" i="57"/>
  <c r="T700" i="57"/>
  <c r="AM700" i="57"/>
  <c r="G702" i="57"/>
  <c r="AI702" i="57"/>
  <c r="AI698" i="57"/>
  <c r="G698" i="57"/>
  <c r="AI716" i="57"/>
  <c r="AI710" i="57"/>
  <c r="G710" i="57"/>
  <c r="G701" i="57"/>
  <c r="AI701" i="57"/>
  <c r="T713" i="57"/>
  <c r="AF713" i="57"/>
  <c r="AM713" i="57"/>
  <c r="M713" i="57"/>
  <c r="AL713" i="57"/>
  <c r="M698" i="57"/>
  <c r="AL698" i="57"/>
  <c r="T698" i="57"/>
  <c r="AF698" i="57"/>
  <c r="AM698" i="57"/>
  <c r="M696" i="57"/>
  <c r="T696" i="57"/>
  <c r="AF696" i="57"/>
  <c r="AL696" i="57"/>
  <c r="AM696" i="57"/>
  <c r="M706" i="57"/>
  <c r="AF706" i="57"/>
  <c r="T706" i="57"/>
  <c r="AL706" i="57"/>
  <c r="AM706" i="57"/>
  <c r="T708" i="57"/>
  <c r="M708" i="57"/>
  <c r="AL708" i="57"/>
  <c r="AM708" i="57"/>
  <c r="AF708" i="57"/>
  <c r="AI697" i="57"/>
  <c r="G697" i="57"/>
  <c r="AI714" i="57"/>
  <c r="G704" i="57"/>
  <c r="AI704" i="57"/>
  <c r="AI708" i="57"/>
  <c r="G708" i="57"/>
  <c r="G700" i="57"/>
  <c r="AI700" i="57"/>
  <c r="T714" i="57"/>
  <c r="M714" i="57"/>
  <c r="AM714" i="57"/>
  <c r="AL714" i="57"/>
  <c r="AF714" i="57"/>
  <c r="G726" i="57"/>
  <c r="AI726" i="57"/>
  <c r="AI719" i="57"/>
  <c r="AI722" i="57"/>
  <c r="G722" i="57"/>
  <c r="AI729" i="57"/>
  <c r="G729" i="57"/>
  <c r="AM729" i="57"/>
  <c r="AL729" i="57"/>
  <c r="M729" i="57"/>
  <c r="AF729" i="57"/>
  <c r="T729" i="57"/>
  <c r="M724" i="57"/>
  <c r="AL724" i="57"/>
  <c r="T724" i="57"/>
  <c r="AF724" i="57"/>
  <c r="AM724" i="57"/>
  <c r="G723" i="57"/>
  <c r="AI723" i="57"/>
  <c r="AI718" i="57"/>
  <c r="G727" i="57"/>
  <c r="AI727" i="57"/>
  <c r="S729" i="57"/>
  <c r="R729" i="57" s="1"/>
  <c r="M727" i="57"/>
  <c r="AM727" i="57"/>
  <c r="AL727" i="57"/>
  <c r="AF727" i="57"/>
  <c r="T727" i="57"/>
  <c r="AF723" i="57"/>
  <c r="AM723" i="57"/>
  <c r="M723" i="57"/>
  <c r="AL723" i="57"/>
  <c r="T723" i="57"/>
  <c r="T720" i="57"/>
  <c r="M720" i="57"/>
  <c r="AL720" i="57"/>
  <c r="AM720" i="57"/>
  <c r="AF720" i="57"/>
  <c r="AI717" i="57"/>
  <c r="AI724" i="57"/>
  <c r="G724" i="57"/>
  <c r="M726" i="57"/>
  <c r="AF726" i="57"/>
  <c r="AM726" i="57"/>
  <c r="T726" i="57"/>
  <c r="AL726" i="57"/>
  <c r="T722" i="57"/>
  <c r="AM722" i="57"/>
  <c r="AF722" i="57"/>
  <c r="M722" i="57"/>
  <c r="AL722" i="57"/>
  <c r="T718" i="57"/>
  <c r="M718" i="57"/>
  <c r="AL718" i="57"/>
  <c r="AM718" i="57"/>
  <c r="AF718" i="57"/>
  <c r="M719" i="57"/>
  <c r="T719" i="57"/>
  <c r="AL719" i="57"/>
  <c r="AF719" i="57"/>
  <c r="AM719" i="57"/>
  <c r="AI720" i="57"/>
  <c r="AI728" i="57"/>
  <c r="G728" i="57"/>
  <c r="AI725" i="57"/>
  <c r="G725" i="57"/>
  <c r="M728" i="57"/>
  <c r="AL728" i="57"/>
  <c r="AM728" i="57"/>
  <c r="AF728" i="57"/>
  <c r="T728" i="57"/>
  <c r="AL725" i="57"/>
  <c r="AF725" i="57"/>
  <c r="AM725" i="57"/>
  <c r="T725" i="57"/>
  <c r="M725" i="57"/>
  <c r="AM717" i="57"/>
  <c r="M717" i="57"/>
  <c r="T717" i="57"/>
  <c r="AL717" i="57"/>
  <c r="AF717" i="57"/>
  <c r="H989" i="58"/>
  <c r="H774" i="58" s="1"/>
  <c r="AE743" i="57"/>
  <c r="AE746" i="57"/>
  <c r="AE742" i="57"/>
  <c r="AE744" i="57"/>
  <c r="G888" i="57"/>
  <c r="AR888" i="57" s="1"/>
  <c r="G889" i="57"/>
  <c r="AR889" i="57" s="1"/>
  <c r="AR886" i="57"/>
  <c r="R1027" i="57"/>
  <c r="R1030" i="57"/>
  <c r="R1029" i="57"/>
  <c r="R1031" i="57"/>
  <c r="R1028" i="57"/>
  <c r="R1032" i="57"/>
  <c r="AM730" i="57"/>
  <c r="AF730" i="57"/>
  <c r="AL730" i="57"/>
  <c r="M735" i="57"/>
  <c r="AL735" i="57"/>
  <c r="AF735" i="57"/>
  <c r="AM735" i="57"/>
  <c r="T735" i="57"/>
  <c r="M734" i="57"/>
  <c r="AM734" i="57"/>
  <c r="T734" i="57"/>
  <c r="AF734" i="57"/>
  <c r="AL734" i="57"/>
  <c r="M737" i="57"/>
  <c r="AF737" i="57"/>
  <c r="AM737" i="57"/>
  <c r="T737" i="57"/>
  <c r="AL737" i="57"/>
  <c r="M736" i="57"/>
  <c r="AF736" i="57"/>
  <c r="AL736" i="57"/>
  <c r="T736" i="57"/>
  <c r="AM736" i="57"/>
  <c r="M733" i="57"/>
  <c r="AL733" i="57"/>
  <c r="T733" i="57"/>
  <c r="AF733" i="57"/>
  <c r="AM733" i="57"/>
  <c r="M731" i="57"/>
  <c r="AF731" i="57"/>
  <c r="AM731" i="57"/>
  <c r="AL731" i="57"/>
  <c r="T731" i="57"/>
  <c r="M732" i="57"/>
  <c r="T732" i="57"/>
  <c r="AF732" i="57"/>
  <c r="AL732" i="57"/>
  <c r="AM732" i="57"/>
  <c r="T751" i="57"/>
  <c r="T746" i="57"/>
  <c r="T748" i="57"/>
  <c r="T749" i="57"/>
  <c r="T750" i="57"/>
  <c r="T744" i="57"/>
  <c r="T743" i="57"/>
  <c r="T742" i="57"/>
  <c r="T747" i="57"/>
  <c r="T745" i="57"/>
  <c r="AK748" i="57"/>
  <c r="AJ748" i="57"/>
  <c r="AE747" i="57"/>
  <c r="AK742" i="57"/>
  <c r="AJ742" i="57"/>
  <c r="AK744" i="57"/>
  <c r="AJ744" i="57"/>
  <c r="AI750" i="57"/>
  <c r="AE745" i="57"/>
  <c r="AK746" i="57"/>
  <c r="AJ746" i="57"/>
  <c r="AK743" i="57"/>
  <c r="AJ743" i="57"/>
  <c r="AK749" i="57"/>
  <c r="AJ749" i="57"/>
  <c r="AK745" i="57"/>
  <c r="AJ745" i="57"/>
  <c r="AE750" i="57"/>
  <c r="AE748" i="57"/>
  <c r="AK747" i="57"/>
  <c r="AJ747" i="57"/>
  <c r="AE749" i="57"/>
  <c r="AK750" i="57"/>
  <c r="AJ750" i="57"/>
  <c r="AI746" i="57"/>
  <c r="M730" i="57"/>
  <c r="T730" i="57"/>
  <c r="M411" i="58"/>
  <c r="M401" i="58"/>
  <c r="M416" i="58"/>
  <c r="M406" i="58"/>
  <c r="M1113" i="57"/>
  <c r="L1111" i="57"/>
  <c r="L1113" i="57"/>
  <c r="M1111" i="57"/>
  <c r="T752" i="57"/>
  <c r="T759" i="57"/>
  <c r="T756" i="57"/>
  <c r="T753" i="57"/>
  <c r="T760" i="57"/>
  <c r="T757" i="57"/>
  <c r="T754" i="57"/>
  <c r="T761" i="57"/>
  <c r="T758" i="57"/>
  <c r="T755" i="57"/>
  <c r="B877" i="57"/>
  <c r="B915" i="57"/>
  <c r="B879" i="57"/>
  <c r="B885" i="57"/>
  <c r="G1038" i="57"/>
  <c r="D1085" i="57" s="1"/>
  <c r="G1035" i="57"/>
  <c r="I1035" i="57" s="1"/>
  <c r="G1017" i="57"/>
  <c r="BU1017" i="57" s="1"/>
  <c r="G1039" i="57"/>
  <c r="R1039" i="57" s="1"/>
  <c r="G1036" i="57"/>
  <c r="R1036" i="57" s="1"/>
  <c r="G1034" i="57"/>
  <c r="I1034" i="57" s="1"/>
  <c r="F238" i="57"/>
  <c r="AM757" i="57"/>
  <c r="AL757" i="57"/>
  <c r="M757" i="57"/>
  <c r="AF757" i="57"/>
  <c r="AL760" i="57"/>
  <c r="M760" i="57"/>
  <c r="AF760" i="57"/>
  <c r="AM760" i="57"/>
  <c r="B912" i="57"/>
  <c r="B913" i="57"/>
  <c r="B911" i="57"/>
  <c r="AL754" i="57"/>
  <c r="M754" i="57"/>
  <c r="AF754" i="57"/>
  <c r="AM754" i="57"/>
  <c r="AL761" i="57"/>
  <c r="M761" i="57"/>
  <c r="AF761" i="57"/>
  <c r="AM761" i="57"/>
  <c r="F754" i="57"/>
  <c r="F761" i="57"/>
  <c r="AL751" i="57"/>
  <c r="M751" i="57"/>
  <c r="AF751" i="57"/>
  <c r="AM751" i="57"/>
  <c r="G751" i="57"/>
  <c r="AI751" i="57"/>
  <c r="F758" i="57"/>
  <c r="AI757" i="57"/>
  <c r="G757" i="57"/>
  <c r="D1058" i="57"/>
  <c r="I1023" i="57"/>
  <c r="G1024" i="57"/>
  <c r="BV1023" i="57"/>
  <c r="BU1023" i="57"/>
  <c r="R1023" i="57"/>
  <c r="W1097" i="57"/>
  <c r="Y1095" i="57"/>
  <c r="AH1097" i="57"/>
  <c r="AF1095" i="57"/>
  <c r="Y1097" i="57"/>
  <c r="AF1097" i="57"/>
  <c r="AH1095" i="57"/>
  <c r="W1095" i="57"/>
  <c r="BU1026" i="57"/>
  <c r="R1026" i="57"/>
  <c r="BV1026" i="57"/>
  <c r="I1026" i="57"/>
  <c r="D1076" i="57"/>
  <c r="BU1033" i="57"/>
  <c r="R1033" i="57"/>
  <c r="I1033" i="57"/>
  <c r="BV1033" i="57"/>
  <c r="AM756" i="57"/>
  <c r="AL756" i="57"/>
  <c r="M756" i="57"/>
  <c r="AF756" i="57"/>
  <c r="AL758" i="57"/>
  <c r="M758" i="57"/>
  <c r="AF758" i="57"/>
  <c r="AM758" i="57"/>
  <c r="AL752" i="57"/>
  <c r="M752" i="57"/>
  <c r="AF752" i="57"/>
  <c r="AM752" i="57"/>
  <c r="AL759" i="57"/>
  <c r="M759" i="57"/>
  <c r="AF759" i="57"/>
  <c r="AM759" i="57"/>
  <c r="AF755" i="57"/>
  <c r="AM755" i="57"/>
  <c r="AL755" i="57"/>
  <c r="M755" i="57"/>
  <c r="F752" i="57"/>
  <c r="F759" i="57"/>
  <c r="G755" i="57"/>
  <c r="AI755" i="57"/>
  <c r="D1054" i="57"/>
  <c r="I1021" i="57"/>
  <c r="G1022" i="57"/>
  <c r="BV1021" i="57"/>
  <c r="BU1021" i="57"/>
  <c r="R1021" i="57"/>
  <c r="B881" i="57"/>
  <c r="B882" i="57"/>
  <c r="M535" i="57"/>
  <c r="M550" i="57"/>
  <c r="M555" i="57" s="1"/>
  <c r="M560" i="57" s="1"/>
  <c r="R1025" i="57"/>
  <c r="AL753" i="57"/>
  <c r="M753" i="57"/>
  <c r="AF753" i="57"/>
  <c r="AM753" i="57"/>
  <c r="F753" i="57"/>
  <c r="F760" i="57"/>
  <c r="AI756" i="57"/>
  <c r="G756" i="57"/>
  <c r="E1009" i="57"/>
  <c r="B1003" i="57"/>
  <c r="E1010" i="57" s="1"/>
  <c r="D1050" i="57"/>
  <c r="I1019" i="57"/>
  <c r="G1020" i="57"/>
  <c r="BV1019" i="57"/>
  <c r="BU1019" i="57"/>
  <c r="R1019" i="57"/>
  <c r="L461" i="57"/>
  <c r="L466" i="57"/>
  <c r="AA461" i="57"/>
  <c r="AA466" i="57" s="1"/>
  <c r="D454" i="57"/>
  <c r="I1009" i="57"/>
  <c r="Y1002" i="57"/>
  <c r="N1002" i="57"/>
  <c r="G1002" i="57"/>
  <c r="F1003" i="57"/>
  <c r="J433" i="57" l="1"/>
  <c r="E438" i="57"/>
  <c r="F448" i="57" s="1"/>
  <c r="I437" i="57"/>
  <c r="J443" i="57" s="1"/>
  <c r="F811" i="57"/>
  <c r="F388" i="57" s="1"/>
  <c r="E437" i="57"/>
  <c r="F443" i="57" s="1"/>
  <c r="K827" i="58"/>
  <c r="AD827" i="58" s="1"/>
  <c r="K826" i="58"/>
  <c r="I797" i="58"/>
  <c r="AE797" i="58" s="1"/>
  <c r="E798" i="58"/>
  <c r="E796" i="58"/>
  <c r="AJ721" i="57"/>
  <c r="G833" i="57"/>
  <c r="G825" i="57"/>
  <c r="G417" i="57" s="1"/>
  <c r="AA809" i="57"/>
  <c r="I795" i="58"/>
  <c r="AE795" i="58" s="1"/>
  <c r="F824" i="57"/>
  <c r="F416" i="57" s="1"/>
  <c r="E795" i="58"/>
  <c r="J810" i="57"/>
  <c r="J387" i="57" s="1"/>
  <c r="I796" i="58"/>
  <c r="AE796" i="58" s="1"/>
  <c r="D1065" i="57"/>
  <c r="I1065" i="57" s="1"/>
  <c r="V1025" i="57"/>
  <c r="D1063" i="57"/>
  <c r="I1063" i="57" s="1"/>
  <c r="D1064" i="57"/>
  <c r="O1064" i="57" s="1"/>
  <c r="J1062" i="57"/>
  <c r="O1062" i="57"/>
  <c r="G738" i="57"/>
  <c r="J809" i="57"/>
  <c r="J386" i="57" s="1"/>
  <c r="O405" i="57" s="1"/>
  <c r="AE741" i="57"/>
  <c r="P550" i="57"/>
  <c r="P555" i="57" s="1"/>
  <c r="P560" i="57" s="1"/>
  <c r="P565" i="57" s="1"/>
  <c r="AD741" i="57"/>
  <c r="AE740" i="57"/>
  <c r="AJ740" i="57"/>
  <c r="AK740" i="57"/>
  <c r="AJ741" i="57"/>
  <c r="AK741" i="57"/>
  <c r="AI737" i="57"/>
  <c r="F740" i="57"/>
  <c r="L825" i="57"/>
  <c r="L417" i="57" s="1"/>
  <c r="AD825" i="57"/>
  <c r="D811" i="57"/>
  <c r="D388" i="57" s="1"/>
  <c r="E825" i="57"/>
  <c r="E417" i="57" s="1"/>
  <c r="E833" i="57"/>
  <c r="H811" i="57"/>
  <c r="H388" i="57" s="1"/>
  <c r="J825" i="57"/>
  <c r="J417" i="57" s="1"/>
  <c r="I833" i="57"/>
  <c r="AD811" i="57"/>
  <c r="AA811" i="57"/>
  <c r="I812" i="57"/>
  <c r="I389" i="57" s="1"/>
  <c r="J409" i="57" s="1"/>
  <c r="J811" i="57"/>
  <c r="J388" i="57" s="1"/>
  <c r="AJ738" i="57"/>
  <c r="AK738" i="57"/>
  <c r="AD711" i="57"/>
  <c r="AE711" i="57"/>
  <c r="AJ711" i="57"/>
  <c r="AK711" i="57"/>
  <c r="AA810" i="57"/>
  <c r="AD809" i="57"/>
  <c r="AD810" i="57"/>
  <c r="L824" i="57"/>
  <c r="L416" i="57" s="1"/>
  <c r="AD824" i="57"/>
  <c r="A887" i="57"/>
  <c r="AA491" i="57"/>
  <c r="AA496" i="57" s="1"/>
  <c r="I1050" i="57"/>
  <c r="J1050" i="57"/>
  <c r="I1054" i="57"/>
  <c r="J1054" i="57"/>
  <c r="I1076" i="57"/>
  <c r="J1076" i="57"/>
  <c r="I1085" i="57"/>
  <c r="J1085" i="57"/>
  <c r="I1058" i="57"/>
  <c r="J1058" i="57"/>
  <c r="AJ693" i="57"/>
  <c r="AK693" i="57"/>
  <c r="AJ694" i="57"/>
  <c r="AK694" i="57"/>
  <c r="AE694" i="57"/>
  <c r="AE693" i="57"/>
  <c r="AK695" i="57"/>
  <c r="AJ695" i="57"/>
  <c r="AE695" i="57"/>
  <c r="AE710" i="57"/>
  <c r="AJ699" i="57"/>
  <c r="AK699" i="57"/>
  <c r="AJ702" i="57"/>
  <c r="AK702" i="57"/>
  <c r="AJ714" i="57"/>
  <c r="AK714" i="57"/>
  <c r="AK713" i="57"/>
  <c r="AJ713" i="57"/>
  <c r="AK705" i="57"/>
  <c r="AJ705" i="57"/>
  <c r="AJ716" i="57"/>
  <c r="AK716" i="57"/>
  <c r="AE701" i="57"/>
  <c r="AK709" i="57"/>
  <c r="AJ709" i="57"/>
  <c r="AJ715" i="57"/>
  <c r="AK715" i="57"/>
  <c r="AE707" i="57"/>
  <c r="AE704" i="57"/>
  <c r="AK698" i="57"/>
  <c r="AJ698" i="57"/>
  <c r="AE698" i="57"/>
  <c r="AE713" i="57"/>
  <c r="AJ700" i="57"/>
  <c r="AK700" i="57"/>
  <c r="AE703" i="57"/>
  <c r="AE699" i="57"/>
  <c r="AJ712" i="57"/>
  <c r="AK712" i="57"/>
  <c r="AJ707" i="57"/>
  <c r="AK707" i="57"/>
  <c r="AE714" i="57"/>
  <c r="AK708" i="57"/>
  <c r="AJ708" i="57"/>
  <c r="AK706" i="57"/>
  <c r="AJ706" i="57"/>
  <c r="AE706" i="57"/>
  <c r="AD706" i="57"/>
  <c r="AJ710" i="57"/>
  <c r="AK710" i="57"/>
  <c r="AE702" i="57"/>
  <c r="AE715" i="57"/>
  <c r="AJ697" i="57"/>
  <c r="AK697" i="57"/>
  <c r="AE697" i="57"/>
  <c r="AE708" i="57"/>
  <c r="AJ704" i="57"/>
  <c r="AK704" i="57"/>
  <c r="AJ696" i="57"/>
  <c r="AK696" i="57"/>
  <c r="AE696" i="57"/>
  <c r="AE705" i="57"/>
  <c r="AK703" i="57"/>
  <c r="AJ703" i="57"/>
  <c r="AE716" i="57"/>
  <c r="AK701" i="57"/>
  <c r="AJ701" i="57"/>
  <c r="AE709" i="57"/>
  <c r="AE712" i="57"/>
  <c r="AJ728" i="57"/>
  <c r="AK728" i="57"/>
  <c r="AJ722" i="57"/>
  <c r="AK722" i="57"/>
  <c r="AJ718" i="57"/>
  <c r="AK718" i="57"/>
  <c r="AK726" i="57"/>
  <c r="AJ726" i="57"/>
  <c r="AD720" i="57"/>
  <c r="AE720" i="57"/>
  <c r="AJ723" i="57"/>
  <c r="AK723" i="57"/>
  <c r="AJ724" i="57"/>
  <c r="AK724" i="57"/>
  <c r="AE717" i="57"/>
  <c r="AJ725" i="57"/>
  <c r="AK725" i="57"/>
  <c r="AJ727" i="57"/>
  <c r="AK727" i="57"/>
  <c r="AK729" i="57"/>
  <c r="AJ729" i="57"/>
  <c r="AJ717" i="57"/>
  <c r="AK717" i="57"/>
  <c r="AJ719" i="57"/>
  <c r="AK719" i="57"/>
  <c r="AE719" i="57"/>
  <c r="AE718" i="57"/>
  <c r="AJ720" i="57"/>
  <c r="AK720" i="57"/>
  <c r="AJ734" i="57"/>
  <c r="AK734" i="57"/>
  <c r="AJ733" i="57"/>
  <c r="AK733" i="57"/>
  <c r="AJ735" i="57"/>
  <c r="AK735" i="57"/>
  <c r="AJ731" i="57"/>
  <c r="AK731" i="57"/>
  <c r="AJ736" i="57"/>
  <c r="AK736" i="57"/>
  <c r="AJ737" i="57"/>
  <c r="AK737" i="57"/>
  <c r="AJ732" i="57"/>
  <c r="AK732" i="57"/>
  <c r="AJ730" i="57"/>
  <c r="AK730" i="57"/>
  <c r="R1035" i="57"/>
  <c r="BU1036" i="57"/>
  <c r="R1038" i="57"/>
  <c r="R1034" i="57"/>
  <c r="P832" i="57"/>
  <c r="BV1038" i="57"/>
  <c r="BU1039" i="57"/>
  <c r="BU1038" i="57"/>
  <c r="I1038" i="57"/>
  <c r="BU1035" i="57"/>
  <c r="BV1036" i="57"/>
  <c r="I1036" i="57"/>
  <c r="BV1035" i="57"/>
  <c r="D1080" i="57"/>
  <c r="D1046" i="57"/>
  <c r="BV1039" i="57"/>
  <c r="B883" i="57"/>
  <c r="I1039" i="57"/>
  <c r="R1017" i="57"/>
  <c r="I1017" i="57"/>
  <c r="G1018" i="57"/>
  <c r="M889" i="57"/>
  <c r="BV1017" i="57"/>
  <c r="BU1034" i="57"/>
  <c r="BV1034" i="57"/>
  <c r="I1010" i="57"/>
  <c r="G1003" i="57"/>
  <c r="Y1003" i="57"/>
  <c r="N1003" i="57"/>
  <c r="U1019" i="57"/>
  <c r="V1019" i="57"/>
  <c r="O1050" i="57"/>
  <c r="D1052" i="57"/>
  <c r="D1051" i="57"/>
  <c r="D1053" i="57"/>
  <c r="G753" i="57"/>
  <c r="AI753" i="57"/>
  <c r="I1022" i="57"/>
  <c r="BV1022" i="57"/>
  <c r="BU1022" i="57"/>
  <c r="R1022" i="57"/>
  <c r="AE756" i="57"/>
  <c r="AU1103" i="57"/>
  <c r="AD1111" i="57"/>
  <c r="AK751" i="57"/>
  <c r="AJ751" i="57"/>
  <c r="AE761" i="57"/>
  <c r="AE754" i="57"/>
  <c r="AE757" i="57"/>
  <c r="AE753" i="57"/>
  <c r="M565" i="57"/>
  <c r="M580" i="57"/>
  <c r="M585" i="57" s="1"/>
  <c r="G752" i="57"/>
  <c r="AI752" i="57"/>
  <c r="AK755" i="57"/>
  <c r="AJ755" i="57"/>
  <c r="AE759" i="57"/>
  <c r="AE752" i="57"/>
  <c r="AE758" i="57"/>
  <c r="D1077" i="57"/>
  <c r="D1078" i="57"/>
  <c r="O1076" i="57"/>
  <c r="D1079" i="57"/>
  <c r="AJ1111" i="57"/>
  <c r="BD1103" i="57"/>
  <c r="I1024" i="57"/>
  <c r="BV1024" i="57"/>
  <c r="BU1024" i="57"/>
  <c r="R1024" i="57"/>
  <c r="G758" i="57"/>
  <c r="AI758" i="57"/>
  <c r="G754" i="57"/>
  <c r="AI754" i="57"/>
  <c r="AE760" i="57"/>
  <c r="G760" i="57"/>
  <c r="AI760" i="57"/>
  <c r="U1021" i="57"/>
  <c r="V1021" i="57"/>
  <c r="O1054" i="57"/>
  <c r="D1056" i="57"/>
  <c r="D1055" i="57"/>
  <c r="D1057" i="57"/>
  <c r="AJ756" i="57"/>
  <c r="AK756" i="57"/>
  <c r="AE751" i="57"/>
  <c r="AK761" i="57"/>
  <c r="AJ761" i="57"/>
  <c r="AK754" i="57"/>
  <c r="AJ754" i="57"/>
  <c r="AK757" i="57"/>
  <c r="AJ757" i="57"/>
  <c r="D1086" i="57"/>
  <c r="D1087" i="57"/>
  <c r="D1088" i="57"/>
  <c r="O1085" i="57"/>
  <c r="I1020" i="57"/>
  <c r="BV1020" i="57"/>
  <c r="BU1020" i="57"/>
  <c r="R1020" i="57"/>
  <c r="AK753" i="57"/>
  <c r="AJ753" i="57"/>
  <c r="G759" i="57"/>
  <c r="AI759" i="57"/>
  <c r="AE755" i="57"/>
  <c r="AK759" i="57"/>
  <c r="AJ759" i="57"/>
  <c r="AK752" i="57"/>
  <c r="AJ752" i="57"/>
  <c r="AK758" i="57"/>
  <c r="AJ758" i="57"/>
  <c r="V1026" i="57"/>
  <c r="U1026" i="57"/>
  <c r="BF1103" i="57"/>
  <c r="AL1111" i="57"/>
  <c r="AF1111" i="57"/>
  <c r="AW1103" i="57"/>
  <c r="U1023" i="57"/>
  <c r="V1023" i="57"/>
  <c r="O1058" i="57"/>
  <c r="D1060" i="57"/>
  <c r="D1059" i="57"/>
  <c r="D1061" i="57"/>
  <c r="V1017" i="57"/>
  <c r="U1017" i="57"/>
  <c r="G761" i="57"/>
  <c r="AI761" i="57"/>
  <c r="AK760" i="57"/>
  <c r="AJ760" i="57"/>
  <c r="F797" i="58" l="1"/>
  <c r="F812" i="57"/>
  <c r="F389" i="57" s="1"/>
  <c r="G409" i="57" s="1"/>
  <c r="R433" i="57"/>
  <c r="F433" i="57"/>
  <c r="I438" i="57"/>
  <c r="J448" i="57" s="1"/>
  <c r="E827" i="58"/>
  <c r="J827" i="58"/>
  <c r="L826" i="58"/>
  <c r="K381" i="58" s="1"/>
  <c r="S391" i="58" s="1"/>
  <c r="G827" i="58"/>
  <c r="L827" i="58"/>
  <c r="Y827" i="58" s="1"/>
  <c r="F826" i="58"/>
  <c r="J797" i="58"/>
  <c r="I359" i="58" s="1"/>
  <c r="I798" i="58"/>
  <c r="F798" i="58"/>
  <c r="J795" i="58"/>
  <c r="I357" i="58" s="1"/>
  <c r="J796" i="58"/>
  <c r="I358" i="58" s="1"/>
  <c r="P580" i="57"/>
  <c r="P585" i="57" s="1"/>
  <c r="J1063" i="57"/>
  <c r="O1065" i="57"/>
  <c r="J1065" i="57"/>
  <c r="O1063" i="57"/>
  <c r="H812" i="57"/>
  <c r="H389" i="57" s="1"/>
  <c r="H797" i="58"/>
  <c r="D812" i="57"/>
  <c r="D389" i="57" s="1"/>
  <c r="E409" i="57" s="1"/>
  <c r="D797" i="58"/>
  <c r="J1064" i="57"/>
  <c r="I1064" i="57"/>
  <c r="Y825" i="57"/>
  <c r="Y417" i="57" s="1"/>
  <c r="Z825" i="57"/>
  <c r="Z417" i="57" s="1"/>
  <c r="F741" i="57"/>
  <c r="AI741" i="57" s="1"/>
  <c r="AI740" i="57"/>
  <c r="AA812" i="57"/>
  <c r="J812" i="57"/>
  <c r="J389" i="57" s="1"/>
  <c r="O409" i="57" s="1"/>
  <c r="AD812" i="57"/>
  <c r="A889" i="57"/>
  <c r="A888" i="57"/>
  <c r="I1088" i="57"/>
  <c r="J1088" i="57"/>
  <c r="I1056" i="57"/>
  <c r="J1056" i="57"/>
  <c r="I1078" i="57"/>
  <c r="J1078" i="57"/>
  <c r="I1059" i="57"/>
  <c r="J1059" i="57"/>
  <c r="D1081" i="57"/>
  <c r="O1081" i="57" s="1"/>
  <c r="I1080" i="57"/>
  <c r="J1080" i="57"/>
  <c r="I1060" i="57"/>
  <c r="J1060" i="57"/>
  <c r="I1057" i="57"/>
  <c r="J1057" i="57"/>
  <c r="I1079" i="57"/>
  <c r="J1079" i="57"/>
  <c r="I1053" i="57"/>
  <c r="J1053" i="57"/>
  <c r="I1051" i="57"/>
  <c r="J1051" i="57"/>
  <c r="J1046" i="57"/>
  <c r="I1046" i="57"/>
  <c r="I1055" i="57"/>
  <c r="J1055" i="57"/>
  <c r="I1087" i="57"/>
  <c r="J1087" i="57"/>
  <c r="I1061" i="57"/>
  <c r="J1061" i="57"/>
  <c r="I1086" i="57"/>
  <c r="J1086" i="57"/>
  <c r="I1077" i="57"/>
  <c r="J1077" i="57"/>
  <c r="I1052" i="57"/>
  <c r="J1052" i="57"/>
  <c r="R1018" i="57"/>
  <c r="D1082" i="57"/>
  <c r="BV1018" i="57"/>
  <c r="BU1018" i="57"/>
  <c r="U1018" i="57" s="1"/>
  <c r="I1018" i="57"/>
  <c r="O1080" i="57"/>
  <c r="D1083" i="57"/>
  <c r="D1047" i="57"/>
  <c r="O1046" i="57"/>
  <c r="D1048" i="57"/>
  <c r="O1060" i="57"/>
  <c r="O1061" i="57"/>
  <c r="U1024" i="57"/>
  <c r="V1024" i="57"/>
  <c r="M880" i="57"/>
  <c r="M885" i="57"/>
  <c r="O1053" i="57"/>
  <c r="M902" i="57"/>
  <c r="O1059" i="57"/>
  <c r="O1088" i="57"/>
  <c r="O1086" i="57"/>
  <c r="M882" i="57"/>
  <c r="O1057" i="57"/>
  <c r="O1056" i="57"/>
  <c r="M879" i="57"/>
  <c r="U1022" i="57"/>
  <c r="V1022" i="57"/>
  <c r="O1051" i="57"/>
  <c r="U1020" i="57"/>
  <c r="V1020" i="57"/>
  <c r="O1055" i="57"/>
  <c r="O1078" i="57"/>
  <c r="O1087" i="57"/>
  <c r="M877" i="57"/>
  <c r="O1079" i="57"/>
  <c r="O1077" i="57"/>
  <c r="O1052" i="57"/>
  <c r="M876" i="57"/>
  <c r="AA798" i="58" l="1"/>
  <c r="AE798" i="58"/>
  <c r="Z827" i="58"/>
  <c r="J798" i="58"/>
  <c r="D798" i="58"/>
  <c r="H798" i="58"/>
  <c r="I1047" i="57"/>
  <c r="J1047" i="57"/>
  <c r="O1083" i="57"/>
  <c r="I1083" i="57"/>
  <c r="J1083" i="57"/>
  <c r="O1048" i="57"/>
  <c r="I1048" i="57"/>
  <c r="J1048" i="57"/>
  <c r="I1082" i="57"/>
  <c r="J1082" i="57"/>
  <c r="I1081" i="57"/>
  <c r="J1081" i="57"/>
  <c r="O1047" i="57"/>
  <c r="O1082" i="57"/>
  <c r="V1018" i="57"/>
  <c r="D1049" i="57"/>
  <c r="M915" i="57"/>
  <c r="M903" i="57"/>
  <c r="M904" i="57"/>
  <c r="M907" i="57"/>
  <c r="M911" i="57"/>
  <c r="M905" i="57"/>
  <c r="M914" i="57"/>
  <c r="M906" i="57"/>
  <c r="M908" i="57"/>
  <c r="M909" i="57"/>
  <c r="M910" i="57"/>
  <c r="M884" i="57"/>
  <c r="M878" i="57"/>
  <c r="M883" i="57"/>
  <c r="M881" i="57"/>
  <c r="I1049" i="57" l="1"/>
  <c r="J1049" i="57"/>
  <c r="O1049" i="57"/>
  <c r="AD487" i="54" l="1"/>
  <c r="AD488" i="54"/>
  <c r="AD489" i="54"/>
  <c r="AD494" i="54"/>
  <c r="AD495" i="54"/>
  <c r="AD496" i="54"/>
  <c r="AD500" i="54"/>
  <c r="AD501" i="54"/>
  <c r="AD502" i="54"/>
  <c r="AD503" i="54"/>
  <c r="AD504" i="54"/>
  <c r="AD505" i="54"/>
  <c r="AD506" i="54"/>
  <c r="AD507" i="54"/>
  <c r="AD518" i="54"/>
  <c r="AD519" i="54"/>
  <c r="AD520" i="54"/>
  <c r="AD521" i="54"/>
  <c r="AD522" i="54"/>
  <c r="AD523" i="54"/>
  <c r="AD524" i="54"/>
  <c r="AD525" i="54"/>
  <c r="AD486" i="54"/>
  <c r="AC487" i="54"/>
  <c r="AC488" i="54"/>
  <c r="AC489" i="54"/>
  <c r="AC494" i="54"/>
  <c r="AC495" i="54"/>
  <c r="AC496" i="54"/>
  <c r="AC500" i="54"/>
  <c r="AC501" i="54"/>
  <c r="AC502" i="54"/>
  <c r="AC503" i="54"/>
  <c r="AC504" i="54"/>
  <c r="AC505" i="54"/>
  <c r="AC506" i="54"/>
  <c r="AC507" i="54"/>
  <c r="AC518" i="54"/>
  <c r="AC519" i="54"/>
  <c r="AC520" i="54"/>
  <c r="AC521" i="54"/>
  <c r="AC522" i="54"/>
  <c r="AC523" i="54"/>
  <c r="AC524" i="54"/>
  <c r="AC525" i="54"/>
  <c r="AC486" i="54"/>
  <c r="M694" i="54"/>
  <c r="M695" i="54"/>
  <c r="J142" i="4" l="1"/>
  <c r="K142" i="4"/>
  <c r="J139" i="4"/>
  <c r="K139" i="4"/>
  <c r="J140" i="4"/>
  <c r="K140" i="4"/>
  <c r="J141" i="4"/>
  <c r="K141" i="4"/>
  <c r="K138" i="4"/>
  <c r="J138" i="4"/>
  <c r="J129" i="4"/>
  <c r="J134" i="4" s="1"/>
  <c r="K129" i="4"/>
  <c r="J130" i="4"/>
  <c r="J135" i="4" s="1"/>
  <c r="K130" i="4"/>
  <c r="J131" i="4"/>
  <c r="J136" i="4" s="1"/>
  <c r="K131" i="4"/>
  <c r="J132" i="4"/>
  <c r="J137" i="4" s="1"/>
  <c r="K132" i="4"/>
  <c r="K128" i="4"/>
  <c r="J128" i="4"/>
  <c r="J133" i="4" s="1"/>
  <c r="J147" i="4" l="1"/>
  <c r="J146" i="58" s="1"/>
  <c r="J167" i="4"/>
  <c r="J165" i="4"/>
  <c r="J145" i="4"/>
  <c r="J144" i="57" s="1"/>
  <c r="J143" i="4"/>
  <c r="J142" i="58" s="1"/>
  <c r="J163" i="4"/>
  <c r="J166" i="4"/>
  <c r="J146" i="4"/>
  <c r="J145" i="57" s="1"/>
  <c r="J164" i="4"/>
  <c r="J144" i="4"/>
  <c r="J143" i="57" s="1"/>
  <c r="J122" i="57"/>
  <c r="J122" i="58"/>
  <c r="K123" i="57"/>
  <c r="K123" i="58"/>
  <c r="K131" i="57"/>
  <c r="K131" i="58"/>
  <c r="K129" i="57"/>
  <c r="K129" i="58"/>
  <c r="J132" i="57"/>
  <c r="J132" i="58"/>
  <c r="K135" i="57"/>
  <c r="K135" i="58"/>
  <c r="K133" i="57"/>
  <c r="K133" i="58"/>
  <c r="K140" i="57"/>
  <c r="K140" i="58"/>
  <c r="K138" i="57"/>
  <c r="K138" i="58"/>
  <c r="J142" i="57"/>
  <c r="K145" i="57"/>
  <c r="K145" i="58"/>
  <c r="K143" i="57"/>
  <c r="K143" i="58"/>
  <c r="J127" i="57"/>
  <c r="J127" i="58"/>
  <c r="K125" i="57"/>
  <c r="K125" i="58"/>
  <c r="K122" i="57"/>
  <c r="K122" i="58"/>
  <c r="J125" i="57"/>
  <c r="J125" i="58"/>
  <c r="J123" i="57"/>
  <c r="J123" i="58"/>
  <c r="J131" i="57"/>
  <c r="J131" i="58"/>
  <c r="J129" i="57"/>
  <c r="J129" i="58"/>
  <c r="K132" i="57"/>
  <c r="K132" i="58"/>
  <c r="J135" i="57"/>
  <c r="J135" i="58"/>
  <c r="J133" i="57"/>
  <c r="J133" i="58"/>
  <c r="J140" i="57"/>
  <c r="J140" i="58"/>
  <c r="J138" i="57"/>
  <c r="J138" i="58"/>
  <c r="K142" i="57"/>
  <c r="K142" i="58"/>
  <c r="K126" i="57"/>
  <c r="K126" i="58"/>
  <c r="K130" i="57"/>
  <c r="K130" i="58"/>
  <c r="K136" i="57"/>
  <c r="K136" i="58"/>
  <c r="K134" i="57"/>
  <c r="K134" i="58"/>
  <c r="K139" i="57"/>
  <c r="K139" i="58"/>
  <c r="K141" i="57"/>
  <c r="K141" i="58"/>
  <c r="K146" i="57"/>
  <c r="K146" i="58"/>
  <c r="K144" i="57"/>
  <c r="K144" i="58"/>
  <c r="K124" i="57"/>
  <c r="K124" i="58"/>
  <c r="K128" i="57"/>
  <c r="K128" i="58"/>
  <c r="J137" i="57"/>
  <c r="J137" i="58"/>
  <c r="J126" i="57"/>
  <c r="J126" i="58"/>
  <c r="J124" i="57"/>
  <c r="J124" i="58"/>
  <c r="K127" i="57"/>
  <c r="K127" i="58"/>
  <c r="J130" i="57"/>
  <c r="J130" i="58"/>
  <c r="J128" i="57"/>
  <c r="J128" i="58"/>
  <c r="J136" i="57"/>
  <c r="J136" i="58"/>
  <c r="J134" i="57"/>
  <c r="J134" i="58"/>
  <c r="K137" i="57"/>
  <c r="K137" i="58"/>
  <c r="J139" i="57"/>
  <c r="J139" i="58"/>
  <c r="J141" i="57"/>
  <c r="J141" i="58"/>
  <c r="C445" i="54" l="1"/>
  <c r="C450" i="54"/>
  <c r="B454" i="54"/>
  <c r="P839" i="54"/>
  <c r="C4" i="54"/>
  <c r="B4" i="54" s="1"/>
  <c r="BI792" i="54"/>
  <c r="F746" i="54"/>
  <c r="G746" i="54"/>
  <c r="G964" i="57" s="1"/>
  <c r="G968" i="58" s="1"/>
  <c r="AO674" i="54"/>
  <c r="AS675" i="54"/>
  <c r="AO675" i="54"/>
  <c r="AS674" i="54"/>
  <c r="I551" i="54"/>
  <c r="J248" i="54"/>
  <c r="B867" i="54"/>
  <c r="B851" i="54"/>
  <c r="B859" i="54"/>
  <c r="L421" i="54"/>
  <c r="E426" i="54"/>
  <c r="L426" i="54"/>
  <c r="L391" i="54"/>
  <c r="E396" i="54"/>
  <c r="L396" i="54"/>
  <c r="J146" i="57"/>
  <c r="Q476" i="54"/>
  <c r="B476" i="54"/>
  <c r="J476" i="54"/>
  <c r="C476" i="54"/>
  <c r="P824" i="54"/>
  <c r="P823" i="54"/>
  <c r="J143" i="58"/>
  <c r="J466" i="54"/>
  <c r="J471" i="54" s="1"/>
  <c r="J461" i="54"/>
  <c r="Q461" i="54"/>
  <c r="R882" i="54"/>
  <c r="C882" i="54"/>
  <c r="D881" i="54"/>
  <c r="K881" i="54" s="1"/>
  <c r="R879" i="54"/>
  <c r="C879" i="54"/>
  <c r="R881" i="54"/>
  <c r="C881" i="54"/>
  <c r="R880" i="54"/>
  <c r="D880" i="54"/>
  <c r="K880" i="54" s="1"/>
  <c r="D879" i="54"/>
  <c r="K879" i="54" s="1"/>
  <c r="D882" i="54"/>
  <c r="K882" i="54" s="1"/>
  <c r="C880" i="54"/>
  <c r="R892" i="54"/>
  <c r="R891" i="54"/>
  <c r="R890" i="54"/>
  <c r="R889" i="54"/>
  <c r="R888" i="54"/>
  <c r="R878" i="54"/>
  <c r="D878" i="54"/>
  <c r="K878" i="54" s="1"/>
  <c r="D892" i="54"/>
  <c r="K892" i="54" s="1"/>
  <c r="D891" i="54"/>
  <c r="K891" i="54" s="1"/>
  <c r="D890" i="54"/>
  <c r="K890" i="54" s="1"/>
  <c r="D889" i="54"/>
  <c r="K889" i="54" s="1"/>
  <c r="D888" i="54"/>
  <c r="K888" i="54" s="1"/>
  <c r="C892" i="54"/>
  <c r="C891" i="54"/>
  <c r="C890" i="54"/>
  <c r="C889" i="54"/>
  <c r="C888" i="54"/>
  <c r="C878" i="54"/>
  <c r="B461" i="54"/>
  <c r="B466" i="54"/>
  <c r="C471" i="54"/>
  <c r="Q466" i="54"/>
  <c r="C461" i="54"/>
  <c r="B471" i="54"/>
  <c r="C466" i="54"/>
  <c r="Q471" i="54"/>
  <c r="J144" i="58"/>
  <c r="J145" i="58"/>
  <c r="J165" i="57"/>
  <c r="J176" i="4"/>
  <c r="J165" i="58"/>
  <c r="J168" i="54"/>
  <c r="J186" i="4"/>
  <c r="J164" i="57"/>
  <c r="J164" i="58"/>
  <c r="J175" i="4"/>
  <c r="J167" i="54"/>
  <c r="J185" i="4"/>
  <c r="J162" i="58"/>
  <c r="J173" i="4"/>
  <c r="J162" i="57"/>
  <c r="J165" i="54"/>
  <c r="J183" i="4"/>
  <c r="J166" i="58"/>
  <c r="J177" i="4"/>
  <c r="J166" i="57"/>
  <c r="J169" i="54"/>
  <c r="J187" i="4"/>
  <c r="J163" i="57"/>
  <c r="J174" i="4"/>
  <c r="J163" i="58"/>
  <c r="J184" i="4"/>
  <c r="J166" i="54"/>
  <c r="I527" i="54"/>
  <c r="F730" i="54"/>
  <c r="F729" i="54"/>
  <c r="G730" i="54"/>
  <c r="G948" i="57" s="1"/>
  <c r="G952" i="58" s="1"/>
  <c r="G762" i="58" s="1"/>
  <c r="G729" i="54"/>
  <c r="G947" i="57" s="1"/>
  <c r="G951" i="58" s="1"/>
  <c r="G761" i="58" s="1"/>
  <c r="P822" i="54"/>
  <c r="P828" i="54"/>
  <c r="P826" i="54"/>
  <c r="P830" i="54"/>
  <c r="P825" i="54"/>
  <c r="P829" i="54"/>
  <c r="P821" i="54"/>
  <c r="P827" i="54"/>
  <c r="P831" i="54"/>
  <c r="BI783" i="54"/>
  <c r="BI785" i="54"/>
  <c r="BI787" i="54"/>
  <c r="BI782" i="54"/>
  <c r="BI784" i="54"/>
  <c r="BI786" i="54"/>
  <c r="F748" i="54"/>
  <c r="G749" i="54"/>
  <c r="G967" i="57" s="1"/>
  <c r="G971" i="58" s="1"/>
  <c r="F752" i="54"/>
  <c r="G753" i="54"/>
  <c r="G971" i="57" s="1"/>
  <c r="G975" i="58" s="1"/>
  <c r="G747" i="54"/>
  <c r="G965" i="57" s="1"/>
  <c r="G969" i="58" s="1"/>
  <c r="F749" i="54"/>
  <c r="F751" i="54"/>
  <c r="G754" i="54"/>
  <c r="G972" i="57" s="1"/>
  <c r="G976" i="58" s="1"/>
  <c r="G751" i="54"/>
  <c r="G969" i="57" s="1"/>
  <c r="G973" i="58" s="1"/>
  <c r="F753" i="54"/>
  <c r="G748" i="54"/>
  <c r="F750" i="54"/>
  <c r="F747" i="54"/>
  <c r="G750" i="54"/>
  <c r="G752" i="54"/>
  <c r="G970" i="57" s="1"/>
  <c r="G974" i="58" s="1"/>
  <c r="F754" i="54"/>
  <c r="AS676" i="54"/>
  <c r="AS890" i="57" s="1"/>
  <c r="AS680" i="54"/>
  <c r="AS894" i="57" s="1"/>
  <c r="AS684" i="54"/>
  <c r="AS898" i="57" s="1"/>
  <c r="AO678" i="54"/>
  <c r="AO892" i="57" s="1"/>
  <c r="AO682" i="54"/>
  <c r="AO896" i="57" s="1"/>
  <c r="AO686" i="54"/>
  <c r="AO900" i="57" s="1"/>
  <c r="I526" i="54"/>
  <c r="C526" i="54" s="1"/>
  <c r="AS677" i="54"/>
  <c r="AS891" i="57" s="1"/>
  <c r="AS681" i="54"/>
  <c r="AS895" i="57" s="1"/>
  <c r="AS685" i="54"/>
  <c r="AS899" i="57" s="1"/>
  <c r="AO677" i="54"/>
  <c r="AO891" i="57" s="1"/>
  <c r="AO681" i="54"/>
  <c r="AO895" i="57" s="1"/>
  <c r="AO685" i="54"/>
  <c r="AO899" i="57" s="1"/>
  <c r="AS678" i="54"/>
  <c r="AS892" i="57" s="1"/>
  <c r="AS682" i="54"/>
  <c r="AS896" i="57" s="1"/>
  <c r="AS686" i="54"/>
  <c r="AS900" i="57" s="1"/>
  <c r="AO676" i="54"/>
  <c r="AO890" i="57" s="1"/>
  <c r="AO680" i="54"/>
  <c r="AO894" i="57" s="1"/>
  <c r="AO684" i="54"/>
  <c r="AO898" i="57" s="1"/>
  <c r="AS679" i="54"/>
  <c r="AS893" i="57" s="1"/>
  <c r="AS683" i="54"/>
  <c r="AS897" i="57" s="1"/>
  <c r="AS687" i="54"/>
  <c r="AS901" i="57" s="1"/>
  <c r="AO679" i="54"/>
  <c r="AO893" i="57" s="1"/>
  <c r="AO683" i="54"/>
  <c r="AO897" i="57" s="1"/>
  <c r="AO687" i="54"/>
  <c r="AO901" i="57" s="1"/>
  <c r="H575" i="54"/>
  <c r="H579" i="54"/>
  <c r="H569" i="54"/>
  <c r="H571" i="54"/>
  <c r="H573" i="54"/>
  <c r="H576" i="54"/>
  <c r="H577" i="54"/>
  <c r="H568" i="54"/>
  <c r="H570" i="54"/>
  <c r="H572" i="54"/>
  <c r="H574" i="54"/>
  <c r="H578" i="54"/>
  <c r="H567" i="54"/>
  <c r="I553" i="54"/>
  <c r="C553" i="54" s="1"/>
  <c r="I556" i="54"/>
  <c r="C556" i="54" s="1"/>
  <c r="I559" i="54"/>
  <c r="C559" i="54" s="1"/>
  <c r="I554" i="54"/>
  <c r="C554" i="54" s="1"/>
  <c r="I557" i="54"/>
  <c r="C557" i="54" s="1"/>
  <c r="I560" i="54"/>
  <c r="C560" i="54" s="1"/>
  <c r="I555" i="54"/>
  <c r="C555" i="54" s="1"/>
  <c r="I552" i="54"/>
  <c r="C552" i="54" s="1"/>
  <c r="I558" i="54"/>
  <c r="C558" i="54" s="1"/>
  <c r="I561" i="54"/>
  <c r="C561" i="54" s="1"/>
  <c r="J242" i="54"/>
  <c r="J244" i="54"/>
  <c r="J243" i="54"/>
  <c r="AS666" i="54"/>
  <c r="AS668" i="54"/>
  <c r="AO666" i="54"/>
  <c r="AO668" i="54"/>
  <c r="AS667" i="54"/>
  <c r="AS669" i="54"/>
  <c r="AO667" i="54"/>
  <c r="AO669" i="54"/>
  <c r="I510" i="54"/>
  <c r="C510" i="54" s="1"/>
  <c r="I511" i="54"/>
  <c r="C511" i="54" s="1"/>
  <c r="F744" i="54"/>
  <c r="G744" i="54"/>
  <c r="G962" i="57" s="1"/>
  <c r="G966" i="58" s="1"/>
  <c r="B850" i="54"/>
  <c r="B852" i="54"/>
  <c r="A487" i="54"/>
  <c r="A488" i="54"/>
  <c r="A489" i="54"/>
  <c r="A490" i="54"/>
  <c r="A491" i="54"/>
  <c r="A492" i="54"/>
  <c r="A493" i="54"/>
  <c r="A494" i="54"/>
  <c r="A495" i="54"/>
  <c r="A496" i="54"/>
  <c r="A497" i="54"/>
  <c r="A498" i="54"/>
  <c r="A499" i="54"/>
  <c r="A500" i="54"/>
  <c r="A501" i="54"/>
  <c r="A502" i="54"/>
  <c r="A503" i="54"/>
  <c r="A504" i="54"/>
  <c r="A505" i="54"/>
  <c r="A506" i="54"/>
  <c r="A507" i="54"/>
  <c r="A508" i="54"/>
  <c r="A509" i="54"/>
  <c r="A512" i="54"/>
  <c r="A513" i="54"/>
  <c r="A514" i="54"/>
  <c r="A515" i="54"/>
  <c r="A516" i="54"/>
  <c r="A517" i="54"/>
  <c r="A529" i="54"/>
  <c r="A530" i="54"/>
  <c r="A531" i="54"/>
  <c r="A532" i="54"/>
  <c r="A533" i="54"/>
  <c r="A534" i="54"/>
  <c r="A535" i="54"/>
  <c r="A536" i="54"/>
  <c r="A543" i="54"/>
  <c r="A486" i="54"/>
  <c r="D691" i="54"/>
  <c r="D689" i="54"/>
  <c r="D673" i="54"/>
  <c r="D671" i="54"/>
  <c r="D665" i="54"/>
  <c r="D663" i="54"/>
  <c r="K1135" i="57" l="1"/>
  <c r="K1136" i="57"/>
  <c r="K1125" i="57"/>
  <c r="K1123" i="57"/>
  <c r="K1137" i="57"/>
  <c r="K1126" i="57"/>
  <c r="K1124" i="57"/>
  <c r="K1134" i="57"/>
  <c r="K1133" i="57"/>
  <c r="K1127" i="57"/>
  <c r="J551" i="54"/>
  <c r="C551" i="54"/>
  <c r="D4" i="54"/>
  <c r="C527" i="54"/>
  <c r="B730" i="54" s="1"/>
  <c r="J183" i="57"/>
  <c r="J183" i="58"/>
  <c r="J186" i="54"/>
  <c r="J186" i="58"/>
  <c r="J186" i="57"/>
  <c r="J189" i="54"/>
  <c r="J172" i="58"/>
  <c r="J172" i="57"/>
  <c r="J175" i="54"/>
  <c r="J174" i="58"/>
  <c r="J174" i="57"/>
  <c r="J177" i="54"/>
  <c r="J182" i="57"/>
  <c r="J182" i="58"/>
  <c r="J185" i="54"/>
  <c r="J173" i="58"/>
  <c r="J173" i="57"/>
  <c r="J176" i="54"/>
  <c r="J184" i="58"/>
  <c r="J187" i="54"/>
  <c r="J184" i="57"/>
  <c r="J175" i="58"/>
  <c r="J175" i="57"/>
  <c r="J178" i="54"/>
  <c r="J176" i="58"/>
  <c r="J176" i="57"/>
  <c r="J179" i="54"/>
  <c r="J188" i="54"/>
  <c r="J185" i="57"/>
  <c r="J185" i="58"/>
  <c r="J527" i="54"/>
  <c r="G968" i="57"/>
  <c r="G972" i="58" s="1"/>
  <c r="J743" i="57"/>
  <c r="J748" i="57" s="1"/>
  <c r="J749" i="57" s="1"/>
  <c r="J742" i="57"/>
  <c r="J746" i="57" s="1"/>
  <c r="G966" i="57"/>
  <c r="G970" i="58" s="1"/>
  <c r="J526" i="54"/>
  <c r="B729" i="54"/>
  <c r="J552" i="54"/>
  <c r="B747" i="54"/>
  <c r="J554" i="54"/>
  <c r="B750" i="54"/>
  <c r="J555" i="54"/>
  <c r="B752" i="54"/>
  <c r="J559" i="54"/>
  <c r="B754" i="54"/>
  <c r="J561" i="54"/>
  <c r="B753" i="54"/>
  <c r="J560" i="54"/>
  <c r="J556" i="54"/>
  <c r="J558" i="54"/>
  <c r="B751" i="54"/>
  <c r="J557" i="54"/>
  <c r="B748" i="54"/>
  <c r="J553" i="54"/>
  <c r="J511" i="54"/>
  <c r="J510" i="54"/>
  <c r="B386" i="54"/>
  <c r="V431" i="54"/>
  <c r="V436" i="54" s="1"/>
  <c r="V411" i="54"/>
  <c r="V416" i="54" s="1"/>
  <c r="V401" i="54"/>
  <c r="V406" i="54" s="1"/>
  <c r="V381" i="54"/>
  <c r="V386" i="54" s="1"/>
  <c r="B15" i="54"/>
  <c r="B16" i="54"/>
  <c r="B370" i="54" s="1"/>
  <c r="C16" i="54"/>
  <c r="C370" i="54" s="1"/>
  <c r="D16" i="54"/>
  <c r="D370" i="54" s="1"/>
  <c r="B17" i="54"/>
  <c r="C17" i="54"/>
  <c r="C371" i="54" s="1"/>
  <c r="D17" i="54"/>
  <c r="D371" i="54" s="1"/>
  <c r="D374" i="54" s="1"/>
  <c r="Z411" i="54" s="1"/>
  <c r="Z416" i="54" s="1"/>
  <c r="B19" i="54"/>
  <c r="B373" i="54" s="1"/>
  <c r="B376" i="54" s="1"/>
  <c r="C19" i="54"/>
  <c r="C373" i="54" s="1"/>
  <c r="C376" i="54" s="1"/>
  <c r="N431" i="54" s="1"/>
  <c r="N436" i="54" s="1"/>
  <c r="D19" i="54"/>
  <c r="D373" i="54" s="1"/>
  <c r="D376" i="54" s="1"/>
  <c r="Z431" i="54" s="1"/>
  <c r="Z436" i="54" s="1"/>
  <c r="A15" i="54"/>
  <c r="A16" i="54"/>
  <c r="A17" i="54"/>
  <c r="A19" i="54"/>
  <c r="B317" i="54"/>
  <c r="F561" i="4"/>
  <c r="F558" i="4"/>
  <c r="F553" i="4"/>
  <c r="B561" i="4"/>
  <c r="B558" i="4"/>
  <c r="B553" i="4"/>
  <c r="B550" i="4"/>
  <c r="C545" i="4"/>
  <c r="C530" i="4"/>
  <c r="F524" i="4"/>
  <c r="F523" i="4"/>
  <c r="B542" i="4"/>
  <c r="B530" i="4"/>
  <c r="B523" i="4"/>
  <c r="B524" i="4"/>
  <c r="Q858" i="54"/>
  <c r="U362" i="54"/>
  <c r="U367" i="54" s="1"/>
  <c r="U342" i="54"/>
  <c r="U347" i="54" s="1"/>
  <c r="U337" i="54"/>
  <c r="A199" i="54"/>
  <c r="B199" i="54"/>
  <c r="A200" i="54"/>
  <c r="B200" i="54"/>
  <c r="C200" i="54"/>
  <c r="A201" i="54"/>
  <c r="B201" i="54"/>
  <c r="BM858" i="54" s="1"/>
  <c r="C201" i="54"/>
  <c r="A204" i="54"/>
  <c r="B204" i="54"/>
  <c r="A205" i="54"/>
  <c r="B205" i="54"/>
  <c r="C205" i="54"/>
  <c r="A206" i="54"/>
  <c r="B206" i="54"/>
  <c r="BN858" i="54" s="1"/>
  <c r="C206" i="54"/>
  <c r="A209" i="54"/>
  <c r="B209" i="54"/>
  <c r="A210" i="54"/>
  <c r="B210" i="54"/>
  <c r="C210" i="54"/>
  <c r="A211" i="54"/>
  <c r="B211" i="54"/>
  <c r="AQ866" i="54" s="1"/>
  <c r="AQ868" i="54" s="1"/>
  <c r="C211" i="54"/>
  <c r="H288" i="54"/>
  <c r="H298" i="54" s="1"/>
  <c r="H287" i="54"/>
  <c r="H293" i="54" s="1"/>
  <c r="N282" i="54"/>
  <c r="L282" i="54"/>
  <c r="K282" i="54"/>
  <c r="N277" i="54"/>
  <c r="M277" i="54"/>
  <c r="L277" i="54"/>
  <c r="K277" i="54"/>
  <c r="D277" i="54"/>
  <c r="D282" i="54" s="1"/>
  <c r="N272" i="54"/>
  <c r="M272" i="54"/>
  <c r="L272" i="54"/>
  <c r="K272" i="54"/>
  <c r="B947" i="57" l="1"/>
  <c r="B951" i="58" s="1"/>
  <c r="B761" i="58" s="1"/>
  <c r="E675" i="54"/>
  <c r="B746" i="54"/>
  <c r="B948" i="57"/>
  <c r="B952" i="58" s="1"/>
  <c r="B762" i="58" s="1"/>
  <c r="B396" i="54"/>
  <c r="B406" i="54" s="1"/>
  <c r="B416" i="54" s="1"/>
  <c r="B327" i="54"/>
  <c r="B337" i="54" s="1"/>
  <c r="B347" i="54" s="1"/>
  <c r="E4" i="54"/>
  <c r="B371" i="54"/>
  <c r="B374" i="54" s="1"/>
  <c r="E445" i="54"/>
  <c r="B858" i="57"/>
  <c r="B966" i="57"/>
  <c r="B970" i="58" s="1"/>
  <c r="B863" i="57"/>
  <c r="B971" i="57"/>
  <c r="B975" i="58" s="1"/>
  <c r="B862" i="57"/>
  <c r="B970" i="57"/>
  <c r="B974" i="58" s="1"/>
  <c r="D742" i="57"/>
  <c r="B965" i="57"/>
  <c r="B969" i="58" s="1"/>
  <c r="B857" i="57"/>
  <c r="B969" i="57"/>
  <c r="B973" i="58" s="1"/>
  <c r="B861" i="57"/>
  <c r="B972" i="57"/>
  <c r="B976" i="58" s="1"/>
  <c r="B864" i="57"/>
  <c r="B968" i="57"/>
  <c r="B972" i="58" s="1"/>
  <c r="B860" i="57"/>
  <c r="B644" i="54"/>
  <c r="AD644" i="54" s="1"/>
  <c r="B749" i="54"/>
  <c r="B642" i="54"/>
  <c r="AD642" i="54" s="1"/>
  <c r="E680" i="54"/>
  <c r="E894" i="57" s="1"/>
  <c r="B649" i="54"/>
  <c r="AD649" i="54" s="1"/>
  <c r="E683" i="54"/>
  <c r="E897" i="57" s="1"/>
  <c r="B646" i="54"/>
  <c r="AD646" i="54" s="1"/>
  <c r="E685" i="54"/>
  <c r="E899" i="57" s="1"/>
  <c r="E679" i="54"/>
  <c r="E893" i="57" s="1"/>
  <c r="E682" i="54"/>
  <c r="E896" i="57" s="1"/>
  <c r="E677" i="54"/>
  <c r="E891" i="57" s="1"/>
  <c r="B648" i="54"/>
  <c r="AD648" i="54" s="1"/>
  <c r="E681" i="54"/>
  <c r="E895" i="57" s="1"/>
  <c r="B647" i="54"/>
  <c r="AD647" i="54" s="1"/>
  <c r="E687" i="54"/>
  <c r="E901" i="57" s="1"/>
  <c r="D556" i="54"/>
  <c r="B556" i="54" s="1"/>
  <c r="B579" i="54" s="1"/>
  <c r="B643" i="54"/>
  <c r="AD643" i="54" s="1"/>
  <c r="D557" i="54"/>
  <c r="B557" i="54" s="1"/>
  <c r="B645" i="54"/>
  <c r="AD645" i="54" s="1"/>
  <c r="R1091" i="58"/>
  <c r="R1103" i="57"/>
  <c r="C374" i="54"/>
  <c r="M868" i="54" s="1"/>
  <c r="E669" i="54"/>
  <c r="B719" i="54"/>
  <c r="B720" i="54"/>
  <c r="D740" i="57" s="1"/>
  <c r="E667" i="54"/>
  <c r="N411" i="54"/>
  <c r="N416" i="54" s="1"/>
  <c r="N401" i="54"/>
  <c r="N406" i="54" s="1"/>
  <c r="Z401" i="54"/>
  <c r="Z406" i="54" s="1"/>
  <c r="N381" i="54"/>
  <c r="N386" i="54" s="1"/>
  <c r="Z381" i="54"/>
  <c r="Z386" i="54" s="1"/>
  <c r="AP866" i="54"/>
  <c r="AP868" i="54" s="1"/>
  <c r="B964" i="57" l="1"/>
  <c r="B968" i="58" s="1"/>
  <c r="B868" i="57"/>
  <c r="AE868" i="57" s="1"/>
  <c r="L867" i="54"/>
  <c r="M867" i="54"/>
  <c r="B426" i="54"/>
  <c r="B436" i="54" s="1"/>
  <c r="B535" i="57" s="1"/>
  <c r="B357" i="54"/>
  <c r="B367" i="54" s="1"/>
  <c r="B466" i="57" s="1"/>
  <c r="C920" i="54"/>
  <c r="C901" i="54"/>
  <c r="C913" i="54"/>
  <c r="C1144" i="57"/>
  <c r="C1163" i="57"/>
  <c r="C1156" i="57"/>
  <c r="P381" i="54"/>
  <c r="P386" i="54" s="1"/>
  <c r="E905" i="58"/>
  <c r="E895" i="58"/>
  <c r="E900" i="58"/>
  <c r="E901" i="58"/>
  <c r="E899" i="58"/>
  <c r="E897" i="58"/>
  <c r="E903" i="58"/>
  <c r="E898" i="58"/>
  <c r="B859" i="57"/>
  <c r="D743" i="57"/>
  <c r="B967" i="57"/>
  <c r="B971" i="58" s="1"/>
  <c r="D746" i="57"/>
  <c r="B746" i="57" s="1"/>
  <c r="B938" i="57"/>
  <c r="B942" i="58" s="1"/>
  <c r="E907" i="58" s="1"/>
  <c r="B937" i="57"/>
  <c r="B941" i="58" s="1"/>
  <c r="E909" i="58" s="1"/>
  <c r="E686" i="54"/>
  <c r="E900" i="57" s="1"/>
  <c r="E684" i="54"/>
  <c r="E898" i="57" s="1"/>
  <c r="L866" i="54"/>
  <c r="L868" i="54"/>
  <c r="M866" i="54"/>
  <c r="D695" i="54"/>
  <c r="B549" i="54"/>
  <c r="BI1037" i="58" l="1"/>
  <c r="F20" i="4"/>
  <c r="F21" i="4"/>
  <c r="F981" i="58"/>
  <c r="J241" i="58"/>
  <c r="F968" i="58"/>
  <c r="F998" i="58"/>
  <c r="F19" i="4"/>
  <c r="AB799" i="58"/>
  <c r="AB800" i="58"/>
  <c r="AB801" i="58"/>
  <c r="AB798" i="58"/>
  <c r="P1084" i="57"/>
  <c r="G994" i="57"/>
  <c r="G998" i="58" s="1"/>
  <c r="F994" i="57"/>
  <c r="F964" i="57"/>
  <c r="J241" i="57"/>
  <c r="F977" i="57"/>
  <c r="G977" i="57"/>
  <c r="G981" i="58" s="1"/>
  <c r="H780" i="57"/>
  <c r="H779" i="57"/>
  <c r="I721" i="57"/>
  <c r="J721" i="57" s="1"/>
  <c r="I740" i="57"/>
  <c r="I741" i="57"/>
  <c r="I738" i="57"/>
  <c r="C738" i="57" s="1"/>
  <c r="B994" i="57" s="1"/>
  <c r="B998" i="58" s="1"/>
  <c r="AB812" i="57"/>
  <c r="AB811" i="57"/>
  <c r="H778" i="57"/>
  <c r="F868" i="57"/>
  <c r="I739" i="57"/>
  <c r="AB810" i="57"/>
  <c r="AB809" i="57"/>
  <c r="B798" i="57"/>
  <c r="B366" i="57" s="1"/>
  <c r="D372" i="57" s="1"/>
  <c r="D377" i="57" s="1"/>
  <c r="G810" i="57"/>
  <c r="G387" i="57" s="1"/>
  <c r="C810" i="57"/>
  <c r="C387" i="57" s="1"/>
  <c r="G809" i="57"/>
  <c r="G386" i="57" s="1"/>
  <c r="C405" i="57" s="1"/>
  <c r="C809" i="57"/>
  <c r="C386" i="57" s="1"/>
  <c r="D405" i="57" s="1"/>
  <c r="F30" i="4"/>
  <c r="F30" i="57" s="1"/>
  <c r="F23" i="4"/>
  <c r="F29" i="4"/>
  <c r="F28" i="4"/>
  <c r="F27" i="4"/>
  <c r="H373" i="4" s="1"/>
  <c r="F31" i="4"/>
  <c r="F22" i="4"/>
  <c r="F26" i="4"/>
  <c r="F25" i="4"/>
  <c r="F24" i="4"/>
  <c r="R654" i="58"/>
  <c r="D654" i="58"/>
  <c r="C654" i="58"/>
  <c r="D634" i="58"/>
  <c r="C634" i="58"/>
  <c r="R634" i="58"/>
  <c r="R614" i="58"/>
  <c r="D614" i="58"/>
  <c r="C614" i="58"/>
  <c r="D594" i="58"/>
  <c r="R594" i="58"/>
  <c r="C594" i="58"/>
  <c r="C574" i="58"/>
  <c r="Q574" i="58"/>
  <c r="B574" i="58"/>
  <c r="B1100" i="58"/>
  <c r="C252" i="58"/>
  <c r="B1084" i="58"/>
  <c r="B1092" i="58"/>
  <c r="M537" i="58"/>
  <c r="M542" i="58"/>
  <c r="F542" i="58"/>
  <c r="M507" i="58"/>
  <c r="M512" i="58"/>
  <c r="F512" i="58"/>
  <c r="AB816" i="58"/>
  <c r="B1112" i="57"/>
  <c r="B1096" i="57"/>
  <c r="B1104" i="57"/>
  <c r="L570" i="57"/>
  <c r="E575" i="57"/>
  <c r="L575" i="57"/>
  <c r="L545" i="57"/>
  <c r="E545" i="57"/>
  <c r="B545" i="57"/>
  <c r="B555" i="57" s="1"/>
  <c r="B565" i="57" s="1"/>
  <c r="Q685" i="57"/>
  <c r="L540" i="57"/>
  <c r="B476" i="57"/>
  <c r="B486" i="57" s="1"/>
  <c r="B496" i="57" s="1"/>
  <c r="G810" i="58"/>
  <c r="P1053" i="58"/>
  <c r="F1006" i="58"/>
  <c r="M517" i="58"/>
  <c r="AS889" i="58"/>
  <c r="AO885" i="58"/>
  <c r="G739" i="58"/>
  <c r="C814" i="58"/>
  <c r="P1059" i="58"/>
  <c r="F980" i="58"/>
  <c r="F333" i="58"/>
  <c r="I671" i="58"/>
  <c r="C671" i="58" s="1"/>
  <c r="G738" i="58"/>
  <c r="F922" i="57"/>
  <c r="AS887" i="58"/>
  <c r="F762" i="58"/>
  <c r="H771" i="57"/>
  <c r="I708" i="58"/>
  <c r="C708" i="58" s="1"/>
  <c r="I727" i="58"/>
  <c r="C416" i="58"/>
  <c r="C1134" i="57"/>
  <c r="F933" i="58"/>
  <c r="F976" i="58"/>
  <c r="C844" i="58"/>
  <c r="T844" i="58" s="1"/>
  <c r="AE859" i="57"/>
  <c r="P1075" i="58"/>
  <c r="F775" i="58"/>
  <c r="AS884" i="58"/>
  <c r="K630" i="57"/>
  <c r="I683" i="58"/>
  <c r="J683" i="58" s="1"/>
  <c r="F859" i="58"/>
  <c r="F770" i="58"/>
  <c r="F960" i="57"/>
  <c r="P1048" i="58"/>
  <c r="F768" i="58"/>
  <c r="J232" i="57"/>
  <c r="D1136" i="57"/>
  <c r="D829" i="58"/>
  <c r="F985" i="58"/>
  <c r="AS903" i="57"/>
  <c r="F978" i="57"/>
  <c r="C739" i="58"/>
  <c r="F990" i="58"/>
  <c r="J239" i="57"/>
  <c r="I737" i="57"/>
  <c r="J737" i="57" s="1"/>
  <c r="B1091" i="58"/>
  <c r="F745" i="58"/>
  <c r="BI1035" i="58"/>
  <c r="I677" i="58"/>
  <c r="C677" i="58" s="1"/>
  <c r="AS914" i="58"/>
  <c r="F978" i="58"/>
  <c r="P1072" i="58"/>
  <c r="I688" i="58"/>
  <c r="C688" i="58" s="1"/>
  <c r="AO886" i="58"/>
  <c r="I706" i="58"/>
  <c r="C706" i="58" s="1"/>
  <c r="C848" i="58"/>
  <c r="T848" i="58" s="1"/>
  <c r="AS886" i="58"/>
  <c r="G1005" i="58"/>
  <c r="G785" i="58" s="1"/>
  <c r="C849" i="58"/>
  <c r="T849" i="58" s="1"/>
  <c r="AO896" i="58"/>
  <c r="G805" i="58"/>
  <c r="F938" i="58"/>
  <c r="AO880" i="58"/>
  <c r="P1049" i="58"/>
  <c r="C811" i="58"/>
  <c r="E324" i="58"/>
  <c r="C644" i="58"/>
  <c r="I687" i="58"/>
  <c r="J687" i="58" s="1"/>
  <c r="AC687" i="58" s="1"/>
  <c r="AO884" i="58"/>
  <c r="J233" i="58"/>
  <c r="G816" i="58"/>
  <c r="I681" i="58"/>
  <c r="C681" i="58" s="1"/>
  <c r="B681" i="58" s="1"/>
  <c r="C722" i="58" s="1"/>
  <c r="P1046" i="58"/>
  <c r="B559" i="58"/>
  <c r="C559" i="58" s="1"/>
  <c r="J234" i="58"/>
  <c r="F873" i="58"/>
  <c r="F988" i="58"/>
  <c r="AO914" i="58"/>
  <c r="F743" i="58"/>
  <c r="F1004" i="58"/>
  <c r="AO903" i="58"/>
  <c r="C816" i="58"/>
  <c r="F961" i="58"/>
  <c r="AO890" i="58"/>
  <c r="P1067" i="58"/>
  <c r="G813" i="58"/>
  <c r="D846" i="58"/>
  <c r="R649" i="58"/>
  <c r="I757" i="57"/>
  <c r="C757" i="57" s="1"/>
  <c r="F857" i="57"/>
  <c r="F778" i="58"/>
  <c r="F1001" i="58"/>
  <c r="C810" i="58"/>
  <c r="F977" i="58"/>
  <c r="C589" i="58"/>
  <c r="F867" i="58"/>
  <c r="F334" i="58"/>
  <c r="AS910" i="58"/>
  <c r="J232" i="58"/>
  <c r="AS905" i="58"/>
  <c r="Q559" i="58"/>
  <c r="P1055" i="58"/>
  <c r="Z386" i="58"/>
  <c r="I686" i="58"/>
  <c r="C686" i="58" s="1"/>
  <c r="AS892" i="58"/>
  <c r="AO900" i="58"/>
  <c r="AO910" i="58"/>
  <c r="F760" i="58"/>
  <c r="F984" i="58"/>
  <c r="AO894" i="58"/>
  <c r="D832" i="58"/>
  <c r="F781" i="58"/>
  <c r="F861" i="58"/>
  <c r="P1063" i="58"/>
  <c r="C843" i="58"/>
  <c r="T843" i="58" s="1"/>
  <c r="F779" i="58"/>
  <c r="AB793" i="58"/>
  <c r="AS907" i="57"/>
  <c r="D615" i="57"/>
  <c r="F975" i="58"/>
  <c r="I691" i="58"/>
  <c r="J691" i="58" s="1"/>
  <c r="J240" i="58"/>
  <c r="P1066" i="58"/>
  <c r="J231" i="58"/>
  <c r="F863" i="58"/>
  <c r="I721" i="58"/>
  <c r="P1071" i="58"/>
  <c r="Z391" i="58"/>
  <c r="J239" i="58"/>
  <c r="AO892" i="58"/>
  <c r="AS894" i="58"/>
  <c r="BI1038" i="58"/>
  <c r="F767" i="58"/>
  <c r="F958" i="58"/>
  <c r="G1003" i="58"/>
  <c r="G783" i="58" s="1"/>
  <c r="D830" i="58"/>
  <c r="F774" i="58"/>
  <c r="F864" i="58"/>
  <c r="B1099" i="58"/>
  <c r="C845" i="58"/>
  <c r="T845" i="58" s="1"/>
  <c r="F951" i="58"/>
  <c r="R589" i="58"/>
  <c r="P1063" i="57"/>
  <c r="AO893" i="58"/>
  <c r="F747" i="58"/>
  <c r="AS880" i="58"/>
  <c r="F552" i="58"/>
  <c r="I704" i="58"/>
  <c r="C704" i="58" s="1"/>
  <c r="I830" i="58"/>
  <c r="G1006" i="58"/>
  <c r="G786" i="58" s="1"/>
  <c r="M527" i="58"/>
  <c r="P1061" i="58"/>
  <c r="AS891" i="58"/>
  <c r="P1062" i="58"/>
  <c r="C815" i="58"/>
  <c r="F931" i="58"/>
  <c r="F764" i="58"/>
  <c r="F959" i="58"/>
  <c r="AO901" i="58"/>
  <c r="AO917" i="58"/>
  <c r="F752" i="58"/>
  <c r="F966" i="58"/>
  <c r="R584" i="58"/>
  <c r="AO911" i="58"/>
  <c r="I701" i="58"/>
  <c r="C701" i="58" s="1"/>
  <c r="F1005" i="58"/>
  <c r="F868" i="58"/>
  <c r="X367" i="58"/>
  <c r="F865" i="58"/>
  <c r="F942" i="58"/>
  <c r="F766" i="58"/>
  <c r="I724" i="58"/>
  <c r="B1083" i="58"/>
  <c r="AS912" i="58"/>
  <c r="P1076" i="58"/>
  <c r="G817" i="58"/>
  <c r="D845" i="58"/>
  <c r="F763" i="58"/>
  <c r="F982" i="58"/>
  <c r="AS897" i="58"/>
  <c r="BI1031" i="58"/>
  <c r="F757" i="58"/>
  <c r="F948" i="58"/>
  <c r="I676" i="58"/>
  <c r="C676" i="58" s="1"/>
  <c r="AS910" i="57"/>
  <c r="F967" i="57"/>
  <c r="K619" i="58"/>
  <c r="AS881" i="58"/>
  <c r="I718" i="58"/>
  <c r="X371" i="58"/>
  <c r="I719" i="58"/>
  <c r="AO915" i="58"/>
  <c r="B1093" i="58"/>
  <c r="F944" i="58"/>
  <c r="M502" i="58"/>
  <c r="AS882" i="58"/>
  <c r="F750" i="58"/>
  <c r="M497" i="58"/>
  <c r="F335" i="58"/>
  <c r="B334" i="58"/>
  <c r="I692" i="58"/>
  <c r="C692" i="58" s="1"/>
  <c r="AO916" i="58"/>
  <c r="P1056" i="58"/>
  <c r="F934" i="58"/>
  <c r="I685" i="58"/>
  <c r="C685" i="58" s="1"/>
  <c r="B685" i="58" s="1"/>
  <c r="C723" i="58" s="1"/>
  <c r="I700" i="58"/>
  <c r="C700" i="58" s="1"/>
  <c r="B700" i="58" s="1"/>
  <c r="C726" i="58" s="1"/>
  <c r="I832" i="58"/>
  <c r="I723" i="58"/>
  <c r="I702" i="58"/>
  <c r="J702" i="58" s="1"/>
  <c r="I696" i="58"/>
  <c r="C696" i="58" s="1"/>
  <c r="F860" i="58"/>
  <c r="P1064" i="58"/>
  <c r="F967" i="58"/>
  <c r="F974" i="58"/>
  <c r="F869" i="58"/>
  <c r="AO906" i="58"/>
  <c r="P1065" i="58"/>
  <c r="G1004" i="58"/>
  <c r="G784" i="58" s="1"/>
  <c r="F744" i="58"/>
  <c r="C817" i="58"/>
  <c r="F986" i="58"/>
  <c r="F940" i="58"/>
  <c r="D843" i="58"/>
  <c r="AS899" i="58"/>
  <c r="F765" i="58"/>
  <c r="G807" i="58"/>
  <c r="D831" i="58"/>
  <c r="F941" i="58"/>
  <c r="F987" i="58"/>
  <c r="F995" i="58"/>
  <c r="F973" i="58"/>
  <c r="AS908" i="58"/>
  <c r="AS893" i="58"/>
  <c r="P1068" i="58"/>
  <c r="P1069" i="58"/>
  <c r="F783" i="58"/>
  <c r="C813" i="58"/>
  <c r="F946" i="58"/>
  <c r="F932" i="58"/>
  <c r="F777" i="58"/>
  <c r="D619" i="58"/>
  <c r="B564" i="58"/>
  <c r="J236" i="58"/>
  <c r="F952" i="57"/>
  <c r="I693" i="57"/>
  <c r="C693" i="57" s="1"/>
  <c r="D1124" i="57"/>
  <c r="P1088" i="57"/>
  <c r="BI1023" i="58"/>
  <c r="B395" i="58"/>
  <c r="C401" i="58" s="1"/>
  <c r="I680" i="58"/>
  <c r="J680" i="58" s="1"/>
  <c r="AC680" i="58" s="1"/>
  <c r="AO889" i="58"/>
  <c r="BI1026" i="58"/>
  <c r="F748" i="58"/>
  <c r="D847" i="58"/>
  <c r="J230" i="58"/>
  <c r="AS909" i="58"/>
  <c r="C846" i="58"/>
  <c r="T846" i="58" s="1"/>
  <c r="I679" i="58"/>
  <c r="C679" i="58" s="1"/>
  <c r="B679" i="58" s="1"/>
  <c r="C721" i="58" s="1"/>
  <c r="Z721" i="58" s="1"/>
  <c r="J238" i="58"/>
  <c r="X363" i="58"/>
  <c r="I722" i="58"/>
  <c r="AS918" i="58"/>
  <c r="B1101" i="58"/>
  <c r="F928" i="58"/>
  <c r="I682" i="58"/>
  <c r="C682" i="58" s="1"/>
  <c r="I699" i="58"/>
  <c r="C699" i="58" s="1"/>
  <c r="AS896" i="58"/>
  <c r="I678" i="58"/>
  <c r="C678" i="58" s="1"/>
  <c r="B678" i="58" s="1"/>
  <c r="C720" i="58" s="1"/>
  <c r="S720" i="58" s="1"/>
  <c r="M532" i="58"/>
  <c r="I725" i="58"/>
  <c r="AS906" i="58"/>
  <c r="F751" i="58"/>
  <c r="F960" i="58"/>
  <c r="AO888" i="58"/>
  <c r="AO891" i="58"/>
  <c r="C1016" i="58"/>
  <c r="P1057" i="58"/>
  <c r="F784" i="58"/>
  <c r="F749" i="58"/>
  <c r="D836" i="58"/>
  <c r="F963" i="58"/>
  <c r="F950" i="58"/>
  <c r="F776" i="58"/>
  <c r="AO905" i="58"/>
  <c r="F769" i="58"/>
  <c r="G804" i="58"/>
  <c r="I829" i="58"/>
  <c r="F926" i="58"/>
  <c r="F943" i="58"/>
  <c r="AS904" i="58"/>
  <c r="C737" i="58"/>
  <c r="AO882" i="58"/>
  <c r="AO909" i="58"/>
  <c r="P1052" i="58"/>
  <c r="F758" i="58"/>
  <c r="C806" i="58"/>
  <c r="I836" i="58"/>
  <c r="F955" i="58"/>
  <c r="C411" i="58"/>
  <c r="AO895" i="58"/>
  <c r="R579" i="58"/>
  <c r="R1125" i="58"/>
  <c r="Q569" i="58"/>
  <c r="P1073" i="58"/>
  <c r="I695" i="58"/>
  <c r="J695" i="58" s="1"/>
  <c r="I703" i="58"/>
  <c r="J703" i="58" s="1"/>
  <c r="AS883" i="58"/>
  <c r="BI1034" i="58"/>
  <c r="C808" i="58"/>
  <c r="F993" i="58"/>
  <c r="M552" i="58"/>
  <c r="BI1032" i="58"/>
  <c r="F962" i="58"/>
  <c r="J242" i="58"/>
  <c r="F862" i="58"/>
  <c r="M522" i="58"/>
  <c r="AO881" i="58"/>
  <c r="AS919" i="58"/>
  <c r="F746" i="58"/>
  <c r="F953" i="58"/>
  <c r="B396" i="58"/>
  <c r="C406" i="58" s="1"/>
  <c r="G737" i="58"/>
  <c r="I728" i="58"/>
  <c r="F532" i="58"/>
  <c r="M547" i="58"/>
  <c r="F858" i="58"/>
  <c r="BI1024" i="58"/>
  <c r="F753" i="58"/>
  <c r="F935" i="58"/>
  <c r="AS888" i="58"/>
  <c r="AO912" i="58"/>
  <c r="BI1025" i="58"/>
  <c r="P1054" i="58"/>
  <c r="F773" i="58"/>
  <c r="C805" i="58"/>
  <c r="D835" i="58"/>
  <c r="F945" i="58"/>
  <c r="F1002" i="58"/>
  <c r="F1000" i="58"/>
  <c r="AS901" i="58"/>
  <c r="F786" i="58"/>
  <c r="G811" i="58"/>
  <c r="C847" i="58"/>
  <c r="T847" i="58" s="1"/>
  <c r="F979" i="58"/>
  <c r="F927" i="58"/>
  <c r="AO899" i="58"/>
  <c r="F857" i="58"/>
  <c r="AO887" i="58"/>
  <c r="AO919" i="58"/>
  <c r="P1051" i="58"/>
  <c r="F755" i="58"/>
  <c r="C809" i="58"/>
  <c r="I835" i="58"/>
  <c r="F937" i="58"/>
  <c r="F983" i="58"/>
  <c r="AS898" i="58"/>
  <c r="R1114" i="58"/>
  <c r="D1113" i="58"/>
  <c r="K1113" i="58" s="1"/>
  <c r="D1115" i="58"/>
  <c r="K1115" i="58" s="1"/>
  <c r="AO905" i="57"/>
  <c r="BI1017" i="57"/>
  <c r="B1105" i="57"/>
  <c r="H775" i="57"/>
  <c r="F861" i="57"/>
  <c r="C804" i="58"/>
  <c r="F502" i="58"/>
  <c r="I717" i="58"/>
  <c r="AS916" i="58"/>
  <c r="BI1039" i="58"/>
  <c r="G818" i="58"/>
  <c r="AS903" i="58"/>
  <c r="I709" i="58"/>
  <c r="C709" i="58" s="1"/>
  <c r="P1050" i="58"/>
  <c r="D849" i="58"/>
  <c r="I729" i="58"/>
  <c r="I720" i="58"/>
  <c r="I690" i="58"/>
  <c r="C690" i="58" s="1"/>
  <c r="AO913" i="58"/>
  <c r="BI1028" i="58"/>
  <c r="F771" i="58"/>
  <c r="F782" i="58"/>
  <c r="I726" i="58"/>
  <c r="AS911" i="58"/>
  <c r="I693" i="58"/>
  <c r="C693" i="58" s="1"/>
  <c r="B335" i="58"/>
  <c r="I694" i="58"/>
  <c r="C694" i="58" s="1"/>
  <c r="F872" i="58"/>
  <c r="BI1030" i="58"/>
  <c r="G815" i="58"/>
  <c r="F780" i="58"/>
  <c r="AO918" i="58"/>
  <c r="AS917" i="58"/>
  <c r="BI1029" i="58"/>
  <c r="P1060" i="58"/>
  <c r="F772" i="58"/>
  <c r="G809" i="58"/>
  <c r="D834" i="58"/>
  <c r="F929" i="58"/>
  <c r="F965" i="58"/>
  <c r="F994" i="58"/>
  <c r="F972" i="58"/>
  <c r="F756" i="58"/>
  <c r="G812" i="58"/>
  <c r="C842" i="58"/>
  <c r="T842" i="58" s="1"/>
  <c r="F954" i="58"/>
  <c r="D848" i="58"/>
  <c r="AS895" i="58"/>
  <c r="F866" i="58"/>
  <c r="AO908" i="58"/>
  <c r="C1017" i="58"/>
  <c r="P1074" i="58"/>
  <c r="F754" i="58"/>
  <c r="G806" i="58"/>
  <c r="I834" i="58"/>
  <c r="F956" i="58"/>
  <c r="F957" i="58"/>
  <c r="D644" i="58"/>
  <c r="R1115" i="58"/>
  <c r="F761" i="58"/>
  <c r="D1114" i="58"/>
  <c r="K1114" i="58" s="1"/>
  <c r="F926" i="57"/>
  <c r="L565" i="57"/>
  <c r="G981" i="57"/>
  <c r="G985" i="58" s="1"/>
  <c r="G770" i="58" s="1"/>
  <c r="F864" i="57"/>
  <c r="I728" i="57"/>
  <c r="C728" i="57" s="1"/>
  <c r="B984" i="57" s="1"/>
  <c r="F949" i="58"/>
  <c r="X375" i="58"/>
  <c r="C738" i="58"/>
  <c r="AS885" i="58"/>
  <c r="P1047" i="58"/>
  <c r="I831" i="58"/>
  <c r="I689" i="58"/>
  <c r="C689" i="58" s="1"/>
  <c r="F871" i="58"/>
  <c r="P1058" i="58"/>
  <c r="F999" i="58"/>
  <c r="I716" i="58"/>
  <c r="I697" i="58"/>
  <c r="J697" i="58" s="1"/>
  <c r="I705" i="58"/>
  <c r="C705" i="58" s="1"/>
  <c r="AS890" i="58"/>
  <c r="BI1036" i="58"/>
  <c r="C807" i="58"/>
  <c r="AO898" i="58"/>
  <c r="F522" i="58"/>
  <c r="AS913" i="58"/>
  <c r="I684" i="58"/>
  <c r="J684" i="58" s="1"/>
  <c r="B333" i="58"/>
  <c r="D340" i="58" s="1"/>
  <c r="D345" i="58" s="1"/>
  <c r="D350" i="58" s="1"/>
  <c r="I707" i="58"/>
  <c r="C707" i="58" s="1"/>
  <c r="AO907" i="58"/>
  <c r="P1045" i="58"/>
  <c r="C812" i="58"/>
  <c r="F992" i="58"/>
  <c r="AO883" i="58"/>
  <c r="F870" i="58"/>
  <c r="BI1033" i="58"/>
  <c r="B1085" i="58"/>
  <c r="F785" i="58"/>
  <c r="G808" i="58"/>
  <c r="D833" i="58"/>
  <c r="F930" i="58"/>
  <c r="F947" i="58"/>
  <c r="F989" i="58"/>
  <c r="F970" i="58"/>
  <c r="F742" i="58"/>
  <c r="G814" i="58"/>
  <c r="F964" i="58"/>
  <c r="F936" i="58"/>
  <c r="D842" i="58"/>
  <c r="AS902" i="58"/>
  <c r="AS907" i="58"/>
  <c r="AS915" i="58"/>
  <c r="BI1027" i="58"/>
  <c r="P1070" i="58"/>
  <c r="F759" i="58"/>
  <c r="C818" i="58"/>
  <c r="I833" i="58"/>
  <c r="F1003" i="58"/>
  <c r="F939" i="58"/>
  <c r="D629" i="58"/>
  <c r="I673" i="58"/>
  <c r="C673" i="58" s="1"/>
  <c r="D599" i="58"/>
  <c r="AB811" i="58"/>
  <c r="BI1034" i="57"/>
  <c r="F959" i="57"/>
  <c r="I734" i="57"/>
  <c r="J734" i="57" s="1"/>
  <c r="G991" i="57"/>
  <c r="G995" i="58" s="1"/>
  <c r="AB813" i="57"/>
  <c r="D844" i="58"/>
  <c r="D1125" i="58"/>
  <c r="K1125" i="58" s="1"/>
  <c r="AB808" i="58"/>
  <c r="AB792" i="58"/>
  <c r="R644" i="58"/>
  <c r="BI1023" i="57"/>
  <c r="P1062" i="57"/>
  <c r="I727" i="57"/>
  <c r="J727" i="57" s="1"/>
  <c r="I718" i="57"/>
  <c r="J718" i="57" s="1"/>
  <c r="I696" i="57"/>
  <c r="C696" i="57" s="1"/>
  <c r="C1125" i="57"/>
  <c r="AS900" i="58"/>
  <c r="Q564" i="58"/>
  <c r="C1132" i="58"/>
  <c r="I663" i="58"/>
  <c r="C663" i="58" s="1"/>
  <c r="B1004" i="58" s="1"/>
  <c r="B784" i="58" s="1"/>
  <c r="C639" i="58"/>
  <c r="R1124" i="58"/>
  <c r="AB796" i="58"/>
  <c r="I666" i="58"/>
  <c r="C666" i="58" s="1"/>
  <c r="R604" i="58"/>
  <c r="D1122" i="58"/>
  <c r="K1122" i="58" s="1"/>
  <c r="AB813" i="58"/>
  <c r="D589" i="58"/>
  <c r="AB807" i="58"/>
  <c r="C564" i="58"/>
  <c r="C609" i="58"/>
  <c r="C1125" i="58"/>
  <c r="AB795" i="58"/>
  <c r="AO902" i="58"/>
  <c r="R629" i="58"/>
  <c r="AB814" i="58"/>
  <c r="D584" i="58"/>
  <c r="D639" i="58"/>
  <c r="D1112" i="58"/>
  <c r="K1112" i="58" s="1"/>
  <c r="F952" i="58"/>
  <c r="I669" i="58"/>
  <c r="C669" i="58" s="1"/>
  <c r="D604" i="58"/>
  <c r="D1124" i="58"/>
  <c r="K1124" i="58" s="1"/>
  <c r="AB804" i="58"/>
  <c r="AC804" i="58" s="1"/>
  <c r="C584" i="58"/>
  <c r="AB812" i="58"/>
  <c r="R624" i="58"/>
  <c r="R639" i="58"/>
  <c r="R1122" i="58"/>
  <c r="F996" i="58"/>
  <c r="AO897" i="58"/>
  <c r="C619" i="58"/>
  <c r="G803" i="58"/>
  <c r="C649" i="58"/>
  <c r="C1112" i="58"/>
  <c r="C1144" i="58"/>
  <c r="AB805" i="58"/>
  <c r="C624" i="58"/>
  <c r="R619" i="58"/>
  <c r="R1121" i="58"/>
  <c r="J235" i="58"/>
  <c r="C1121" i="58"/>
  <c r="C629" i="58"/>
  <c r="R1123" i="58"/>
  <c r="AB818" i="58"/>
  <c r="F991" i="58"/>
  <c r="F969" i="58"/>
  <c r="J237" i="58"/>
  <c r="C599" i="58"/>
  <c r="C1122" i="58"/>
  <c r="AB803" i="58"/>
  <c r="C803" i="58"/>
  <c r="B569" i="58"/>
  <c r="C1111" i="58"/>
  <c r="AB815" i="58"/>
  <c r="I672" i="58"/>
  <c r="C672" i="58" s="1"/>
  <c r="R1113" i="58"/>
  <c r="I662" i="58"/>
  <c r="J719" i="58" s="1"/>
  <c r="C579" i="58"/>
  <c r="R1112" i="58"/>
  <c r="AB797" i="58"/>
  <c r="D650" i="57"/>
  <c r="F997" i="58"/>
  <c r="F971" i="58"/>
  <c r="C1151" i="58"/>
  <c r="I668" i="58"/>
  <c r="C668" i="58" s="1"/>
  <c r="D649" i="58"/>
  <c r="D1111" i="58"/>
  <c r="K1111" i="58" s="1"/>
  <c r="AB810" i="58"/>
  <c r="D624" i="58"/>
  <c r="C1123" i="58"/>
  <c r="AB794" i="58"/>
  <c r="I674" i="58"/>
  <c r="C674" i="58" s="1"/>
  <c r="C1114" i="58"/>
  <c r="I665" i="58"/>
  <c r="C665" i="58" s="1"/>
  <c r="B1006" i="58" s="1"/>
  <c r="B786" i="58" s="1"/>
  <c r="R609" i="58"/>
  <c r="D1123" i="58"/>
  <c r="K1123" i="58" s="1"/>
  <c r="AB809" i="58"/>
  <c r="AO904" i="58"/>
  <c r="I670" i="58"/>
  <c r="C670" i="58" s="1"/>
  <c r="C1124" i="58"/>
  <c r="I667" i="58"/>
  <c r="C667" i="58" s="1"/>
  <c r="C604" i="58"/>
  <c r="D1121" i="58"/>
  <c r="K1121" i="58" s="1"/>
  <c r="AB817" i="58"/>
  <c r="I664" i="58"/>
  <c r="C664" i="58" s="1"/>
  <c r="B1005" i="58" s="1"/>
  <c r="B785" i="58" s="1"/>
  <c r="C569" i="58"/>
  <c r="R1111" i="58"/>
  <c r="AB806" i="58"/>
  <c r="D609" i="58"/>
  <c r="C1115" i="58"/>
  <c r="I675" i="58"/>
  <c r="C675" i="58" s="1"/>
  <c r="D579" i="58"/>
  <c r="C1113" i="58"/>
  <c r="AS876" i="57"/>
  <c r="J234" i="57"/>
  <c r="P1058" i="57"/>
  <c r="F956" i="57"/>
  <c r="H776" i="57"/>
  <c r="I707" i="57"/>
  <c r="C707" i="57" s="1"/>
  <c r="P1079" i="57"/>
  <c r="H783" i="57"/>
  <c r="D1123" i="57"/>
  <c r="F981" i="57"/>
  <c r="I717" i="57"/>
  <c r="C717" i="57" s="1"/>
  <c r="P1051" i="57"/>
  <c r="H784" i="57"/>
  <c r="C610" i="57"/>
  <c r="F934" i="57"/>
  <c r="AS912" i="57"/>
  <c r="AO913" i="57"/>
  <c r="I751" i="57"/>
  <c r="C751" i="57" s="1"/>
  <c r="P1076" i="57"/>
  <c r="I732" i="57"/>
  <c r="J732" i="57" s="1"/>
  <c r="R635" i="57"/>
  <c r="F869" i="57"/>
  <c r="P1069" i="57"/>
  <c r="R610" i="57"/>
  <c r="R660" i="57"/>
  <c r="F848" i="57"/>
  <c r="P1068" i="57"/>
  <c r="C1136" i="57"/>
  <c r="F945" i="57"/>
  <c r="AO882" i="57"/>
  <c r="P1080" i="57"/>
  <c r="I750" i="57"/>
  <c r="C750" i="57" s="1"/>
  <c r="D635" i="57"/>
  <c r="F975" i="57"/>
  <c r="G986" i="57"/>
  <c r="G990" i="58" s="1"/>
  <c r="K579" i="58"/>
  <c r="I736" i="57"/>
  <c r="J736" i="57" s="1"/>
  <c r="B670" i="57"/>
  <c r="F850" i="57"/>
  <c r="G987" i="57"/>
  <c r="G991" i="58" s="1"/>
  <c r="K635" i="57"/>
  <c r="K640" i="57" s="1"/>
  <c r="C605" i="57"/>
  <c r="P1046" i="57"/>
  <c r="F939" i="57"/>
  <c r="F936" i="57"/>
  <c r="AS909" i="57"/>
  <c r="J240" i="57"/>
  <c r="G995" i="57"/>
  <c r="G999" i="58" s="1"/>
  <c r="D1133" i="57"/>
  <c r="H774" i="57"/>
  <c r="I703" i="57"/>
  <c r="C703" i="57" s="1"/>
  <c r="P1082" i="57"/>
  <c r="F866" i="57"/>
  <c r="R1133" i="57"/>
  <c r="F976" i="57"/>
  <c r="I713" i="57"/>
  <c r="C713" i="57" s="1"/>
  <c r="F947" i="57"/>
  <c r="AO878" i="57"/>
  <c r="J230" i="57"/>
  <c r="BI1020" i="57"/>
  <c r="F951" i="57"/>
  <c r="AO904" i="57"/>
  <c r="F845" i="57"/>
  <c r="F988" i="57"/>
  <c r="K604" i="58"/>
  <c r="K609" i="58" s="1"/>
  <c r="K614" i="58" s="1"/>
  <c r="F997" i="57"/>
  <c r="R620" i="57"/>
  <c r="F854" i="57"/>
  <c r="P1074" i="57"/>
  <c r="Q680" i="57"/>
  <c r="AS886" i="57"/>
  <c r="I695" i="57"/>
  <c r="C695" i="57" s="1"/>
  <c r="AE857" i="57"/>
  <c r="L555" i="57"/>
  <c r="I755" i="57"/>
  <c r="C755" i="57" s="1"/>
  <c r="AS883" i="57"/>
  <c r="F937" i="57"/>
  <c r="F946" i="57"/>
  <c r="P1048" i="57"/>
  <c r="E585" i="57"/>
  <c r="AO880" i="57"/>
  <c r="F927" i="57"/>
  <c r="F940" i="57"/>
  <c r="P1056" i="57"/>
  <c r="I761" i="57"/>
  <c r="C761" i="57" s="1"/>
  <c r="AO906" i="57"/>
  <c r="AS915" i="57"/>
  <c r="B1010" i="57"/>
  <c r="P1065" i="57"/>
  <c r="AS884" i="57"/>
  <c r="AO883" i="57"/>
  <c r="F938" i="57"/>
  <c r="BI1026" i="57"/>
  <c r="P1055" i="57"/>
  <c r="F842" i="57"/>
  <c r="F962" i="57"/>
  <c r="AO888" i="57"/>
  <c r="H782" i="57"/>
  <c r="P1075" i="57"/>
  <c r="I726" i="57"/>
  <c r="C655" i="57"/>
  <c r="C1126" i="57"/>
  <c r="R630" i="57"/>
  <c r="AB806" i="57"/>
  <c r="J238" i="57"/>
  <c r="G983" i="57"/>
  <c r="G987" i="58" s="1"/>
  <c r="G772" i="58" s="1"/>
  <c r="AS887" i="57"/>
  <c r="I742" i="57"/>
  <c r="C742" i="57" s="1"/>
  <c r="B742" i="57" s="1"/>
  <c r="B781" i="57" s="1"/>
  <c r="F966" i="57"/>
  <c r="F986" i="57"/>
  <c r="I701" i="57"/>
  <c r="C701" i="57" s="1"/>
  <c r="D620" i="57"/>
  <c r="C1135" i="57"/>
  <c r="K584" i="58"/>
  <c r="K589" i="58" s="1"/>
  <c r="K594" i="58" s="1"/>
  <c r="L535" i="57"/>
  <c r="F983" i="57"/>
  <c r="H777" i="57"/>
  <c r="I743" i="57"/>
  <c r="C743" i="57" s="1"/>
  <c r="B743" i="57" s="1"/>
  <c r="B782" i="57" s="1"/>
  <c r="F968" i="57"/>
  <c r="F992" i="57"/>
  <c r="I704" i="57"/>
  <c r="C704" i="57" s="1"/>
  <c r="D660" i="57"/>
  <c r="R1135" i="57"/>
  <c r="K624" i="58"/>
  <c r="K629" i="58" s="1"/>
  <c r="K634" i="58" s="1"/>
  <c r="C590" i="57"/>
  <c r="D590" i="57" s="1"/>
  <c r="F984" i="57"/>
  <c r="H768" i="57"/>
  <c r="J236" i="57"/>
  <c r="F970" i="57"/>
  <c r="F990" i="57"/>
  <c r="I714" i="57"/>
  <c r="C714" i="57" s="1"/>
  <c r="C630" i="57"/>
  <c r="D1126" i="57"/>
  <c r="K600" i="57"/>
  <c r="AE861" i="57"/>
  <c r="R645" i="57"/>
  <c r="J233" i="57"/>
  <c r="I752" i="57"/>
  <c r="C752" i="57" s="1"/>
  <c r="AS904" i="57"/>
  <c r="G985" i="57"/>
  <c r="G989" i="58" s="1"/>
  <c r="G774" i="58" s="1"/>
  <c r="P1047" i="57"/>
  <c r="I756" i="57"/>
  <c r="C756" i="57" s="1"/>
  <c r="AS902" i="57"/>
  <c r="F932" i="57"/>
  <c r="F950" i="57"/>
  <c r="P1054" i="57"/>
  <c r="AS913" i="57"/>
  <c r="F928" i="57"/>
  <c r="BI1021" i="57"/>
  <c r="L580" i="57"/>
  <c r="AO909" i="57"/>
  <c r="AO903" i="57"/>
  <c r="F943" i="57"/>
  <c r="BI1039" i="57"/>
  <c r="B1103" i="57"/>
  <c r="F844" i="57"/>
  <c r="F973" i="57"/>
  <c r="AS889" i="57"/>
  <c r="F860" i="57"/>
  <c r="P1071" i="57"/>
  <c r="I711" i="57"/>
  <c r="C600" i="57"/>
  <c r="R1137" i="57"/>
  <c r="Q670" i="57"/>
  <c r="AB814" i="57"/>
  <c r="F958" i="57"/>
  <c r="AO887" i="57"/>
  <c r="I745" i="57"/>
  <c r="C745" i="57" s="1"/>
  <c r="B866" i="57" s="1"/>
  <c r="AE866" i="57" s="1"/>
  <c r="G996" i="57"/>
  <c r="G1000" i="58" s="1"/>
  <c r="F987" i="57"/>
  <c r="I699" i="57"/>
  <c r="C699" i="57" s="1"/>
  <c r="R640" i="57"/>
  <c r="R1123" i="57"/>
  <c r="J670" i="57"/>
  <c r="G979" i="57"/>
  <c r="G983" i="58" s="1"/>
  <c r="G768" i="58" s="1"/>
  <c r="AO902" i="57"/>
  <c r="I747" i="57"/>
  <c r="C747" i="57" s="1"/>
  <c r="F996" i="57"/>
  <c r="F993" i="57"/>
  <c r="I698" i="57"/>
  <c r="C698" i="57" s="1"/>
  <c r="C595" i="57"/>
  <c r="R1124" i="57"/>
  <c r="J564" i="58"/>
  <c r="J569" i="58" s="1"/>
  <c r="J574" i="58" s="1"/>
  <c r="L530" i="57"/>
  <c r="G975" i="57"/>
  <c r="G979" i="58" s="1"/>
  <c r="G765" i="58" s="1"/>
  <c r="H787" i="57"/>
  <c r="I744" i="57"/>
  <c r="C744" i="57" s="1"/>
  <c r="B865" i="57" s="1"/>
  <c r="AE865" i="57" s="1"/>
  <c r="F972" i="57"/>
  <c r="F991" i="57"/>
  <c r="I708" i="57"/>
  <c r="C708" i="57" s="1"/>
  <c r="D600" i="57"/>
  <c r="R1134" i="57"/>
  <c r="K655" i="57"/>
  <c r="K660" i="57" s="1"/>
  <c r="AE860" i="57"/>
  <c r="R665" i="57"/>
  <c r="L550" i="57"/>
  <c r="I759" i="57"/>
  <c r="C759" i="57" s="1"/>
  <c r="AS885" i="57"/>
  <c r="AS911" i="57"/>
  <c r="B1009" i="57"/>
  <c r="P1057" i="57"/>
  <c r="I753" i="57"/>
  <c r="C753" i="57" s="1"/>
  <c r="AO877" i="57"/>
  <c r="AO908" i="57"/>
  <c r="G984" i="57"/>
  <c r="G988" i="58" s="1"/>
  <c r="G773" i="58" s="1"/>
  <c r="P1052" i="57"/>
  <c r="AS881" i="57"/>
  <c r="AS879" i="57"/>
  <c r="F933" i="57"/>
  <c r="BI1025" i="57"/>
  <c r="AS914" i="57"/>
  <c r="F923" i="57"/>
  <c r="F954" i="57"/>
  <c r="P1081" i="57"/>
  <c r="B1113" i="57"/>
  <c r="F843" i="57"/>
  <c r="F961" i="57"/>
  <c r="F859" i="57"/>
  <c r="G990" i="57"/>
  <c r="G994" i="58" s="1"/>
  <c r="I716" i="57"/>
  <c r="C716" i="57" s="1"/>
  <c r="D655" i="57"/>
  <c r="C1127" i="57"/>
  <c r="J675" i="57"/>
  <c r="P1077" i="57"/>
  <c r="F856" i="57"/>
  <c r="G982" i="57"/>
  <c r="G986" i="58" s="1"/>
  <c r="G771" i="58" s="1"/>
  <c r="AS888" i="57"/>
  <c r="I746" i="57"/>
  <c r="C746" i="57" s="1"/>
  <c r="BI1032" i="57"/>
  <c r="I725" i="57"/>
  <c r="J725" i="57" s="1"/>
  <c r="I694" i="57"/>
  <c r="C694" i="57" s="1"/>
  <c r="Q675" i="57"/>
  <c r="D1134" i="57"/>
  <c r="AB808" i="57"/>
  <c r="F852" i="57"/>
  <c r="F982" i="57"/>
  <c r="AO886" i="57"/>
  <c r="J744" i="57"/>
  <c r="J747" i="57" s="1"/>
  <c r="BI1031" i="57"/>
  <c r="I723" i="57"/>
  <c r="J723" i="57" s="1"/>
  <c r="D610" i="57"/>
  <c r="C650" i="57"/>
  <c r="D1135" i="57"/>
  <c r="AB815" i="57"/>
  <c r="E565" i="57"/>
  <c r="F979" i="57"/>
  <c r="H773" i="57"/>
  <c r="I749" i="57"/>
  <c r="C749" i="57" s="1"/>
  <c r="F995" i="57"/>
  <c r="I729" i="57"/>
  <c r="C729" i="57" s="1"/>
  <c r="B985" i="57" s="1"/>
  <c r="B989" i="58" s="1"/>
  <c r="B774" i="58" s="1"/>
  <c r="I715" i="57"/>
  <c r="C715" i="57" s="1"/>
  <c r="C635" i="57"/>
  <c r="C1133" i="57"/>
  <c r="K595" i="57"/>
  <c r="AE858" i="57"/>
  <c r="K665" i="57"/>
  <c r="J242" i="57"/>
  <c r="AO910" i="57"/>
  <c r="F924" i="57"/>
  <c r="BI1019" i="57"/>
  <c r="B1095" i="57"/>
  <c r="I760" i="57"/>
  <c r="C760" i="57" s="1"/>
  <c r="AS905" i="57"/>
  <c r="AO915" i="57"/>
  <c r="BI1018" i="57"/>
  <c r="P1061" i="57"/>
  <c r="AS906" i="57"/>
  <c r="AS882" i="57"/>
  <c r="F941" i="57"/>
  <c r="BI1035" i="57"/>
  <c r="AO881" i="57"/>
  <c r="F931" i="57"/>
  <c r="F944" i="57"/>
  <c r="BI1038" i="57"/>
  <c r="B1097" i="57"/>
  <c r="F846" i="57"/>
  <c r="F963" i="57"/>
  <c r="I735" i="57"/>
  <c r="C735" i="57" s="1"/>
  <c r="B991" i="57" s="1"/>
  <c r="F969" i="57"/>
  <c r="G993" i="57"/>
  <c r="G997" i="58" s="1"/>
  <c r="I709" i="57"/>
  <c r="C709" i="57" s="1"/>
  <c r="R600" i="57"/>
  <c r="D1137" i="57"/>
  <c r="J680" i="57"/>
  <c r="P1059" i="57"/>
  <c r="F855" i="57"/>
  <c r="F957" i="57"/>
  <c r="I748" i="57"/>
  <c r="C748" i="57" s="1"/>
  <c r="BI1030" i="57"/>
  <c r="I720" i="57"/>
  <c r="C720" i="57" s="1"/>
  <c r="D595" i="57"/>
  <c r="C640" i="57"/>
  <c r="R590" i="57"/>
  <c r="P1086" i="57"/>
  <c r="F851" i="57"/>
  <c r="G978" i="57"/>
  <c r="G982" i="58" s="1"/>
  <c r="G767" i="58" s="1"/>
  <c r="H781" i="57"/>
  <c r="BI1028" i="57"/>
  <c r="I719" i="57"/>
  <c r="C719" i="57" s="1"/>
  <c r="D640" i="57"/>
  <c r="C1124" i="57"/>
  <c r="R650" i="57"/>
  <c r="F948" i="57"/>
  <c r="G974" i="57"/>
  <c r="G978" i="58" s="1"/>
  <c r="G764" i="58" s="1"/>
  <c r="AO889" i="57"/>
  <c r="H785" i="57"/>
  <c r="BI1029" i="57"/>
  <c r="I722" i="57"/>
  <c r="J722" i="57" s="1"/>
  <c r="I697" i="57"/>
  <c r="C697" i="57" s="1"/>
  <c r="C670" i="57"/>
  <c r="R1125" i="57"/>
  <c r="K599" i="58"/>
  <c r="AE862" i="57"/>
  <c r="J685" i="57"/>
  <c r="C443" i="57"/>
  <c r="AO885" i="57"/>
  <c r="AO914" i="57"/>
  <c r="F955" i="57"/>
  <c r="BI1033" i="57"/>
  <c r="L585" i="57"/>
  <c r="AS878" i="57"/>
  <c r="AO879" i="57"/>
  <c r="F935" i="57"/>
  <c r="BI1024" i="57"/>
  <c r="E555" i="57"/>
  <c r="AS880" i="57"/>
  <c r="F929" i="57"/>
  <c r="F942" i="57"/>
  <c r="BI1036" i="57"/>
  <c r="I758" i="57"/>
  <c r="C758" i="57" s="1"/>
  <c r="AO884" i="57"/>
  <c r="AO911" i="57"/>
  <c r="G998" i="57"/>
  <c r="G1002" i="58" s="1"/>
  <c r="P1053" i="57"/>
  <c r="C448" i="57"/>
  <c r="F980" i="57"/>
  <c r="H786" i="57"/>
  <c r="J237" i="57"/>
  <c r="F985" i="57"/>
  <c r="F989" i="57"/>
  <c r="I702" i="57"/>
  <c r="C702" i="57" s="1"/>
  <c r="B675" i="57"/>
  <c r="C1123" i="57"/>
  <c r="J559" i="58"/>
  <c r="P1078" i="57"/>
  <c r="F867" i="57"/>
  <c r="H772" i="57"/>
  <c r="I730" i="57"/>
  <c r="C730" i="57" s="1"/>
  <c r="B986" i="57" s="1"/>
  <c r="F858" i="57"/>
  <c r="P1067" i="57"/>
  <c r="I710" i="57"/>
  <c r="C710" i="57" s="1"/>
  <c r="R655" i="57"/>
  <c r="R1126" i="57"/>
  <c r="K644" i="58"/>
  <c r="K649" i="58" s="1"/>
  <c r="K654" i="58" s="1"/>
  <c r="P1083" i="57"/>
  <c r="F853" i="57"/>
  <c r="G976" i="57"/>
  <c r="G980" i="58" s="1"/>
  <c r="G766" i="58" s="1"/>
  <c r="F863" i="57"/>
  <c r="P1070" i="57"/>
  <c r="I706" i="57"/>
  <c r="C706" i="57" s="1"/>
  <c r="C620" i="57"/>
  <c r="D1125" i="57"/>
  <c r="K610" i="57"/>
  <c r="P1085" i="57"/>
  <c r="F847" i="57"/>
  <c r="G973" i="57"/>
  <c r="G977" i="58" s="1"/>
  <c r="G763" i="58" s="1"/>
  <c r="F862" i="57"/>
  <c r="P1066" i="57"/>
  <c r="C251" i="57"/>
  <c r="C615" i="57"/>
  <c r="C675" i="57"/>
  <c r="R595" i="57"/>
  <c r="AB807" i="57"/>
  <c r="AE864" i="57"/>
  <c r="R605" i="57"/>
  <c r="D625" i="57"/>
  <c r="F925" i="57"/>
  <c r="F953" i="57"/>
  <c r="P1049" i="57"/>
  <c r="J231" i="57"/>
  <c r="AO912" i="57"/>
  <c r="AO907" i="57"/>
  <c r="F949" i="57"/>
  <c r="P1050" i="57"/>
  <c r="I754" i="57"/>
  <c r="J754" i="57" s="1"/>
  <c r="AS877" i="57"/>
  <c r="AS908" i="57"/>
  <c r="G997" i="57"/>
  <c r="G1001" i="58" s="1"/>
  <c r="P1060" i="57"/>
  <c r="D832" i="57"/>
  <c r="AO876" i="57"/>
  <c r="F930" i="57"/>
  <c r="BI1022" i="57"/>
  <c r="P1064" i="57"/>
  <c r="E535" i="57"/>
  <c r="F974" i="57"/>
  <c r="H769" i="57"/>
  <c r="J745" i="57"/>
  <c r="J750" i="57" s="1"/>
  <c r="BI1027" i="57"/>
  <c r="I724" i="57"/>
  <c r="C724" i="57" s="1"/>
  <c r="B980" i="57" s="1"/>
  <c r="B984" i="58" s="1"/>
  <c r="B769" i="58" s="1"/>
  <c r="R615" i="57"/>
  <c r="B680" i="57"/>
  <c r="R1136" i="57"/>
  <c r="K639" i="58"/>
  <c r="L560" i="57"/>
  <c r="F998" i="57"/>
  <c r="H789" i="57"/>
  <c r="J235" i="57"/>
  <c r="F965" i="57"/>
  <c r="G989" i="57"/>
  <c r="G993" i="58" s="1"/>
  <c r="I700" i="57"/>
  <c r="C700" i="57" s="1"/>
  <c r="D706" i="57" s="1"/>
  <c r="C660" i="57"/>
  <c r="R1127" i="57"/>
  <c r="K590" i="57"/>
  <c r="B1111" i="57"/>
  <c r="G980" i="57"/>
  <c r="G984" i="58" s="1"/>
  <c r="G769" i="58" s="1"/>
  <c r="H770" i="57"/>
  <c r="I731" i="57"/>
  <c r="C731" i="57" s="1"/>
  <c r="B987" i="57" s="1"/>
  <c r="F971" i="57"/>
  <c r="G992" i="57"/>
  <c r="G996" i="58" s="1"/>
  <c r="I712" i="57"/>
  <c r="C712" i="57" s="1"/>
  <c r="D630" i="57"/>
  <c r="D1127" i="57"/>
  <c r="K615" i="57"/>
  <c r="K620" i="57" s="1"/>
  <c r="P1087" i="57"/>
  <c r="F849" i="57"/>
  <c r="H788" i="57"/>
  <c r="I733" i="57"/>
  <c r="J733" i="57" s="1"/>
  <c r="F865" i="57"/>
  <c r="G988" i="57"/>
  <c r="G992" i="58" s="1"/>
  <c r="I705" i="57"/>
  <c r="C705" i="57" s="1"/>
  <c r="C680" i="57"/>
  <c r="C1137" i="57"/>
  <c r="K650" i="57"/>
  <c r="AE863" i="57"/>
  <c r="R625" i="57"/>
  <c r="K645" i="57"/>
  <c r="K605" i="57"/>
  <c r="K625" i="57"/>
  <c r="D645" i="57"/>
  <c r="D665" i="57"/>
  <c r="B685" i="57"/>
  <c r="D605" i="57"/>
  <c r="C625" i="57"/>
  <c r="C645" i="57"/>
  <c r="C665" i="57"/>
  <c r="C685" i="57"/>
  <c r="N723" i="58"/>
  <c r="P401" i="54"/>
  <c r="P406" i="54" s="1"/>
  <c r="P411" i="54" s="1"/>
  <c r="P416" i="54" s="1"/>
  <c r="P421" i="54" s="1"/>
  <c r="P426" i="54" s="1"/>
  <c r="E904" i="58"/>
  <c r="E902" i="58"/>
  <c r="D748" i="57"/>
  <c r="E887" i="57"/>
  <c r="E905" i="57"/>
  <c r="E906" i="57" s="1"/>
  <c r="E907" i="57" s="1"/>
  <c r="E903" i="57"/>
  <c r="E891" i="58"/>
  <c r="E893" i="58"/>
  <c r="E889" i="57"/>
  <c r="E910" i="58"/>
  <c r="B809" i="57" l="1"/>
  <c r="B386" i="57" s="1"/>
  <c r="Q726" i="58"/>
  <c r="S723" i="58"/>
  <c r="S722" i="58"/>
  <c r="C796" i="58"/>
  <c r="B796" i="58" s="1"/>
  <c r="G796" i="58"/>
  <c r="AC810" i="58"/>
  <c r="D824" i="57"/>
  <c r="D416" i="57" s="1"/>
  <c r="C795" i="58"/>
  <c r="B988" i="58"/>
  <c r="B773" i="58" s="1"/>
  <c r="I824" i="57"/>
  <c r="I416" i="57" s="1"/>
  <c r="G795" i="58"/>
  <c r="G780" i="58"/>
  <c r="G776" i="58"/>
  <c r="G781" i="58"/>
  <c r="G777" i="58"/>
  <c r="G778" i="58"/>
  <c r="G782" i="58"/>
  <c r="G779" i="58"/>
  <c r="G775" i="58"/>
  <c r="C721" i="57"/>
  <c r="J738" i="57"/>
  <c r="J741" i="57"/>
  <c r="AC741" i="57" s="1"/>
  <c r="C741" i="57"/>
  <c r="C740" i="57"/>
  <c r="B740" i="57" s="1"/>
  <c r="B779" i="57" s="1"/>
  <c r="D833" i="57"/>
  <c r="C832" i="57"/>
  <c r="C833" i="57" s="1"/>
  <c r="F798" i="57"/>
  <c r="F366" i="57" s="1"/>
  <c r="B799" i="57"/>
  <c r="B367" i="57" s="1"/>
  <c r="C734" i="57"/>
  <c r="B990" i="57" s="1"/>
  <c r="B994" i="58" s="1"/>
  <c r="C726" i="57"/>
  <c r="E876" i="57" s="1"/>
  <c r="J726" i="57"/>
  <c r="C711" i="57"/>
  <c r="C739" i="57"/>
  <c r="H377" i="4"/>
  <c r="AC809" i="57"/>
  <c r="F33" i="54"/>
  <c r="AC810" i="57"/>
  <c r="F30" i="58"/>
  <c r="BW1037" i="58" s="1"/>
  <c r="C691" i="58"/>
  <c r="C687" i="58"/>
  <c r="H380" i="4"/>
  <c r="F26" i="58"/>
  <c r="F29" i="54"/>
  <c r="F26" i="57"/>
  <c r="F20" i="58"/>
  <c r="F20" i="57"/>
  <c r="P405" i="57" s="1"/>
  <c r="F22" i="58"/>
  <c r="F22" i="57"/>
  <c r="F21" i="58"/>
  <c r="F21" i="57"/>
  <c r="T833" i="57" s="1"/>
  <c r="F23" i="58"/>
  <c r="F23" i="57"/>
  <c r="P409" i="57" s="1"/>
  <c r="F31" i="58"/>
  <c r="F31" i="57"/>
  <c r="H364" i="4"/>
  <c r="F19" i="58"/>
  <c r="F19" i="57"/>
  <c r="F27" i="58"/>
  <c r="F27" i="57"/>
  <c r="F24" i="58"/>
  <c r="F27" i="54"/>
  <c r="F24" i="57"/>
  <c r="H378" i="4"/>
  <c r="F28" i="57"/>
  <c r="F28" i="58"/>
  <c r="H379" i="4"/>
  <c r="F25" i="58"/>
  <c r="F28" i="54"/>
  <c r="F25" i="57"/>
  <c r="F29" i="58"/>
  <c r="F29" i="57"/>
  <c r="G721" i="58"/>
  <c r="AC816" i="58"/>
  <c r="AC815" i="58"/>
  <c r="B575" i="57"/>
  <c r="B585" i="57" s="1"/>
  <c r="C502" i="58" s="1"/>
  <c r="B506" i="57"/>
  <c r="B516" i="57" s="1"/>
  <c r="C434" i="58" s="1"/>
  <c r="J693" i="57"/>
  <c r="J702" i="57" s="1"/>
  <c r="C684" i="58"/>
  <c r="E723" i="58"/>
  <c r="G723" i="58"/>
  <c r="C697" i="58"/>
  <c r="Z723" i="58"/>
  <c r="Y723" i="58"/>
  <c r="F723" i="58"/>
  <c r="J723" i="58"/>
  <c r="L723" i="58"/>
  <c r="T720" i="58"/>
  <c r="J693" i="58"/>
  <c r="AC809" i="58"/>
  <c r="B995" i="57"/>
  <c r="B999" i="58" s="1"/>
  <c r="N722" i="58"/>
  <c r="AC806" i="58"/>
  <c r="AC811" i="58"/>
  <c r="C736" i="57"/>
  <c r="B992" i="57" s="1"/>
  <c r="B996" i="58" s="1"/>
  <c r="C683" i="58"/>
  <c r="Q723" i="58"/>
  <c r="AC813" i="58"/>
  <c r="O723" i="58"/>
  <c r="T723" i="58"/>
  <c r="H723" i="58"/>
  <c r="H726" i="58"/>
  <c r="F726" i="58"/>
  <c r="C727" i="57"/>
  <c r="B983" i="57" s="1"/>
  <c r="B987" i="58" s="1"/>
  <c r="B772" i="58" s="1"/>
  <c r="Z726" i="58"/>
  <c r="T726" i="58"/>
  <c r="G726" i="58"/>
  <c r="E726" i="58"/>
  <c r="B996" i="57"/>
  <c r="B1000" i="58" s="1"/>
  <c r="O726" i="58"/>
  <c r="S726" i="58"/>
  <c r="Y726" i="58"/>
  <c r="N726" i="58"/>
  <c r="L726" i="58"/>
  <c r="L722" i="58"/>
  <c r="AC814" i="58"/>
  <c r="J759" i="57"/>
  <c r="AC803" i="58"/>
  <c r="AC818" i="58"/>
  <c r="S721" i="58"/>
  <c r="C680" i="58"/>
  <c r="O721" i="58"/>
  <c r="J696" i="58"/>
  <c r="L721" i="58"/>
  <c r="M721" i="58" s="1"/>
  <c r="J669" i="58"/>
  <c r="J694" i="58"/>
  <c r="AC817" i="58"/>
  <c r="J729" i="57"/>
  <c r="L720" i="58"/>
  <c r="M720" i="58" s="1"/>
  <c r="C737" i="57"/>
  <c r="B993" i="57" s="1"/>
  <c r="Z720" i="58"/>
  <c r="E720" i="58"/>
  <c r="H720" i="58"/>
  <c r="O720" i="58"/>
  <c r="F720" i="58"/>
  <c r="G720" i="58"/>
  <c r="Q720" i="58"/>
  <c r="Y720" i="58"/>
  <c r="N720" i="58"/>
  <c r="J709" i="58"/>
  <c r="C722" i="57"/>
  <c r="B978" i="57" s="1"/>
  <c r="B982" i="58" s="1"/>
  <c r="B767" i="58" s="1"/>
  <c r="O722" i="58"/>
  <c r="C733" i="57"/>
  <c r="B989" i="57" s="1"/>
  <c r="B778" i="58" s="1"/>
  <c r="G722" i="58"/>
  <c r="D750" i="57"/>
  <c r="B750" i="57" s="1"/>
  <c r="J707" i="58"/>
  <c r="E722" i="58"/>
  <c r="T722" i="58"/>
  <c r="Z722" i="58"/>
  <c r="Y722" i="58"/>
  <c r="Q722" i="58"/>
  <c r="F722" i="58"/>
  <c r="H722" i="58"/>
  <c r="C718" i="57"/>
  <c r="AC805" i="58"/>
  <c r="J689" i="58"/>
  <c r="AC689" i="58" s="1"/>
  <c r="C723" i="57"/>
  <c r="B979" i="57" s="1"/>
  <c r="B983" i="58" s="1"/>
  <c r="B768" i="58" s="1"/>
  <c r="AC808" i="58"/>
  <c r="J711" i="57"/>
  <c r="AC711" i="57" s="1"/>
  <c r="N721" i="58"/>
  <c r="AC812" i="58"/>
  <c r="T721" i="58"/>
  <c r="C703" i="58"/>
  <c r="B873" i="58" s="1"/>
  <c r="Y721" i="58"/>
  <c r="F721" i="58"/>
  <c r="J731" i="57"/>
  <c r="H721" i="58"/>
  <c r="E721" i="58"/>
  <c r="J735" i="57"/>
  <c r="AC807" i="58"/>
  <c r="J720" i="57"/>
  <c r="AC720" i="57" s="1"/>
  <c r="J670" i="58"/>
  <c r="J718" i="58"/>
  <c r="J726" i="58"/>
  <c r="C725" i="57"/>
  <c r="B981" i="57" s="1"/>
  <c r="B985" i="58" s="1"/>
  <c r="B770" i="58" s="1"/>
  <c r="J700" i="57"/>
  <c r="C702" i="58"/>
  <c r="B872" i="58" s="1"/>
  <c r="K872" i="58" s="1"/>
  <c r="J690" i="58"/>
  <c r="J720" i="58"/>
  <c r="J725" i="58"/>
  <c r="J717" i="58"/>
  <c r="C695" i="58"/>
  <c r="J716" i="58"/>
  <c r="J727" i="58"/>
  <c r="J724" i="58"/>
  <c r="J728" i="57"/>
  <c r="J722" i="58"/>
  <c r="J761" i="57"/>
  <c r="J729" i="58"/>
  <c r="J662" i="58"/>
  <c r="J671" i="58" s="1"/>
  <c r="AC671" i="58" s="1"/>
  <c r="J692" i="58"/>
  <c r="J721" i="58"/>
  <c r="J706" i="57"/>
  <c r="AC706" i="57" s="1"/>
  <c r="J728" i="58"/>
  <c r="C662" i="58"/>
  <c r="D1005" i="58" s="1"/>
  <c r="J675" i="58"/>
  <c r="AC675" i="58" s="1"/>
  <c r="D747" i="57"/>
  <c r="B747" i="57" s="1"/>
  <c r="B783" i="57" s="1"/>
  <c r="J724" i="57"/>
  <c r="J715" i="57"/>
  <c r="C732" i="57"/>
  <c r="B988" i="57" s="1"/>
  <c r="B777" i="58" s="1"/>
  <c r="J730" i="57"/>
  <c r="J701" i="57"/>
  <c r="J714" i="57"/>
  <c r="J755" i="57"/>
  <c r="B748" i="57"/>
  <c r="B784" i="57" s="1"/>
  <c r="C754" i="57"/>
  <c r="B867" i="57" s="1"/>
  <c r="B776" i="58"/>
  <c r="B991" i="58"/>
  <c r="B976" i="57"/>
  <c r="D720" i="57"/>
  <c r="B720" i="57" s="1"/>
  <c r="B998" i="57"/>
  <c r="B1002" i="58" s="1"/>
  <c r="D761" i="57"/>
  <c r="B761" i="57" s="1"/>
  <c r="B869" i="57"/>
  <c r="D718" i="57"/>
  <c r="B975" i="57"/>
  <c r="B979" i="58" s="1"/>
  <c r="B775" i="58"/>
  <c r="B990" i="58"/>
  <c r="D711" i="57"/>
  <c r="B711" i="57" s="1"/>
  <c r="B974" i="57"/>
  <c r="B978" i="58" s="1"/>
  <c r="B764" i="58" s="1"/>
  <c r="B995" i="58"/>
  <c r="B780" i="58"/>
  <c r="E880" i="58"/>
  <c r="E882" i="58"/>
  <c r="B706" i="57"/>
  <c r="B973" i="57"/>
  <c r="B977" i="58" s="1"/>
  <c r="B763" i="58" s="1"/>
  <c r="P431" i="54"/>
  <c r="P436" i="54" s="1"/>
  <c r="D749" i="57"/>
  <c r="E911" i="58"/>
  <c r="E908" i="57"/>
  <c r="A627" i="54"/>
  <c r="A628" i="54"/>
  <c r="A629" i="54"/>
  <c r="A630" i="54"/>
  <c r="A631" i="54"/>
  <c r="A632" i="54"/>
  <c r="A633" i="54"/>
  <c r="A634" i="54"/>
  <c r="A635" i="54"/>
  <c r="A636" i="54"/>
  <c r="A637" i="54"/>
  <c r="A638" i="54"/>
  <c r="A639" i="54"/>
  <c r="A641" i="54"/>
  <c r="A626" i="54"/>
  <c r="L79" i="54"/>
  <c r="M79" i="54"/>
  <c r="L80" i="54"/>
  <c r="M80" i="54"/>
  <c r="L81" i="54"/>
  <c r="M81" i="54"/>
  <c r="L82" i="54"/>
  <c r="M82" i="54"/>
  <c r="L83" i="54"/>
  <c r="M83" i="54"/>
  <c r="L84" i="54"/>
  <c r="M84" i="54"/>
  <c r="L85" i="54"/>
  <c r="M85" i="54"/>
  <c r="L86" i="54"/>
  <c r="M86" i="54"/>
  <c r="L87" i="54"/>
  <c r="M87" i="54"/>
  <c r="L88" i="54"/>
  <c r="M88" i="54"/>
  <c r="L89" i="54"/>
  <c r="M89" i="54"/>
  <c r="L90" i="54"/>
  <c r="M90" i="54"/>
  <c r="L91" i="54"/>
  <c r="M91" i="54"/>
  <c r="L92" i="54"/>
  <c r="M92" i="54"/>
  <c r="L93" i="54"/>
  <c r="M93" i="54"/>
  <c r="L94" i="54"/>
  <c r="M94" i="54"/>
  <c r="L95" i="54"/>
  <c r="M95" i="54"/>
  <c r="L96" i="54"/>
  <c r="M96" i="54"/>
  <c r="L97" i="54"/>
  <c r="M97" i="54"/>
  <c r="L98" i="54"/>
  <c r="M98" i="54"/>
  <c r="L99" i="54"/>
  <c r="M99" i="54"/>
  <c r="L100" i="54"/>
  <c r="M100" i="54"/>
  <c r="L101" i="54"/>
  <c r="M101" i="54"/>
  <c r="L102" i="54"/>
  <c r="M102" i="54"/>
  <c r="L103" i="54"/>
  <c r="M103" i="54"/>
  <c r="L104" i="54"/>
  <c r="M104" i="54"/>
  <c r="L105" i="54"/>
  <c r="M105" i="54"/>
  <c r="L106" i="54"/>
  <c r="M106" i="54"/>
  <c r="L107" i="54"/>
  <c r="M107" i="54"/>
  <c r="L108" i="54"/>
  <c r="M108" i="54"/>
  <c r="L109" i="54"/>
  <c r="M109" i="54"/>
  <c r="L110" i="54"/>
  <c r="M110" i="54"/>
  <c r="L111" i="54"/>
  <c r="M111" i="54"/>
  <c r="L112" i="54"/>
  <c r="M112" i="54"/>
  <c r="L113" i="54"/>
  <c r="M113" i="54"/>
  <c r="L114" i="54"/>
  <c r="M114" i="54"/>
  <c r="L115" i="54"/>
  <c r="M115" i="54"/>
  <c r="L116" i="54"/>
  <c r="M116" i="54"/>
  <c r="L117" i="54"/>
  <c r="M117" i="54"/>
  <c r="L78" i="54"/>
  <c r="M78" i="54"/>
  <c r="L77" i="54"/>
  <c r="M77" i="54"/>
  <c r="L121" i="54"/>
  <c r="M121" i="54"/>
  <c r="L122" i="54"/>
  <c r="M122" i="54"/>
  <c r="L123" i="54"/>
  <c r="M123" i="54"/>
  <c r="L124" i="54"/>
  <c r="M124" i="54"/>
  <c r="L125" i="54"/>
  <c r="M125" i="54"/>
  <c r="L126" i="54"/>
  <c r="M126" i="54"/>
  <c r="L127" i="54"/>
  <c r="M127" i="54"/>
  <c r="L128" i="54"/>
  <c r="M128" i="54"/>
  <c r="L129" i="54"/>
  <c r="M129" i="54"/>
  <c r="L130" i="54"/>
  <c r="M130" i="54"/>
  <c r="L131" i="54"/>
  <c r="M131" i="54"/>
  <c r="L132" i="54"/>
  <c r="M132" i="54"/>
  <c r="L133" i="54"/>
  <c r="M133" i="54"/>
  <c r="L134" i="54"/>
  <c r="M134" i="54"/>
  <c r="L135" i="54"/>
  <c r="M135" i="54"/>
  <c r="L136" i="54"/>
  <c r="M136" i="54"/>
  <c r="L137" i="54"/>
  <c r="M137" i="54"/>
  <c r="L138" i="54"/>
  <c r="M138" i="54"/>
  <c r="L139" i="54"/>
  <c r="M139" i="54"/>
  <c r="L140" i="54"/>
  <c r="M140" i="54"/>
  <c r="L141" i="54"/>
  <c r="M141" i="54"/>
  <c r="L142" i="54"/>
  <c r="M142" i="54"/>
  <c r="L143" i="54"/>
  <c r="M143" i="54"/>
  <c r="L144" i="54"/>
  <c r="M144" i="54"/>
  <c r="L145" i="54"/>
  <c r="M145" i="54"/>
  <c r="L146" i="54"/>
  <c r="M146" i="54"/>
  <c r="L147" i="54"/>
  <c r="M147" i="54"/>
  <c r="L148" i="54"/>
  <c r="M148" i="54"/>
  <c r="L149" i="54"/>
  <c r="M149" i="54"/>
  <c r="L120" i="54"/>
  <c r="M120" i="54"/>
  <c r="L119" i="54"/>
  <c r="M119" i="54"/>
  <c r="B824" i="57" l="1"/>
  <c r="B416" i="57" s="1"/>
  <c r="B795" i="58"/>
  <c r="B285" i="58" s="1"/>
  <c r="M722" i="58"/>
  <c r="M723" i="58"/>
  <c r="M726" i="58"/>
  <c r="D826" i="58"/>
  <c r="B826" i="58" s="1"/>
  <c r="B304" i="58" s="1"/>
  <c r="I826" i="58"/>
  <c r="T832" i="57"/>
  <c r="D825" i="57"/>
  <c r="D417" i="57" s="1"/>
  <c r="BW1033" i="58"/>
  <c r="BW1034" i="58"/>
  <c r="BW1031" i="58"/>
  <c r="BW1032" i="58"/>
  <c r="BW1027" i="58"/>
  <c r="BW1028" i="58"/>
  <c r="BW1029" i="58"/>
  <c r="AQ1029" i="58" s="1"/>
  <c r="BW1030" i="58"/>
  <c r="BM1030" i="58" s="1"/>
  <c r="BW1025" i="58"/>
  <c r="BW1026" i="58"/>
  <c r="BW1035" i="58"/>
  <c r="BW1036" i="58"/>
  <c r="B782" i="58"/>
  <c r="B997" i="58"/>
  <c r="BW1039" i="58"/>
  <c r="BW1038" i="58"/>
  <c r="BW1023" i="58"/>
  <c r="K1023" i="58" s="1"/>
  <c r="BW1024" i="58"/>
  <c r="AR1024" i="58" s="1"/>
  <c r="Y994" i="57"/>
  <c r="Y998" i="58" s="1"/>
  <c r="E994" i="57"/>
  <c r="E998" i="58" s="1"/>
  <c r="C994" i="57"/>
  <c r="C998" i="58" s="1"/>
  <c r="D994" i="57"/>
  <c r="J994" i="57"/>
  <c r="L994" i="57"/>
  <c r="L998" i="58" s="1"/>
  <c r="I994" i="57"/>
  <c r="I998" i="58" s="1"/>
  <c r="E878" i="57"/>
  <c r="B982" i="57"/>
  <c r="D741" i="57"/>
  <c r="B741" i="57" s="1"/>
  <c r="B780" i="57" s="1"/>
  <c r="B977" i="57"/>
  <c r="B981" i="58" s="1"/>
  <c r="B980" i="58"/>
  <c r="B766" i="58" s="1"/>
  <c r="C976" i="57"/>
  <c r="F799" i="57"/>
  <c r="F367" i="57" s="1"/>
  <c r="C811" i="57"/>
  <c r="C388" i="57" s="1"/>
  <c r="B779" i="58"/>
  <c r="AE867" i="57"/>
  <c r="L867" i="57"/>
  <c r="BR1023" i="58"/>
  <c r="S1045" i="58"/>
  <c r="A1045" i="58" s="1"/>
  <c r="S1046" i="58"/>
  <c r="A1046" i="58" s="1"/>
  <c r="S1047" i="58"/>
  <c r="A1047" i="58" s="1"/>
  <c r="S1048" i="58"/>
  <c r="A1048" i="58" s="1"/>
  <c r="S1061" i="58"/>
  <c r="S1062" i="58"/>
  <c r="S1063" i="58"/>
  <c r="S1064" i="58"/>
  <c r="S1075" i="58"/>
  <c r="S1074" i="58"/>
  <c r="S1076" i="58"/>
  <c r="S1073" i="58"/>
  <c r="S1069" i="58"/>
  <c r="S1071" i="58"/>
  <c r="S1072" i="58"/>
  <c r="S1070" i="58"/>
  <c r="S1056" i="58"/>
  <c r="S1054" i="58"/>
  <c r="S1055" i="58"/>
  <c r="S1053" i="58"/>
  <c r="S1065" i="58"/>
  <c r="S1066" i="58"/>
  <c r="S1068" i="58"/>
  <c r="S1067" i="58"/>
  <c r="S1058" i="58"/>
  <c r="A1058" i="58" s="1"/>
  <c r="S1060" i="58"/>
  <c r="A1060" i="58" s="1"/>
  <c r="S1059" i="58"/>
  <c r="A1059" i="58" s="1"/>
  <c r="S1057" i="58"/>
  <c r="A1057" i="58" s="1"/>
  <c r="S1049" i="58"/>
  <c r="S1050" i="58"/>
  <c r="S1051" i="58"/>
  <c r="S1052" i="58"/>
  <c r="C512" i="58"/>
  <c r="C522" i="58" s="1"/>
  <c r="C532" i="58" s="1"/>
  <c r="C444" i="58"/>
  <c r="C454" i="58" s="1"/>
  <c r="B781" i="58"/>
  <c r="K873" i="58"/>
  <c r="B993" i="58"/>
  <c r="D722" i="58"/>
  <c r="D725" i="58"/>
  <c r="D1004" i="58"/>
  <c r="AU1004" i="58" s="1"/>
  <c r="L873" i="58"/>
  <c r="H873" i="58"/>
  <c r="I873" i="58" s="1"/>
  <c r="H872" i="58"/>
  <c r="L872" i="58"/>
  <c r="B992" i="58"/>
  <c r="B997" i="57"/>
  <c r="B1001" i="58" s="1"/>
  <c r="AU1005" i="58"/>
  <c r="D785" i="58"/>
  <c r="D723" i="58"/>
  <c r="D718" i="58"/>
  <c r="D726" i="58"/>
  <c r="L1006" i="58"/>
  <c r="D720" i="58"/>
  <c r="D724" i="58"/>
  <c r="I1005" i="58"/>
  <c r="U1005" i="58" s="1"/>
  <c r="Y1005" i="58"/>
  <c r="D716" i="58"/>
  <c r="Y1006" i="58"/>
  <c r="L1005" i="58"/>
  <c r="J1005" i="58"/>
  <c r="K1005" i="58" s="1"/>
  <c r="D719" i="58"/>
  <c r="D1006" i="58"/>
  <c r="D786" i="58" s="1"/>
  <c r="C1005" i="58"/>
  <c r="C785" i="58" s="1"/>
  <c r="D727" i="58"/>
  <c r="D717" i="58"/>
  <c r="I1006" i="58"/>
  <c r="AD1006" i="58" s="1"/>
  <c r="J1006" i="58"/>
  <c r="K1006" i="58" s="1"/>
  <c r="C1006" i="58"/>
  <c r="C786" i="58" s="1"/>
  <c r="D729" i="58"/>
  <c r="B1003" i="58"/>
  <c r="J1003" i="58" s="1"/>
  <c r="K1003" i="58" s="1"/>
  <c r="I1004" i="58"/>
  <c r="V1004" i="58" s="1"/>
  <c r="D721" i="58"/>
  <c r="Y1004" i="58"/>
  <c r="C1004" i="58"/>
  <c r="C784" i="58" s="1"/>
  <c r="D728" i="58"/>
  <c r="E1004" i="58"/>
  <c r="E784" i="58" s="1"/>
  <c r="J1004" i="58"/>
  <c r="K1004" i="58" s="1"/>
  <c r="D759" i="57"/>
  <c r="B759" i="57" s="1"/>
  <c r="B789" i="57" s="1"/>
  <c r="B718" i="57"/>
  <c r="R718" i="57"/>
  <c r="H867" i="57"/>
  <c r="AE869" i="57"/>
  <c r="H869" i="57"/>
  <c r="Y869" i="57" s="1"/>
  <c r="F880" i="58"/>
  <c r="F881" i="58" s="1"/>
  <c r="F882" i="58" s="1"/>
  <c r="F883" i="58" s="1"/>
  <c r="F884" i="58" s="1"/>
  <c r="F885" i="58" s="1"/>
  <c r="F886" i="58" s="1"/>
  <c r="F887" i="58" s="1"/>
  <c r="F888" i="58" s="1"/>
  <c r="F889" i="58" s="1"/>
  <c r="H880" i="58"/>
  <c r="H881" i="58" s="1"/>
  <c r="H882" i="58" s="1"/>
  <c r="H883" i="58" s="1"/>
  <c r="H884" i="58" s="1"/>
  <c r="H885" i="58" s="1"/>
  <c r="H886" i="58" s="1"/>
  <c r="H887" i="58" s="1"/>
  <c r="H888" i="58" s="1"/>
  <c r="H889" i="58" s="1"/>
  <c r="G880" i="58"/>
  <c r="E888" i="57"/>
  <c r="E904" i="57"/>
  <c r="B749" i="57"/>
  <c r="B785" i="57" s="1"/>
  <c r="E912" i="58"/>
  <c r="E909" i="57"/>
  <c r="S304" i="58" l="1"/>
  <c r="O310" i="58" s="1"/>
  <c r="R304" i="58"/>
  <c r="C433" i="57"/>
  <c r="D433" i="57"/>
  <c r="Q304" i="58"/>
  <c r="Z310" i="58" s="1"/>
  <c r="M304" i="58"/>
  <c r="L310" i="58" s="1"/>
  <c r="I304" i="58"/>
  <c r="C310" i="58" s="1"/>
  <c r="F304" i="58"/>
  <c r="F310" i="58" s="1"/>
  <c r="AB304" i="58"/>
  <c r="AB310" i="58" s="1"/>
  <c r="P304" i="58"/>
  <c r="Q310" i="58" s="1"/>
  <c r="L304" i="58"/>
  <c r="R310" i="58" s="1"/>
  <c r="H304" i="58"/>
  <c r="H310" i="58" s="1"/>
  <c r="D304" i="58"/>
  <c r="D310" i="58" s="1"/>
  <c r="AA304" i="58"/>
  <c r="AA310" i="58" s="1"/>
  <c r="O304" i="58"/>
  <c r="M310" i="58" s="1"/>
  <c r="K304" i="58"/>
  <c r="J310" i="58" s="1"/>
  <c r="Y310" i="58" s="1"/>
  <c r="C304" i="58"/>
  <c r="B310" i="58" s="1"/>
  <c r="N304" i="58"/>
  <c r="K310" i="58" s="1"/>
  <c r="T1023" i="58"/>
  <c r="D827" i="58"/>
  <c r="C797" i="58"/>
  <c r="B797" i="58" s="1"/>
  <c r="AQ1024" i="58"/>
  <c r="AQ1023" i="58"/>
  <c r="J1023" i="58"/>
  <c r="BQ1023" i="58"/>
  <c r="K1029" i="58"/>
  <c r="BM1023" i="58"/>
  <c r="T1024" i="58"/>
  <c r="BQ1024" i="58"/>
  <c r="BN1024" i="58"/>
  <c r="S1024" i="58"/>
  <c r="S1023" i="58"/>
  <c r="J1029" i="58"/>
  <c r="BO1029" i="58"/>
  <c r="BR1030" i="58"/>
  <c r="S1030" i="58"/>
  <c r="T1030" i="58"/>
  <c r="BM1029" i="58"/>
  <c r="BN1029" i="58"/>
  <c r="BQ1029" i="58"/>
  <c r="T1029" i="58"/>
  <c r="S1029" i="58"/>
  <c r="BR1029" i="58"/>
  <c r="AR1029" i="58"/>
  <c r="K1024" i="58"/>
  <c r="BN1030" i="58"/>
  <c r="BO1024" i="58"/>
  <c r="BR1024" i="58"/>
  <c r="AQ1030" i="58"/>
  <c r="AR1030" i="58"/>
  <c r="BQ1030" i="58"/>
  <c r="B986" i="58"/>
  <c r="B771" i="58" s="1"/>
  <c r="J1024" i="58"/>
  <c r="BM1024" i="58"/>
  <c r="BO1030" i="58"/>
  <c r="J1030" i="58"/>
  <c r="BN1023" i="58"/>
  <c r="AR1023" i="58"/>
  <c r="BO1023" i="58"/>
  <c r="K1030" i="58"/>
  <c r="U998" i="58"/>
  <c r="AD998" i="58"/>
  <c r="V998" i="58"/>
  <c r="Z998" i="58"/>
  <c r="AK998" i="58"/>
  <c r="O998" i="58" s="1"/>
  <c r="W998" i="58"/>
  <c r="X998" i="58"/>
  <c r="AP998" i="58"/>
  <c r="K994" i="57"/>
  <c r="K998" i="58" s="1"/>
  <c r="J998" i="58"/>
  <c r="AU994" i="57"/>
  <c r="D998" i="58"/>
  <c r="AU998" i="58" s="1"/>
  <c r="V994" i="57"/>
  <c r="Z994" i="57"/>
  <c r="AD994" i="57"/>
  <c r="X994" i="57"/>
  <c r="AP994" i="57"/>
  <c r="U994" i="57"/>
  <c r="AW994" i="57"/>
  <c r="W994" i="57"/>
  <c r="AK994" i="57"/>
  <c r="AZ994" i="57"/>
  <c r="L977" i="57"/>
  <c r="L981" i="58" s="1"/>
  <c r="I977" i="57"/>
  <c r="Y977" i="57"/>
  <c r="Y981" i="58" s="1"/>
  <c r="C977" i="57"/>
  <c r="C981" i="58" s="1"/>
  <c r="J977" i="57"/>
  <c r="D977" i="57"/>
  <c r="G811" i="57"/>
  <c r="G388" i="57" s="1"/>
  <c r="I825" i="57"/>
  <c r="I417" i="57" s="1"/>
  <c r="AC811" i="57"/>
  <c r="C812" i="57"/>
  <c r="C389" i="57" s="1"/>
  <c r="D409" i="57" s="1"/>
  <c r="Y867" i="57"/>
  <c r="AB867" i="57"/>
  <c r="P869" i="57"/>
  <c r="P867" i="57"/>
  <c r="C542" i="58"/>
  <c r="C552" i="58" s="1"/>
  <c r="C464" i="58"/>
  <c r="C474" i="58" s="1"/>
  <c r="C484" i="58" s="1"/>
  <c r="D784" i="58"/>
  <c r="X872" i="58"/>
  <c r="AD1005" i="58"/>
  <c r="X1005" i="58"/>
  <c r="Y873" i="58"/>
  <c r="Z873" i="58" s="1"/>
  <c r="AB873" i="58"/>
  <c r="P873" i="58"/>
  <c r="Z1004" i="58"/>
  <c r="AK1004" i="58"/>
  <c r="X1004" i="58"/>
  <c r="AK1005" i="58"/>
  <c r="O1005" i="58" s="1"/>
  <c r="I785" i="58"/>
  <c r="R785" i="58" s="1"/>
  <c r="X873" i="58"/>
  <c r="Y872" i="58"/>
  <c r="Z872" i="58" s="1"/>
  <c r="I872" i="58"/>
  <c r="AD1004" i="58"/>
  <c r="AB872" i="58"/>
  <c r="P872" i="58"/>
  <c r="W1006" i="58"/>
  <c r="V1005" i="58"/>
  <c r="I784" i="58"/>
  <c r="R784" i="58" s="1"/>
  <c r="AP1004" i="58"/>
  <c r="U1004" i="58"/>
  <c r="W1004" i="58"/>
  <c r="U1006" i="58"/>
  <c r="AK1006" i="58"/>
  <c r="C1003" i="58"/>
  <c r="C783" i="58" s="1"/>
  <c r="I1003" i="58"/>
  <c r="AD1003" i="58" s="1"/>
  <c r="Z1005" i="58"/>
  <c r="D1003" i="58"/>
  <c r="AU1003" i="58" s="1"/>
  <c r="E1003" i="58"/>
  <c r="E783" i="58" s="1"/>
  <c r="Y1003" i="58"/>
  <c r="B783" i="58"/>
  <c r="V1006" i="58"/>
  <c r="Z1006" i="58"/>
  <c r="X1006" i="58"/>
  <c r="AP1006" i="58"/>
  <c r="I786" i="58"/>
  <c r="AU1006" i="58"/>
  <c r="AP1005" i="58"/>
  <c r="W1005" i="58"/>
  <c r="H890" i="58"/>
  <c r="H891" i="58" s="1"/>
  <c r="H892" i="58" s="1"/>
  <c r="H893" i="58" s="1"/>
  <c r="H906" i="58"/>
  <c r="H907" i="58" s="1"/>
  <c r="H908" i="58" s="1"/>
  <c r="H909" i="58" s="1"/>
  <c r="H910" i="58" s="1"/>
  <c r="H911" i="58" s="1"/>
  <c r="H912" i="58" s="1"/>
  <c r="H913" i="58" s="1"/>
  <c r="H914" i="58" s="1"/>
  <c r="H915" i="58" s="1"/>
  <c r="H916" i="58" s="1"/>
  <c r="H917" i="58" s="1"/>
  <c r="H918" i="58" s="1"/>
  <c r="H919" i="58" s="1"/>
  <c r="F906" i="58"/>
  <c r="F907" i="58" s="1"/>
  <c r="F908" i="58" s="1"/>
  <c r="F909" i="58" s="1"/>
  <c r="F910" i="58" s="1"/>
  <c r="F911" i="58" s="1"/>
  <c r="F912" i="58" s="1"/>
  <c r="F913" i="58" s="1"/>
  <c r="F914" i="58" s="1"/>
  <c r="F915" i="58" s="1"/>
  <c r="F916" i="58" s="1"/>
  <c r="F917" i="58" s="1"/>
  <c r="F918" i="58" s="1"/>
  <c r="F919" i="58" s="1"/>
  <c r="F890" i="58"/>
  <c r="F891" i="58" s="1"/>
  <c r="F892" i="58" s="1"/>
  <c r="F893" i="58" s="1"/>
  <c r="I869" i="57"/>
  <c r="AB869" i="57"/>
  <c r="B765" i="58"/>
  <c r="E908" i="58"/>
  <c r="E892" i="58"/>
  <c r="AC718" i="57"/>
  <c r="AD718" i="57"/>
  <c r="AR880" i="58"/>
  <c r="G881" i="58"/>
  <c r="I867" i="57"/>
  <c r="E913" i="58"/>
  <c r="E910" i="57"/>
  <c r="N616" i="54"/>
  <c r="O616" i="54"/>
  <c r="N617" i="54"/>
  <c r="O617" i="54"/>
  <c r="O615" i="54"/>
  <c r="N615" i="54"/>
  <c r="M616" i="54"/>
  <c r="L616" i="54" s="1"/>
  <c r="M617" i="54"/>
  <c r="L617" i="54" s="1"/>
  <c r="M615" i="54"/>
  <c r="L615" i="54" s="1"/>
  <c r="G249" i="54"/>
  <c r="G245" i="54"/>
  <c r="G247" i="54" s="1"/>
  <c r="J35" i="54"/>
  <c r="C506" i="4"/>
  <c r="B812" i="57" l="1"/>
  <c r="B389" i="57" s="1"/>
  <c r="I827" i="58"/>
  <c r="G812" i="57"/>
  <c r="G389" i="57" s="1"/>
  <c r="C409" i="57" s="1"/>
  <c r="G797" i="58"/>
  <c r="AC812" i="57"/>
  <c r="C798" i="58"/>
  <c r="B798" i="58" s="1"/>
  <c r="AI1004" i="58"/>
  <c r="O1004" i="58"/>
  <c r="K977" i="57"/>
  <c r="K981" i="58" s="1"/>
  <c r="J981" i="58"/>
  <c r="P1006" i="58"/>
  <c r="O1006" i="58"/>
  <c r="AU977" i="57"/>
  <c r="D981" i="58"/>
  <c r="AU981" i="58" s="1"/>
  <c r="AZ977" i="57"/>
  <c r="I981" i="58"/>
  <c r="P998" i="58"/>
  <c r="AI998" i="58"/>
  <c r="AC998" i="58"/>
  <c r="P994" i="57"/>
  <c r="O994" i="57"/>
  <c r="AI994" i="57"/>
  <c r="AC994" i="57"/>
  <c r="AW977" i="57"/>
  <c r="AP977" i="57"/>
  <c r="V977" i="57"/>
  <c r="W977" i="57"/>
  <c r="AD977" i="57"/>
  <c r="X977" i="57"/>
  <c r="U977" i="57"/>
  <c r="AK977" i="57"/>
  <c r="Z977" i="57"/>
  <c r="AC1005" i="58"/>
  <c r="P1004" i="58"/>
  <c r="J785" i="58"/>
  <c r="Q785" i="58"/>
  <c r="AI1005" i="58"/>
  <c r="P1005" i="58"/>
  <c r="AC1004" i="58"/>
  <c r="J784" i="58"/>
  <c r="Q784" i="58"/>
  <c r="W1003" i="58"/>
  <c r="AK1003" i="58"/>
  <c r="X1003" i="58"/>
  <c r="Z1003" i="58"/>
  <c r="AP1003" i="58"/>
  <c r="U1003" i="58"/>
  <c r="I783" i="58"/>
  <c r="Q783" i="58" s="1"/>
  <c r="V1003" i="58"/>
  <c r="AI1006" i="58"/>
  <c r="D783" i="58"/>
  <c r="AC1006" i="58"/>
  <c r="J786" i="58"/>
  <c r="Q786" i="58"/>
  <c r="R786" i="58"/>
  <c r="AR881" i="58"/>
  <c r="G882" i="58"/>
  <c r="E914" i="58"/>
  <c r="E911" i="57"/>
  <c r="G246" i="54"/>
  <c r="N508" i="4"/>
  <c r="M508" i="4"/>
  <c r="L508" i="4"/>
  <c r="K508" i="4"/>
  <c r="N506" i="4"/>
  <c r="N509" i="4" s="1"/>
  <c r="M506" i="4"/>
  <c r="M509" i="4" s="1"/>
  <c r="L506" i="4"/>
  <c r="L509" i="4" s="1"/>
  <c r="K506" i="4"/>
  <c r="K509" i="4" s="1"/>
  <c r="B517" i="4"/>
  <c r="B516" i="4"/>
  <c r="B515" i="4"/>
  <c r="B514" i="4"/>
  <c r="B513" i="4"/>
  <c r="B512" i="4"/>
  <c r="B511" i="4"/>
  <c r="B510" i="4"/>
  <c r="B509" i="4"/>
  <c r="B508" i="4"/>
  <c r="B507" i="4"/>
  <c r="B506" i="4"/>
  <c r="C517" i="4"/>
  <c r="C516" i="4"/>
  <c r="C515" i="4"/>
  <c r="C514" i="4"/>
  <c r="C513" i="4"/>
  <c r="C512" i="4"/>
  <c r="C511" i="4"/>
  <c r="C510" i="4"/>
  <c r="C509" i="4"/>
  <c r="C508" i="4"/>
  <c r="C507" i="4"/>
  <c r="D517" i="4"/>
  <c r="D516" i="4"/>
  <c r="D515" i="4"/>
  <c r="D514" i="4"/>
  <c r="D513" i="4"/>
  <c r="D512" i="4"/>
  <c r="D511" i="4"/>
  <c r="D510" i="4"/>
  <c r="D509" i="4"/>
  <c r="D508" i="4"/>
  <c r="D507" i="4"/>
  <c r="D506" i="4"/>
  <c r="E517" i="4"/>
  <c r="E516" i="4"/>
  <c r="E515" i="4"/>
  <c r="E514" i="4"/>
  <c r="E513" i="4"/>
  <c r="E512" i="4"/>
  <c r="E511" i="4"/>
  <c r="E510" i="4"/>
  <c r="D523" i="4" s="1"/>
  <c r="E509" i="4"/>
  <c r="E508" i="4"/>
  <c r="E507" i="4"/>
  <c r="G490" i="4"/>
  <c r="H490" i="4"/>
  <c r="G491" i="4"/>
  <c r="H491" i="4"/>
  <c r="G492" i="4"/>
  <c r="H492" i="4"/>
  <c r="G493" i="4"/>
  <c r="H493" i="4"/>
  <c r="G494" i="4"/>
  <c r="H494" i="4"/>
  <c r="G495" i="4"/>
  <c r="H495" i="4"/>
  <c r="G496" i="4"/>
  <c r="H496" i="4"/>
  <c r="G497" i="4"/>
  <c r="H497" i="4"/>
  <c r="G498" i="4"/>
  <c r="H498" i="4"/>
  <c r="G499" i="4"/>
  <c r="H499" i="4"/>
  <c r="G500" i="4"/>
  <c r="H500" i="4"/>
  <c r="E497" i="4"/>
  <c r="E494" i="4"/>
  <c r="E495" i="4"/>
  <c r="E496" i="4"/>
  <c r="E493" i="4"/>
  <c r="E490" i="4"/>
  <c r="E491" i="4"/>
  <c r="E492" i="4"/>
  <c r="E498" i="4"/>
  <c r="E499" i="4"/>
  <c r="E500" i="4"/>
  <c r="D490" i="4"/>
  <c r="D491" i="4"/>
  <c r="D492" i="4"/>
  <c r="D493" i="4"/>
  <c r="D494" i="4"/>
  <c r="D495" i="4"/>
  <c r="D496" i="4"/>
  <c r="D497" i="4"/>
  <c r="D498" i="4"/>
  <c r="D499" i="4"/>
  <c r="D500" i="4"/>
  <c r="D489" i="4"/>
  <c r="C490" i="4"/>
  <c r="C491" i="4"/>
  <c r="C492" i="4"/>
  <c r="C493" i="4"/>
  <c r="C494" i="4"/>
  <c r="C495" i="4"/>
  <c r="C496" i="4"/>
  <c r="C497" i="4"/>
  <c r="C498" i="4"/>
  <c r="C499" i="4"/>
  <c r="C500" i="4"/>
  <c r="B490" i="4"/>
  <c r="B491" i="4"/>
  <c r="B492" i="4"/>
  <c r="B493" i="4"/>
  <c r="B494" i="4"/>
  <c r="B495" i="4"/>
  <c r="B496" i="4"/>
  <c r="B497" i="4"/>
  <c r="B498" i="4"/>
  <c r="B499" i="4"/>
  <c r="B500" i="4"/>
  <c r="M490" i="4"/>
  <c r="L490" i="4"/>
  <c r="K490" i="4"/>
  <c r="M472" i="4"/>
  <c r="M489" i="4"/>
  <c r="L489" i="4"/>
  <c r="K489" i="4"/>
  <c r="F473" i="4"/>
  <c r="G473" i="4"/>
  <c r="F474" i="4"/>
  <c r="G474" i="4"/>
  <c r="F475" i="4"/>
  <c r="G475" i="4"/>
  <c r="F476" i="4"/>
  <c r="G476" i="4"/>
  <c r="F477" i="4"/>
  <c r="G477" i="4"/>
  <c r="F478" i="4"/>
  <c r="G478" i="4"/>
  <c r="F479" i="4"/>
  <c r="G479" i="4"/>
  <c r="F480" i="4"/>
  <c r="G480" i="4"/>
  <c r="F481" i="4"/>
  <c r="G481" i="4"/>
  <c r="F482" i="4"/>
  <c r="G482" i="4"/>
  <c r="F483" i="4"/>
  <c r="G483" i="4"/>
  <c r="F472" i="4"/>
  <c r="D481" i="4"/>
  <c r="D482" i="4"/>
  <c r="D483" i="4"/>
  <c r="D480" i="4"/>
  <c r="D477" i="4"/>
  <c r="D478" i="4"/>
  <c r="D479" i="4"/>
  <c r="D476" i="4"/>
  <c r="D473" i="4"/>
  <c r="D474" i="4"/>
  <c r="D475" i="4"/>
  <c r="C473" i="4"/>
  <c r="C474" i="4"/>
  <c r="C475" i="4"/>
  <c r="C476" i="4"/>
  <c r="C477" i="4"/>
  <c r="C478" i="4"/>
  <c r="C479" i="4"/>
  <c r="C480" i="4"/>
  <c r="C481" i="4"/>
  <c r="C482" i="4"/>
  <c r="C483" i="4"/>
  <c r="B473" i="4"/>
  <c r="B474" i="4"/>
  <c r="B475" i="4"/>
  <c r="B476" i="4"/>
  <c r="B477" i="4"/>
  <c r="B478" i="4"/>
  <c r="B479" i="4"/>
  <c r="B480" i="4"/>
  <c r="B481" i="4"/>
  <c r="B482" i="4"/>
  <c r="B483" i="4"/>
  <c r="B472" i="4"/>
  <c r="E464" i="4"/>
  <c r="E465" i="4"/>
  <c r="E466" i="4"/>
  <c r="E463" i="4"/>
  <c r="D466" i="4"/>
  <c r="C466" i="4"/>
  <c r="B466" i="4"/>
  <c r="D465" i="4"/>
  <c r="C465" i="4"/>
  <c r="B465" i="4"/>
  <c r="D464" i="4"/>
  <c r="C464" i="4"/>
  <c r="B464" i="4"/>
  <c r="D463" i="4"/>
  <c r="C463" i="4"/>
  <c r="B463" i="4"/>
  <c r="E460" i="4"/>
  <c r="E461" i="4"/>
  <c r="E462" i="4"/>
  <c r="E459" i="4"/>
  <c r="E456" i="4"/>
  <c r="E457" i="4"/>
  <c r="E458" i="4"/>
  <c r="E455" i="4"/>
  <c r="E452" i="4"/>
  <c r="E453" i="4"/>
  <c r="E454" i="4"/>
  <c r="E451" i="4"/>
  <c r="E448" i="4"/>
  <c r="E449" i="4"/>
  <c r="E450" i="4"/>
  <c r="E447" i="4"/>
  <c r="E444" i="4"/>
  <c r="E445" i="4"/>
  <c r="E446" i="4"/>
  <c r="E443" i="4"/>
  <c r="E440" i="4"/>
  <c r="E441" i="4"/>
  <c r="E442" i="4"/>
  <c r="E439" i="4"/>
  <c r="E436" i="4"/>
  <c r="E437" i="4"/>
  <c r="E438"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D427" i="4"/>
  <c r="D428" i="4"/>
  <c r="D429" i="4"/>
  <c r="D426" i="4"/>
  <c r="D423" i="4"/>
  <c r="D424" i="4"/>
  <c r="D425" i="4"/>
  <c r="D422" i="4"/>
  <c r="D419" i="4"/>
  <c r="D420" i="4"/>
  <c r="D421" i="4"/>
  <c r="J420" i="4"/>
  <c r="J421" i="4" s="1"/>
  <c r="J425" i="4" s="1"/>
  <c r="J429" i="4" s="1"/>
  <c r="I420" i="4"/>
  <c r="I421" i="4" s="1"/>
  <c r="I425" i="4" s="1"/>
  <c r="I429" i="4" s="1"/>
  <c r="H420" i="4"/>
  <c r="H424" i="4" s="1"/>
  <c r="H428" i="4" s="1"/>
  <c r="G420" i="4"/>
  <c r="G421" i="4" s="1"/>
  <c r="G425" i="4" s="1"/>
  <c r="G429" i="4" s="1"/>
  <c r="J418" i="4"/>
  <c r="J419" i="4" s="1"/>
  <c r="J423" i="4" s="1"/>
  <c r="J427" i="4" s="1"/>
  <c r="I418" i="4"/>
  <c r="I422" i="4" s="1"/>
  <c r="I426" i="4" s="1"/>
  <c r="H418" i="4"/>
  <c r="H422" i="4" s="1"/>
  <c r="H426" i="4" s="1"/>
  <c r="G418" i="4"/>
  <c r="G422" i="4" s="1"/>
  <c r="G426" i="4" s="1"/>
  <c r="C419" i="4"/>
  <c r="C420" i="4"/>
  <c r="C421" i="4"/>
  <c r="C422" i="4"/>
  <c r="C423" i="4"/>
  <c r="C424" i="4"/>
  <c r="C425" i="4"/>
  <c r="C426" i="4"/>
  <c r="C427" i="4"/>
  <c r="C428" i="4"/>
  <c r="C429" i="4"/>
  <c r="C418" i="4"/>
  <c r="B419" i="4"/>
  <c r="B420" i="4"/>
  <c r="B421" i="4"/>
  <c r="B422" i="4"/>
  <c r="B423" i="4"/>
  <c r="B424" i="4"/>
  <c r="B425" i="4"/>
  <c r="B426" i="4"/>
  <c r="B427" i="4"/>
  <c r="B428" i="4"/>
  <c r="B429" i="4"/>
  <c r="B418" i="4"/>
  <c r="D409" i="4"/>
  <c r="D410" i="4"/>
  <c r="D411" i="4"/>
  <c r="D412" i="4"/>
  <c r="F409" i="4"/>
  <c r="F410" i="4"/>
  <c r="F411" i="4"/>
  <c r="F412" i="4"/>
  <c r="C411" i="4"/>
  <c r="C412" i="4"/>
  <c r="C409" i="4"/>
  <c r="C408" i="4"/>
  <c r="C410" i="4"/>
  <c r="B411" i="4"/>
  <c r="B412" i="4"/>
  <c r="B409" i="4"/>
  <c r="B408" i="4"/>
  <c r="B410" i="4"/>
  <c r="D403" i="4"/>
  <c r="D402" i="4"/>
  <c r="C402" i="4"/>
  <c r="C403" i="4"/>
  <c r="C386" i="4"/>
  <c r="C387" i="4"/>
  <c r="C388" i="4"/>
  <c r="C389" i="4"/>
  <c r="C390" i="4"/>
  <c r="C391" i="4"/>
  <c r="C392" i="4"/>
  <c r="C393" i="4"/>
  <c r="D374" i="4"/>
  <c r="D375" i="4"/>
  <c r="D376" i="4"/>
  <c r="D373" i="4"/>
  <c r="D365" i="4"/>
  <c r="D366" i="4"/>
  <c r="D367" i="4"/>
  <c r="D368" i="4"/>
  <c r="D364" i="4"/>
  <c r="B359" i="4"/>
  <c r="B348" i="4"/>
  <c r="B402" i="4"/>
  <c r="B403" i="4"/>
  <c r="B401" i="4"/>
  <c r="B386" i="4"/>
  <c r="B387" i="4"/>
  <c r="B388" i="4"/>
  <c r="B389" i="4"/>
  <c r="B390" i="4"/>
  <c r="B391" i="4"/>
  <c r="B392" i="4"/>
  <c r="B393" i="4"/>
  <c r="B374" i="4"/>
  <c r="P374" i="4" s="1"/>
  <c r="B375" i="4"/>
  <c r="P375" i="4" s="1"/>
  <c r="B376" i="4"/>
  <c r="P376" i="4" s="1"/>
  <c r="B365" i="4"/>
  <c r="H365" i="4" s="1"/>
  <c r="B366" i="4"/>
  <c r="H366" i="4" s="1"/>
  <c r="B367" i="4"/>
  <c r="H367" i="4" s="1"/>
  <c r="B368" i="4"/>
  <c r="H368" i="4" s="1"/>
  <c r="C348" i="4"/>
  <c r="E530" i="4"/>
  <c r="E529" i="4"/>
  <c r="AC798" i="58" l="1"/>
  <c r="G798" i="58"/>
  <c r="AK981" i="58"/>
  <c r="Z981" i="58"/>
  <c r="W981" i="58"/>
  <c r="U981" i="58"/>
  <c r="AP981" i="58"/>
  <c r="X981" i="58"/>
  <c r="V981" i="58"/>
  <c r="AD981" i="58"/>
  <c r="P1003" i="58"/>
  <c r="O1003" i="58"/>
  <c r="AC977" i="57"/>
  <c r="O977" i="57"/>
  <c r="P977" i="57"/>
  <c r="AI977" i="57"/>
  <c r="AI1003" i="58"/>
  <c r="AC1003" i="58"/>
  <c r="R783" i="58"/>
  <c r="J783" i="58"/>
  <c r="AR882" i="58"/>
  <c r="G883" i="58"/>
  <c r="N489" i="4"/>
  <c r="M473" i="4"/>
  <c r="M480" i="4"/>
  <c r="M476" i="4"/>
  <c r="M475" i="4"/>
  <c r="D348" i="4"/>
  <c r="S376" i="4"/>
  <c r="E376" i="4"/>
  <c r="H375" i="4"/>
  <c r="S375" i="4"/>
  <c r="E375" i="4"/>
  <c r="H374" i="4"/>
  <c r="E374" i="4"/>
  <c r="S374" i="4"/>
  <c r="D524" i="4"/>
  <c r="C537" i="4"/>
  <c r="Q376" i="4"/>
  <c r="H376" i="4"/>
  <c r="E915" i="58"/>
  <c r="E912" i="57"/>
  <c r="K492" i="4"/>
  <c r="G424" i="4"/>
  <c r="G428" i="4" s="1"/>
  <c r="I424" i="4"/>
  <c r="I428" i="4" s="1"/>
  <c r="J435" i="4"/>
  <c r="J437" i="4"/>
  <c r="K507" i="4"/>
  <c r="I435" i="4"/>
  <c r="I437" i="4"/>
  <c r="N507" i="4"/>
  <c r="H435" i="4"/>
  <c r="H437" i="4"/>
  <c r="M507" i="4"/>
  <c r="K435" i="4"/>
  <c r="K437" i="4"/>
  <c r="L507" i="4"/>
  <c r="H421" i="4"/>
  <c r="H425" i="4" s="1"/>
  <c r="H429" i="4" s="1"/>
  <c r="G419" i="4"/>
  <c r="G423" i="4" s="1"/>
  <c r="G427" i="4" s="1"/>
  <c r="J424" i="4"/>
  <c r="J428" i="4" s="1"/>
  <c r="J422" i="4"/>
  <c r="J426" i="4" s="1"/>
  <c r="I419" i="4"/>
  <c r="I423" i="4" s="1"/>
  <c r="I427" i="4" s="1"/>
  <c r="H419" i="4"/>
  <c r="H423" i="4" s="1"/>
  <c r="H427" i="4" s="1"/>
  <c r="C359" i="4"/>
  <c r="AC981" i="58" l="1"/>
  <c r="O981" i="58"/>
  <c r="P981" i="58"/>
  <c r="AI981" i="58"/>
  <c r="G884" i="58"/>
  <c r="AR883" i="58"/>
  <c r="M481" i="4"/>
  <c r="M477" i="4"/>
  <c r="N490" i="4"/>
  <c r="M483" i="4"/>
  <c r="M479" i="4"/>
  <c r="E916" i="58"/>
  <c r="E913" i="57"/>
  <c r="K494" i="4"/>
  <c r="M492" i="4"/>
  <c r="K438" i="4"/>
  <c r="K442" i="4" s="1"/>
  <c r="K446" i="4" s="1"/>
  <c r="K450" i="4" s="1"/>
  <c r="K454" i="4" s="1"/>
  <c r="K458" i="4" s="1"/>
  <c r="K462" i="4" s="1"/>
  <c r="K466" i="4" s="1"/>
  <c r="K441" i="4"/>
  <c r="K445" i="4" s="1"/>
  <c r="K449" i="4" s="1"/>
  <c r="K453" i="4" s="1"/>
  <c r="K457" i="4" s="1"/>
  <c r="K461" i="4" s="1"/>
  <c r="K465" i="4" s="1"/>
  <c r="M491" i="4"/>
  <c r="N491" i="4"/>
  <c r="N492" i="4"/>
  <c r="K439" i="4"/>
  <c r="K443" i="4" s="1"/>
  <c r="K447" i="4" s="1"/>
  <c r="K451" i="4" s="1"/>
  <c r="K455" i="4" s="1"/>
  <c r="K459" i="4" s="1"/>
  <c r="K463" i="4" s="1"/>
  <c r="K436" i="4"/>
  <c r="K440" i="4" s="1"/>
  <c r="K444" i="4" s="1"/>
  <c r="K448" i="4" s="1"/>
  <c r="K452" i="4" s="1"/>
  <c r="K456" i="4" s="1"/>
  <c r="K460" i="4" s="1"/>
  <c r="K464" i="4" s="1"/>
  <c r="H441" i="4"/>
  <c r="H445" i="4" s="1"/>
  <c r="H449" i="4" s="1"/>
  <c r="H453" i="4" s="1"/>
  <c r="H457" i="4" s="1"/>
  <c r="H461" i="4" s="1"/>
  <c r="H465" i="4" s="1"/>
  <c r="H438" i="4"/>
  <c r="H442" i="4" s="1"/>
  <c r="H446" i="4" s="1"/>
  <c r="H450" i="4" s="1"/>
  <c r="H454" i="4" s="1"/>
  <c r="H458" i="4" s="1"/>
  <c r="H462" i="4" s="1"/>
  <c r="H466" i="4" s="1"/>
  <c r="I441" i="4"/>
  <c r="I445" i="4" s="1"/>
  <c r="I449" i="4" s="1"/>
  <c r="I453" i="4" s="1"/>
  <c r="I457" i="4" s="1"/>
  <c r="I461" i="4" s="1"/>
  <c r="I465" i="4" s="1"/>
  <c r="I438" i="4"/>
  <c r="I442" i="4" s="1"/>
  <c r="I446" i="4" s="1"/>
  <c r="I450" i="4" s="1"/>
  <c r="I454" i="4" s="1"/>
  <c r="I458" i="4" s="1"/>
  <c r="I462" i="4" s="1"/>
  <c r="I466" i="4" s="1"/>
  <c r="H439" i="4"/>
  <c r="H443" i="4" s="1"/>
  <c r="H447" i="4" s="1"/>
  <c r="H451" i="4" s="1"/>
  <c r="H455" i="4" s="1"/>
  <c r="H459" i="4" s="1"/>
  <c r="H463" i="4" s="1"/>
  <c r="H436" i="4"/>
  <c r="H440" i="4" s="1"/>
  <c r="H444" i="4" s="1"/>
  <c r="H448" i="4" s="1"/>
  <c r="H452" i="4" s="1"/>
  <c r="H456" i="4" s="1"/>
  <c r="H460" i="4" s="1"/>
  <c r="H464" i="4" s="1"/>
  <c r="I439" i="4"/>
  <c r="I443" i="4" s="1"/>
  <c r="I447" i="4" s="1"/>
  <c r="I451" i="4" s="1"/>
  <c r="I455" i="4" s="1"/>
  <c r="I459" i="4" s="1"/>
  <c r="I463" i="4" s="1"/>
  <c r="I436" i="4"/>
  <c r="I440" i="4" s="1"/>
  <c r="I444" i="4" s="1"/>
  <c r="I448" i="4" s="1"/>
  <c r="I452" i="4" s="1"/>
  <c r="I456" i="4" s="1"/>
  <c r="I460" i="4" s="1"/>
  <c r="I464" i="4" s="1"/>
  <c r="J441" i="4"/>
  <c r="J445" i="4" s="1"/>
  <c r="J449" i="4" s="1"/>
  <c r="J453" i="4" s="1"/>
  <c r="J457" i="4" s="1"/>
  <c r="J461" i="4" s="1"/>
  <c r="J465" i="4" s="1"/>
  <c r="J438" i="4"/>
  <c r="J442" i="4" s="1"/>
  <c r="J446" i="4" s="1"/>
  <c r="J450" i="4" s="1"/>
  <c r="J454" i="4" s="1"/>
  <c r="J458" i="4" s="1"/>
  <c r="J462" i="4" s="1"/>
  <c r="J466" i="4" s="1"/>
  <c r="L491" i="4"/>
  <c r="L492" i="4"/>
  <c r="J439" i="4"/>
  <c r="J443" i="4" s="1"/>
  <c r="J447" i="4" s="1"/>
  <c r="J451" i="4" s="1"/>
  <c r="J455" i="4" s="1"/>
  <c r="J459" i="4" s="1"/>
  <c r="J463" i="4" s="1"/>
  <c r="J436" i="4"/>
  <c r="J440" i="4" s="1"/>
  <c r="J444" i="4" s="1"/>
  <c r="J448" i="4" s="1"/>
  <c r="J452" i="4" s="1"/>
  <c r="J456" i="4" s="1"/>
  <c r="J460" i="4" s="1"/>
  <c r="J464" i="4" s="1"/>
  <c r="AR884" i="58" l="1"/>
  <c r="G885" i="58"/>
  <c r="K496" i="4"/>
  <c r="E917" i="58"/>
  <c r="E914" i="57"/>
  <c r="M494" i="4"/>
  <c r="L493" i="4"/>
  <c r="K493" i="4"/>
  <c r="N494" i="4"/>
  <c r="M493" i="4"/>
  <c r="L494" i="4"/>
  <c r="N493" i="4"/>
  <c r="G886" i="58" l="1"/>
  <c r="AR885" i="58"/>
  <c r="K498" i="4"/>
  <c r="E918" i="58"/>
  <c r="E915" i="57"/>
  <c r="M496" i="4"/>
  <c r="L496" i="4"/>
  <c r="N495" i="4"/>
  <c r="M495" i="4"/>
  <c r="K495" i="4"/>
  <c r="N496" i="4"/>
  <c r="L495" i="4"/>
  <c r="G887" i="58" l="1"/>
  <c r="AR886" i="58"/>
  <c r="K500" i="4"/>
  <c r="E919" i="58"/>
  <c r="M498" i="4"/>
  <c r="M500" i="4"/>
  <c r="N498" i="4"/>
  <c r="N500" i="4"/>
  <c r="M497" i="4"/>
  <c r="M499" i="4"/>
  <c r="L498" i="4"/>
  <c r="L500" i="4"/>
  <c r="L497" i="4"/>
  <c r="L499" i="4"/>
  <c r="K497" i="4"/>
  <c r="K499" i="4"/>
  <c r="N497" i="4"/>
  <c r="N499" i="4"/>
  <c r="AR887" i="58" l="1"/>
  <c r="G888" i="58"/>
  <c r="AO866" i="54"/>
  <c r="G889" i="58" l="1"/>
  <c r="AR888" i="58"/>
  <c r="BJ858" i="54"/>
  <c r="AR889" i="58" l="1"/>
  <c r="G906" i="58"/>
  <c r="W628" i="54"/>
  <c r="W629" i="54"/>
  <c r="W630" i="54"/>
  <c r="W631" i="54"/>
  <c r="W632" i="54"/>
  <c r="W634" i="54"/>
  <c r="W635" i="54"/>
  <c r="W636" i="54"/>
  <c r="W638" i="54"/>
  <c r="W639" i="54"/>
  <c r="W641" i="54"/>
  <c r="L766" i="54"/>
  <c r="L288" i="54" s="1"/>
  <c r="L298" i="54" s="1"/>
  <c r="L765" i="54"/>
  <c r="L287" i="54" s="1"/>
  <c r="L293" i="54" s="1"/>
  <c r="K766" i="54"/>
  <c r="K288" i="54" s="1"/>
  <c r="K298" i="54" s="1"/>
  <c r="K765" i="54"/>
  <c r="K287" i="54" s="1"/>
  <c r="K293" i="54" s="1"/>
  <c r="J766" i="54"/>
  <c r="J288" i="54" s="1"/>
  <c r="J298" i="54" s="1"/>
  <c r="J765" i="54"/>
  <c r="J287" i="54" s="1"/>
  <c r="J293" i="54" s="1"/>
  <c r="AR906" i="58" l="1"/>
  <c r="G907" i="58"/>
  <c r="I20" i="4"/>
  <c r="I20" i="58" s="1"/>
  <c r="AQ998" i="58" s="1"/>
  <c r="AR998" i="58" s="1"/>
  <c r="I21" i="4"/>
  <c r="I21" i="58" s="1"/>
  <c r="I22" i="4"/>
  <c r="I22" i="58" s="1"/>
  <c r="I23" i="4"/>
  <c r="I23" i="58" s="1"/>
  <c r="AQ981" i="58" s="1"/>
  <c r="AR981" i="58" s="1"/>
  <c r="I19" i="4"/>
  <c r="I19" i="58" s="1"/>
  <c r="D34" i="54"/>
  <c r="E34" i="54"/>
  <c r="F34" i="54"/>
  <c r="G34" i="54"/>
  <c r="H34" i="54"/>
  <c r="I34" i="54"/>
  <c r="J34" i="54"/>
  <c r="K34" i="54"/>
  <c r="D697" i="54"/>
  <c r="D693" i="54"/>
  <c r="AR907" i="58" l="1"/>
  <c r="G908" i="58"/>
  <c r="AQ1005" i="58"/>
  <c r="AR1005" i="58" s="1"/>
  <c r="AQ1006" i="58"/>
  <c r="AR1006" i="58" s="1"/>
  <c r="AQ1003" i="58"/>
  <c r="AQ1004" i="58"/>
  <c r="I22" i="54"/>
  <c r="I19" i="57"/>
  <c r="I26" i="54"/>
  <c r="I23" i="57"/>
  <c r="I25" i="54"/>
  <c r="I22" i="57"/>
  <c r="I24" i="54"/>
  <c r="I21" i="57"/>
  <c r="I23" i="54"/>
  <c r="I20" i="57"/>
  <c r="N665" i="54"/>
  <c r="N666" i="54" s="1"/>
  <c r="N667" i="54" s="1"/>
  <c r="N668" i="54" s="1"/>
  <c r="N669" i="54" s="1"/>
  <c r="N663" i="54"/>
  <c r="N661" i="54"/>
  <c r="N659" i="54"/>
  <c r="N657" i="54"/>
  <c r="A36" i="54"/>
  <c r="B36" i="54"/>
  <c r="B656" i="54"/>
  <c r="D36" i="54"/>
  <c r="E36" i="54"/>
  <c r="I36" i="54"/>
  <c r="J36" i="54"/>
  <c r="A37" i="54"/>
  <c r="B37" i="54"/>
  <c r="A38" i="54"/>
  <c r="B38" i="54"/>
  <c r="B664" i="54"/>
  <c r="B665" i="54" s="1"/>
  <c r="A39" i="54"/>
  <c r="B39" i="54"/>
  <c r="A49" i="54"/>
  <c r="B49" i="54"/>
  <c r="B671" i="54"/>
  <c r="A50" i="54"/>
  <c r="B50" i="54"/>
  <c r="B673" i="54"/>
  <c r="A51" i="54"/>
  <c r="B51" i="54"/>
  <c r="A52" i="54"/>
  <c r="B52" i="54"/>
  <c r="A53" i="54"/>
  <c r="B53" i="54"/>
  <c r="A54" i="54"/>
  <c r="B54" i="54"/>
  <c r="B697" i="54"/>
  <c r="B35" i="54"/>
  <c r="C35" i="54"/>
  <c r="D35" i="54"/>
  <c r="E35" i="54"/>
  <c r="F35" i="54"/>
  <c r="G35" i="54"/>
  <c r="H35" i="54"/>
  <c r="I35" i="54"/>
  <c r="A35" i="54"/>
  <c r="H49" i="4"/>
  <c r="H48" i="4"/>
  <c r="H47" i="4"/>
  <c r="H46" i="4"/>
  <c r="H38" i="4"/>
  <c r="H37" i="4"/>
  <c r="H35" i="4"/>
  <c r="H33" i="4"/>
  <c r="F46" i="4"/>
  <c r="G34" i="4"/>
  <c r="G35" i="4"/>
  <c r="G36" i="4"/>
  <c r="G37" i="4"/>
  <c r="G38" i="4"/>
  <c r="G33" i="4"/>
  <c r="F34" i="4"/>
  <c r="F35" i="4"/>
  <c r="F36" i="4"/>
  <c r="F37" i="4"/>
  <c r="F38" i="4"/>
  <c r="C48" i="4"/>
  <c r="C47" i="4"/>
  <c r="F33" i="4"/>
  <c r="B501" i="54"/>
  <c r="A34" i="54"/>
  <c r="B34" i="54"/>
  <c r="C34" i="54"/>
  <c r="C249" i="54" s="1"/>
  <c r="AX994" i="57" l="1"/>
  <c r="AQ994" i="57"/>
  <c r="AR994" i="57" s="1"/>
  <c r="AX977" i="57"/>
  <c r="AQ977" i="57"/>
  <c r="AR977" i="57" s="1"/>
  <c r="F39" i="54"/>
  <c r="F36" i="58"/>
  <c r="F36" i="57"/>
  <c r="G34" i="58"/>
  <c r="G34" i="57"/>
  <c r="G37" i="54"/>
  <c r="H48" i="58"/>
  <c r="H48" i="57"/>
  <c r="H51" i="54"/>
  <c r="B912" i="58"/>
  <c r="B913" i="58" s="1"/>
  <c r="C48" i="58"/>
  <c r="C48" i="57"/>
  <c r="C51" i="54"/>
  <c r="B692" i="54" s="1"/>
  <c r="F49" i="54"/>
  <c r="F46" i="58"/>
  <c r="F46" i="57"/>
  <c r="H49" i="58"/>
  <c r="H49" i="57"/>
  <c r="H52" i="54"/>
  <c r="F41" i="54"/>
  <c r="F38" i="58"/>
  <c r="F38" i="57"/>
  <c r="F37" i="54"/>
  <c r="F34" i="58"/>
  <c r="F34" i="57"/>
  <c r="G36" i="58"/>
  <c r="G36" i="57"/>
  <c r="G39" i="54"/>
  <c r="H33" i="58"/>
  <c r="I881" i="58" s="1"/>
  <c r="H33" i="57"/>
  <c r="H49" i="54"/>
  <c r="H46" i="58"/>
  <c r="H46" i="57"/>
  <c r="C47" i="58"/>
  <c r="C47" i="57"/>
  <c r="C50" i="54"/>
  <c r="B690" i="54" s="1"/>
  <c r="B691" i="54" s="1"/>
  <c r="G38" i="58"/>
  <c r="G38" i="57"/>
  <c r="G41" i="54"/>
  <c r="H37" i="58"/>
  <c r="H37" i="57"/>
  <c r="H40" i="54"/>
  <c r="F38" i="54"/>
  <c r="F35" i="58"/>
  <c r="I888" i="58" s="1"/>
  <c r="F35" i="57"/>
  <c r="G37" i="58"/>
  <c r="G37" i="57"/>
  <c r="G40" i="54"/>
  <c r="H41" i="54"/>
  <c r="H38" i="58"/>
  <c r="H38" i="57"/>
  <c r="F33" i="58"/>
  <c r="I880" i="58" s="1"/>
  <c r="F33" i="57"/>
  <c r="F37" i="58"/>
  <c r="F37" i="57"/>
  <c r="F40" i="54"/>
  <c r="G33" i="58"/>
  <c r="G33" i="57"/>
  <c r="G35" i="58"/>
  <c r="G35" i="57"/>
  <c r="G38" i="54"/>
  <c r="H35" i="58"/>
  <c r="I883" i="58" s="1"/>
  <c r="H35" i="57"/>
  <c r="H38" i="54"/>
  <c r="H47" i="58"/>
  <c r="H47" i="57"/>
  <c r="H50" i="54"/>
  <c r="G909" i="58"/>
  <c r="AR908" i="58"/>
  <c r="H36" i="54"/>
  <c r="F36" i="54"/>
  <c r="G36" i="54"/>
  <c r="B908" i="57"/>
  <c r="F49" i="4"/>
  <c r="H34" i="4"/>
  <c r="H36" i="4"/>
  <c r="F47" i="4"/>
  <c r="F48" i="4"/>
  <c r="B658" i="54"/>
  <c r="B659" i="54" s="1"/>
  <c r="B657" i="54"/>
  <c r="B660" i="54"/>
  <c r="B662" i="54" s="1"/>
  <c r="I887" i="58" l="1"/>
  <c r="W887" i="58" s="1"/>
  <c r="I885" i="58"/>
  <c r="I892" i="58"/>
  <c r="W892" i="58" s="1"/>
  <c r="I891" i="58"/>
  <c r="W891" i="58" s="1"/>
  <c r="I890" i="58"/>
  <c r="AA890" i="58" s="1"/>
  <c r="I889" i="58"/>
  <c r="V889" i="58" s="1"/>
  <c r="I915" i="58"/>
  <c r="AA915" i="58" s="1"/>
  <c r="I919" i="58"/>
  <c r="T919" i="58" s="1"/>
  <c r="I882" i="58"/>
  <c r="AL882" i="58" s="1"/>
  <c r="H36" i="58"/>
  <c r="H36" i="57"/>
  <c r="H39" i="54"/>
  <c r="F51" i="54"/>
  <c r="F48" i="58"/>
  <c r="I912" i="58" s="1"/>
  <c r="F48" i="57"/>
  <c r="F49" i="58"/>
  <c r="F49" i="57"/>
  <c r="F52" i="54"/>
  <c r="I917" i="58"/>
  <c r="AA917" i="58" s="1"/>
  <c r="I893" i="58"/>
  <c r="W893" i="58" s="1"/>
  <c r="B910" i="58"/>
  <c r="B911" i="58" s="1"/>
  <c r="I911" i="58" s="1"/>
  <c r="V911" i="58" s="1"/>
  <c r="I884" i="58"/>
  <c r="V884" i="58" s="1"/>
  <c r="H37" i="54"/>
  <c r="H34" i="58"/>
  <c r="H34" i="57"/>
  <c r="I886" i="58"/>
  <c r="AL886" i="58" s="1"/>
  <c r="F50" i="54"/>
  <c r="F47" i="58"/>
  <c r="F47" i="57"/>
  <c r="I913" i="58"/>
  <c r="AI913" i="58" s="1"/>
  <c r="I902" i="57"/>
  <c r="AW902" i="57" s="1"/>
  <c r="I903" i="57"/>
  <c r="AW903" i="57" s="1"/>
  <c r="AR909" i="58"/>
  <c r="G910" i="58"/>
  <c r="I905" i="57"/>
  <c r="T905" i="57" s="1"/>
  <c r="I909" i="58"/>
  <c r="U909" i="58" s="1"/>
  <c r="I907" i="58"/>
  <c r="W907" i="58" s="1"/>
  <c r="I906" i="58"/>
  <c r="W906" i="58" s="1"/>
  <c r="I908" i="58"/>
  <c r="I904" i="57"/>
  <c r="AI904" i="57" s="1"/>
  <c r="AL883" i="58"/>
  <c r="AA883" i="58"/>
  <c r="U883" i="58"/>
  <c r="W883" i="58"/>
  <c r="AI883" i="58"/>
  <c r="AK883" i="58"/>
  <c r="V883" i="58"/>
  <c r="T883" i="58"/>
  <c r="V888" i="58"/>
  <c r="T888" i="58"/>
  <c r="AA888" i="58"/>
  <c r="AL888" i="58"/>
  <c r="W888" i="58"/>
  <c r="U888" i="58"/>
  <c r="AI888" i="58"/>
  <c r="AK888" i="58"/>
  <c r="AL887" i="58"/>
  <c r="U885" i="58"/>
  <c r="W885" i="58"/>
  <c r="AK885" i="58"/>
  <c r="V885" i="58"/>
  <c r="T885" i="58"/>
  <c r="AI885" i="58"/>
  <c r="AL885" i="58"/>
  <c r="AA885" i="58"/>
  <c r="V880" i="58"/>
  <c r="T880" i="58"/>
  <c r="AL880" i="58"/>
  <c r="AA880" i="58"/>
  <c r="U880" i="58"/>
  <c r="W880" i="58"/>
  <c r="AI880" i="58"/>
  <c r="AK880" i="58"/>
  <c r="AI881" i="58"/>
  <c r="AK881" i="58"/>
  <c r="V881" i="58"/>
  <c r="T881" i="58"/>
  <c r="AA881" i="58"/>
  <c r="AL881" i="58"/>
  <c r="W881" i="58"/>
  <c r="U881" i="58"/>
  <c r="I918" i="58"/>
  <c r="I914" i="58"/>
  <c r="I916" i="58"/>
  <c r="B906" i="57"/>
  <c r="I889" i="57"/>
  <c r="I886" i="57"/>
  <c r="I887" i="57"/>
  <c r="I888" i="57"/>
  <c r="I915" i="57"/>
  <c r="I911" i="57"/>
  <c r="I913" i="57"/>
  <c r="I879" i="57"/>
  <c r="I885" i="57"/>
  <c r="B909" i="57"/>
  <c r="I909" i="57" s="1"/>
  <c r="I877" i="57"/>
  <c r="I881" i="57"/>
  <c r="I883" i="57"/>
  <c r="I880" i="57"/>
  <c r="I876" i="57"/>
  <c r="I882" i="57"/>
  <c r="I878" i="57"/>
  <c r="I884" i="57"/>
  <c r="I912" i="57"/>
  <c r="B693" i="54"/>
  <c r="B694" i="54"/>
  <c r="B695" i="54"/>
  <c r="B661" i="54"/>
  <c r="B663" i="54"/>
  <c r="AA892" i="58" l="1"/>
  <c r="AD892" i="58" s="1"/>
  <c r="T892" i="58"/>
  <c r="AL892" i="58"/>
  <c r="AI892" i="58"/>
  <c r="AE892" i="58" s="1"/>
  <c r="AK887" i="58"/>
  <c r="U887" i="58"/>
  <c r="AA887" i="58"/>
  <c r="AD887" i="58" s="1"/>
  <c r="V887" i="58"/>
  <c r="AI887" i="58"/>
  <c r="AE887" i="58" s="1"/>
  <c r="T887" i="58"/>
  <c r="V890" i="58"/>
  <c r="AI890" i="58"/>
  <c r="AE890" i="58" s="1"/>
  <c r="W902" i="57"/>
  <c r="T890" i="58"/>
  <c r="W890" i="58"/>
  <c r="AI915" i="58"/>
  <c r="AE915" i="58" s="1"/>
  <c r="W919" i="58"/>
  <c r="AI919" i="58"/>
  <c r="V919" i="58"/>
  <c r="V891" i="58"/>
  <c r="AL891" i="58"/>
  <c r="AI891" i="58"/>
  <c r="AE891" i="58" s="1"/>
  <c r="U919" i="58"/>
  <c r="AL890" i="58"/>
  <c r="AA919" i="58"/>
  <c r="AD919" i="58" s="1"/>
  <c r="T891" i="58"/>
  <c r="U892" i="58"/>
  <c r="U890" i="58"/>
  <c r="AA911" i="58"/>
  <c r="V893" i="58"/>
  <c r="AL893" i="58"/>
  <c r="U891" i="58"/>
  <c r="V892" i="58"/>
  <c r="AA891" i="58"/>
  <c r="AD891" i="58" s="1"/>
  <c r="AK889" i="58"/>
  <c r="AL889" i="58"/>
  <c r="AI889" i="58"/>
  <c r="AE889" i="58" s="1"/>
  <c r="AA889" i="58"/>
  <c r="U889" i="58"/>
  <c r="T889" i="58"/>
  <c r="W889" i="58"/>
  <c r="AK902" i="57"/>
  <c r="AI902" i="57"/>
  <c r="AL902" i="57"/>
  <c r="T902" i="57"/>
  <c r="U902" i="57"/>
  <c r="U917" i="58"/>
  <c r="V915" i="58"/>
  <c r="AK917" i="58"/>
  <c r="AI917" i="58"/>
  <c r="AE917" i="58" s="1"/>
  <c r="AK915" i="58"/>
  <c r="V917" i="58"/>
  <c r="T915" i="58"/>
  <c r="W917" i="58"/>
  <c r="W915" i="58"/>
  <c r="U915" i="58"/>
  <c r="V902" i="57"/>
  <c r="T917" i="58"/>
  <c r="AI882" i="58"/>
  <c r="AM882" i="58" s="1"/>
  <c r="AK919" i="58"/>
  <c r="AK913" i="58"/>
  <c r="AK886" i="58"/>
  <c r="W884" i="58"/>
  <c r="AA882" i="58"/>
  <c r="AD882" i="58" s="1"/>
  <c r="T913" i="58"/>
  <c r="T884" i="58"/>
  <c r="W886" i="58"/>
  <c r="V882" i="58"/>
  <c r="W882" i="58"/>
  <c r="U882" i="58"/>
  <c r="T882" i="58"/>
  <c r="AK882" i="58"/>
  <c r="AI884" i="58"/>
  <c r="AE884" i="58" s="1"/>
  <c r="AL884" i="58"/>
  <c r="T886" i="58"/>
  <c r="U886" i="58"/>
  <c r="I910" i="58"/>
  <c r="AK910" i="58" s="1"/>
  <c r="W913" i="58"/>
  <c r="V913" i="58"/>
  <c r="U913" i="58"/>
  <c r="AK884" i="58"/>
  <c r="AA884" i="58"/>
  <c r="AD884" i="58" s="1"/>
  <c r="AI886" i="58"/>
  <c r="AE886" i="58" s="1"/>
  <c r="AA886" i="58"/>
  <c r="AD886" i="58" s="1"/>
  <c r="AA913" i="58"/>
  <c r="U884" i="58"/>
  <c r="V886" i="58"/>
  <c r="AI893" i="58"/>
  <c r="AE893" i="58" s="1"/>
  <c r="T893" i="58"/>
  <c r="AA893" i="58"/>
  <c r="AD893" i="58" s="1"/>
  <c r="U893" i="58"/>
  <c r="AI911" i="58"/>
  <c r="AC911" i="58" s="1"/>
  <c r="W911" i="58"/>
  <c r="AK911" i="58"/>
  <c r="U911" i="58"/>
  <c r="T911" i="58"/>
  <c r="AA902" i="57"/>
  <c r="AX902" i="57"/>
  <c r="AK903" i="57"/>
  <c r="V903" i="57"/>
  <c r="W903" i="57"/>
  <c r="U903" i="57"/>
  <c r="AA903" i="57"/>
  <c r="AI903" i="57"/>
  <c r="T903" i="57"/>
  <c r="AA907" i="58"/>
  <c r="AR910" i="58"/>
  <c r="G911" i="58"/>
  <c r="AK904" i="57"/>
  <c r="W904" i="57"/>
  <c r="AK905" i="57"/>
  <c r="W905" i="57"/>
  <c r="AA905" i="57"/>
  <c r="U905" i="57"/>
  <c r="V904" i="57"/>
  <c r="T904" i="57"/>
  <c r="U904" i="57"/>
  <c r="AA904" i="57"/>
  <c r="V905" i="57"/>
  <c r="AI905" i="57"/>
  <c r="T909" i="58"/>
  <c r="AX884" i="57"/>
  <c r="AW884" i="57"/>
  <c r="AW881" i="57"/>
  <c r="AX881" i="57"/>
  <c r="AW879" i="57"/>
  <c r="AX879" i="57"/>
  <c r="AW911" i="57"/>
  <c r="AX886" i="57"/>
  <c r="AW886" i="57"/>
  <c r="AW912" i="57"/>
  <c r="AX878" i="57"/>
  <c r="AW878" i="57"/>
  <c r="AX882" i="57"/>
  <c r="AW882" i="57"/>
  <c r="AW877" i="57"/>
  <c r="AX877" i="57"/>
  <c r="AW915" i="57"/>
  <c r="AW889" i="57"/>
  <c r="AX889" i="57"/>
  <c r="AW876" i="57"/>
  <c r="AX876" i="57"/>
  <c r="AW909" i="57"/>
  <c r="AX888" i="57"/>
  <c r="AW888" i="57"/>
  <c r="AW904" i="57"/>
  <c r="AX880" i="57"/>
  <c r="AW880" i="57"/>
  <c r="AW883" i="57"/>
  <c r="AX883" i="57"/>
  <c r="AW885" i="57"/>
  <c r="AX885" i="57"/>
  <c r="AW913" i="57"/>
  <c r="AW887" i="57"/>
  <c r="AX887" i="57"/>
  <c r="AW905" i="57"/>
  <c r="T907" i="58"/>
  <c r="T906" i="58"/>
  <c r="AA909" i="58"/>
  <c r="AK907" i="58"/>
  <c r="AK906" i="58"/>
  <c r="U906" i="58"/>
  <c r="AA906" i="58"/>
  <c r="AI906" i="58"/>
  <c r="V909" i="58"/>
  <c r="AI909" i="58"/>
  <c r="V907" i="58"/>
  <c r="T908" i="58"/>
  <c r="V906" i="58"/>
  <c r="AL906" i="58"/>
  <c r="AA908" i="58"/>
  <c r="W908" i="58"/>
  <c r="U908" i="58"/>
  <c r="AI907" i="58"/>
  <c r="AI908" i="58"/>
  <c r="U907" i="58"/>
  <c r="V908" i="58"/>
  <c r="AK908" i="58"/>
  <c r="AK909" i="58"/>
  <c r="W909" i="58"/>
  <c r="Z881" i="58"/>
  <c r="AD881" i="58"/>
  <c r="AE881" i="58"/>
  <c r="AM881" i="58"/>
  <c r="AD890" i="58"/>
  <c r="AM883" i="58"/>
  <c r="AE883" i="58"/>
  <c r="Z880" i="58"/>
  <c r="AD880" i="58"/>
  <c r="AD885" i="58"/>
  <c r="Z885" i="58"/>
  <c r="AM880" i="58"/>
  <c r="AE880" i="58"/>
  <c r="AE888" i="58"/>
  <c r="AM888" i="58"/>
  <c r="AD888" i="58"/>
  <c r="Z888" i="58"/>
  <c r="AM885" i="58"/>
  <c r="AE885" i="58"/>
  <c r="AD883" i="58"/>
  <c r="Z883" i="58"/>
  <c r="AD917" i="58"/>
  <c r="AE919" i="58"/>
  <c r="AD915" i="58"/>
  <c r="W918" i="58"/>
  <c r="AK918" i="58"/>
  <c r="V918" i="58"/>
  <c r="T918" i="58"/>
  <c r="AI918" i="58"/>
  <c r="AA918" i="58"/>
  <c r="U918" i="58"/>
  <c r="AK912" i="58"/>
  <c r="W912" i="58"/>
  <c r="T912" i="58"/>
  <c r="AA912" i="58"/>
  <c r="AI912" i="58"/>
  <c r="V912" i="58"/>
  <c r="U912" i="58"/>
  <c r="AI916" i="58"/>
  <c r="AA916" i="58"/>
  <c r="T916" i="58"/>
  <c r="V916" i="58"/>
  <c r="AK916" i="58"/>
  <c r="U916" i="58"/>
  <c r="W916" i="58"/>
  <c r="AI914" i="58"/>
  <c r="AA914" i="58"/>
  <c r="AK914" i="58"/>
  <c r="V914" i="58"/>
  <c r="W914" i="58"/>
  <c r="U914" i="58"/>
  <c r="T914" i="58"/>
  <c r="AA912" i="57"/>
  <c r="AK912" i="57"/>
  <c r="W912" i="57"/>
  <c r="AI912" i="57"/>
  <c r="U912" i="57"/>
  <c r="T912" i="57"/>
  <c r="V912" i="57"/>
  <c r="W884" i="57"/>
  <c r="T884" i="57"/>
  <c r="AI884" i="57"/>
  <c r="U884" i="57"/>
  <c r="V884" i="57"/>
  <c r="AA884" i="57"/>
  <c r="AK884" i="57"/>
  <c r="AL884" i="57"/>
  <c r="U881" i="57"/>
  <c r="W881" i="57"/>
  <c r="AK881" i="57"/>
  <c r="AI881" i="57"/>
  <c r="T881" i="57"/>
  <c r="V881" i="57"/>
  <c r="AA881" i="57"/>
  <c r="AL881" i="57"/>
  <c r="W885" i="57"/>
  <c r="AI885" i="57"/>
  <c r="V885" i="57"/>
  <c r="AK885" i="57"/>
  <c r="AA885" i="57"/>
  <c r="T885" i="57"/>
  <c r="U885" i="57"/>
  <c r="AL885" i="57"/>
  <c r="T913" i="57"/>
  <c r="V913" i="57"/>
  <c r="AA913" i="57"/>
  <c r="AK913" i="57"/>
  <c r="W913" i="57"/>
  <c r="AI913" i="57"/>
  <c r="U913" i="57"/>
  <c r="I914" i="57"/>
  <c r="AI886" i="57"/>
  <c r="AL886" i="57"/>
  <c r="V886" i="57"/>
  <c r="T886" i="57"/>
  <c r="W886" i="57"/>
  <c r="AA886" i="57"/>
  <c r="U886" i="57"/>
  <c r="AK878" i="57"/>
  <c r="AI878" i="57"/>
  <c r="T878" i="57"/>
  <c r="V878" i="57"/>
  <c r="AA878" i="57"/>
  <c r="U878" i="57"/>
  <c r="W878" i="57"/>
  <c r="AL878" i="57"/>
  <c r="AK882" i="57"/>
  <c r="T882" i="57"/>
  <c r="U882" i="57"/>
  <c r="V882" i="57"/>
  <c r="AA882" i="57"/>
  <c r="AI882" i="57"/>
  <c r="W882" i="57"/>
  <c r="AL882" i="57"/>
  <c r="AA877" i="57"/>
  <c r="U877" i="57"/>
  <c r="W877" i="57"/>
  <c r="AK877" i="57"/>
  <c r="AI877" i="57"/>
  <c r="T877" i="57"/>
  <c r="V877" i="57"/>
  <c r="AL877" i="57"/>
  <c r="AK879" i="57"/>
  <c r="AI879" i="57"/>
  <c r="T879" i="57"/>
  <c r="V879" i="57"/>
  <c r="AA879" i="57"/>
  <c r="U879" i="57"/>
  <c r="W879" i="57"/>
  <c r="AL879" i="57"/>
  <c r="AI911" i="57"/>
  <c r="AA911" i="57"/>
  <c r="U911" i="57"/>
  <c r="T911" i="57"/>
  <c r="AK911" i="57"/>
  <c r="W911" i="57"/>
  <c r="V911" i="57"/>
  <c r="I910" i="57"/>
  <c r="AL889" i="57"/>
  <c r="AI889" i="57"/>
  <c r="T889" i="57"/>
  <c r="V889" i="57"/>
  <c r="U889" i="57"/>
  <c r="AA889" i="57"/>
  <c r="W889" i="57"/>
  <c r="W876" i="57"/>
  <c r="AK876" i="57"/>
  <c r="AI876" i="57"/>
  <c r="T876" i="57"/>
  <c r="AA876" i="57"/>
  <c r="U876" i="57"/>
  <c r="V876" i="57"/>
  <c r="AL876" i="57"/>
  <c r="I908" i="57"/>
  <c r="AA915" i="57"/>
  <c r="T915" i="57"/>
  <c r="V915" i="57"/>
  <c r="U915" i="57"/>
  <c r="W915" i="57"/>
  <c r="AK915" i="57"/>
  <c r="AI915" i="57"/>
  <c r="AI888" i="57"/>
  <c r="AL888" i="57"/>
  <c r="U888" i="57"/>
  <c r="AA888" i="57"/>
  <c r="AD888" i="57" s="1"/>
  <c r="V888" i="57"/>
  <c r="T888" i="57"/>
  <c r="W888" i="57"/>
  <c r="B907" i="57"/>
  <c r="I907" i="57" s="1"/>
  <c r="I906" i="57"/>
  <c r="AK880" i="57"/>
  <c r="AI880" i="57"/>
  <c r="T880" i="57"/>
  <c r="V880" i="57"/>
  <c r="AA880" i="57"/>
  <c r="U880" i="57"/>
  <c r="W880" i="57"/>
  <c r="AL880" i="57"/>
  <c r="AI883" i="57"/>
  <c r="U883" i="57"/>
  <c r="V883" i="57"/>
  <c r="AK883" i="57"/>
  <c r="T883" i="57"/>
  <c r="AA883" i="57"/>
  <c r="W883" i="57"/>
  <c r="AL883" i="57"/>
  <c r="V909" i="57"/>
  <c r="U909" i="57"/>
  <c r="AI909" i="57"/>
  <c r="T909" i="57"/>
  <c r="AA909" i="57"/>
  <c r="W909" i="57"/>
  <c r="AK909" i="57"/>
  <c r="AI887" i="57"/>
  <c r="AL887" i="57"/>
  <c r="V887" i="57"/>
  <c r="U887" i="57"/>
  <c r="AA887" i="57"/>
  <c r="T887" i="57"/>
  <c r="W887" i="57"/>
  <c r="AA627" i="54"/>
  <c r="AA628" i="54"/>
  <c r="AA629" i="54"/>
  <c r="AA630" i="54"/>
  <c r="AA631" i="54"/>
  <c r="AA632" i="54"/>
  <c r="AA633" i="54"/>
  <c r="AA634" i="54"/>
  <c r="AA635" i="54"/>
  <c r="AA636" i="54"/>
  <c r="AA637" i="54"/>
  <c r="AA638" i="54"/>
  <c r="AA639" i="54"/>
  <c r="AA641" i="54"/>
  <c r="AA626" i="54"/>
  <c r="U628" i="54"/>
  <c r="U629" i="54"/>
  <c r="U630" i="54"/>
  <c r="U631" i="54"/>
  <c r="U632" i="54"/>
  <c r="U634" i="54"/>
  <c r="U635" i="54"/>
  <c r="U636" i="54"/>
  <c r="U638" i="54"/>
  <c r="U639" i="54"/>
  <c r="U641" i="54"/>
  <c r="V628" i="54"/>
  <c r="V629" i="54"/>
  <c r="V630" i="54"/>
  <c r="V631" i="54"/>
  <c r="V632" i="54"/>
  <c r="V634" i="54"/>
  <c r="V635" i="54"/>
  <c r="V636" i="54"/>
  <c r="V638" i="54"/>
  <c r="V639" i="54"/>
  <c r="V641" i="54"/>
  <c r="Z892" i="58" l="1"/>
  <c r="AM892" i="58"/>
  <c r="AM887" i="58"/>
  <c r="AA910" i="58"/>
  <c r="AE882" i="58"/>
  <c r="AM890" i="58"/>
  <c r="Z887" i="58"/>
  <c r="Z890" i="58"/>
  <c r="U910" i="58"/>
  <c r="V910" i="58"/>
  <c r="W910" i="58"/>
  <c r="AI910" i="58"/>
  <c r="AB910" i="58" s="1"/>
  <c r="T910" i="58"/>
  <c r="Z919" i="58"/>
  <c r="AM891" i="58"/>
  <c r="AD911" i="58"/>
  <c r="Z891" i="58"/>
  <c r="AM889" i="58"/>
  <c r="Z889" i="58"/>
  <c r="AD889" i="58"/>
  <c r="Z902" i="57"/>
  <c r="AE902" i="57"/>
  <c r="Z915" i="58"/>
  <c r="AM884" i="58"/>
  <c r="Z917" i="58"/>
  <c r="Z913" i="58"/>
  <c r="Z884" i="58"/>
  <c r="AM886" i="58"/>
  <c r="AD913" i="58"/>
  <c r="Z882" i="58"/>
  <c r="AE913" i="58"/>
  <c r="AM893" i="58"/>
  <c r="Z886" i="58"/>
  <c r="Z893" i="58"/>
  <c r="AD902" i="57"/>
  <c r="AB911" i="58"/>
  <c r="AE911" i="58"/>
  <c r="Z911" i="58"/>
  <c r="AD904" i="57"/>
  <c r="AM902" i="57"/>
  <c r="AE906" i="58"/>
  <c r="AE904" i="57"/>
  <c r="AE908" i="58"/>
  <c r="AD908" i="58"/>
  <c r="AD906" i="58"/>
  <c r="AD887" i="57"/>
  <c r="AD889" i="57"/>
  <c r="AD886" i="57"/>
  <c r="Z903" i="57"/>
  <c r="AD903" i="57"/>
  <c r="AE903" i="57"/>
  <c r="AM881" i="57"/>
  <c r="AR911" i="58"/>
  <c r="G912" i="58"/>
  <c r="Z905" i="57"/>
  <c r="AD905" i="57"/>
  <c r="AE905" i="57"/>
  <c r="Z904" i="57"/>
  <c r="AD907" i="58"/>
  <c r="AW910" i="57"/>
  <c r="AW906" i="57"/>
  <c r="AE888" i="57"/>
  <c r="AW907" i="57"/>
  <c r="AW908" i="57"/>
  <c r="AW914" i="57"/>
  <c r="Z909" i="58"/>
  <c r="Z907" i="58"/>
  <c r="AE909" i="58"/>
  <c r="AD909" i="58"/>
  <c r="Z906" i="58"/>
  <c r="AE907" i="58"/>
  <c r="AM906" i="58"/>
  <c r="Z908" i="58"/>
  <c r="AD912" i="58"/>
  <c r="Z912" i="58"/>
  <c r="AE914" i="58"/>
  <c r="Z918" i="58"/>
  <c r="AD918" i="58"/>
  <c r="Z916" i="58"/>
  <c r="AD916" i="58"/>
  <c r="AE912" i="58"/>
  <c r="AE918" i="58"/>
  <c r="AD914" i="58"/>
  <c r="Z914" i="58"/>
  <c r="AE916" i="58"/>
  <c r="AM879" i="57"/>
  <c r="AE889" i="57"/>
  <c r="AE886" i="57"/>
  <c r="AE887" i="57"/>
  <c r="AM884" i="57"/>
  <c r="AM885" i="57"/>
  <c r="AM889" i="57"/>
  <c r="AM882" i="57"/>
  <c r="AM878" i="57"/>
  <c r="AM887" i="57"/>
  <c r="T906" i="57"/>
  <c r="U906" i="57"/>
  <c r="AA906" i="57"/>
  <c r="AK906" i="57"/>
  <c r="W906" i="57"/>
  <c r="AI906" i="57"/>
  <c r="V906" i="57"/>
  <c r="AD909" i="57"/>
  <c r="Z909" i="57"/>
  <c r="AE883" i="57"/>
  <c r="AD880" i="57"/>
  <c r="Z880" i="57"/>
  <c r="AK907" i="57"/>
  <c r="AA907" i="57"/>
  <c r="V907" i="57"/>
  <c r="AI907" i="57"/>
  <c r="W907" i="57"/>
  <c r="T907" i="57"/>
  <c r="U907" i="57"/>
  <c r="Z888" i="57"/>
  <c r="AE915" i="57"/>
  <c r="Z889" i="57"/>
  <c r="AD911" i="57"/>
  <c r="Z911" i="57"/>
  <c r="AE879" i="57"/>
  <c r="AE882" i="57"/>
  <c r="AE878" i="57"/>
  <c r="AM886" i="57"/>
  <c r="Z885" i="57"/>
  <c r="AD885" i="57"/>
  <c r="AE912" i="57"/>
  <c r="AK908" i="57"/>
  <c r="V908" i="57"/>
  <c r="T908" i="57"/>
  <c r="W908" i="57"/>
  <c r="U908" i="57"/>
  <c r="AI908" i="57"/>
  <c r="AA908" i="57"/>
  <c r="AD876" i="57"/>
  <c r="Z876" i="57"/>
  <c r="AM876" i="57"/>
  <c r="AE876" i="57"/>
  <c r="AM883" i="57"/>
  <c r="AM880" i="57"/>
  <c r="AE911" i="57"/>
  <c r="AD879" i="57"/>
  <c r="Z879" i="57"/>
  <c r="AE877" i="57"/>
  <c r="Z877" i="57"/>
  <c r="AD877" i="57"/>
  <c r="AD882" i="57"/>
  <c r="Z882" i="57"/>
  <c r="AD878" i="57"/>
  <c r="Z878" i="57"/>
  <c r="AA914" i="57"/>
  <c r="AK914" i="57"/>
  <c r="W914" i="57"/>
  <c r="T914" i="57"/>
  <c r="U914" i="57"/>
  <c r="AI914" i="57"/>
  <c r="V914" i="57"/>
  <c r="AE881" i="57"/>
  <c r="W910" i="57"/>
  <c r="AI910" i="57"/>
  <c r="T910" i="57"/>
  <c r="AA910" i="57"/>
  <c r="AK910" i="57"/>
  <c r="V910" i="57"/>
  <c r="U910" i="57"/>
  <c r="AM877" i="57"/>
  <c r="AD913" i="57"/>
  <c r="Z913" i="57"/>
  <c r="AD881" i="57"/>
  <c r="Z881" i="57"/>
  <c r="AE884" i="57"/>
  <c r="AE909" i="57"/>
  <c r="Z915" i="57"/>
  <c r="AD915" i="57"/>
  <c r="Z887" i="57"/>
  <c r="AD883" i="57"/>
  <c r="Z883" i="57"/>
  <c r="AE880" i="57"/>
  <c r="Z886" i="57"/>
  <c r="AE913" i="57"/>
  <c r="AE885" i="57"/>
  <c r="Z884" i="57"/>
  <c r="AD884" i="57"/>
  <c r="AD912" i="57"/>
  <c r="Z912" i="57"/>
  <c r="J607" i="54"/>
  <c r="K607" i="54"/>
  <c r="L607" i="54"/>
  <c r="M607" i="54"/>
  <c r="N607" i="54"/>
  <c r="J608" i="54"/>
  <c r="K608" i="54"/>
  <c r="L608" i="54"/>
  <c r="M608" i="54"/>
  <c r="N608" i="54"/>
  <c r="J609" i="54"/>
  <c r="K609" i="54"/>
  <c r="M381" i="58" s="1"/>
  <c r="L391" i="58" s="1"/>
  <c r="L609" i="54"/>
  <c r="M609" i="54"/>
  <c r="N609" i="54"/>
  <c r="J597" i="54"/>
  <c r="K597" i="54"/>
  <c r="L597" i="54"/>
  <c r="M597" i="54"/>
  <c r="J598" i="54"/>
  <c r="K598" i="54"/>
  <c r="L598" i="54"/>
  <c r="M598" i="54"/>
  <c r="M596" i="54"/>
  <c r="J596" i="54"/>
  <c r="K596" i="54"/>
  <c r="L596" i="54"/>
  <c r="S516" i="54"/>
  <c r="S517" i="54" s="1"/>
  <c r="S513" i="54"/>
  <c r="B1" i="54"/>
  <c r="A1" i="54"/>
  <c r="A2" i="54"/>
  <c r="Z910" i="58" l="1"/>
  <c r="AD910" i="58"/>
  <c r="AC910" i="58"/>
  <c r="AE910" i="58"/>
  <c r="K808" i="57"/>
  <c r="K385" i="57" s="1"/>
  <c r="L400" i="57" s="1"/>
  <c r="AR912" i="58"/>
  <c r="G913" i="58"/>
  <c r="AB906" i="57"/>
  <c r="AC906" i="57"/>
  <c r="AC907" i="57"/>
  <c r="AB907" i="57"/>
  <c r="P826" i="57"/>
  <c r="P418" i="57" s="1"/>
  <c r="O381" i="58"/>
  <c r="R391" i="58" s="1"/>
  <c r="Q823" i="57"/>
  <c r="Q415" i="57" s="1"/>
  <c r="T826" i="58"/>
  <c r="N381" i="58"/>
  <c r="N391" i="58" s="1"/>
  <c r="P823" i="57"/>
  <c r="P415" i="57" s="1"/>
  <c r="Q822" i="57"/>
  <c r="P822" i="57"/>
  <c r="Q826" i="57"/>
  <c r="Q418" i="57" s="1"/>
  <c r="P381" i="58"/>
  <c r="AC826" i="58"/>
  <c r="L381" i="58"/>
  <c r="M391" i="58" s="1"/>
  <c r="AE908" i="57"/>
  <c r="L599" i="54"/>
  <c r="L357" i="58" s="1"/>
  <c r="M806" i="57"/>
  <c r="M383" i="57" s="1"/>
  <c r="M396" i="57" s="1"/>
  <c r="M601" i="54"/>
  <c r="N808" i="57"/>
  <c r="N385" i="57" s="1"/>
  <c r="N400" i="57" s="1"/>
  <c r="M600" i="54"/>
  <c r="N807" i="57"/>
  <c r="N384" i="57" s="1"/>
  <c r="Z609" i="54"/>
  <c r="M826" i="57"/>
  <c r="M418" i="57" s="1"/>
  <c r="K616" i="54"/>
  <c r="N823" i="57"/>
  <c r="N415" i="57" s="1"/>
  <c r="Q607" i="54"/>
  <c r="O822" i="57"/>
  <c r="K599" i="54"/>
  <c r="L806" i="57"/>
  <c r="L383" i="57" s="1"/>
  <c r="K396" i="57" s="1"/>
  <c r="L601" i="54"/>
  <c r="M808" i="57"/>
  <c r="M385" i="57" s="1"/>
  <c r="L600" i="54"/>
  <c r="M807" i="57"/>
  <c r="M384" i="57" s="1"/>
  <c r="Z608" i="54"/>
  <c r="M823" i="57"/>
  <c r="M415" i="57" s="1"/>
  <c r="K615" i="54"/>
  <c r="N822" i="57"/>
  <c r="J599" i="54"/>
  <c r="K806" i="57"/>
  <c r="K383" i="57" s="1"/>
  <c r="L396" i="57" s="1"/>
  <c r="K601" i="54"/>
  <c r="L808" i="57"/>
  <c r="L385" i="57" s="1"/>
  <c r="K400" i="57" s="1"/>
  <c r="K600" i="54"/>
  <c r="L807" i="57"/>
  <c r="L384" i="57" s="1"/>
  <c r="Q609" i="54"/>
  <c r="O826" i="57"/>
  <c r="O418" i="57" s="1"/>
  <c r="Z607" i="54"/>
  <c r="M822" i="57"/>
  <c r="M599" i="54"/>
  <c r="N806" i="57"/>
  <c r="N383" i="57" s="1"/>
  <c r="N396" i="57" s="1"/>
  <c r="J601" i="54"/>
  <c r="J600" i="54"/>
  <c r="K807" i="57"/>
  <c r="K384" i="57" s="1"/>
  <c r="K617" i="54"/>
  <c r="N826" i="57"/>
  <c r="N418" i="57" s="1"/>
  <c r="Q608" i="54"/>
  <c r="O823" i="57"/>
  <c r="O415" i="57" s="1"/>
  <c r="AE906" i="57"/>
  <c r="AE910" i="57"/>
  <c r="AE914" i="57"/>
  <c r="AD907" i="57"/>
  <c r="Z907" i="57"/>
  <c r="AD914" i="57"/>
  <c r="Z914" i="57"/>
  <c r="AD908" i="57"/>
  <c r="Z908" i="57"/>
  <c r="Z910" i="57"/>
  <c r="AD910" i="57"/>
  <c r="AE907" i="57"/>
  <c r="AD906" i="57"/>
  <c r="Z906" i="57"/>
  <c r="AS659" i="54"/>
  <c r="AS663" i="54"/>
  <c r="AS671" i="54"/>
  <c r="AS689" i="54"/>
  <c r="AS693" i="54"/>
  <c r="AS697" i="54"/>
  <c r="AS664" i="54"/>
  <c r="AS672" i="54"/>
  <c r="AS690" i="54"/>
  <c r="AS694" i="54"/>
  <c r="AS656" i="54"/>
  <c r="AS657" i="54"/>
  <c r="AS661" i="54"/>
  <c r="AS665" i="54"/>
  <c r="AS673" i="54"/>
  <c r="AS691" i="54"/>
  <c r="AS695" i="54"/>
  <c r="AS658" i="54"/>
  <c r="AS662" i="54"/>
  <c r="AS670" i="54"/>
  <c r="AS688" i="54"/>
  <c r="AS692" i="54"/>
  <c r="AS696" i="54"/>
  <c r="AS660" i="54"/>
  <c r="AO658" i="54"/>
  <c r="AO660" i="54"/>
  <c r="AO662" i="54"/>
  <c r="AO664" i="54"/>
  <c r="AO670" i="54"/>
  <c r="AO672" i="54"/>
  <c r="AO688" i="54"/>
  <c r="AO690" i="54"/>
  <c r="AO692" i="54"/>
  <c r="AO694" i="54"/>
  <c r="AO696" i="54"/>
  <c r="AO656" i="54"/>
  <c r="AO657" i="54"/>
  <c r="AO659" i="54"/>
  <c r="AO661" i="54"/>
  <c r="AO663" i="54"/>
  <c r="AO665" i="54"/>
  <c r="AO671" i="54"/>
  <c r="AO673" i="54"/>
  <c r="AO689" i="54"/>
  <c r="AO691" i="54"/>
  <c r="AO693" i="54"/>
  <c r="AO695" i="54"/>
  <c r="AO697" i="54"/>
  <c r="L436" i="54"/>
  <c r="E416" i="54"/>
  <c r="L411" i="54"/>
  <c r="E436" i="54"/>
  <c r="L431" i="54"/>
  <c r="L416" i="54"/>
  <c r="E386" i="54"/>
  <c r="L401" i="54"/>
  <c r="L386" i="54"/>
  <c r="L381" i="54"/>
  <c r="L406" i="54"/>
  <c r="E406" i="54"/>
  <c r="B860" i="54"/>
  <c r="B868" i="54"/>
  <c r="B287" i="54"/>
  <c r="B293" i="54" s="1"/>
  <c r="E260" i="54"/>
  <c r="E328" i="58" s="1"/>
  <c r="B288" i="54"/>
  <c r="B298" i="54" s="1"/>
  <c r="I549" i="54"/>
  <c r="F267" i="54"/>
  <c r="B267" i="54"/>
  <c r="B266" i="54"/>
  <c r="F266" i="54"/>
  <c r="F265" i="54"/>
  <c r="B265" i="54"/>
  <c r="C272" i="54" s="1"/>
  <c r="C277" i="54" s="1"/>
  <c r="C282" i="54" s="1"/>
  <c r="D616" i="54"/>
  <c r="D617" i="54"/>
  <c r="D615" i="54"/>
  <c r="P802" i="54"/>
  <c r="P806" i="54"/>
  <c r="P810" i="54"/>
  <c r="P814" i="54"/>
  <c r="P818" i="54"/>
  <c r="P832" i="54"/>
  <c r="P836" i="54"/>
  <c r="P841" i="54"/>
  <c r="P805" i="54"/>
  <c r="P809" i="54"/>
  <c r="P813" i="54"/>
  <c r="P817" i="54"/>
  <c r="P835" i="54"/>
  <c r="P840" i="54"/>
  <c r="P804" i="54"/>
  <c r="P808" i="54"/>
  <c r="P812" i="54"/>
  <c r="P816" i="54"/>
  <c r="P820" i="54"/>
  <c r="P834" i="54"/>
  <c r="P838" i="54"/>
  <c r="P843" i="54"/>
  <c r="P803" i="54"/>
  <c r="P807" i="54"/>
  <c r="P811" i="54"/>
  <c r="P815" i="54"/>
  <c r="P819" i="54"/>
  <c r="P833" i="54"/>
  <c r="P837" i="54"/>
  <c r="P842" i="54"/>
  <c r="P801" i="54"/>
  <c r="J238" i="54"/>
  <c r="J245" i="54"/>
  <c r="J237" i="54"/>
  <c r="J239" i="54"/>
  <c r="J240" i="54"/>
  <c r="J247" i="54"/>
  <c r="J246" i="54"/>
  <c r="J241" i="54"/>
  <c r="J249" i="54"/>
  <c r="B866" i="54"/>
  <c r="B858" i="54"/>
  <c r="G707" i="54"/>
  <c r="G925" i="57" s="1"/>
  <c r="G929" i="58" s="1"/>
  <c r="G745" i="58" s="1"/>
  <c r="G711" i="54"/>
  <c r="G929" i="57" s="1"/>
  <c r="G933" i="58" s="1"/>
  <c r="G715" i="54"/>
  <c r="G933" i="57" s="1"/>
  <c r="G937" i="58" s="1"/>
  <c r="G749" i="58" s="1"/>
  <c r="G719" i="54"/>
  <c r="G937" i="57" s="1"/>
  <c r="G941" i="58" s="1"/>
  <c r="G723" i="54"/>
  <c r="G941" i="57" s="1"/>
  <c r="G945" i="58" s="1"/>
  <c r="G755" i="58" s="1"/>
  <c r="G727" i="54"/>
  <c r="G945" i="57" s="1"/>
  <c r="G949" i="58" s="1"/>
  <c r="G759" i="58" s="1"/>
  <c r="G733" i="54"/>
  <c r="G951" i="57" s="1"/>
  <c r="G955" i="58" s="1"/>
  <c r="G736" i="54"/>
  <c r="G739" i="54"/>
  <c r="G957" i="57" s="1"/>
  <c r="G961" i="58" s="1"/>
  <c r="G742" i="54"/>
  <c r="G960" i="57" s="1"/>
  <c r="G964" i="58" s="1"/>
  <c r="G709" i="54"/>
  <c r="G717" i="54"/>
  <c r="G935" i="57" s="1"/>
  <c r="G939" i="58" s="1"/>
  <c r="G751" i="58" s="1"/>
  <c r="G721" i="54"/>
  <c r="J664" i="58" s="1"/>
  <c r="J673" i="58" s="1"/>
  <c r="AC673" i="58" s="1"/>
  <c r="G731" i="54"/>
  <c r="G949" i="57" s="1"/>
  <c r="G953" i="58" s="1"/>
  <c r="G738" i="54"/>
  <c r="G745" i="54"/>
  <c r="G963" i="57" s="1"/>
  <c r="G967" i="58" s="1"/>
  <c r="G706" i="54"/>
  <c r="G924" i="57" s="1"/>
  <c r="G928" i="58" s="1"/>
  <c r="G744" i="58" s="1"/>
  <c r="G710" i="54"/>
  <c r="G718" i="54"/>
  <c r="G726" i="54"/>
  <c r="J668" i="58" s="1"/>
  <c r="G735" i="54"/>
  <c r="G953" i="57" s="1"/>
  <c r="G957" i="58" s="1"/>
  <c r="G741" i="54"/>
  <c r="G959" i="57" s="1"/>
  <c r="G963" i="58" s="1"/>
  <c r="G708" i="54"/>
  <c r="J666" i="58" s="1"/>
  <c r="G712" i="54"/>
  <c r="G930" i="57" s="1"/>
  <c r="G934" i="58" s="1"/>
  <c r="G716" i="54"/>
  <c r="G720" i="54"/>
  <c r="G938" i="57" s="1"/>
  <c r="G942" i="58" s="1"/>
  <c r="G724" i="54"/>
  <c r="G942" i="57" s="1"/>
  <c r="G946" i="58" s="1"/>
  <c r="G756" i="58" s="1"/>
  <c r="G728" i="54"/>
  <c r="G946" i="57" s="1"/>
  <c r="G950" i="58" s="1"/>
  <c r="G760" i="58" s="1"/>
  <c r="G734" i="54"/>
  <c r="G952" i="57" s="1"/>
  <c r="G956" i="58" s="1"/>
  <c r="G737" i="54"/>
  <c r="G743" i="54"/>
  <c r="G961" i="57" s="1"/>
  <c r="G965" i="58" s="1"/>
  <c r="G705" i="54"/>
  <c r="G923" i="57" s="1"/>
  <c r="G927" i="58" s="1"/>
  <c r="G743" i="58" s="1"/>
  <c r="G713" i="54"/>
  <c r="G931" i="57" s="1"/>
  <c r="G935" i="58" s="1"/>
  <c r="G725" i="54"/>
  <c r="J665" i="58" s="1"/>
  <c r="J674" i="58" s="1"/>
  <c r="AC674" i="58" s="1"/>
  <c r="G740" i="54"/>
  <c r="G958" i="57" s="1"/>
  <c r="G962" i="58" s="1"/>
  <c r="G714" i="54"/>
  <c r="G932" i="57" s="1"/>
  <c r="G936" i="58" s="1"/>
  <c r="G722" i="54"/>
  <c r="J667" i="58" s="1"/>
  <c r="G732" i="54"/>
  <c r="G950" i="57" s="1"/>
  <c r="G954" i="58" s="1"/>
  <c r="G704" i="54"/>
  <c r="G922" i="57" s="1"/>
  <c r="G926" i="58" s="1"/>
  <c r="G742" i="58" s="1"/>
  <c r="BI794" i="54"/>
  <c r="BI773" i="54"/>
  <c r="BI775" i="54"/>
  <c r="BI777" i="54"/>
  <c r="BI779" i="54"/>
  <c r="BI781" i="54"/>
  <c r="BI789" i="54"/>
  <c r="BI791" i="54"/>
  <c r="BI772" i="54"/>
  <c r="BI774" i="54"/>
  <c r="BI776" i="54"/>
  <c r="BI778" i="54"/>
  <c r="BI780" i="54"/>
  <c r="BI788" i="54"/>
  <c r="BI790" i="54"/>
  <c r="BI793" i="54"/>
  <c r="B766" i="54"/>
  <c r="B765" i="54"/>
  <c r="F708" i="54"/>
  <c r="F712" i="54"/>
  <c r="J739" i="57" s="1"/>
  <c r="F716" i="54"/>
  <c r="F720" i="54"/>
  <c r="J740" i="57" s="1"/>
  <c r="F724" i="54"/>
  <c r="F728" i="54"/>
  <c r="F734" i="54"/>
  <c r="F737" i="54"/>
  <c r="F743" i="54"/>
  <c r="F705" i="54"/>
  <c r="F709" i="54"/>
  <c r="F713" i="54"/>
  <c r="F717" i="54"/>
  <c r="F721" i="54"/>
  <c r="F725" i="54"/>
  <c r="F731" i="54"/>
  <c r="F738" i="54"/>
  <c r="F740" i="54"/>
  <c r="F745" i="54"/>
  <c r="F706" i="54"/>
  <c r="F710" i="54"/>
  <c r="F714" i="54"/>
  <c r="F718" i="54"/>
  <c r="F722" i="54"/>
  <c r="F726" i="54"/>
  <c r="F732" i="54"/>
  <c r="F735" i="54"/>
  <c r="F741" i="54"/>
  <c r="F704" i="54"/>
  <c r="F707" i="54"/>
  <c r="F711" i="54"/>
  <c r="F715" i="54"/>
  <c r="F719" i="54"/>
  <c r="F723" i="54"/>
  <c r="F727" i="54"/>
  <c r="F733" i="54"/>
  <c r="F736" i="54"/>
  <c r="F739" i="54"/>
  <c r="F742" i="54"/>
  <c r="I503" i="54"/>
  <c r="C503" i="54" s="1"/>
  <c r="I501" i="54"/>
  <c r="C501" i="54" s="1"/>
  <c r="E674" i="54" s="1"/>
  <c r="Q598" i="54"/>
  <c r="Q596" i="54"/>
  <c r="Q597" i="54"/>
  <c r="B597" i="54"/>
  <c r="B596" i="54"/>
  <c r="S514" i="54"/>
  <c r="S515" i="54"/>
  <c r="I534" i="54"/>
  <c r="C534" i="54" s="1"/>
  <c r="I496" i="54"/>
  <c r="C496" i="54" s="1"/>
  <c r="B587" i="54"/>
  <c r="I524" i="54"/>
  <c r="C524" i="54" s="1"/>
  <c r="I488" i="54"/>
  <c r="C488" i="54" s="1"/>
  <c r="B589" i="54"/>
  <c r="C617" i="54" s="1"/>
  <c r="I516" i="54"/>
  <c r="C516" i="54" s="1"/>
  <c r="B588" i="54"/>
  <c r="I542" i="54"/>
  <c r="C542" i="54" s="1"/>
  <c r="I506" i="54"/>
  <c r="C506" i="54" s="1"/>
  <c r="I550" i="54"/>
  <c r="C550" i="54" s="1"/>
  <c r="I548" i="54"/>
  <c r="C548" i="54" s="1"/>
  <c r="I540" i="54"/>
  <c r="C540" i="54" s="1"/>
  <c r="I532" i="54"/>
  <c r="C532" i="54" s="1"/>
  <c r="I522" i="54"/>
  <c r="C522" i="54" s="1"/>
  <c r="I514" i="54"/>
  <c r="C514" i="54" s="1"/>
  <c r="I504" i="54"/>
  <c r="C504" i="54" s="1"/>
  <c r="I494" i="54"/>
  <c r="C494" i="54" s="1"/>
  <c r="F587" i="54"/>
  <c r="F596" i="54" s="1"/>
  <c r="G806" i="57" s="1"/>
  <c r="G383" i="57" s="1"/>
  <c r="C396" i="57" s="1"/>
  <c r="I546" i="54"/>
  <c r="C546" i="54" s="1"/>
  <c r="I538" i="54"/>
  <c r="C538" i="54" s="1"/>
  <c r="I530" i="54"/>
  <c r="C530" i="54" s="1"/>
  <c r="I520" i="54"/>
  <c r="C520" i="54" s="1"/>
  <c r="I512" i="54"/>
  <c r="C512" i="54" s="1"/>
  <c r="I500" i="54"/>
  <c r="C500" i="54" s="1"/>
  <c r="I492" i="54"/>
  <c r="C492" i="54" s="1"/>
  <c r="F588" i="54"/>
  <c r="I544" i="54"/>
  <c r="C544" i="54" s="1"/>
  <c r="I536" i="54"/>
  <c r="C536" i="54" s="1"/>
  <c r="I518" i="54"/>
  <c r="C518" i="54" s="1"/>
  <c r="I508" i="54"/>
  <c r="C508" i="54" s="1"/>
  <c r="I498" i="54"/>
  <c r="C498" i="54" s="1"/>
  <c r="I490" i="54"/>
  <c r="C490" i="54" s="1"/>
  <c r="F589" i="54"/>
  <c r="I547" i="54"/>
  <c r="C547" i="54" s="1"/>
  <c r="I543" i="54"/>
  <c r="C543" i="54" s="1"/>
  <c r="I539" i="54"/>
  <c r="C539" i="54" s="1"/>
  <c r="I535" i="54"/>
  <c r="C535" i="54" s="1"/>
  <c r="I531" i="54"/>
  <c r="C531" i="54" s="1"/>
  <c r="I525" i="54"/>
  <c r="C525" i="54" s="1"/>
  <c r="I521" i="54"/>
  <c r="C521" i="54" s="1"/>
  <c r="I517" i="54"/>
  <c r="C517" i="54" s="1"/>
  <c r="I513" i="54"/>
  <c r="C513" i="54" s="1"/>
  <c r="I507" i="54"/>
  <c r="C507" i="54" s="1"/>
  <c r="I502" i="54"/>
  <c r="I497" i="54"/>
  <c r="C497" i="54" s="1"/>
  <c r="I493" i="54"/>
  <c r="C493" i="54" s="1"/>
  <c r="I489" i="54"/>
  <c r="C489" i="54" s="1"/>
  <c r="I486" i="54"/>
  <c r="I545" i="54"/>
  <c r="C545" i="54" s="1"/>
  <c r="I541" i="54"/>
  <c r="C541" i="54" s="1"/>
  <c r="I537" i="54"/>
  <c r="C537" i="54" s="1"/>
  <c r="I533" i="54"/>
  <c r="C533" i="54" s="1"/>
  <c r="I529" i="54"/>
  <c r="C529" i="54" s="1"/>
  <c r="I523" i="54"/>
  <c r="C523" i="54" s="1"/>
  <c r="I519" i="54"/>
  <c r="C519" i="54" s="1"/>
  <c r="I515" i="54"/>
  <c r="C515" i="54" s="1"/>
  <c r="I509" i="54"/>
  <c r="C509" i="54" s="1"/>
  <c r="I505" i="54"/>
  <c r="C505" i="54" s="1"/>
  <c r="I499" i="54"/>
  <c r="C499" i="54" s="1"/>
  <c r="I495" i="54"/>
  <c r="C495" i="54" s="1"/>
  <c r="I491" i="54"/>
  <c r="C491" i="54" s="1"/>
  <c r="I487" i="54"/>
  <c r="C487" i="54" s="1"/>
  <c r="B487" i="54"/>
  <c r="B488" i="54"/>
  <c r="B489" i="54"/>
  <c r="B494" i="54"/>
  <c r="B495" i="54"/>
  <c r="B496" i="54"/>
  <c r="B500" i="54"/>
  <c r="B502" i="54"/>
  <c r="B504" i="54"/>
  <c r="B505" i="54"/>
  <c r="B506" i="54"/>
  <c r="B507" i="54"/>
  <c r="B529" i="54"/>
  <c r="B530" i="54"/>
  <c r="B531" i="54"/>
  <c r="B532" i="54"/>
  <c r="B537" i="54"/>
  <c r="B538" i="54"/>
  <c r="B539" i="54"/>
  <c r="B540" i="54"/>
  <c r="B544" i="54"/>
  <c r="B545" i="54"/>
  <c r="B546" i="54"/>
  <c r="B547" i="54"/>
  <c r="B548" i="54"/>
  <c r="B550" i="54"/>
  <c r="B486" i="54"/>
  <c r="O414" i="57" l="1"/>
  <c r="M423" i="57" s="1"/>
  <c r="P414" i="57"/>
  <c r="Q423" i="57" s="1"/>
  <c r="M414" i="57"/>
  <c r="L423" i="57" s="1"/>
  <c r="N414" i="57"/>
  <c r="K423" i="57" s="1"/>
  <c r="Q414" i="57"/>
  <c r="Z423" i="57" s="1"/>
  <c r="L428" i="57"/>
  <c r="Z428" i="57"/>
  <c r="Q428" i="57"/>
  <c r="M428" i="57"/>
  <c r="N828" i="58"/>
  <c r="K428" i="57"/>
  <c r="G792" i="58"/>
  <c r="F354" i="58" s="1"/>
  <c r="D363" i="58" s="1"/>
  <c r="D371" i="58" s="1"/>
  <c r="D375" i="58" s="1"/>
  <c r="M793" i="58"/>
  <c r="R793" i="58" s="1"/>
  <c r="Q355" i="58" s="1"/>
  <c r="N825" i="58"/>
  <c r="M380" i="58" s="1"/>
  <c r="M792" i="58"/>
  <c r="M794" i="58"/>
  <c r="R794" i="58" s="1"/>
  <c r="Q356" i="58" s="1"/>
  <c r="S381" i="58"/>
  <c r="Q391" i="58" s="1"/>
  <c r="T304" i="58"/>
  <c r="P310" i="58" s="1"/>
  <c r="AB381" i="58"/>
  <c r="AC304" i="58"/>
  <c r="M824" i="58"/>
  <c r="L793" i="58"/>
  <c r="K355" i="58" s="1"/>
  <c r="K792" i="58"/>
  <c r="J354" i="58" s="1"/>
  <c r="M363" i="58" s="1"/>
  <c r="M825" i="58"/>
  <c r="O824" i="58"/>
  <c r="M828" i="58"/>
  <c r="AC828" i="58" s="1"/>
  <c r="P824" i="58"/>
  <c r="O379" i="58" s="1"/>
  <c r="R386" i="58" s="1"/>
  <c r="L356" i="58"/>
  <c r="O371" i="58" s="1"/>
  <c r="N792" i="58"/>
  <c r="M354" i="58" s="1"/>
  <c r="S363" i="58" s="1"/>
  <c r="S367" i="58" s="1"/>
  <c r="O828" i="58"/>
  <c r="T828" i="58" s="1"/>
  <c r="L794" i="58"/>
  <c r="K356" i="58" s="1"/>
  <c r="L371" i="58" s="1"/>
  <c r="N824" i="58"/>
  <c r="M379" i="58" s="1"/>
  <c r="L386" i="58" s="1"/>
  <c r="L792" i="58"/>
  <c r="K354" i="58" s="1"/>
  <c r="L363" i="58" s="1"/>
  <c r="N793" i="58"/>
  <c r="M355" i="58" s="1"/>
  <c r="Q828" i="58"/>
  <c r="N794" i="58"/>
  <c r="M356" i="58" s="1"/>
  <c r="S371" i="58" s="1"/>
  <c r="P825" i="58"/>
  <c r="O380" i="58" s="1"/>
  <c r="P828" i="58"/>
  <c r="K794" i="58"/>
  <c r="J356" i="58" s="1"/>
  <c r="M371" i="58" s="1"/>
  <c r="O825" i="58"/>
  <c r="K793" i="58"/>
  <c r="J355" i="58" s="1"/>
  <c r="L354" i="58"/>
  <c r="Q824" i="58"/>
  <c r="P379" i="58" s="1"/>
  <c r="AA386" i="58" s="1"/>
  <c r="Q825" i="58"/>
  <c r="P380" i="58" s="1"/>
  <c r="L355" i="58"/>
  <c r="C806" i="57"/>
  <c r="C383" i="57" s="1"/>
  <c r="D396" i="57" s="1"/>
  <c r="J663" i="58"/>
  <c r="J672" i="58" s="1"/>
  <c r="AC672" i="58" s="1"/>
  <c r="J694" i="57"/>
  <c r="C486" i="54"/>
  <c r="J486" i="54"/>
  <c r="AR913" i="58"/>
  <c r="G914" i="58"/>
  <c r="C549" i="54"/>
  <c r="B640" i="54" s="1"/>
  <c r="AD640" i="54" s="1"/>
  <c r="J502" i="54"/>
  <c r="C502" i="54"/>
  <c r="J676" i="58"/>
  <c r="J698" i="57"/>
  <c r="J719" i="57"/>
  <c r="J713" i="57"/>
  <c r="J695" i="57"/>
  <c r="J699" i="57"/>
  <c r="J697" i="57"/>
  <c r="J717" i="57"/>
  <c r="J712" i="57"/>
  <c r="J716" i="57"/>
  <c r="J696" i="57"/>
  <c r="K814" i="57"/>
  <c r="K391" i="57" s="1"/>
  <c r="J358" i="58"/>
  <c r="N813" i="57"/>
  <c r="N390" i="57" s="1"/>
  <c r="M357" i="58"/>
  <c r="L815" i="57"/>
  <c r="L392" i="57" s="1"/>
  <c r="K359" i="58"/>
  <c r="L375" i="58" s="1"/>
  <c r="L358" i="58"/>
  <c r="Q358" i="58"/>
  <c r="L813" i="57"/>
  <c r="L390" i="57" s="1"/>
  <c r="K357" i="58"/>
  <c r="N814" i="57"/>
  <c r="N391" i="57" s="1"/>
  <c r="M358" i="58"/>
  <c r="K815" i="57"/>
  <c r="K392" i="57" s="1"/>
  <c r="J359" i="58"/>
  <c r="M375" i="58" s="1"/>
  <c r="L814" i="57"/>
  <c r="L391" i="57" s="1"/>
  <c r="K358" i="58"/>
  <c r="L367" i="58" s="1"/>
  <c r="K813" i="57"/>
  <c r="K390" i="57" s="1"/>
  <c r="J357" i="58"/>
  <c r="M367" i="58" s="1"/>
  <c r="L359" i="58"/>
  <c r="O375" i="58" s="1"/>
  <c r="Q359" i="58"/>
  <c r="N815" i="57"/>
  <c r="N392" i="57" s="1"/>
  <c r="M359" i="58"/>
  <c r="S375" i="58" s="1"/>
  <c r="J704" i="58"/>
  <c r="J699" i="58"/>
  <c r="J677" i="58"/>
  <c r="J682" i="58"/>
  <c r="J688" i="58"/>
  <c r="J678" i="58"/>
  <c r="J701" i="58"/>
  <c r="J708" i="58"/>
  <c r="J686" i="58"/>
  <c r="J685" i="58"/>
  <c r="J681" i="58"/>
  <c r="J700" i="58"/>
  <c r="J706" i="58"/>
  <c r="J705" i="58"/>
  <c r="T822" i="57"/>
  <c r="Q601" i="54"/>
  <c r="M815" i="57"/>
  <c r="M392" i="57" s="1"/>
  <c r="AC823" i="57"/>
  <c r="AC415" i="57" s="1"/>
  <c r="T823" i="57"/>
  <c r="T415" i="57" s="1"/>
  <c r="T826" i="57"/>
  <c r="T418" i="57" s="1"/>
  <c r="K832" i="57"/>
  <c r="R807" i="57"/>
  <c r="R384" i="57" s="1"/>
  <c r="P806" i="57"/>
  <c r="P383" i="57" s="1"/>
  <c r="S396" i="57" s="1"/>
  <c r="W396" i="57" s="1"/>
  <c r="AC822" i="57"/>
  <c r="AC414" i="57" s="1"/>
  <c r="R808" i="57"/>
  <c r="R385" i="57" s="1"/>
  <c r="AC826" i="57"/>
  <c r="AC418" i="57" s="1"/>
  <c r="Q600" i="54"/>
  <c r="M814" i="57"/>
  <c r="M391" i="57" s="1"/>
  <c r="Q599" i="54"/>
  <c r="M813" i="57"/>
  <c r="M390" i="57" s="1"/>
  <c r="B600" i="54"/>
  <c r="C807" i="57"/>
  <c r="C384" i="57" s="1"/>
  <c r="B599" i="54"/>
  <c r="G944" i="57"/>
  <c r="G948" i="58" s="1"/>
  <c r="G758" i="58" s="1"/>
  <c r="J760" i="57"/>
  <c r="J753" i="57"/>
  <c r="G954" i="57"/>
  <c r="G958" i="58" s="1"/>
  <c r="G926" i="57"/>
  <c r="G930" i="58" s="1"/>
  <c r="G746" i="58" s="1"/>
  <c r="G936" i="57"/>
  <c r="G940" i="58" s="1"/>
  <c r="G752" i="58" s="1"/>
  <c r="J758" i="57"/>
  <c r="J757" i="57"/>
  <c r="J752" i="57"/>
  <c r="G956" i="57"/>
  <c r="G960" i="58" s="1"/>
  <c r="G927" i="57"/>
  <c r="G931" i="58" s="1"/>
  <c r="G747" i="58" s="1"/>
  <c r="G943" i="57"/>
  <c r="G947" i="58" s="1"/>
  <c r="G757" i="58" s="1"/>
  <c r="J751" i="57"/>
  <c r="J756" i="57"/>
  <c r="G955" i="57"/>
  <c r="G959" i="58" s="1"/>
  <c r="G928" i="57"/>
  <c r="G932" i="58" s="1"/>
  <c r="G748" i="58" s="1"/>
  <c r="G940" i="57"/>
  <c r="G944" i="58" s="1"/>
  <c r="G754" i="58" s="1"/>
  <c r="G934" i="57"/>
  <c r="G938" i="58" s="1"/>
  <c r="G750" i="58" s="1"/>
  <c r="G939" i="57"/>
  <c r="G943" i="58" s="1"/>
  <c r="G753" i="58" s="1"/>
  <c r="J549" i="54"/>
  <c r="B608" i="54"/>
  <c r="C616" i="54"/>
  <c r="B607" i="54"/>
  <c r="C615" i="54"/>
  <c r="J501" i="54"/>
  <c r="J503" i="54"/>
  <c r="F598" i="54"/>
  <c r="F609" i="54"/>
  <c r="F607" i="54"/>
  <c r="B598" i="54"/>
  <c r="B609" i="54"/>
  <c r="F597" i="54"/>
  <c r="F608" i="54"/>
  <c r="J529" i="54"/>
  <c r="J530" i="54"/>
  <c r="J531" i="54"/>
  <c r="J532" i="54"/>
  <c r="J533" i="54"/>
  <c r="J534" i="54"/>
  <c r="J535" i="54"/>
  <c r="J536" i="54"/>
  <c r="J537" i="54"/>
  <c r="J538" i="54"/>
  <c r="J539" i="54"/>
  <c r="J540" i="54"/>
  <c r="J541" i="54"/>
  <c r="J542" i="54"/>
  <c r="J543" i="54"/>
  <c r="J544" i="54"/>
  <c r="J545" i="54"/>
  <c r="J546" i="54"/>
  <c r="J547" i="54"/>
  <c r="J548" i="54"/>
  <c r="J550" i="54"/>
  <c r="E697" i="54"/>
  <c r="E689" i="54"/>
  <c r="E693" i="54"/>
  <c r="K22" i="54"/>
  <c r="K23" i="54"/>
  <c r="K24" i="54"/>
  <c r="K25" i="54"/>
  <c r="K26" i="54"/>
  <c r="K30" i="54"/>
  <c r="K31" i="54"/>
  <c r="K32" i="54"/>
  <c r="L21" i="54"/>
  <c r="T414" i="57" l="1"/>
  <c r="P423" i="57" s="1"/>
  <c r="P428" i="57"/>
  <c r="C793" i="58"/>
  <c r="B793" i="58" s="1"/>
  <c r="M800" i="58"/>
  <c r="R800" i="58" s="1"/>
  <c r="M799" i="58"/>
  <c r="M801" i="58"/>
  <c r="R801" i="58" s="1"/>
  <c r="C792" i="58"/>
  <c r="B792" i="58" s="1"/>
  <c r="N380" i="58"/>
  <c r="T825" i="58"/>
  <c r="S380" i="58" s="1"/>
  <c r="N800" i="58"/>
  <c r="N799" i="58"/>
  <c r="L800" i="58"/>
  <c r="AC825" i="58"/>
  <c r="AB380" i="58" s="1"/>
  <c r="L380" i="58"/>
  <c r="N801" i="58"/>
  <c r="K799" i="58"/>
  <c r="K801" i="58"/>
  <c r="T824" i="58"/>
  <c r="S379" i="58" s="1"/>
  <c r="Q386" i="58" s="1"/>
  <c r="N379" i="58"/>
  <c r="N386" i="58" s="1"/>
  <c r="AC824" i="58"/>
  <c r="AB379" i="58" s="1"/>
  <c r="L379" i="58"/>
  <c r="M386" i="58" s="1"/>
  <c r="L799" i="58"/>
  <c r="L801" i="58"/>
  <c r="K800" i="58"/>
  <c r="AU674" i="54"/>
  <c r="Y746" i="54"/>
  <c r="Y964" i="57" s="1"/>
  <c r="Y968" i="58" s="1"/>
  <c r="Y753" i="54"/>
  <c r="Y748" i="54"/>
  <c r="Y747" i="54"/>
  <c r="Y754" i="54"/>
  <c r="Y751" i="54"/>
  <c r="Y750" i="54"/>
  <c r="Y752" i="54"/>
  <c r="Y720" i="54"/>
  <c r="R740" i="57" s="1"/>
  <c r="L746" i="54"/>
  <c r="Y749" i="54"/>
  <c r="I746" i="54"/>
  <c r="Y719" i="54"/>
  <c r="J746" i="54"/>
  <c r="J964" i="57" s="1"/>
  <c r="J968" i="58" s="1"/>
  <c r="I675" i="54"/>
  <c r="AN675" i="54"/>
  <c r="L675" i="54"/>
  <c r="M675" i="54" s="1"/>
  <c r="AU675" i="54"/>
  <c r="AT675" i="54"/>
  <c r="AN674" i="54"/>
  <c r="AT674" i="54"/>
  <c r="L674" i="54"/>
  <c r="M674" i="54" s="1"/>
  <c r="AR914" i="58"/>
  <c r="G915" i="58"/>
  <c r="B744" i="54"/>
  <c r="B870" i="58" s="1"/>
  <c r="E695" i="54"/>
  <c r="AC807" i="57"/>
  <c r="AC806" i="57"/>
  <c r="V723" i="58"/>
  <c r="V720" i="58"/>
  <c r="V722" i="58"/>
  <c r="V725" i="58"/>
  <c r="V729" i="58"/>
  <c r="V728" i="58"/>
  <c r="V726" i="58"/>
  <c r="V727" i="58"/>
  <c r="J703" i="57"/>
  <c r="J709" i="57"/>
  <c r="J705" i="57"/>
  <c r="J707" i="57"/>
  <c r="J704" i="57"/>
  <c r="J708" i="57"/>
  <c r="L649" i="54"/>
  <c r="K649" i="54"/>
  <c r="H649" i="54"/>
  <c r="F649" i="54"/>
  <c r="L646" i="54"/>
  <c r="L648" i="54"/>
  <c r="H647" i="54"/>
  <c r="L647" i="54"/>
  <c r="L642" i="54"/>
  <c r="H646" i="54"/>
  <c r="H644" i="54"/>
  <c r="K648" i="54"/>
  <c r="F648" i="54"/>
  <c r="K647" i="54"/>
  <c r="H642" i="54"/>
  <c r="K642" i="54"/>
  <c r="K646" i="54"/>
  <c r="L644" i="54"/>
  <c r="F646" i="54"/>
  <c r="K644" i="54"/>
  <c r="F644" i="54"/>
  <c r="H648" i="54"/>
  <c r="F647" i="54"/>
  <c r="F642" i="54"/>
  <c r="K645" i="54"/>
  <c r="H643" i="54"/>
  <c r="L643" i="54"/>
  <c r="L645" i="54"/>
  <c r="K643" i="54"/>
  <c r="H645" i="54"/>
  <c r="F643" i="54"/>
  <c r="F645" i="54"/>
  <c r="F640" i="54"/>
  <c r="K640" i="54"/>
  <c r="L640" i="54"/>
  <c r="D826" i="57"/>
  <c r="D418" i="57" s="1"/>
  <c r="C381" i="58"/>
  <c r="I826" i="57"/>
  <c r="I418" i="57" s="1"/>
  <c r="H381" i="58"/>
  <c r="C813" i="57"/>
  <c r="C390" i="57" s="1"/>
  <c r="D823" i="57"/>
  <c r="D415" i="57" s="1"/>
  <c r="J679" i="58"/>
  <c r="I823" i="57"/>
  <c r="I415" i="57" s="1"/>
  <c r="I822" i="57"/>
  <c r="I414" i="57" s="1"/>
  <c r="C814" i="57"/>
  <c r="C391" i="57" s="1"/>
  <c r="D822" i="57"/>
  <c r="D414" i="57" s="1"/>
  <c r="R815" i="57"/>
  <c r="R392" i="57" s="1"/>
  <c r="Y400" i="57" s="1"/>
  <c r="P813" i="57"/>
  <c r="P390" i="57" s="1"/>
  <c r="T396" i="57" s="1"/>
  <c r="X396" i="57" s="1"/>
  <c r="R814" i="57"/>
  <c r="R391" i="57" s="1"/>
  <c r="Q806" i="57"/>
  <c r="Q383" i="57" s="1"/>
  <c r="F600" i="54"/>
  <c r="G807" i="57"/>
  <c r="G384" i="57" s="1"/>
  <c r="F599" i="54"/>
  <c r="B601" i="54"/>
  <c r="C808" i="57"/>
  <c r="C385" i="57" s="1"/>
  <c r="D400" i="57" s="1"/>
  <c r="F601" i="54"/>
  <c r="G808" i="57"/>
  <c r="G385" i="57" s="1"/>
  <c r="C400" i="57" s="1"/>
  <c r="B714" i="54"/>
  <c r="Y714" i="54" s="1"/>
  <c r="E665" i="54"/>
  <c r="E692" i="54"/>
  <c r="E688" i="54"/>
  <c r="E671" i="54"/>
  <c r="E696" i="54"/>
  <c r="E690" i="54"/>
  <c r="E691" i="54"/>
  <c r="E673" i="54"/>
  <c r="L673" i="54" s="1"/>
  <c r="B712" i="54"/>
  <c r="E661" i="54"/>
  <c r="B637" i="54"/>
  <c r="AD637" i="54" s="1"/>
  <c r="B741" i="54"/>
  <c r="Y741" i="54" s="1"/>
  <c r="B631" i="54"/>
  <c r="AD631" i="54" s="1"/>
  <c r="B736" i="54"/>
  <c r="Y736" i="54" s="1"/>
  <c r="B628" i="54"/>
  <c r="AD628" i="54" s="1"/>
  <c r="B733" i="54"/>
  <c r="Y733" i="54" s="1"/>
  <c r="B626" i="54"/>
  <c r="AD626" i="54" s="1"/>
  <c r="B731" i="54"/>
  <c r="Y731" i="54" s="1"/>
  <c r="B636" i="54"/>
  <c r="AD636" i="54" s="1"/>
  <c r="B740" i="54"/>
  <c r="Y740" i="54" s="1"/>
  <c r="B630" i="54"/>
  <c r="AD630" i="54" s="1"/>
  <c r="B735" i="54"/>
  <c r="Y735" i="54" s="1"/>
  <c r="B627" i="54"/>
  <c r="AD627" i="54" s="1"/>
  <c r="B732" i="54"/>
  <c r="Y732" i="54" s="1"/>
  <c r="B639" i="54"/>
  <c r="AD639" i="54" s="1"/>
  <c r="B743" i="54"/>
  <c r="Y743" i="54" s="1"/>
  <c r="B635" i="54"/>
  <c r="AD635" i="54" s="1"/>
  <c r="B739" i="54"/>
  <c r="Y739" i="54" s="1"/>
  <c r="B633" i="54"/>
  <c r="AD633" i="54" s="1"/>
  <c r="B738" i="54"/>
  <c r="Y738" i="54" s="1"/>
  <c r="B641" i="54"/>
  <c r="AD641" i="54" s="1"/>
  <c r="B745" i="54"/>
  <c r="B638" i="54"/>
  <c r="AD638" i="54" s="1"/>
  <c r="B742" i="54"/>
  <c r="Y742" i="54" s="1"/>
  <c r="B632" i="54"/>
  <c r="AD632" i="54" s="1"/>
  <c r="B737" i="54"/>
  <c r="B629" i="54"/>
  <c r="AD629" i="54" s="1"/>
  <c r="B734" i="54"/>
  <c r="Y734" i="54" s="1"/>
  <c r="D533" i="54"/>
  <c r="D535" i="54"/>
  <c r="D536" i="54"/>
  <c r="D542" i="54"/>
  <c r="D543" i="54"/>
  <c r="D541" i="54"/>
  <c r="D534" i="54"/>
  <c r="AC793" i="58" l="1"/>
  <c r="AC792" i="58"/>
  <c r="B355" i="58"/>
  <c r="C423" i="57"/>
  <c r="C428" i="57" s="1"/>
  <c r="D423" i="57"/>
  <c r="D428" i="57" s="1"/>
  <c r="AD792" i="58"/>
  <c r="Q792" i="58" s="1"/>
  <c r="R792" i="58" s="1"/>
  <c r="Q354" i="58" s="1"/>
  <c r="C800" i="58"/>
  <c r="B800" i="58" s="1"/>
  <c r="B354" i="58"/>
  <c r="E363" i="58" s="1"/>
  <c r="E371" i="58" s="1"/>
  <c r="E375" i="58" s="1"/>
  <c r="C794" i="58"/>
  <c r="B356" i="58" s="1"/>
  <c r="C799" i="58"/>
  <c r="B799" i="58" s="1"/>
  <c r="B962" i="57"/>
  <c r="B966" i="58" s="1"/>
  <c r="G793" i="58"/>
  <c r="F355" i="58" s="1"/>
  <c r="D828" i="58"/>
  <c r="I824" i="58"/>
  <c r="H379" i="58" s="1"/>
  <c r="G794" i="58"/>
  <c r="F356" i="58" s="1"/>
  <c r="D824" i="58"/>
  <c r="C379" i="58" s="1"/>
  <c r="E386" i="58" s="1"/>
  <c r="E391" i="58" s="1"/>
  <c r="I828" i="58"/>
  <c r="Y712" i="54"/>
  <c r="R739" i="57" s="1"/>
  <c r="D739" i="57"/>
  <c r="I825" i="58"/>
  <c r="H380" i="58" s="1"/>
  <c r="D825" i="58"/>
  <c r="C380" i="58" s="1"/>
  <c r="AD740" i="57"/>
  <c r="AC740" i="57"/>
  <c r="K964" i="57"/>
  <c r="K968" i="58" s="1"/>
  <c r="L868" i="57"/>
  <c r="L964" i="57"/>
  <c r="L968" i="58" s="1"/>
  <c r="H868" i="57"/>
  <c r="Y868" i="57" s="1"/>
  <c r="I964" i="57"/>
  <c r="I968" i="58" s="1"/>
  <c r="K746" i="54"/>
  <c r="K868" i="57"/>
  <c r="B855" i="57"/>
  <c r="AE855" i="57" s="1"/>
  <c r="Y744" i="54"/>
  <c r="D751" i="57"/>
  <c r="B751" i="57" s="1"/>
  <c r="Y737" i="54"/>
  <c r="B871" i="58"/>
  <c r="Y745" i="54"/>
  <c r="AR915" i="58"/>
  <c r="G916" i="58"/>
  <c r="B357" i="58"/>
  <c r="AC795" i="58"/>
  <c r="AC808" i="57"/>
  <c r="AC813" i="57"/>
  <c r="B358" i="58"/>
  <c r="E367" i="58" s="1"/>
  <c r="AC796" i="58"/>
  <c r="AC814" i="57"/>
  <c r="J710" i="57"/>
  <c r="I982" i="57"/>
  <c r="J992" i="57"/>
  <c r="C992" i="57"/>
  <c r="I986" i="57"/>
  <c r="AZ986" i="57" s="1"/>
  <c r="D988" i="57"/>
  <c r="C988" i="57"/>
  <c r="D989" i="57"/>
  <c r="C989" i="57"/>
  <c r="J990" i="57"/>
  <c r="C991" i="57"/>
  <c r="Y987" i="57"/>
  <c r="Y991" i="58" s="1"/>
  <c r="I987" i="57"/>
  <c r="AZ987" i="57" s="1"/>
  <c r="I993" i="57"/>
  <c r="AZ993" i="57" s="1"/>
  <c r="D986" i="57"/>
  <c r="C986" i="57"/>
  <c r="Y988" i="57"/>
  <c r="Y992" i="58" s="1"/>
  <c r="I988" i="57"/>
  <c r="AZ988" i="57" s="1"/>
  <c r="Y989" i="57"/>
  <c r="Y993" i="58" s="1"/>
  <c r="L989" i="57"/>
  <c r="L993" i="58" s="1"/>
  <c r="I990" i="57"/>
  <c r="AZ990" i="57" s="1"/>
  <c r="J991" i="57"/>
  <c r="L991" i="57"/>
  <c r="L995" i="58" s="1"/>
  <c r="C987" i="57"/>
  <c r="J993" i="57"/>
  <c r="C993" i="57"/>
  <c r="D992" i="57"/>
  <c r="L992" i="57"/>
  <c r="L996" i="58" s="1"/>
  <c r="Y986" i="57"/>
  <c r="Y990" i="58" s="1"/>
  <c r="L986" i="57"/>
  <c r="L990" i="58" s="1"/>
  <c r="J988" i="57"/>
  <c r="L988" i="57"/>
  <c r="L992" i="58" s="1"/>
  <c r="I989" i="57"/>
  <c r="AZ989" i="57" s="1"/>
  <c r="D990" i="57"/>
  <c r="C990" i="57"/>
  <c r="D991" i="57"/>
  <c r="J987" i="57"/>
  <c r="L987" i="57"/>
  <c r="L991" i="58" s="1"/>
  <c r="D993" i="57"/>
  <c r="L993" i="57"/>
  <c r="L997" i="58" s="1"/>
  <c r="Y992" i="57"/>
  <c r="Y996" i="58" s="1"/>
  <c r="I992" i="57"/>
  <c r="AZ992" i="57" s="1"/>
  <c r="J986" i="57"/>
  <c r="J989" i="57"/>
  <c r="Y990" i="57"/>
  <c r="Y994" i="58" s="1"/>
  <c r="L990" i="57"/>
  <c r="L994" i="58" s="1"/>
  <c r="Y991" i="57"/>
  <c r="Y995" i="58" s="1"/>
  <c r="I991" i="57"/>
  <c r="AZ991" i="57" s="1"/>
  <c r="D987" i="57"/>
  <c r="Y993" i="57"/>
  <c r="Y997" i="58" s="1"/>
  <c r="B963" i="57"/>
  <c r="B967" i="58" s="1"/>
  <c r="B856" i="57"/>
  <c r="AE856" i="57" s="1"/>
  <c r="J995" i="57"/>
  <c r="Y995" i="57"/>
  <c r="Y999" i="58" s="1"/>
  <c r="I995" i="57"/>
  <c r="AZ995" i="57" s="1"/>
  <c r="C995" i="57"/>
  <c r="C999" i="58" s="1"/>
  <c r="D995" i="57"/>
  <c r="L995" i="57"/>
  <c r="L999" i="58" s="1"/>
  <c r="J996" i="57"/>
  <c r="D996" i="57"/>
  <c r="L996" i="57"/>
  <c r="L1000" i="58" s="1"/>
  <c r="I996" i="57"/>
  <c r="AZ996" i="57" s="1"/>
  <c r="Y996" i="57"/>
  <c r="Y1000" i="58" s="1"/>
  <c r="C996" i="57"/>
  <c r="C1000" i="58" s="1"/>
  <c r="L866" i="57"/>
  <c r="X866" i="57" s="1"/>
  <c r="L865" i="57"/>
  <c r="X865" i="57" s="1"/>
  <c r="X867" i="57"/>
  <c r="L869" i="57"/>
  <c r="X869" i="57" s="1"/>
  <c r="K866" i="57"/>
  <c r="Z866" i="57" s="1"/>
  <c r="K865" i="57"/>
  <c r="K867" i="57"/>
  <c r="Z867" i="57" s="1"/>
  <c r="K869" i="57"/>
  <c r="Z869" i="57" s="1"/>
  <c r="B860" i="58"/>
  <c r="B868" i="58"/>
  <c r="B864" i="58"/>
  <c r="B869" i="58"/>
  <c r="B861" i="58"/>
  <c r="B857" i="58"/>
  <c r="B862" i="58"/>
  <c r="B930" i="57"/>
  <c r="B934" i="58" s="1"/>
  <c r="E887" i="58" s="1"/>
  <c r="B863" i="58"/>
  <c r="B865" i="58"/>
  <c r="B858" i="58"/>
  <c r="B866" i="58"/>
  <c r="B859" i="58"/>
  <c r="B867" i="58"/>
  <c r="B932" i="57"/>
  <c r="E885" i="57" s="1"/>
  <c r="X642" i="54"/>
  <c r="X644" i="54"/>
  <c r="X647" i="54"/>
  <c r="X645" i="54"/>
  <c r="X643" i="54"/>
  <c r="X648" i="54"/>
  <c r="X646" i="54"/>
  <c r="X649" i="54"/>
  <c r="L632" i="54"/>
  <c r="K632" i="54"/>
  <c r="F632" i="54"/>
  <c r="F641" i="54"/>
  <c r="L641" i="54"/>
  <c r="K641" i="54"/>
  <c r="F635" i="54"/>
  <c r="L635" i="54"/>
  <c r="K635" i="54"/>
  <c r="F627" i="54"/>
  <c r="L627" i="54"/>
  <c r="K627" i="54"/>
  <c r="L636" i="54"/>
  <c r="K636" i="54"/>
  <c r="F636" i="54"/>
  <c r="L628" i="54"/>
  <c r="K628" i="54"/>
  <c r="F628" i="54"/>
  <c r="F637" i="54"/>
  <c r="L637" i="54"/>
  <c r="K637" i="54"/>
  <c r="K638" i="54"/>
  <c r="F638" i="54"/>
  <c r="L638" i="54"/>
  <c r="B634" i="54"/>
  <c r="AD634" i="54" s="1"/>
  <c r="F633" i="54"/>
  <c r="L633" i="54"/>
  <c r="K633" i="54"/>
  <c r="F639" i="54"/>
  <c r="L639" i="54"/>
  <c r="K639" i="54"/>
  <c r="K630" i="54"/>
  <c r="F630" i="54"/>
  <c r="L630" i="54"/>
  <c r="F626" i="54"/>
  <c r="L626" i="54"/>
  <c r="K626" i="54"/>
  <c r="F631" i="54"/>
  <c r="L631" i="54"/>
  <c r="K631" i="54"/>
  <c r="F629" i="54"/>
  <c r="L629" i="54"/>
  <c r="K629" i="54"/>
  <c r="G815" i="57"/>
  <c r="G392" i="57" s="1"/>
  <c r="F359" i="58"/>
  <c r="G813" i="57"/>
  <c r="G390" i="57" s="1"/>
  <c r="F357" i="58"/>
  <c r="C815" i="57"/>
  <c r="C392" i="57" s="1"/>
  <c r="G814" i="57"/>
  <c r="G391" i="57" s="1"/>
  <c r="F358" i="58"/>
  <c r="D367" i="58" s="1"/>
  <c r="R806" i="57"/>
  <c r="R383" i="57" s="1"/>
  <c r="Q813" i="57"/>
  <c r="Q390" i="57" s="1"/>
  <c r="B955" i="57"/>
  <c r="B959" i="58" s="1"/>
  <c r="B848" i="57"/>
  <c r="AE848" i="57" s="1"/>
  <c r="B850" i="57"/>
  <c r="AE850" i="57" s="1"/>
  <c r="B957" i="57"/>
  <c r="B961" i="58" s="1"/>
  <c r="B843" i="57"/>
  <c r="AE843" i="57" s="1"/>
  <c r="B950" i="57"/>
  <c r="B954" i="58" s="1"/>
  <c r="B851" i="57"/>
  <c r="AE851" i="57" s="1"/>
  <c r="B958" i="57"/>
  <c r="B962" i="58" s="1"/>
  <c r="B951" i="57"/>
  <c r="B955" i="58" s="1"/>
  <c r="B844" i="57"/>
  <c r="AE844" i="57" s="1"/>
  <c r="B959" i="57"/>
  <c r="B963" i="58" s="1"/>
  <c r="B852" i="57"/>
  <c r="AE852" i="57" s="1"/>
  <c r="B845" i="57"/>
  <c r="AE845" i="57" s="1"/>
  <c r="B952" i="57"/>
  <c r="B956" i="58" s="1"/>
  <c r="B853" i="57"/>
  <c r="AE853" i="57" s="1"/>
  <c r="B960" i="57"/>
  <c r="B964" i="58" s="1"/>
  <c r="D752" i="57"/>
  <c r="B849" i="57"/>
  <c r="AE849" i="57" s="1"/>
  <c r="B956" i="57"/>
  <c r="B960" i="58" s="1"/>
  <c r="B854" i="57"/>
  <c r="AE854" i="57" s="1"/>
  <c r="B961" i="57"/>
  <c r="B965" i="58" s="1"/>
  <c r="B846" i="57"/>
  <c r="AE846" i="57" s="1"/>
  <c r="B953" i="57"/>
  <c r="B957" i="58" s="1"/>
  <c r="B842" i="57"/>
  <c r="AE842" i="57" s="1"/>
  <c r="B949" i="57"/>
  <c r="B953" i="58" s="1"/>
  <c r="D753" i="57"/>
  <c r="B847" i="57"/>
  <c r="AE847" i="57" s="1"/>
  <c r="B954" i="57"/>
  <c r="B958" i="58" s="1"/>
  <c r="Y997" i="57"/>
  <c r="Y1001" i="58" s="1"/>
  <c r="Y984" i="57"/>
  <c r="Y988" i="58" s="1"/>
  <c r="C997" i="57"/>
  <c r="C1001" i="58" s="1"/>
  <c r="C983" i="57"/>
  <c r="C987" i="58" s="1"/>
  <c r="J976" i="57"/>
  <c r="I983" i="57"/>
  <c r="AZ983" i="57" s="1"/>
  <c r="C981" i="57"/>
  <c r="C985" i="58" s="1"/>
  <c r="I985" i="57"/>
  <c r="AZ985" i="57" s="1"/>
  <c r="L980" i="57"/>
  <c r="L984" i="58" s="1"/>
  <c r="J997" i="57"/>
  <c r="D979" i="57"/>
  <c r="D998" i="57"/>
  <c r="J979" i="57"/>
  <c r="C982" i="57"/>
  <c r="C986" i="58" s="1"/>
  <c r="Y980" i="57"/>
  <c r="Y984" i="58" s="1"/>
  <c r="Y979" i="57"/>
  <c r="Y983" i="58" s="1"/>
  <c r="L997" i="57"/>
  <c r="L1001" i="58" s="1"/>
  <c r="I997" i="57"/>
  <c r="AZ997" i="57" s="1"/>
  <c r="D984" i="57"/>
  <c r="C998" i="57"/>
  <c r="C1002" i="58" s="1"/>
  <c r="J981" i="57"/>
  <c r="I998" i="57"/>
  <c r="AZ998" i="57" s="1"/>
  <c r="E984" i="57"/>
  <c r="E988" i="58" s="1"/>
  <c r="E773" i="58" s="1"/>
  <c r="L976" i="57"/>
  <c r="L980" i="58" s="1"/>
  <c r="E979" i="57"/>
  <c r="E983" i="58" s="1"/>
  <c r="E768" i="58" s="1"/>
  <c r="L984" i="57"/>
  <c r="L988" i="58" s="1"/>
  <c r="I980" i="57"/>
  <c r="AZ980" i="57" s="1"/>
  <c r="D981" i="57"/>
  <c r="C980" i="58"/>
  <c r="J998" i="57"/>
  <c r="L973" i="57"/>
  <c r="L977" i="58" s="1"/>
  <c r="Y983" i="57"/>
  <c r="Y987" i="58" s="1"/>
  <c r="Y985" i="57"/>
  <c r="Y989" i="58" s="1"/>
  <c r="I981" i="57"/>
  <c r="J980" i="57"/>
  <c r="D978" i="57"/>
  <c r="D997" i="57"/>
  <c r="L979" i="57"/>
  <c r="L983" i="58" s="1"/>
  <c r="J985" i="57"/>
  <c r="J989" i="58" s="1"/>
  <c r="E978" i="57"/>
  <c r="E982" i="58" s="1"/>
  <c r="E767" i="58" s="1"/>
  <c r="C980" i="57"/>
  <c r="C984" i="58" s="1"/>
  <c r="L985" i="57"/>
  <c r="L989" i="58" s="1"/>
  <c r="J978" i="57"/>
  <c r="I984" i="57"/>
  <c r="AZ984" i="57" s="1"/>
  <c r="D983" i="57"/>
  <c r="C985" i="57"/>
  <c r="C989" i="58" s="1"/>
  <c r="E981" i="57"/>
  <c r="E985" i="58" s="1"/>
  <c r="E770" i="58" s="1"/>
  <c r="Y981" i="57"/>
  <c r="Y985" i="58" s="1"/>
  <c r="Y976" i="57"/>
  <c r="Y980" i="58" s="1"/>
  <c r="F876" i="57"/>
  <c r="E983" i="57"/>
  <c r="E987" i="58" s="1"/>
  <c r="E772" i="58" s="1"/>
  <c r="J984" i="57"/>
  <c r="D980" i="57"/>
  <c r="C979" i="57"/>
  <c r="C983" i="58" s="1"/>
  <c r="L983" i="57"/>
  <c r="L987" i="58" s="1"/>
  <c r="I979" i="57"/>
  <c r="AZ979" i="57" s="1"/>
  <c r="E980" i="57"/>
  <c r="E984" i="58" s="1"/>
  <c r="E769" i="58" s="1"/>
  <c r="C984" i="57"/>
  <c r="C988" i="58" s="1"/>
  <c r="J983" i="57"/>
  <c r="C978" i="57"/>
  <c r="C982" i="58" s="1"/>
  <c r="J982" i="57"/>
  <c r="D976" i="57"/>
  <c r="D985" i="57"/>
  <c r="D989" i="58" s="1"/>
  <c r="L981" i="57"/>
  <c r="L985" i="58" s="1"/>
  <c r="E998" i="57"/>
  <c r="E1002" i="58" s="1"/>
  <c r="Y975" i="57"/>
  <c r="Y979" i="58" s="1"/>
  <c r="Y973" i="57"/>
  <c r="Y977" i="58" s="1"/>
  <c r="D982" i="57"/>
  <c r="I978" i="57"/>
  <c r="AZ978" i="57" s="1"/>
  <c r="I974" i="57"/>
  <c r="AZ974" i="57" s="1"/>
  <c r="E973" i="57"/>
  <c r="E977" i="58" s="1"/>
  <c r="E763" i="58" s="1"/>
  <c r="I973" i="57"/>
  <c r="AZ973" i="57" s="1"/>
  <c r="D975" i="57"/>
  <c r="E974" i="57"/>
  <c r="E978" i="58" s="1"/>
  <c r="E764" i="58" s="1"/>
  <c r="G876" i="57"/>
  <c r="Y982" i="57"/>
  <c r="Y986" i="58" s="1"/>
  <c r="Y974" i="57"/>
  <c r="Y978" i="58" s="1"/>
  <c r="C975" i="57"/>
  <c r="C979" i="58" s="1"/>
  <c r="C973" i="57"/>
  <c r="C977" i="58" s="1"/>
  <c r="D973" i="57"/>
  <c r="L974" i="57"/>
  <c r="L978" i="58" s="1"/>
  <c r="L998" i="57"/>
  <c r="L1002" i="58" s="1"/>
  <c r="I976" i="57"/>
  <c r="AZ976" i="57" s="1"/>
  <c r="H876" i="57"/>
  <c r="L978" i="57"/>
  <c r="L982" i="58" s="1"/>
  <c r="E997" i="57"/>
  <c r="E1001" i="58" s="1"/>
  <c r="Y998" i="57"/>
  <c r="Y1002" i="58" s="1"/>
  <c r="L982" i="57"/>
  <c r="L986" i="58" s="1"/>
  <c r="I975" i="57"/>
  <c r="AZ975" i="57" s="1"/>
  <c r="L975" i="57"/>
  <c r="L979" i="58" s="1"/>
  <c r="D974" i="57"/>
  <c r="C974" i="57"/>
  <c r="C978" i="58" s="1"/>
  <c r="Y978" i="57"/>
  <c r="Y982" i="58" s="1"/>
  <c r="E982" i="57"/>
  <c r="E986" i="58" s="1"/>
  <c r="E771" i="58" s="1"/>
  <c r="J973" i="57"/>
  <c r="J975" i="57"/>
  <c r="J974" i="57"/>
  <c r="E694" i="54"/>
  <c r="E663" i="54"/>
  <c r="B543" i="54"/>
  <c r="B534" i="54"/>
  <c r="B575" i="54" s="1"/>
  <c r="B536" i="54"/>
  <c r="B541" i="54"/>
  <c r="B577" i="54" s="1"/>
  <c r="B542" i="54"/>
  <c r="B578" i="54" s="1"/>
  <c r="B535" i="54"/>
  <c r="B576" i="54" s="1"/>
  <c r="B533" i="54"/>
  <c r="B574" i="54" s="1"/>
  <c r="F8" i="54"/>
  <c r="BJ792" i="54" s="1"/>
  <c r="G8" i="54"/>
  <c r="F9" i="54"/>
  <c r="G9" i="54"/>
  <c r="G7" i="54"/>
  <c r="J512" i="54"/>
  <c r="J513" i="54"/>
  <c r="J514" i="54"/>
  <c r="J515" i="54"/>
  <c r="B725" i="54"/>
  <c r="J522" i="54"/>
  <c r="B726" i="54"/>
  <c r="J523" i="54"/>
  <c r="J524" i="54"/>
  <c r="B728" i="54"/>
  <c r="J525" i="54"/>
  <c r="J516" i="54"/>
  <c r="J517" i="54"/>
  <c r="J520" i="54"/>
  <c r="J521" i="54"/>
  <c r="B722" i="54"/>
  <c r="B721" i="54"/>
  <c r="J487" i="54"/>
  <c r="J488" i="54"/>
  <c r="J489" i="54"/>
  <c r="J490" i="54"/>
  <c r="J491" i="54"/>
  <c r="J492" i="54"/>
  <c r="J493" i="54"/>
  <c r="J494" i="54"/>
  <c r="J495" i="54"/>
  <c r="J496" i="54"/>
  <c r="J497" i="54"/>
  <c r="J498" i="54"/>
  <c r="J499" i="54"/>
  <c r="J500" i="54"/>
  <c r="J504" i="54"/>
  <c r="J505" i="54"/>
  <c r="J506" i="54"/>
  <c r="J507" i="54"/>
  <c r="J508" i="54"/>
  <c r="J509" i="54"/>
  <c r="J518" i="54"/>
  <c r="J519" i="54"/>
  <c r="B705" i="54"/>
  <c r="Y705" i="54" s="1"/>
  <c r="B709" i="54"/>
  <c r="E656" i="54"/>
  <c r="B715" i="54"/>
  <c r="Y715" i="54" s="1"/>
  <c r="B716" i="54"/>
  <c r="E676" i="54"/>
  <c r="E890" i="57" s="1"/>
  <c r="E678" i="54"/>
  <c r="E892" i="57" s="1"/>
  <c r="AC800" i="58" l="1"/>
  <c r="AC794" i="58"/>
  <c r="AC799" i="58"/>
  <c r="AD799" i="58"/>
  <c r="Q799" i="58" s="1"/>
  <c r="R799" i="58" s="1"/>
  <c r="C801" i="58"/>
  <c r="AC801" i="58" s="1"/>
  <c r="P868" i="57"/>
  <c r="D386" i="58"/>
  <c r="D391" i="58" s="1"/>
  <c r="P354" i="58"/>
  <c r="G801" i="58"/>
  <c r="G799" i="58"/>
  <c r="G800" i="58"/>
  <c r="X968" i="58"/>
  <c r="U968" i="58"/>
  <c r="AD968" i="58"/>
  <c r="AP968" i="58"/>
  <c r="V968" i="58"/>
  <c r="Z968" i="58"/>
  <c r="AK968" i="58"/>
  <c r="AQ968" i="58"/>
  <c r="W968" i="58"/>
  <c r="AW981" i="57"/>
  <c r="AZ981" i="57"/>
  <c r="I986" i="58"/>
  <c r="AZ982" i="57"/>
  <c r="AD964" i="57"/>
  <c r="AZ964" i="57"/>
  <c r="AC868" i="57"/>
  <c r="I868" i="57"/>
  <c r="Z868" i="57"/>
  <c r="X868" i="57"/>
  <c r="U964" i="57"/>
  <c r="AX964" i="57"/>
  <c r="V964" i="57"/>
  <c r="Z964" i="57"/>
  <c r="AK964" i="57"/>
  <c r="AP964" i="57"/>
  <c r="W964" i="57"/>
  <c r="AQ964" i="57"/>
  <c r="X964" i="57"/>
  <c r="AW964" i="57"/>
  <c r="AB868" i="57"/>
  <c r="AS746" i="54"/>
  <c r="Q839" i="54"/>
  <c r="D699" i="57"/>
  <c r="B699" i="57" s="1"/>
  <c r="D693" i="57"/>
  <c r="B693" i="57" s="1"/>
  <c r="Y709" i="54"/>
  <c r="D695" i="57"/>
  <c r="B695" i="57" s="1"/>
  <c r="D696" i="57"/>
  <c r="B696" i="57" s="1"/>
  <c r="D713" i="57"/>
  <c r="B713" i="57" s="1"/>
  <c r="Y716" i="54"/>
  <c r="D698" i="57"/>
  <c r="B698" i="57" s="1"/>
  <c r="AP674" i="54"/>
  <c r="AP675" i="54"/>
  <c r="K248" i="54"/>
  <c r="AH551" i="54"/>
  <c r="C859" i="54"/>
  <c r="C867" i="54"/>
  <c r="G375" i="54"/>
  <c r="C851" i="54"/>
  <c r="G306" i="54"/>
  <c r="G372" i="54"/>
  <c r="M391" i="54" s="1"/>
  <c r="M396" i="54" s="1"/>
  <c r="D476" i="54"/>
  <c r="G303" i="54"/>
  <c r="AR916" i="58"/>
  <c r="G917" i="58"/>
  <c r="Q824" i="54"/>
  <c r="Q823" i="54"/>
  <c r="D760" i="57"/>
  <c r="B760" i="57" s="1"/>
  <c r="B753" i="57"/>
  <c r="D757" i="57"/>
  <c r="B757" i="57" s="1"/>
  <c r="B787" i="57" s="1"/>
  <c r="B752" i="57"/>
  <c r="B786" i="57" s="1"/>
  <c r="I980" i="58"/>
  <c r="U980" i="58" s="1"/>
  <c r="AW976" i="57"/>
  <c r="AX976" i="57"/>
  <c r="I977" i="58"/>
  <c r="W977" i="58" s="1"/>
  <c r="AX973" i="57"/>
  <c r="AW973" i="57"/>
  <c r="I983" i="58"/>
  <c r="W983" i="58" s="1"/>
  <c r="AW979" i="57"/>
  <c r="AX979" i="57"/>
  <c r="I988" i="58"/>
  <c r="Z988" i="58" s="1"/>
  <c r="AX984" i="57"/>
  <c r="AW984" i="57"/>
  <c r="AW985" i="57"/>
  <c r="AX985" i="57"/>
  <c r="B359" i="58"/>
  <c r="AC797" i="58"/>
  <c r="AW989" i="57"/>
  <c r="AX989" i="57"/>
  <c r="AX990" i="57"/>
  <c r="AW990" i="57"/>
  <c r="AW987" i="57"/>
  <c r="AX987" i="57"/>
  <c r="AX986" i="57"/>
  <c r="AW986" i="57"/>
  <c r="I984" i="58"/>
  <c r="AK984" i="58" s="1"/>
  <c r="O984" i="58" s="1"/>
  <c r="AX980" i="57"/>
  <c r="AW980" i="57"/>
  <c r="AC815" i="57"/>
  <c r="AW991" i="57"/>
  <c r="AX991" i="57"/>
  <c r="E896" i="58"/>
  <c r="I979" i="58"/>
  <c r="AK979" i="58" s="1"/>
  <c r="O979" i="58" s="1"/>
  <c r="AX975" i="57"/>
  <c r="AW975" i="57"/>
  <c r="I978" i="58"/>
  <c r="U978" i="58" s="1"/>
  <c r="AW974" i="57"/>
  <c r="AX974" i="57"/>
  <c r="I985" i="58"/>
  <c r="AQ985" i="58" s="1"/>
  <c r="AX981" i="57"/>
  <c r="I1002" i="58"/>
  <c r="Z1002" i="58" s="1"/>
  <c r="AW998" i="57"/>
  <c r="I1001" i="58"/>
  <c r="U1001" i="58" s="1"/>
  <c r="AW997" i="57"/>
  <c r="I987" i="58"/>
  <c r="I772" i="58" s="1"/>
  <c r="AW983" i="57"/>
  <c r="AX983" i="57"/>
  <c r="I999" i="58"/>
  <c r="AD999" i="58" s="1"/>
  <c r="AX995" i="57"/>
  <c r="AW995" i="57"/>
  <c r="E894" i="58"/>
  <c r="I982" i="58"/>
  <c r="I767" i="58" s="1"/>
  <c r="AX978" i="57"/>
  <c r="AW978" i="57"/>
  <c r="I1000" i="58"/>
  <c r="AD1000" i="58" s="1"/>
  <c r="AW996" i="57"/>
  <c r="AX996" i="57"/>
  <c r="AX992" i="57"/>
  <c r="AW992" i="57"/>
  <c r="AX988" i="57"/>
  <c r="AW988" i="57"/>
  <c r="AW993" i="57"/>
  <c r="AX993" i="57"/>
  <c r="AX982" i="57"/>
  <c r="AW982" i="57"/>
  <c r="E880" i="54"/>
  <c r="E882" i="54"/>
  <c r="E879" i="54"/>
  <c r="E881" i="54"/>
  <c r="E892" i="54"/>
  <c r="E891" i="54"/>
  <c r="E890" i="54"/>
  <c r="E889" i="54"/>
  <c r="E888" i="54"/>
  <c r="E878" i="54"/>
  <c r="D471" i="54"/>
  <c r="D466" i="54"/>
  <c r="D461" i="54"/>
  <c r="D445" i="54"/>
  <c r="B272" i="54"/>
  <c r="B282" i="54"/>
  <c r="AU995" i="57"/>
  <c r="D999" i="58"/>
  <c r="AU999" i="58" s="1"/>
  <c r="K995" i="57"/>
  <c r="K999" i="58" s="1"/>
  <c r="J999" i="58"/>
  <c r="AU987" i="57"/>
  <c r="D991" i="58"/>
  <c r="AU991" i="58" s="1"/>
  <c r="D776" i="58"/>
  <c r="K987" i="57"/>
  <c r="K991" i="58" s="1"/>
  <c r="J991" i="58"/>
  <c r="I778" i="58"/>
  <c r="I993" i="58"/>
  <c r="K993" i="57"/>
  <c r="K997" i="58" s="1"/>
  <c r="J997" i="58"/>
  <c r="I779" i="58"/>
  <c r="I994" i="58"/>
  <c r="I991" i="58"/>
  <c r="I776" i="58"/>
  <c r="C778" i="58"/>
  <c r="C993" i="58"/>
  <c r="I775" i="58"/>
  <c r="I990" i="58"/>
  <c r="I989" i="58"/>
  <c r="I774" i="58" s="1"/>
  <c r="AU996" i="57"/>
  <c r="D1000" i="58"/>
  <c r="AU1000" i="58" s="1"/>
  <c r="I995" i="58"/>
  <c r="I780" i="58"/>
  <c r="K989" i="57"/>
  <c r="K993" i="58" s="1"/>
  <c r="J993" i="58"/>
  <c r="AU991" i="57"/>
  <c r="D995" i="58"/>
  <c r="AU995" i="58" s="1"/>
  <c r="D780" i="58"/>
  <c r="C991" i="58"/>
  <c r="C776" i="58"/>
  <c r="C990" i="58"/>
  <c r="C775" i="58"/>
  <c r="AU989" i="57"/>
  <c r="D778" i="58"/>
  <c r="D993" i="58"/>
  <c r="AU993" i="58" s="1"/>
  <c r="C781" i="58"/>
  <c r="C996" i="58"/>
  <c r="K996" i="57"/>
  <c r="K1000" i="58" s="1"/>
  <c r="J1000" i="58"/>
  <c r="K986" i="57"/>
  <c r="K990" i="58" s="1"/>
  <c r="J990" i="58"/>
  <c r="AU993" i="57"/>
  <c r="D782" i="58"/>
  <c r="D997" i="58"/>
  <c r="AU997" i="58" s="1"/>
  <c r="C994" i="58"/>
  <c r="C779" i="58"/>
  <c r="K988" i="57"/>
  <c r="K992" i="58" s="1"/>
  <c r="J992" i="58"/>
  <c r="AU992" i="57"/>
  <c r="D996" i="58"/>
  <c r="AU996" i="58" s="1"/>
  <c r="D781" i="58"/>
  <c r="AU986" i="57"/>
  <c r="D990" i="58"/>
  <c r="AU990" i="58" s="1"/>
  <c r="D775" i="58"/>
  <c r="C995" i="58"/>
  <c r="C780" i="58"/>
  <c r="C777" i="58"/>
  <c r="C992" i="58"/>
  <c r="K992" i="57"/>
  <c r="K996" i="58" s="1"/>
  <c r="J996" i="58"/>
  <c r="I996" i="58"/>
  <c r="I781" i="58"/>
  <c r="AU990" i="57"/>
  <c r="D779" i="58"/>
  <c r="D994" i="58"/>
  <c r="AU994" i="58" s="1"/>
  <c r="C782" i="58"/>
  <c r="C997" i="58"/>
  <c r="K991" i="57"/>
  <c r="K995" i="58" s="1"/>
  <c r="J995" i="58"/>
  <c r="I992" i="58"/>
  <c r="I777" i="58"/>
  <c r="I782" i="58"/>
  <c r="I997" i="58"/>
  <c r="K990" i="57"/>
  <c r="K994" i="58" s="1"/>
  <c r="J994" i="58"/>
  <c r="AU988" i="57"/>
  <c r="D992" i="58"/>
  <c r="AU992" i="58" s="1"/>
  <c r="D777" i="58"/>
  <c r="W992" i="57"/>
  <c r="AD992" i="57"/>
  <c r="AK992" i="57"/>
  <c r="Z992" i="57"/>
  <c r="U992" i="57"/>
  <c r="X992" i="57"/>
  <c r="V992" i="57"/>
  <c r="AP992" i="57"/>
  <c r="AQ992" i="57"/>
  <c r="W986" i="57"/>
  <c r="AQ986" i="57"/>
  <c r="AK986" i="57"/>
  <c r="AP986" i="57"/>
  <c r="AD986" i="57"/>
  <c r="X986" i="57"/>
  <c r="U986" i="57"/>
  <c r="Z986" i="57"/>
  <c r="V986" i="57"/>
  <c r="W988" i="57"/>
  <c r="U988" i="57"/>
  <c r="AD988" i="57"/>
  <c r="AK988" i="57"/>
  <c r="Z988" i="57"/>
  <c r="X988" i="57"/>
  <c r="V988" i="57"/>
  <c r="AP988" i="57"/>
  <c r="AQ988" i="57"/>
  <c r="W989" i="57"/>
  <c r="Z989" i="57"/>
  <c r="V989" i="57"/>
  <c r="U989" i="57"/>
  <c r="AQ989" i="57"/>
  <c r="AP989" i="57"/>
  <c r="AK989" i="57"/>
  <c r="AD989" i="57"/>
  <c r="X989" i="57"/>
  <c r="W990" i="57"/>
  <c r="V990" i="57"/>
  <c r="AP990" i="57"/>
  <c r="AK990" i="57"/>
  <c r="AQ990" i="57"/>
  <c r="X990" i="57"/>
  <c r="AD990" i="57"/>
  <c r="Z990" i="57"/>
  <c r="U990" i="57"/>
  <c r="W993" i="57"/>
  <c r="Z993" i="57"/>
  <c r="AP993" i="57"/>
  <c r="V993" i="57"/>
  <c r="AQ993" i="57"/>
  <c r="AK993" i="57"/>
  <c r="AD993" i="57"/>
  <c r="U993" i="57"/>
  <c r="X993" i="57"/>
  <c r="W991" i="57"/>
  <c r="X991" i="57"/>
  <c r="AQ991" i="57"/>
  <c r="AP991" i="57"/>
  <c r="AD991" i="57"/>
  <c r="U991" i="57"/>
  <c r="Z991" i="57"/>
  <c r="AK991" i="57"/>
  <c r="V991" i="57"/>
  <c r="W987" i="57"/>
  <c r="U987" i="57"/>
  <c r="AQ987" i="57"/>
  <c r="AD987" i="57"/>
  <c r="Z987" i="57"/>
  <c r="AK987" i="57"/>
  <c r="AP987" i="57"/>
  <c r="V987" i="57"/>
  <c r="X987" i="57"/>
  <c r="C774" i="58"/>
  <c r="B724" i="54"/>
  <c r="B723" i="54"/>
  <c r="AH527" i="54"/>
  <c r="AS729" i="54"/>
  <c r="AS730" i="54"/>
  <c r="L730" i="54"/>
  <c r="L948" i="57" s="1"/>
  <c r="L952" i="58" s="1"/>
  <c r="J730" i="54"/>
  <c r="J729" i="54"/>
  <c r="L729" i="54"/>
  <c r="L947" i="57" s="1"/>
  <c r="L951" i="58" s="1"/>
  <c r="X995" i="57"/>
  <c r="AP995" i="57"/>
  <c r="Z995" i="57"/>
  <c r="AK995" i="57"/>
  <c r="W995" i="57"/>
  <c r="V995" i="57"/>
  <c r="AQ995" i="57"/>
  <c r="AD995" i="57"/>
  <c r="U995" i="57"/>
  <c r="X996" i="57"/>
  <c r="U996" i="57"/>
  <c r="AK996" i="57"/>
  <c r="V996" i="57"/>
  <c r="Z996" i="57"/>
  <c r="AP996" i="57"/>
  <c r="W996" i="57"/>
  <c r="AD996" i="57"/>
  <c r="AQ996" i="57"/>
  <c r="F877" i="57"/>
  <c r="F878" i="57" s="1"/>
  <c r="F879" i="57" s="1"/>
  <c r="F880" i="57" s="1"/>
  <c r="F881" i="57" s="1"/>
  <c r="F882" i="57" s="1"/>
  <c r="F883" i="57" s="1"/>
  <c r="F884" i="57" s="1"/>
  <c r="F885" i="57" s="1"/>
  <c r="F886" i="57" s="1"/>
  <c r="F887" i="57" s="1"/>
  <c r="F888" i="57" s="1"/>
  <c r="F889" i="57" s="1"/>
  <c r="Z865" i="57"/>
  <c r="AH526" i="54"/>
  <c r="Q822" i="54"/>
  <c r="Q826" i="54"/>
  <c r="Q828" i="54"/>
  <c r="Q830" i="54"/>
  <c r="Q821" i="54"/>
  <c r="Q825" i="54"/>
  <c r="Q827" i="54"/>
  <c r="Q829" i="54"/>
  <c r="Q831" i="54"/>
  <c r="E885" i="58"/>
  <c r="Y972" i="57"/>
  <c r="Y976" i="58" s="1"/>
  <c r="Y971" i="57"/>
  <c r="Y975" i="58" s="1"/>
  <c r="Y968" i="57"/>
  <c r="Y972" i="58" s="1"/>
  <c r="Y970" i="57"/>
  <c r="Y974" i="58" s="1"/>
  <c r="Y969" i="57"/>
  <c r="Y973" i="58" s="1"/>
  <c r="Y966" i="57"/>
  <c r="Y970" i="58" s="1"/>
  <c r="AU683" i="54"/>
  <c r="AU667" i="54"/>
  <c r="AU687" i="54"/>
  <c r="AU685" i="54"/>
  <c r="AU677" i="54"/>
  <c r="AU681" i="54"/>
  <c r="AU680" i="54"/>
  <c r="AU682" i="54"/>
  <c r="AU679" i="54"/>
  <c r="AU669" i="54"/>
  <c r="AU686" i="54"/>
  <c r="AU684" i="54"/>
  <c r="AU693" i="54"/>
  <c r="AU695" i="54"/>
  <c r="AU689" i="54"/>
  <c r="AU697" i="54"/>
  <c r="AU676" i="54"/>
  <c r="AU656" i="54"/>
  <c r="AU663" i="54"/>
  <c r="AU696" i="54"/>
  <c r="AU661" i="54"/>
  <c r="AU671" i="54"/>
  <c r="AU673" i="54"/>
  <c r="AU694" i="54"/>
  <c r="AU692" i="54"/>
  <c r="AU688" i="54"/>
  <c r="AU678" i="54"/>
  <c r="AU665" i="54"/>
  <c r="AU690" i="54"/>
  <c r="AU691" i="54"/>
  <c r="BJ782" i="54"/>
  <c r="BJ784" i="54"/>
  <c r="BJ786" i="54"/>
  <c r="BJ783" i="54"/>
  <c r="BJ785" i="54"/>
  <c r="BJ787" i="54"/>
  <c r="E883" i="57"/>
  <c r="B936" i="58"/>
  <c r="E889" i="58" s="1"/>
  <c r="E881" i="57"/>
  <c r="AS747" i="54"/>
  <c r="AS752" i="54"/>
  <c r="AS753" i="54"/>
  <c r="AS754" i="54"/>
  <c r="AS748" i="54"/>
  <c r="AS749" i="54"/>
  <c r="AS750" i="54"/>
  <c r="AS751" i="54"/>
  <c r="J747" i="54"/>
  <c r="I750" i="54"/>
  <c r="I751" i="54"/>
  <c r="I754" i="54"/>
  <c r="L748" i="54"/>
  <c r="L753" i="54"/>
  <c r="L752" i="54"/>
  <c r="L747" i="54"/>
  <c r="J754" i="54"/>
  <c r="J748" i="54"/>
  <c r="J753" i="54"/>
  <c r="J752" i="54"/>
  <c r="I748" i="54"/>
  <c r="I753" i="54"/>
  <c r="I752" i="54"/>
  <c r="I747" i="54"/>
  <c r="L754" i="54"/>
  <c r="L750" i="54"/>
  <c r="J750" i="54"/>
  <c r="L751" i="54"/>
  <c r="J751" i="54"/>
  <c r="J719" i="54"/>
  <c r="L749" i="54"/>
  <c r="J720" i="54"/>
  <c r="I749" i="54"/>
  <c r="J749" i="54"/>
  <c r="J744" i="54"/>
  <c r="K870" i="58" s="1"/>
  <c r="J725" i="54"/>
  <c r="J733" i="54"/>
  <c r="K859" i="58" s="1"/>
  <c r="J745" i="54"/>
  <c r="K871" i="58" s="1"/>
  <c r="L745" i="54"/>
  <c r="L871" i="58" s="1"/>
  <c r="J712" i="54"/>
  <c r="J736" i="54"/>
  <c r="K862" i="58" s="1"/>
  <c r="J743" i="54"/>
  <c r="K869" i="58" s="1"/>
  <c r="J734" i="54"/>
  <c r="K860" i="58" s="1"/>
  <c r="J716" i="54"/>
  <c r="J709" i="54"/>
  <c r="B923" i="57"/>
  <c r="B927" i="58" s="1"/>
  <c r="B743" i="58" s="1"/>
  <c r="J705" i="54"/>
  <c r="J722" i="54"/>
  <c r="B946" i="57"/>
  <c r="B950" i="58" s="1"/>
  <c r="B760" i="58" s="1"/>
  <c r="J728" i="54"/>
  <c r="J726" i="54"/>
  <c r="J714" i="54"/>
  <c r="J741" i="54"/>
  <c r="K867" i="58" s="1"/>
  <c r="J732" i="54"/>
  <c r="K858" i="58" s="1"/>
  <c r="J739" i="54"/>
  <c r="K865" i="58" s="1"/>
  <c r="J737" i="54"/>
  <c r="K863" i="58" s="1"/>
  <c r="J735" i="54"/>
  <c r="K861" i="58" s="1"/>
  <c r="J742" i="54"/>
  <c r="K868" i="58" s="1"/>
  <c r="B933" i="57"/>
  <c r="B937" i="58" s="1"/>
  <c r="B749" i="58" s="1"/>
  <c r="J715" i="54"/>
  <c r="J721" i="54"/>
  <c r="J740" i="54"/>
  <c r="K866" i="58" s="1"/>
  <c r="J731" i="54"/>
  <c r="J738" i="54"/>
  <c r="K864" i="58" s="1"/>
  <c r="AN665" i="54"/>
  <c r="AT690" i="54"/>
  <c r="AT688" i="54"/>
  <c r="AT671" i="54"/>
  <c r="AT683" i="54"/>
  <c r="L683" i="54"/>
  <c r="I679" i="54"/>
  <c r="AT667" i="54"/>
  <c r="L685" i="54"/>
  <c r="AN685" i="54"/>
  <c r="AN899" i="57" s="1"/>
  <c r="AN903" i="58" s="1"/>
  <c r="AT680" i="54"/>
  <c r="L680" i="54"/>
  <c r="AN669" i="54"/>
  <c r="I687" i="54"/>
  <c r="AT677" i="54"/>
  <c r="AN679" i="54"/>
  <c r="AN893" i="57" s="1"/>
  <c r="AN897" i="58" s="1"/>
  <c r="L669" i="54"/>
  <c r="M669" i="54" s="1"/>
  <c r="L682" i="54"/>
  <c r="AT682" i="54"/>
  <c r="AN683" i="54"/>
  <c r="AN897" i="57" s="1"/>
  <c r="AN901" i="58" s="1"/>
  <c r="I681" i="54"/>
  <c r="L667" i="54"/>
  <c r="M667" i="54" s="1"/>
  <c r="AN667" i="54"/>
  <c r="AN680" i="54"/>
  <c r="AN894" i="57" s="1"/>
  <c r="AN898" i="58" s="1"/>
  <c r="I680" i="54"/>
  <c r="L677" i="54"/>
  <c r="AN677" i="54"/>
  <c r="AN891" i="57" s="1"/>
  <c r="AN895" i="58" s="1"/>
  <c r="AN687" i="54"/>
  <c r="AN901" i="57" s="1"/>
  <c r="AN905" i="58" s="1"/>
  <c r="I677" i="54"/>
  <c r="AN682" i="54"/>
  <c r="AN896" i="57" s="1"/>
  <c r="AN900" i="58" s="1"/>
  <c r="I683" i="54"/>
  <c r="AT681" i="54"/>
  <c r="AT679" i="54"/>
  <c r="L679" i="54"/>
  <c r="I685" i="54"/>
  <c r="AT687" i="54"/>
  <c r="L687" i="54"/>
  <c r="I682" i="54"/>
  <c r="L681" i="54"/>
  <c r="AN681" i="54"/>
  <c r="AN895" i="57" s="1"/>
  <c r="AN899" i="58" s="1"/>
  <c r="AT685" i="54"/>
  <c r="AT669" i="54"/>
  <c r="L686" i="54"/>
  <c r="AN686" i="54"/>
  <c r="AN900" i="57" s="1"/>
  <c r="AN904" i="58" s="1"/>
  <c r="AT686" i="54"/>
  <c r="AT684" i="54"/>
  <c r="L684" i="54"/>
  <c r="I686" i="54"/>
  <c r="AN684" i="54"/>
  <c r="AN898" i="57" s="1"/>
  <c r="AN902" i="58" s="1"/>
  <c r="I684" i="54"/>
  <c r="AT693" i="54"/>
  <c r="AT695" i="54"/>
  <c r="AT697" i="54"/>
  <c r="AT689" i="54"/>
  <c r="AN673" i="54"/>
  <c r="L665" i="54"/>
  <c r="M665" i="54" s="1"/>
  <c r="AT665" i="54"/>
  <c r="L678" i="54"/>
  <c r="AT678" i="54"/>
  <c r="AN678" i="54"/>
  <c r="AN892" i="57" s="1"/>
  <c r="AN896" i="58" s="1"/>
  <c r="AN661" i="54"/>
  <c r="M673" i="54"/>
  <c r="AT673" i="54"/>
  <c r="AT696" i="54"/>
  <c r="AT694" i="54"/>
  <c r="AT676" i="54"/>
  <c r="AN676" i="54"/>
  <c r="AN890" i="57" s="1"/>
  <c r="AN894" i="58" s="1"/>
  <c r="L676" i="54"/>
  <c r="AN656" i="54"/>
  <c r="AT656" i="54"/>
  <c r="L656" i="54"/>
  <c r="M656" i="54" s="1"/>
  <c r="AP679" i="54"/>
  <c r="AP893" i="57" s="1"/>
  <c r="AP897" i="58" s="1"/>
  <c r="AP683" i="54"/>
  <c r="AP897" i="57" s="1"/>
  <c r="AP901" i="58" s="1"/>
  <c r="AP687" i="54"/>
  <c r="AP901" i="57" s="1"/>
  <c r="AP905" i="58" s="1"/>
  <c r="AP678" i="54"/>
  <c r="AP892" i="57" s="1"/>
  <c r="AP896" i="58" s="1"/>
  <c r="AP682" i="54"/>
  <c r="AP896" i="57" s="1"/>
  <c r="AP900" i="58" s="1"/>
  <c r="AP686" i="54"/>
  <c r="AP900" i="57" s="1"/>
  <c r="AP904" i="58" s="1"/>
  <c r="AP677" i="54"/>
  <c r="AP891" i="57" s="1"/>
  <c r="AP895" i="58" s="1"/>
  <c r="AP681" i="54"/>
  <c r="AP895" i="57" s="1"/>
  <c r="AP899" i="58" s="1"/>
  <c r="AP685" i="54"/>
  <c r="AP899" i="57" s="1"/>
  <c r="AP903" i="58" s="1"/>
  <c r="AP676" i="54"/>
  <c r="AP890" i="57" s="1"/>
  <c r="AP894" i="58" s="1"/>
  <c r="AP680" i="54"/>
  <c r="AP894" i="57" s="1"/>
  <c r="AP898" i="58" s="1"/>
  <c r="AP684" i="54"/>
  <c r="AP898" i="57" s="1"/>
  <c r="AP902" i="58" s="1"/>
  <c r="L663" i="54"/>
  <c r="M663" i="54" s="1"/>
  <c r="AT663" i="54"/>
  <c r="AN663" i="54"/>
  <c r="AT692" i="54"/>
  <c r="L661" i="54"/>
  <c r="M661" i="54" s="1"/>
  <c r="AT661" i="54"/>
  <c r="AN671" i="54"/>
  <c r="L671" i="54"/>
  <c r="M671" i="54" s="1"/>
  <c r="AT691" i="54"/>
  <c r="K634" i="54"/>
  <c r="F634" i="54"/>
  <c r="L634" i="54"/>
  <c r="R556" i="54"/>
  <c r="R557" i="54"/>
  <c r="R535" i="54"/>
  <c r="R542" i="54"/>
  <c r="R541" i="54"/>
  <c r="AH552" i="54"/>
  <c r="AH553" i="54"/>
  <c r="AH554" i="54"/>
  <c r="AH555" i="54"/>
  <c r="AH556" i="54"/>
  <c r="AH557" i="54"/>
  <c r="AH558" i="54"/>
  <c r="AH559" i="54"/>
  <c r="AH560" i="54"/>
  <c r="W569" i="54"/>
  <c r="W573" i="54"/>
  <c r="W575" i="54"/>
  <c r="W579" i="54"/>
  <c r="W567" i="54"/>
  <c r="AH561" i="54"/>
  <c r="W568" i="54"/>
  <c r="W572" i="54"/>
  <c r="W576" i="54"/>
  <c r="W571" i="54"/>
  <c r="W577" i="54"/>
  <c r="W570" i="54"/>
  <c r="W574" i="54"/>
  <c r="W578" i="54"/>
  <c r="R543" i="54"/>
  <c r="R536" i="54"/>
  <c r="R533" i="54"/>
  <c r="R534" i="54"/>
  <c r="K242" i="54"/>
  <c r="K244" i="54"/>
  <c r="K243" i="54"/>
  <c r="D756" i="57"/>
  <c r="B756" i="57" s="1"/>
  <c r="Q357" i="58"/>
  <c r="P357" i="58"/>
  <c r="AU973" i="57"/>
  <c r="D977" i="58"/>
  <c r="AU975" i="57"/>
  <c r="D979" i="58"/>
  <c r="K982" i="57"/>
  <c r="K986" i="58" s="1"/>
  <c r="J986" i="58"/>
  <c r="AU980" i="57"/>
  <c r="D984" i="58"/>
  <c r="AU983" i="57"/>
  <c r="D987" i="58"/>
  <c r="K998" i="57"/>
  <c r="K1002" i="58" s="1"/>
  <c r="J1002" i="58"/>
  <c r="C771" i="58"/>
  <c r="K997" i="57"/>
  <c r="K1001" i="58" s="1"/>
  <c r="J1001" i="58"/>
  <c r="K975" i="57"/>
  <c r="K979" i="58" s="1"/>
  <c r="J979" i="58"/>
  <c r="K973" i="57"/>
  <c r="K977" i="58" s="1"/>
  <c r="J977" i="58"/>
  <c r="AU974" i="57"/>
  <c r="D978" i="58"/>
  <c r="C763" i="58"/>
  <c r="AU982" i="57"/>
  <c r="D986" i="58"/>
  <c r="C767" i="58"/>
  <c r="K984" i="57"/>
  <c r="K988" i="58" s="1"/>
  <c r="J988" i="58"/>
  <c r="C769" i="58"/>
  <c r="AU997" i="57"/>
  <c r="D1001" i="58"/>
  <c r="AU1001" i="58" s="1"/>
  <c r="C766" i="58"/>
  <c r="K981" i="57"/>
  <c r="K985" i="58" s="1"/>
  <c r="J985" i="58"/>
  <c r="K979" i="57"/>
  <c r="K983" i="58" s="1"/>
  <c r="J983" i="58"/>
  <c r="K976" i="57"/>
  <c r="K980" i="58" s="1"/>
  <c r="J980" i="58"/>
  <c r="C764" i="58"/>
  <c r="C765" i="58"/>
  <c r="AU985" i="57"/>
  <c r="D774" i="58"/>
  <c r="K983" i="57"/>
  <c r="K987" i="58" s="1"/>
  <c r="J987" i="58"/>
  <c r="K978" i="57"/>
  <c r="K982" i="58" s="1"/>
  <c r="J982" i="58"/>
  <c r="AU978" i="57"/>
  <c r="D982" i="58"/>
  <c r="AU981" i="57"/>
  <c r="D985" i="58"/>
  <c r="AU998" i="57"/>
  <c r="D1002" i="58"/>
  <c r="AU1002" i="58" s="1"/>
  <c r="C772" i="58"/>
  <c r="K974" i="57"/>
  <c r="K978" i="58" s="1"/>
  <c r="J978" i="58"/>
  <c r="I771" i="58"/>
  <c r="AQ986" i="58"/>
  <c r="AK986" i="58"/>
  <c r="O986" i="58" s="1"/>
  <c r="AP986" i="58"/>
  <c r="AD986" i="58"/>
  <c r="X986" i="58"/>
  <c r="U986" i="58"/>
  <c r="Z986" i="58"/>
  <c r="W986" i="58"/>
  <c r="V986" i="58"/>
  <c r="AU976" i="57"/>
  <c r="D980" i="58"/>
  <c r="C773" i="58"/>
  <c r="C768" i="58"/>
  <c r="K985" i="57"/>
  <c r="K989" i="58" s="1"/>
  <c r="K980" i="57"/>
  <c r="K984" i="58" s="1"/>
  <c r="J984" i="58"/>
  <c r="AU984" i="57"/>
  <c r="D988" i="58"/>
  <c r="AU979" i="57"/>
  <c r="D983" i="58"/>
  <c r="C770" i="58"/>
  <c r="H877" i="57"/>
  <c r="H878" i="57" s="1"/>
  <c r="H879" i="57" s="1"/>
  <c r="H880" i="57" s="1"/>
  <c r="H881" i="57" s="1"/>
  <c r="H882" i="57" s="1"/>
  <c r="H883" i="57" s="1"/>
  <c r="H884" i="57" s="1"/>
  <c r="H885" i="57" s="1"/>
  <c r="H902" i="57" s="1"/>
  <c r="H903" i="57" s="1"/>
  <c r="H904" i="57" s="1"/>
  <c r="H905" i="57" s="1"/>
  <c r="H906" i="57" s="1"/>
  <c r="H907" i="57" s="1"/>
  <c r="H908" i="57" s="1"/>
  <c r="H909" i="57" s="1"/>
  <c r="H910" i="57" s="1"/>
  <c r="H911" i="57" s="1"/>
  <c r="H912" i="57" s="1"/>
  <c r="H913" i="57" s="1"/>
  <c r="H914" i="57" s="1"/>
  <c r="H915" i="57" s="1"/>
  <c r="AB609" i="54"/>
  <c r="AB608" i="54"/>
  <c r="AB607" i="54"/>
  <c r="R813" i="57"/>
  <c r="R390" i="57" s="1"/>
  <c r="B927" i="57"/>
  <c r="B931" i="58" s="1"/>
  <c r="B940" i="57"/>
  <c r="B944" i="58" s="1"/>
  <c r="B944" i="57"/>
  <c r="B948" i="58" s="1"/>
  <c r="U976" i="57"/>
  <c r="V976" i="57"/>
  <c r="Z976" i="57"/>
  <c r="AQ976" i="57"/>
  <c r="AD976" i="57"/>
  <c r="W976" i="57"/>
  <c r="X976" i="57"/>
  <c r="AP976" i="57"/>
  <c r="AK976" i="57"/>
  <c r="U973" i="57"/>
  <c r="V973" i="57"/>
  <c r="AP973" i="57"/>
  <c r="Z973" i="57"/>
  <c r="W973" i="57"/>
  <c r="AD973" i="57"/>
  <c r="AK973" i="57"/>
  <c r="AQ973" i="57"/>
  <c r="X973" i="57"/>
  <c r="AK979" i="57"/>
  <c r="AD979" i="57"/>
  <c r="X979" i="57"/>
  <c r="AP979" i="57"/>
  <c r="U979" i="57"/>
  <c r="V979" i="57"/>
  <c r="W979" i="57"/>
  <c r="Z979" i="57"/>
  <c r="AQ979" i="57"/>
  <c r="W984" i="57"/>
  <c r="Z984" i="57"/>
  <c r="AP984" i="57"/>
  <c r="X984" i="57"/>
  <c r="AD984" i="57"/>
  <c r="AK984" i="57"/>
  <c r="AQ984" i="57"/>
  <c r="V984" i="57"/>
  <c r="U984" i="57"/>
  <c r="G877" i="57"/>
  <c r="AR876" i="57"/>
  <c r="AQ985" i="57"/>
  <c r="W985" i="57"/>
  <c r="U985" i="57"/>
  <c r="X985" i="57"/>
  <c r="AK985" i="57"/>
  <c r="Z985" i="57"/>
  <c r="AP985" i="57"/>
  <c r="AD985" i="57"/>
  <c r="V985" i="57"/>
  <c r="B934" i="57"/>
  <c r="B938" i="58" s="1"/>
  <c r="V975" i="57"/>
  <c r="W975" i="57"/>
  <c r="AP975" i="57"/>
  <c r="Z975" i="57"/>
  <c r="X975" i="57"/>
  <c r="AD975" i="57"/>
  <c r="AK975" i="57"/>
  <c r="AQ975" i="57"/>
  <c r="U975" i="57"/>
  <c r="AK982" i="57"/>
  <c r="V982" i="57"/>
  <c r="AD982" i="57"/>
  <c r="W982" i="57"/>
  <c r="U982" i="57"/>
  <c r="Z982" i="57"/>
  <c r="X982" i="57"/>
  <c r="AP982" i="57"/>
  <c r="AQ982" i="57"/>
  <c r="AD974" i="57"/>
  <c r="W974" i="57"/>
  <c r="X974" i="57"/>
  <c r="AP974" i="57"/>
  <c r="AK974" i="57"/>
  <c r="U974" i="57"/>
  <c r="V974" i="57"/>
  <c r="Z974" i="57"/>
  <c r="AQ974" i="57"/>
  <c r="U980" i="57"/>
  <c r="AD980" i="57"/>
  <c r="AP980" i="57"/>
  <c r="W980" i="57"/>
  <c r="X980" i="57"/>
  <c r="V980" i="57"/>
  <c r="AQ980" i="57"/>
  <c r="AK980" i="57"/>
  <c r="Z980" i="57"/>
  <c r="B939" i="57"/>
  <c r="B943" i="58" s="1"/>
  <c r="B943" i="57"/>
  <c r="B947" i="58" s="1"/>
  <c r="V978" i="57"/>
  <c r="W978" i="57"/>
  <c r="Z978" i="57"/>
  <c r="X978" i="57"/>
  <c r="U978" i="57"/>
  <c r="AD978" i="57"/>
  <c r="AK978" i="57"/>
  <c r="AP978" i="57"/>
  <c r="AQ978" i="57"/>
  <c r="W981" i="57"/>
  <c r="AD981" i="57"/>
  <c r="V981" i="57"/>
  <c r="AP981" i="57"/>
  <c r="AQ981" i="57"/>
  <c r="AK981" i="57"/>
  <c r="U981" i="57"/>
  <c r="X981" i="57"/>
  <c r="Z981" i="57"/>
  <c r="Z998" i="57"/>
  <c r="AP998" i="57"/>
  <c r="AD998" i="57"/>
  <c r="AK998" i="57"/>
  <c r="W998" i="57"/>
  <c r="V998" i="57"/>
  <c r="X998" i="57"/>
  <c r="U998" i="57"/>
  <c r="W997" i="57"/>
  <c r="AP997" i="57"/>
  <c r="Z997" i="57"/>
  <c r="AD997" i="57"/>
  <c r="X997" i="57"/>
  <c r="U997" i="57"/>
  <c r="V997" i="57"/>
  <c r="AK997" i="57"/>
  <c r="W983" i="57"/>
  <c r="AP983" i="57"/>
  <c r="U983" i="57"/>
  <c r="AK983" i="57"/>
  <c r="V983" i="57"/>
  <c r="Z983" i="57"/>
  <c r="X983" i="57"/>
  <c r="AQ983" i="57"/>
  <c r="AD983" i="57"/>
  <c r="AP667" i="54"/>
  <c r="AP669" i="54"/>
  <c r="AP666" i="54"/>
  <c r="AP668" i="54"/>
  <c r="B718" i="54"/>
  <c r="E668" i="54"/>
  <c r="AU668" i="54" s="1"/>
  <c r="B717" i="54"/>
  <c r="E666" i="54"/>
  <c r="AU666" i="54" s="1"/>
  <c r="AS744" i="54"/>
  <c r="AH510" i="54"/>
  <c r="AH511" i="54"/>
  <c r="Y962" i="57"/>
  <c r="Y966" i="58" s="1"/>
  <c r="L744" i="54"/>
  <c r="L870" i="58" s="1"/>
  <c r="C852" i="54"/>
  <c r="B617" i="54"/>
  <c r="B615" i="54"/>
  <c r="B616" i="54"/>
  <c r="AS715" i="54"/>
  <c r="AS727" i="54"/>
  <c r="AS736" i="54"/>
  <c r="AP657" i="54"/>
  <c r="AP661" i="54"/>
  <c r="AP671" i="54"/>
  <c r="AP691" i="54"/>
  <c r="AP697" i="54"/>
  <c r="AS708" i="54"/>
  <c r="AS712" i="54"/>
  <c r="AS716" i="54"/>
  <c r="AS720" i="54"/>
  <c r="AS724" i="54"/>
  <c r="AS728" i="54"/>
  <c r="AS734" i="54"/>
  <c r="AS737" i="54"/>
  <c r="AS740" i="54"/>
  <c r="AS745" i="54"/>
  <c r="AP656" i="54"/>
  <c r="AS709" i="54"/>
  <c r="AS721" i="54"/>
  <c r="AS741" i="54"/>
  <c r="AP658" i="54"/>
  <c r="AP662" i="54"/>
  <c r="AP670" i="54"/>
  <c r="AP688" i="54"/>
  <c r="AP692" i="54"/>
  <c r="AP696" i="54"/>
  <c r="AS705" i="54"/>
  <c r="AS713" i="54"/>
  <c r="AS717" i="54"/>
  <c r="AS725" i="54"/>
  <c r="AS731" i="54"/>
  <c r="AS738" i="54"/>
  <c r="AS704" i="54"/>
  <c r="AP660" i="54"/>
  <c r="AP664" i="54"/>
  <c r="AP672" i="54"/>
  <c r="AP690" i="54"/>
  <c r="AP694" i="54"/>
  <c r="AS706" i="54"/>
  <c r="AS710" i="54"/>
  <c r="AS714" i="54"/>
  <c r="AS718" i="54"/>
  <c r="AS722" i="54"/>
  <c r="AS726" i="54"/>
  <c r="AS732" i="54"/>
  <c r="AS735" i="54"/>
  <c r="AS742" i="54"/>
  <c r="AS707" i="54"/>
  <c r="AS711" i="54"/>
  <c r="AS719" i="54"/>
  <c r="AS723" i="54"/>
  <c r="AS733" i="54"/>
  <c r="AS739" i="54"/>
  <c r="AS743" i="54"/>
  <c r="AP659" i="54"/>
  <c r="AP663" i="54"/>
  <c r="AP665" i="54"/>
  <c r="AP673" i="54"/>
  <c r="AP689" i="54"/>
  <c r="AP693" i="54"/>
  <c r="AP695" i="54"/>
  <c r="AN688" i="54"/>
  <c r="AN692" i="54"/>
  <c r="AN695" i="54"/>
  <c r="AN693" i="54"/>
  <c r="AN689" i="54"/>
  <c r="AN697" i="54"/>
  <c r="AN694" i="54"/>
  <c r="AN691" i="54"/>
  <c r="AN690" i="54"/>
  <c r="AN696" i="54"/>
  <c r="G376" i="54"/>
  <c r="G371" i="54"/>
  <c r="M381" i="54" s="1"/>
  <c r="G374" i="54"/>
  <c r="G373" i="54"/>
  <c r="B260" i="54"/>
  <c r="K237" i="54" s="1"/>
  <c r="C868" i="54"/>
  <c r="C860" i="54"/>
  <c r="G305" i="54"/>
  <c r="G307" i="54"/>
  <c r="G302" i="54"/>
  <c r="G304" i="54"/>
  <c r="C287" i="54"/>
  <c r="C293" i="54" s="1"/>
  <c r="C288" i="54"/>
  <c r="C298" i="54" s="1"/>
  <c r="AH549" i="54"/>
  <c r="Q267" i="54"/>
  <c r="Q266" i="54"/>
  <c r="Q265" i="54"/>
  <c r="Q803" i="54"/>
  <c r="Q807" i="54"/>
  <c r="Q811" i="54"/>
  <c r="Q815" i="54"/>
  <c r="Q819" i="54"/>
  <c r="Q833" i="54"/>
  <c r="Q837" i="54"/>
  <c r="Q842" i="54"/>
  <c r="Q802" i="54"/>
  <c r="Q806" i="54"/>
  <c r="Q810" i="54"/>
  <c r="Q814" i="54"/>
  <c r="Q818" i="54"/>
  <c r="Q832" i="54"/>
  <c r="Q836" i="54"/>
  <c r="Q841" i="54"/>
  <c r="Q805" i="54"/>
  <c r="Q809" i="54"/>
  <c r="Q813" i="54"/>
  <c r="Q817" i="54"/>
  <c r="Q835" i="54"/>
  <c r="Q840" i="54"/>
  <c r="Q801" i="54"/>
  <c r="Q804" i="54"/>
  <c r="Q808" i="54"/>
  <c r="Q812" i="54"/>
  <c r="Q816" i="54"/>
  <c r="Q820" i="54"/>
  <c r="Q834" i="54"/>
  <c r="Q838" i="54"/>
  <c r="Q843" i="54"/>
  <c r="K241" i="54"/>
  <c r="K249" i="54"/>
  <c r="K238" i="54"/>
  <c r="K239" i="54"/>
  <c r="K246" i="54"/>
  <c r="K245" i="54"/>
  <c r="K240" i="54"/>
  <c r="K247" i="54"/>
  <c r="C866" i="54"/>
  <c r="C850" i="54"/>
  <c r="C858" i="54"/>
  <c r="R699" i="58"/>
  <c r="R704" i="58" s="1"/>
  <c r="L714" i="54"/>
  <c r="L932" i="57" s="1"/>
  <c r="L936" i="58" s="1"/>
  <c r="L741" i="54"/>
  <c r="L867" i="58" s="1"/>
  <c r="L733" i="54"/>
  <c r="L859" i="58" s="1"/>
  <c r="L731" i="54"/>
  <c r="L735" i="54"/>
  <c r="L861" i="58" s="1"/>
  <c r="L743" i="54"/>
  <c r="L869" i="58" s="1"/>
  <c r="L738" i="54"/>
  <c r="L864" i="58" s="1"/>
  <c r="L742" i="54"/>
  <c r="L868" i="58" s="1"/>
  <c r="L734" i="54"/>
  <c r="L860" i="58" s="1"/>
  <c r="L712" i="54"/>
  <c r="L930" i="57" s="1"/>
  <c r="L934" i="58" s="1"/>
  <c r="L736" i="54"/>
  <c r="L862" i="58" s="1"/>
  <c r="L740" i="54"/>
  <c r="L866" i="58" s="1"/>
  <c r="L732" i="54"/>
  <c r="L858" i="58" s="1"/>
  <c r="L739" i="54"/>
  <c r="L865" i="58" s="1"/>
  <c r="L737" i="54"/>
  <c r="L863" i="58" s="1"/>
  <c r="Y933" i="57"/>
  <c r="Y937" i="58" s="1"/>
  <c r="L715" i="54"/>
  <c r="L933" i="57" s="1"/>
  <c r="L937" i="58" s="1"/>
  <c r="Y938" i="57"/>
  <c r="Y942" i="58" s="1"/>
  <c r="L720" i="54"/>
  <c r="L938" i="57" s="1"/>
  <c r="L942" i="58" s="1"/>
  <c r="L721" i="54"/>
  <c r="L939" i="57" s="1"/>
  <c r="L943" i="58" s="1"/>
  <c r="Y937" i="57"/>
  <c r="Y941" i="58" s="1"/>
  <c r="L719" i="54"/>
  <c r="L937" i="57" s="1"/>
  <c r="L941" i="58" s="1"/>
  <c r="L725" i="54"/>
  <c r="L943" i="57" s="1"/>
  <c r="L947" i="58" s="1"/>
  <c r="Y932" i="57"/>
  <c r="Y936" i="58" s="1"/>
  <c r="Y959" i="57"/>
  <c r="Y963" i="58" s="1"/>
  <c r="Y953" i="57"/>
  <c r="Y957" i="58" s="1"/>
  <c r="Y950" i="57"/>
  <c r="Y954" i="58" s="1"/>
  <c r="L716" i="54"/>
  <c r="L934" i="57" s="1"/>
  <c r="L938" i="58" s="1"/>
  <c r="R693" i="57"/>
  <c r="L709" i="54"/>
  <c r="P662" i="58" s="1"/>
  <c r="Y923" i="57"/>
  <c r="Y927" i="58" s="1"/>
  <c r="L705" i="54"/>
  <c r="L923" i="57" s="1"/>
  <c r="L927" i="58" s="1"/>
  <c r="L722" i="54"/>
  <c r="L940" i="57" s="1"/>
  <c r="L944" i="58" s="1"/>
  <c r="L728" i="54"/>
  <c r="L946" i="57" s="1"/>
  <c r="L950" i="58" s="1"/>
  <c r="L726" i="54"/>
  <c r="L944" i="57" s="1"/>
  <c r="L948" i="58" s="1"/>
  <c r="Y951" i="57"/>
  <c r="Y955" i="58" s="1"/>
  <c r="Y949" i="57"/>
  <c r="Y953" i="58" s="1"/>
  <c r="Y961" i="57"/>
  <c r="Y965" i="58" s="1"/>
  <c r="R700" i="58"/>
  <c r="R705" i="58" s="1"/>
  <c r="R706" i="58" s="1"/>
  <c r="Y960" i="57"/>
  <c r="Y964" i="58" s="1"/>
  <c r="Y952" i="57"/>
  <c r="Y956" i="58" s="1"/>
  <c r="Y930" i="57"/>
  <c r="Y934" i="58" s="1"/>
  <c r="R701" i="58"/>
  <c r="R708" i="58" s="1"/>
  <c r="Y958" i="57"/>
  <c r="Y962" i="58" s="1"/>
  <c r="Y957" i="57"/>
  <c r="Y961" i="58" s="1"/>
  <c r="Y963" i="57"/>
  <c r="Y967" i="58" s="1"/>
  <c r="BJ794" i="54"/>
  <c r="BJ773" i="54"/>
  <c r="BJ775" i="54"/>
  <c r="BJ777" i="54"/>
  <c r="BJ779" i="54"/>
  <c r="BJ781" i="54"/>
  <c r="BJ789" i="54"/>
  <c r="BJ791" i="54"/>
  <c r="BJ772" i="54"/>
  <c r="BJ774" i="54"/>
  <c r="BJ776" i="54"/>
  <c r="BJ780" i="54"/>
  <c r="BJ788" i="54"/>
  <c r="BJ790" i="54"/>
  <c r="BJ793" i="54"/>
  <c r="BJ778" i="54"/>
  <c r="C765" i="54"/>
  <c r="C766" i="54"/>
  <c r="B727" i="54"/>
  <c r="AH501" i="54"/>
  <c r="AH502" i="54"/>
  <c r="AH503" i="54"/>
  <c r="B704" i="54"/>
  <c r="Y704" i="54" s="1"/>
  <c r="L689" i="54"/>
  <c r="M689" i="54" s="1"/>
  <c r="L697" i="54"/>
  <c r="M697" i="54" s="1"/>
  <c r="L693" i="54"/>
  <c r="M693" i="54" s="1"/>
  <c r="L690" i="54"/>
  <c r="M690" i="54" s="1"/>
  <c r="L691" i="54"/>
  <c r="M691" i="54" s="1"/>
  <c r="L692" i="54"/>
  <c r="M692" i="54" s="1"/>
  <c r="L688" i="54"/>
  <c r="M688" i="54" s="1"/>
  <c r="L696" i="54"/>
  <c r="M696" i="54" s="1"/>
  <c r="E659" i="54"/>
  <c r="AU659" i="54" s="1"/>
  <c r="B707" i="54"/>
  <c r="Y707" i="54" s="1"/>
  <c r="E672" i="54"/>
  <c r="AU672" i="54" s="1"/>
  <c r="E662" i="54"/>
  <c r="AU662" i="54" s="1"/>
  <c r="E670" i="54"/>
  <c r="AU670" i="54" s="1"/>
  <c r="B706" i="54"/>
  <c r="Y706" i="54" s="1"/>
  <c r="E660" i="54"/>
  <c r="AU660" i="54" s="1"/>
  <c r="E658" i="54"/>
  <c r="AU658" i="54" s="1"/>
  <c r="B711" i="54"/>
  <c r="Y711" i="54" s="1"/>
  <c r="E657" i="54"/>
  <c r="AU657" i="54" s="1"/>
  <c r="B713" i="54"/>
  <c r="Y713" i="54" s="1"/>
  <c r="B708" i="54"/>
  <c r="B710" i="54"/>
  <c r="D509" i="54"/>
  <c r="R509" i="54" s="1"/>
  <c r="D508" i="54"/>
  <c r="R508" i="54" s="1"/>
  <c r="W596" i="54"/>
  <c r="W598" i="54"/>
  <c r="W601" i="54"/>
  <c r="W597" i="54"/>
  <c r="W599" i="54"/>
  <c r="W600" i="54"/>
  <c r="Q588" i="54"/>
  <c r="Q589" i="54"/>
  <c r="Q587" i="54"/>
  <c r="AH536" i="54"/>
  <c r="AH534" i="54"/>
  <c r="AH532" i="54"/>
  <c r="AH531" i="54"/>
  <c r="AH533" i="54"/>
  <c r="AH535" i="54"/>
  <c r="AH538" i="54"/>
  <c r="AH540" i="54"/>
  <c r="AH542" i="54"/>
  <c r="AH544" i="54"/>
  <c r="AH546" i="54"/>
  <c r="AH548" i="54"/>
  <c r="AH529" i="54"/>
  <c r="AH530" i="54"/>
  <c r="AH537" i="54"/>
  <c r="AH539" i="54"/>
  <c r="AH541" i="54"/>
  <c r="AH543" i="54"/>
  <c r="AH545" i="54"/>
  <c r="AH547" i="54"/>
  <c r="AH550" i="54"/>
  <c r="D498" i="54"/>
  <c r="D497" i="54"/>
  <c r="D499" i="54"/>
  <c r="R499" i="54" s="1"/>
  <c r="D274" i="4"/>
  <c r="D273" i="4"/>
  <c r="E273" i="4"/>
  <c r="E274" i="4"/>
  <c r="N274" i="4"/>
  <c r="O274" i="4"/>
  <c r="N273" i="4"/>
  <c r="O273" i="4"/>
  <c r="Q283" i="4"/>
  <c r="R283" i="4"/>
  <c r="F283" i="4"/>
  <c r="G283" i="4"/>
  <c r="H283" i="4"/>
  <c r="D284" i="4"/>
  <c r="D283" i="4"/>
  <c r="W868" i="57" l="1"/>
  <c r="AR985" i="57"/>
  <c r="AO968" i="58"/>
  <c r="AM968" i="58"/>
  <c r="AR968" i="58"/>
  <c r="AL968" i="58"/>
  <c r="AI968" i="58"/>
  <c r="AN968" i="58"/>
  <c r="AC968" i="58"/>
  <c r="AR984" i="57"/>
  <c r="AR993" i="57"/>
  <c r="AR987" i="57"/>
  <c r="AR989" i="57"/>
  <c r="AR978" i="57"/>
  <c r="AR973" i="57"/>
  <c r="AF997" i="57"/>
  <c r="AR980" i="57"/>
  <c r="AR974" i="57"/>
  <c r="AR975" i="57"/>
  <c r="AR979" i="57"/>
  <c r="AR992" i="57"/>
  <c r="AR982" i="57"/>
  <c r="AE996" i="57"/>
  <c r="AR996" i="57"/>
  <c r="AE995" i="57"/>
  <c r="AR995" i="57"/>
  <c r="AR991" i="57"/>
  <c r="AR988" i="57"/>
  <c r="AR964" i="57"/>
  <c r="AR983" i="57"/>
  <c r="AF998" i="57"/>
  <c r="AR981" i="57"/>
  <c r="AR976" i="57"/>
  <c r="AR990" i="57"/>
  <c r="AR986" i="57"/>
  <c r="AF995" i="57"/>
  <c r="AC964" i="57"/>
  <c r="AF996" i="57"/>
  <c r="AI964" i="57"/>
  <c r="AE997" i="57"/>
  <c r="AE998" i="57"/>
  <c r="AO964" i="57"/>
  <c r="AL964" i="57"/>
  <c r="AM964" i="57"/>
  <c r="AN964" i="57"/>
  <c r="K857" i="58"/>
  <c r="K842" i="57"/>
  <c r="L857" i="58"/>
  <c r="L842" i="57"/>
  <c r="D709" i="57"/>
  <c r="B709" i="57" s="1"/>
  <c r="B772" i="57" s="1"/>
  <c r="D702" i="57"/>
  <c r="B702" i="57" s="1"/>
  <c r="D705" i="57"/>
  <c r="B705" i="57" s="1"/>
  <c r="D719" i="57"/>
  <c r="B719" i="57" s="1"/>
  <c r="D708" i="57"/>
  <c r="B708" i="57" s="1"/>
  <c r="D697" i="57"/>
  <c r="B697" i="57" s="1"/>
  <c r="Y708" i="54"/>
  <c r="R666" i="58" s="1"/>
  <c r="AC666" i="58" s="1"/>
  <c r="L717" i="54"/>
  <c r="L935" i="57" s="1"/>
  <c r="L939" i="58" s="1"/>
  <c r="Y717" i="54"/>
  <c r="Y935" i="57" s="1"/>
  <c r="Y939" i="58" s="1"/>
  <c r="D712" i="57"/>
  <c r="B712" i="57" s="1"/>
  <c r="B774" i="57" s="1"/>
  <c r="Y718" i="54"/>
  <c r="J724" i="54"/>
  <c r="K724" i="54" s="1"/>
  <c r="D694" i="57"/>
  <c r="B694" i="57" s="1"/>
  <c r="Y710" i="54"/>
  <c r="R694" i="57" s="1"/>
  <c r="AC694" i="57" s="1"/>
  <c r="D704" i="57"/>
  <c r="B704" i="57" s="1"/>
  <c r="B941" i="57"/>
  <c r="B945" i="58" s="1"/>
  <c r="B755" i="58" s="1"/>
  <c r="U982" i="58"/>
  <c r="I766" i="58"/>
  <c r="R766" i="58" s="1"/>
  <c r="AK982" i="58"/>
  <c r="O982" i="58" s="1"/>
  <c r="L327" i="54"/>
  <c r="L322" i="54"/>
  <c r="L352" i="54" s="1"/>
  <c r="L357" i="54" s="1"/>
  <c r="W980" i="58"/>
  <c r="AD984" i="58"/>
  <c r="Z984" i="58"/>
  <c r="Z979" i="58"/>
  <c r="AD980" i="58"/>
  <c r="U979" i="58"/>
  <c r="AQ979" i="58"/>
  <c r="AR979" i="58" s="1"/>
  <c r="G918" i="58"/>
  <c r="AR917" i="58"/>
  <c r="V984" i="58"/>
  <c r="X984" i="58"/>
  <c r="U984" i="58"/>
  <c r="AD979" i="58"/>
  <c r="X979" i="58"/>
  <c r="I765" i="58"/>
  <c r="R765" i="58" s="1"/>
  <c r="AK980" i="58"/>
  <c r="Z980" i="58"/>
  <c r="X982" i="58"/>
  <c r="Z982" i="58"/>
  <c r="AQ984" i="58"/>
  <c r="AR984" i="58" s="1"/>
  <c r="W984" i="58"/>
  <c r="I769" i="58"/>
  <c r="J769" i="58" s="1"/>
  <c r="W979" i="58"/>
  <c r="V979" i="58"/>
  <c r="AQ980" i="58"/>
  <c r="X980" i="58"/>
  <c r="AQ982" i="58"/>
  <c r="AP982" i="58"/>
  <c r="AD982" i="58"/>
  <c r="AP984" i="58"/>
  <c r="AP979" i="58"/>
  <c r="AP980" i="58"/>
  <c r="V980" i="58"/>
  <c r="W982" i="58"/>
  <c r="V982" i="58"/>
  <c r="L724" i="54"/>
  <c r="L942" i="57" s="1"/>
  <c r="L946" i="58" s="1"/>
  <c r="B942" i="57"/>
  <c r="B946" i="58" s="1"/>
  <c r="B756" i="58" s="1"/>
  <c r="B277" i="54"/>
  <c r="L723" i="54"/>
  <c r="L941" i="57" s="1"/>
  <c r="L945" i="58" s="1"/>
  <c r="D758" i="57"/>
  <c r="B758" i="57" s="1"/>
  <c r="B788" i="57" s="1"/>
  <c r="K730" i="54"/>
  <c r="J948" i="57"/>
  <c r="K948" i="57" s="1"/>
  <c r="K729" i="54"/>
  <c r="J947" i="57"/>
  <c r="AK999" i="58"/>
  <c r="J723" i="54"/>
  <c r="J941" i="57" s="1"/>
  <c r="AD1001" i="58"/>
  <c r="AP999" i="58"/>
  <c r="Z999" i="58"/>
  <c r="X977" i="58"/>
  <c r="AD987" i="58"/>
  <c r="W999" i="58"/>
  <c r="AQ999" i="58"/>
  <c r="X999" i="58"/>
  <c r="U999" i="58"/>
  <c r="V999" i="58"/>
  <c r="AP978" i="58"/>
  <c r="AD978" i="58"/>
  <c r="AK987" i="58"/>
  <c r="I763" i="58"/>
  <c r="Q763" i="58" s="1"/>
  <c r="I773" i="58"/>
  <c r="J773" i="58" s="1"/>
  <c r="AQ989" i="58"/>
  <c r="AP983" i="58"/>
  <c r="I768" i="58"/>
  <c r="R768" i="58" s="1"/>
  <c r="X988" i="58"/>
  <c r="Z983" i="58"/>
  <c r="AD1002" i="58"/>
  <c r="U985" i="58"/>
  <c r="X989" i="58"/>
  <c r="AP988" i="58"/>
  <c r="AK1002" i="58"/>
  <c r="W985" i="58"/>
  <c r="AP989" i="58"/>
  <c r="Z989" i="58"/>
  <c r="AK989" i="58"/>
  <c r="U988" i="58"/>
  <c r="X983" i="58"/>
  <c r="AK983" i="58"/>
  <c r="O983" i="58" s="1"/>
  <c r="V983" i="58"/>
  <c r="W987" i="58"/>
  <c r="X987" i="58"/>
  <c r="W1002" i="58"/>
  <c r="V985" i="58"/>
  <c r="AD985" i="58"/>
  <c r="I770" i="58"/>
  <c r="R770" i="58" s="1"/>
  <c r="V989" i="58"/>
  <c r="U989" i="58"/>
  <c r="U983" i="58"/>
  <c r="AQ983" i="58"/>
  <c r="Z985" i="58"/>
  <c r="AK985" i="58"/>
  <c r="W989" i="58"/>
  <c r="AD989" i="58"/>
  <c r="AK988" i="58"/>
  <c r="AD983" i="58"/>
  <c r="AQ987" i="58"/>
  <c r="X1002" i="58"/>
  <c r="AP985" i="58"/>
  <c r="X985" i="58"/>
  <c r="W988" i="58"/>
  <c r="V988" i="58"/>
  <c r="AD988" i="58"/>
  <c r="U987" i="58"/>
  <c r="V987" i="58"/>
  <c r="U1002" i="58"/>
  <c r="V1002" i="58"/>
  <c r="W978" i="58"/>
  <c r="AQ988" i="58"/>
  <c r="AP977" i="58"/>
  <c r="Z987" i="58"/>
  <c r="AP987" i="58"/>
  <c r="V1001" i="58"/>
  <c r="AP1002" i="58"/>
  <c r="AQ978" i="58"/>
  <c r="AK978" i="58"/>
  <c r="I764" i="58"/>
  <c r="Q764" i="58" s="1"/>
  <c r="U977" i="58"/>
  <c r="AQ977" i="58"/>
  <c r="AK1001" i="58"/>
  <c r="W1001" i="58"/>
  <c r="X1000" i="58"/>
  <c r="X978" i="58"/>
  <c r="Z978" i="58"/>
  <c r="AD977" i="58"/>
  <c r="V977" i="58"/>
  <c r="Z1001" i="58"/>
  <c r="AP1001" i="58"/>
  <c r="AQ1000" i="58"/>
  <c r="V978" i="58"/>
  <c r="Z977" i="58"/>
  <c r="AK977" i="58"/>
  <c r="X1001" i="58"/>
  <c r="W1000" i="58"/>
  <c r="AK1000" i="58"/>
  <c r="Z1000" i="58"/>
  <c r="AP1000" i="58"/>
  <c r="U1000" i="58"/>
  <c r="V1000" i="58"/>
  <c r="O980" i="57"/>
  <c r="O974" i="57"/>
  <c r="O975" i="57"/>
  <c r="O985" i="57"/>
  <c r="I899" i="57"/>
  <c r="I897" i="57"/>
  <c r="I893" i="57"/>
  <c r="AN996" i="57"/>
  <c r="AG996" i="57"/>
  <c r="AH996" i="57"/>
  <c r="AL996" i="57"/>
  <c r="AM996" i="57"/>
  <c r="AM995" i="57"/>
  <c r="AG995" i="57"/>
  <c r="AN995" i="57"/>
  <c r="AH995" i="57"/>
  <c r="AL995" i="57"/>
  <c r="O982" i="57"/>
  <c r="I898" i="57"/>
  <c r="I896" i="57"/>
  <c r="I901" i="57"/>
  <c r="O981" i="57"/>
  <c r="O984" i="57"/>
  <c r="I891" i="57"/>
  <c r="I894" i="57"/>
  <c r="I895" i="57"/>
  <c r="O983" i="57"/>
  <c r="O973" i="57"/>
  <c r="I900" i="57"/>
  <c r="L718" i="54"/>
  <c r="L936" i="57" s="1"/>
  <c r="L940" i="58" s="1"/>
  <c r="P671" i="58"/>
  <c r="AF671" i="58" s="1"/>
  <c r="AF662" i="58"/>
  <c r="R682" i="58"/>
  <c r="R713" i="57"/>
  <c r="AC713" i="57" s="1"/>
  <c r="P693" i="57"/>
  <c r="R702" i="57"/>
  <c r="AD693" i="57"/>
  <c r="AC693" i="57"/>
  <c r="AP992" i="58"/>
  <c r="AD992" i="58"/>
  <c r="AK992" i="58"/>
  <c r="O992" i="58" s="1"/>
  <c r="U992" i="58"/>
  <c r="V992" i="58"/>
  <c r="Z992" i="58"/>
  <c r="W992" i="58"/>
  <c r="X992" i="58"/>
  <c r="AQ992" i="58"/>
  <c r="J781" i="58"/>
  <c r="Q781" i="58"/>
  <c r="R781" i="58"/>
  <c r="J775" i="58"/>
  <c r="Q775" i="58"/>
  <c r="R775" i="58"/>
  <c r="AK991" i="58"/>
  <c r="O991" i="58" s="1"/>
  <c r="AP991" i="58"/>
  <c r="AD991" i="58"/>
  <c r="U991" i="58"/>
  <c r="V991" i="58"/>
  <c r="W991" i="58"/>
  <c r="X991" i="58"/>
  <c r="Z991" i="58"/>
  <c r="AQ991" i="58"/>
  <c r="U997" i="58"/>
  <c r="AP997" i="58"/>
  <c r="AD997" i="58"/>
  <c r="AK997" i="58"/>
  <c r="O997" i="58" s="1"/>
  <c r="W997" i="58"/>
  <c r="Z997" i="58"/>
  <c r="V997" i="58"/>
  <c r="X997" i="58"/>
  <c r="AQ997" i="58"/>
  <c r="AP996" i="58"/>
  <c r="U996" i="58"/>
  <c r="AD996" i="58"/>
  <c r="AK996" i="58"/>
  <c r="O996" i="58" s="1"/>
  <c r="W996" i="58"/>
  <c r="V996" i="58"/>
  <c r="Z996" i="58"/>
  <c r="X996" i="58"/>
  <c r="AQ996" i="58"/>
  <c r="J780" i="58"/>
  <c r="Q780" i="58"/>
  <c r="R780" i="58"/>
  <c r="U994" i="58"/>
  <c r="AP994" i="58"/>
  <c r="AD994" i="58"/>
  <c r="AK994" i="58"/>
  <c r="O994" i="58" s="1"/>
  <c r="X994" i="58"/>
  <c r="W994" i="58"/>
  <c r="V994" i="58"/>
  <c r="Z994" i="58"/>
  <c r="AQ994" i="58"/>
  <c r="AP993" i="58"/>
  <c r="AD993" i="58"/>
  <c r="AK993" i="58"/>
  <c r="O993" i="58" s="1"/>
  <c r="U993" i="58"/>
  <c r="V993" i="58"/>
  <c r="X993" i="58"/>
  <c r="W993" i="58"/>
  <c r="Z993" i="58"/>
  <c r="AQ993" i="58"/>
  <c r="J782" i="58"/>
  <c r="Q782" i="58"/>
  <c r="R782" i="58"/>
  <c r="AD995" i="58"/>
  <c r="AP995" i="58"/>
  <c r="U995" i="58"/>
  <c r="AK995" i="58"/>
  <c r="O995" i="58" s="1"/>
  <c r="V995" i="58"/>
  <c r="X995" i="58"/>
  <c r="Z995" i="58"/>
  <c r="W995" i="58"/>
  <c r="AQ995" i="58"/>
  <c r="J779" i="58"/>
  <c r="R779" i="58"/>
  <c r="Q779" i="58"/>
  <c r="J778" i="58"/>
  <c r="Q778" i="58"/>
  <c r="R778" i="58"/>
  <c r="J777" i="58"/>
  <c r="R777" i="58"/>
  <c r="Q777" i="58"/>
  <c r="AK990" i="58"/>
  <c r="O990" i="58" s="1"/>
  <c r="U990" i="58"/>
  <c r="AD990" i="58"/>
  <c r="AP990" i="58"/>
  <c r="V990" i="58"/>
  <c r="X990" i="58"/>
  <c r="W990" i="58"/>
  <c r="Z990" i="58"/>
  <c r="AQ990" i="58"/>
  <c r="AR990" i="58" s="1"/>
  <c r="J776" i="58"/>
  <c r="R776" i="58"/>
  <c r="Q776" i="58"/>
  <c r="AC993" i="57"/>
  <c r="AC987" i="57"/>
  <c r="AC991" i="57"/>
  <c r="O993" i="57"/>
  <c r="AI993" i="57"/>
  <c r="P993" i="57"/>
  <c r="AC990" i="57"/>
  <c r="AC989" i="57"/>
  <c r="P992" i="57"/>
  <c r="O992" i="57"/>
  <c r="AI992" i="57"/>
  <c r="P990" i="57"/>
  <c r="O990" i="57"/>
  <c r="AI990" i="57"/>
  <c r="P986" i="57"/>
  <c r="O986" i="57"/>
  <c r="AI986" i="57"/>
  <c r="O991" i="57"/>
  <c r="AI991" i="57"/>
  <c r="P991" i="57"/>
  <c r="O989" i="57"/>
  <c r="AI989" i="57"/>
  <c r="P989" i="57"/>
  <c r="P988" i="57"/>
  <c r="O988" i="57"/>
  <c r="AI988" i="57"/>
  <c r="AC986" i="57"/>
  <c r="AC992" i="57"/>
  <c r="O987" i="57"/>
  <c r="AI987" i="57"/>
  <c r="P987" i="57"/>
  <c r="AC988" i="57"/>
  <c r="M687" i="54"/>
  <c r="M901" i="57" s="1"/>
  <c r="M905" i="58" s="1"/>
  <c r="L901" i="57"/>
  <c r="L905" i="58" s="1"/>
  <c r="M685" i="54"/>
  <c r="M899" i="57" s="1"/>
  <c r="M903" i="58" s="1"/>
  <c r="L899" i="57"/>
  <c r="L903" i="58" s="1"/>
  <c r="L859" i="57"/>
  <c r="L967" i="57"/>
  <c r="L971" i="58" s="1"/>
  <c r="K750" i="54"/>
  <c r="K860" i="57"/>
  <c r="J968" i="57"/>
  <c r="I970" i="57"/>
  <c r="AZ970" i="57" s="1"/>
  <c r="H862" i="57"/>
  <c r="Y862" i="57" s="1"/>
  <c r="K753" i="54"/>
  <c r="J971" i="57"/>
  <c r="K863" i="57"/>
  <c r="L862" i="57"/>
  <c r="L970" i="57"/>
  <c r="L974" i="58" s="1"/>
  <c r="I969" i="57"/>
  <c r="AZ969" i="57" s="1"/>
  <c r="H861" i="57"/>
  <c r="Y861" i="57" s="1"/>
  <c r="M676" i="54"/>
  <c r="M890" i="57" s="1"/>
  <c r="M894" i="58" s="1"/>
  <c r="L890" i="57"/>
  <c r="L894" i="58" s="1"/>
  <c r="M680" i="54"/>
  <c r="M894" i="57" s="1"/>
  <c r="M898" i="58" s="1"/>
  <c r="L894" i="57"/>
  <c r="L898" i="58" s="1"/>
  <c r="K749" i="54"/>
  <c r="J967" i="57"/>
  <c r="K859" i="57"/>
  <c r="L860" i="57"/>
  <c r="L968" i="57"/>
  <c r="L972" i="58" s="1"/>
  <c r="H863" i="57"/>
  <c r="Y863" i="57" s="1"/>
  <c r="I971" i="57"/>
  <c r="AZ971" i="57" s="1"/>
  <c r="K748" i="54"/>
  <c r="K858" i="57"/>
  <c r="J966" i="57"/>
  <c r="L971" i="57"/>
  <c r="L975" i="58" s="1"/>
  <c r="L863" i="57"/>
  <c r="H860" i="57"/>
  <c r="Y860" i="57" s="1"/>
  <c r="I968" i="57"/>
  <c r="AZ968" i="57" s="1"/>
  <c r="R743" i="57"/>
  <c r="R748" i="57" s="1"/>
  <c r="R749" i="57" s="1"/>
  <c r="Y967" i="57"/>
  <c r="Y971" i="58" s="1"/>
  <c r="M684" i="54"/>
  <c r="M898" i="57" s="1"/>
  <c r="M902" i="58" s="1"/>
  <c r="L898" i="57"/>
  <c r="L902" i="58" s="1"/>
  <c r="M686" i="54"/>
  <c r="M900" i="57" s="1"/>
  <c r="M904" i="58" s="1"/>
  <c r="L900" i="57"/>
  <c r="L904" i="58" s="1"/>
  <c r="M681" i="54"/>
  <c r="M895" i="57" s="1"/>
  <c r="M899" i="58" s="1"/>
  <c r="L895" i="57"/>
  <c r="L899" i="58" s="1"/>
  <c r="H859" i="57"/>
  <c r="Y859" i="57" s="1"/>
  <c r="I967" i="57"/>
  <c r="AZ967" i="57" s="1"/>
  <c r="K751" i="54"/>
  <c r="J969" i="57"/>
  <c r="K861" i="57"/>
  <c r="L972" i="57"/>
  <c r="L976" i="58" s="1"/>
  <c r="L864" i="57"/>
  <c r="I966" i="57"/>
  <c r="AZ966" i="57" s="1"/>
  <c r="H858" i="57"/>
  <c r="Y858" i="57" s="1"/>
  <c r="K754" i="54"/>
  <c r="J972" i="57"/>
  <c r="K864" i="57"/>
  <c r="L858" i="57"/>
  <c r="L966" i="57"/>
  <c r="L970" i="58" s="1"/>
  <c r="K747" i="54"/>
  <c r="J965" i="57"/>
  <c r="K857" i="57"/>
  <c r="R742" i="57"/>
  <c r="R746" i="57" s="1"/>
  <c r="Y965" i="57"/>
  <c r="Y969" i="58" s="1"/>
  <c r="M678" i="54"/>
  <c r="M892" i="57" s="1"/>
  <c r="M896" i="58" s="1"/>
  <c r="L892" i="57"/>
  <c r="L896" i="58" s="1"/>
  <c r="M679" i="54"/>
  <c r="M893" i="57" s="1"/>
  <c r="M897" i="58" s="1"/>
  <c r="L893" i="57"/>
  <c r="L897" i="58" s="1"/>
  <c r="M677" i="54"/>
  <c r="M891" i="57" s="1"/>
  <c r="M895" i="58" s="1"/>
  <c r="L891" i="57"/>
  <c r="L895" i="58" s="1"/>
  <c r="M682" i="54"/>
  <c r="M896" i="57" s="1"/>
  <c r="M900" i="58" s="1"/>
  <c r="L896" i="57"/>
  <c r="L900" i="58" s="1"/>
  <c r="M683" i="54"/>
  <c r="M897" i="57" s="1"/>
  <c r="M901" i="58" s="1"/>
  <c r="L897" i="57"/>
  <c r="L901" i="58" s="1"/>
  <c r="L969" i="57"/>
  <c r="L973" i="58" s="1"/>
  <c r="L861" i="57"/>
  <c r="I965" i="57"/>
  <c r="AZ965" i="57" s="1"/>
  <c r="H857" i="57"/>
  <c r="Y857" i="57" s="1"/>
  <c r="K752" i="54"/>
  <c r="J970" i="57"/>
  <c r="K862" i="57"/>
  <c r="L965" i="57"/>
  <c r="L969" i="58" s="1"/>
  <c r="L857" i="57"/>
  <c r="H864" i="57"/>
  <c r="Y864" i="57" s="1"/>
  <c r="I972" i="57"/>
  <c r="AZ972" i="57" s="1"/>
  <c r="AC996" i="57"/>
  <c r="AC995" i="57"/>
  <c r="AI995" i="57"/>
  <c r="AO995" i="57"/>
  <c r="AI996" i="57"/>
  <c r="AO996" i="57"/>
  <c r="J708" i="54"/>
  <c r="B931" i="57"/>
  <c r="E879" i="57" s="1"/>
  <c r="J713" i="54"/>
  <c r="B935" i="57"/>
  <c r="B939" i="58" s="1"/>
  <c r="B751" i="58" s="1"/>
  <c r="J717" i="54"/>
  <c r="J935" i="57" s="1"/>
  <c r="J718" i="54"/>
  <c r="K718" i="54" s="1"/>
  <c r="B924" i="57"/>
  <c r="B928" i="58" s="1"/>
  <c r="J706" i="54"/>
  <c r="B925" i="57"/>
  <c r="B929" i="58" s="1"/>
  <c r="J707" i="54"/>
  <c r="B922" i="57"/>
  <c r="B926" i="58" s="1"/>
  <c r="J704" i="54"/>
  <c r="L704" i="54"/>
  <c r="L922" i="57" s="1"/>
  <c r="L926" i="58" s="1"/>
  <c r="B945" i="57"/>
  <c r="B949" i="58" s="1"/>
  <c r="B759" i="58" s="1"/>
  <c r="J727" i="54"/>
  <c r="J710" i="54"/>
  <c r="B929" i="57"/>
  <c r="J711" i="54"/>
  <c r="AT670" i="54"/>
  <c r="AN670" i="54"/>
  <c r="L670" i="54"/>
  <c r="M670" i="54" s="1"/>
  <c r="L659" i="54"/>
  <c r="M659" i="54" s="1"/>
  <c r="AT659" i="54"/>
  <c r="AN659" i="54"/>
  <c r="AT658" i="54"/>
  <c r="AN658" i="54"/>
  <c r="L658" i="54"/>
  <c r="M658" i="54" s="1"/>
  <c r="AT662" i="54"/>
  <c r="AN662" i="54"/>
  <c r="L662" i="54"/>
  <c r="M662" i="54" s="1"/>
  <c r="AT666" i="54"/>
  <c r="AN666" i="54"/>
  <c r="L666" i="54"/>
  <c r="M666" i="54" s="1"/>
  <c r="L668" i="54"/>
  <c r="M668" i="54" s="1"/>
  <c r="AT668" i="54"/>
  <c r="AN668" i="54"/>
  <c r="L660" i="54"/>
  <c r="M660" i="54" s="1"/>
  <c r="AT660" i="54"/>
  <c r="AN660" i="54"/>
  <c r="L672" i="54"/>
  <c r="M672" i="54" s="1"/>
  <c r="AT672" i="54"/>
  <c r="AN672" i="54"/>
  <c r="AT657" i="54"/>
  <c r="AN657" i="54"/>
  <c r="L657" i="54"/>
  <c r="M657" i="54" s="1"/>
  <c r="R497" i="54"/>
  <c r="R498" i="54"/>
  <c r="L1003" i="58"/>
  <c r="AR1003" i="58" s="1"/>
  <c r="P722" i="58"/>
  <c r="P724" i="58"/>
  <c r="P723" i="58"/>
  <c r="P717" i="58"/>
  <c r="P720" i="58"/>
  <c r="P721" i="58"/>
  <c r="P716" i="58"/>
  <c r="P719" i="58"/>
  <c r="P718" i="58"/>
  <c r="P725" i="58"/>
  <c r="P728" i="58"/>
  <c r="P727" i="58"/>
  <c r="P726" i="58"/>
  <c r="P729" i="58"/>
  <c r="AC986" i="58"/>
  <c r="B758" i="58"/>
  <c r="D766" i="58"/>
  <c r="AU980" i="58"/>
  <c r="D771" i="58"/>
  <c r="AU986" i="58"/>
  <c r="J767" i="58"/>
  <c r="Q767" i="58"/>
  <c r="R767" i="58"/>
  <c r="B747" i="58"/>
  <c r="J771" i="58"/>
  <c r="R771" i="58"/>
  <c r="Q771" i="58"/>
  <c r="P979" i="58"/>
  <c r="AI979" i="58"/>
  <c r="D767" i="58"/>
  <c r="AU982" i="58"/>
  <c r="D764" i="58"/>
  <c r="AU978" i="58"/>
  <c r="J772" i="58"/>
  <c r="R772" i="58"/>
  <c r="Q772" i="58"/>
  <c r="D772" i="58"/>
  <c r="AU987" i="58"/>
  <c r="D765" i="58"/>
  <c r="AU979" i="58"/>
  <c r="B753" i="58"/>
  <c r="D768" i="58"/>
  <c r="AU983" i="58"/>
  <c r="B754" i="58"/>
  <c r="J774" i="58"/>
  <c r="Q774" i="58"/>
  <c r="R774" i="58"/>
  <c r="B757" i="58"/>
  <c r="B750" i="58"/>
  <c r="D773" i="58"/>
  <c r="AU988" i="58"/>
  <c r="AI984" i="58"/>
  <c r="P984" i="58"/>
  <c r="AI986" i="58"/>
  <c r="P986" i="58"/>
  <c r="AR986" i="58"/>
  <c r="D770" i="58"/>
  <c r="AU985" i="58"/>
  <c r="AU989" i="58"/>
  <c r="D769" i="58"/>
  <c r="AU984" i="58"/>
  <c r="D763" i="58"/>
  <c r="AU977" i="58"/>
  <c r="H886" i="57"/>
  <c r="H887" i="57" s="1"/>
  <c r="H888" i="57" s="1"/>
  <c r="H889" i="57" s="1"/>
  <c r="F902" i="57"/>
  <c r="F903" i="57" s="1"/>
  <c r="F904" i="57" s="1"/>
  <c r="F905" i="57" s="1"/>
  <c r="F906" i="57" s="1"/>
  <c r="F907" i="57" s="1"/>
  <c r="F908" i="57" s="1"/>
  <c r="F909" i="57" s="1"/>
  <c r="F910" i="57" s="1"/>
  <c r="F911" i="57" s="1"/>
  <c r="F912" i="57" s="1"/>
  <c r="F913" i="57" s="1"/>
  <c r="F914" i="57" s="1"/>
  <c r="F915" i="57" s="1"/>
  <c r="AC985" i="57"/>
  <c r="AC976" i="57"/>
  <c r="AC997" i="57"/>
  <c r="AC974" i="57"/>
  <c r="AN997" i="57"/>
  <c r="AI997" i="57"/>
  <c r="AL997" i="57"/>
  <c r="AM997" i="57"/>
  <c r="AO997" i="57"/>
  <c r="AC980" i="57"/>
  <c r="AC982" i="57"/>
  <c r="AI985" i="57"/>
  <c r="P985" i="57"/>
  <c r="AI979" i="57"/>
  <c r="P979" i="57"/>
  <c r="P973" i="57"/>
  <c r="AI973" i="57"/>
  <c r="P976" i="57"/>
  <c r="AI976" i="57"/>
  <c r="P981" i="57"/>
  <c r="AI981" i="57"/>
  <c r="AC981" i="57"/>
  <c r="P978" i="57"/>
  <c r="AI978" i="57"/>
  <c r="P974" i="57"/>
  <c r="AI974" i="57"/>
  <c r="P975" i="57"/>
  <c r="AI975" i="57"/>
  <c r="AC973" i="57"/>
  <c r="B926" i="57"/>
  <c r="B928" i="57"/>
  <c r="B932" i="58" s="1"/>
  <c r="B936" i="57"/>
  <c r="B940" i="58" s="1"/>
  <c r="AC983" i="57"/>
  <c r="AM998" i="57"/>
  <c r="AO998" i="57"/>
  <c r="AL998" i="57"/>
  <c r="AI998" i="57"/>
  <c r="AN998" i="57"/>
  <c r="AC978" i="57"/>
  <c r="AI980" i="57"/>
  <c r="P980" i="57"/>
  <c r="AI982" i="57"/>
  <c r="P982" i="57"/>
  <c r="AC975" i="57"/>
  <c r="P984" i="57"/>
  <c r="AI984" i="57"/>
  <c r="P983" i="57"/>
  <c r="AI983" i="57"/>
  <c r="AC998" i="57"/>
  <c r="G878" i="57"/>
  <c r="AR877" i="57"/>
  <c r="AC984" i="57"/>
  <c r="AC979" i="57"/>
  <c r="K726" i="54"/>
  <c r="J944" i="57"/>
  <c r="K722" i="54"/>
  <c r="J940" i="57"/>
  <c r="K709" i="54"/>
  <c r="J927" i="57"/>
  <c r="K716" i="54"/>
  <c r="J934" i="57"/>
  <c r="K733" i="54"/>
  <c r="J951" i="57"/>
  <c r="K844" i="57"/>
  <c r="K737" i="54"/>
  <c r="J955" i="57"/>
  <c r="K848" i="57"/>
  <c r="K740" i="54"/>
  <c r="K851" i="57"/>
  <c r="J958" i="57"/>
  <c r="K742" i="54"/>
  <c r="K853" i="57"/>
  <c r="J960" i="57"/>
  <c r="K731" i="54"/>
  <c r="J949" i="57"/>
  <c r="K725" i="54"/>
  <c r="J943" i="57"/>
  <c r="K719" i="54"/>
  <c r="J937" i="57"/>
  <c r="K720" i="54"/>
  <c r="J938" i="57"/>
  <c r="L950" i="57"/>
  <c r="L954" i="58" s="1"/>
  <c r="L843" i="57"/>
  <c r="L952" i="57"/>
  <c r="L956" i="58" s="1"/>
  <c r="L845" i="57"/>
  <c r="L953" i="57"/>
  <c r="L957" i="58" s="1"/>
  <c r="L846" i="57"/>
  <c r="K705" i="54"/>
  <c r="J923" i="57"/>
  <c r="L927" i="57"/>
  <c r="L931" i="58" s="1"/>
  <c r="Y934" i="57"/>
  <c r="Y938" i="58" s="1"/>
  <c r="K745" i="54"/>
  <c r="K856" i="57"/>
  <c r="J963" i="57"/>
  <c r="K736" i="54"/>
  <c r="J954" i="57"/>
  <c r="K847" i="57"/>
  <c r="K738" i="54"/>
  <c r="K849" i="57"/>
  <c r="J956" i="57"/>
  <c r="K741" i="54"/>
  <c r="J959" i="57"/>
  <c r="K852" i="57"/>
  <c r="L955" i="57"/>
  <c r="L959" i="58" s="1"/>
  <c r="L848" i="57"/>
  <c r="L958" i="57"/>
  <c r="L962" i="58" s="1"/>
  <c r="L851" i="57"/>
  <c r="L960" i="57"/>
  <c r="L964" i="58" s="1"/>
  <c r="L853" i="57"/>
  <c r="L949" i="57"/>
  <c r="L953" i="58" s="1"/>
  <c r="R751" i="57"/>
  <c r="R756" i="57" s="1"/>
  <c r="Y955" i="57"/>
  <c r="Y959" i="58" s="1"/>
  <c r="K728" i="54"/>
  <c r="J946" i="57"/>
  <c r="Y927" i="57"/>
  <c r="Y931" i="58" s="1"/>
  <c r="K739" i="54"/>
  <c r="J957" i="57"/>
  <c r="K850" i="57"/>
  <c r="K712" i="54"/>
  <c r="J930" i="57"/>
  <c r="K743" i="54"/>
  <c r="J961" i="57"/>
  <c r="K854" i="57"/>
  <c r="K714" i="54"/>
  <c r="J932" i="57"/>
  <c r="K721" i="54"/>
  <c r="J939" i="57"/>
  <c r="K715" i="54"/>
  <c r="J933" i="57"/>
  <c r="L963" i="57"/>
  <c r="L967" i="58" s="1"/>
  <c r="L856" i="57"/>
  <c r="L954" i="57"/>
  <c r="L958" i="58" s="1"/>
  <c r="L847" i="57"/>
  <c r="L956" i="57"/>
  <c r="L960" i="58" s="1"/>
  <c r="L849" i="57"/>
  <c r="L951" i="57"/>
  <c r="L955" i="58" s="1"/>
  <c r="L844" i="57"/>
  <c r="L962" i="57"/>
  <c r="L966" i="58" s="1"/>
  <c r="L855" i="57"/>
  <c r="R753" i="57"/>
  <c r="R760" i="57" s="1"/>
  <c r="Y954" i="57"/>
  <c r="Y958" i="58" s="1"/>
  <c r="R752" i="57"/>
  <c r="Y956" i="57"/>
  <c r="Y960" i="58" s="1"/>
  <c r="K732" i="54"/>
  <c r="J950" i="57"/>
  <c r="K843" i="57"/>
  <c r="K734" i="54"/>
  <c r="K845" i="57"/>
  <c r="J952" i="57"/>
  <c r="K735" i="54"/>
  <c r="J953" i="57"/>
  <c r="K846" i="57"/>
  <c r="L957" i="57"/>
  <c r="L961" i="58" s="1"/>
  <c r="L850" i="57"/>
  <c r="L961" i="57"/>
  <c r="L965" i="58" s="1"/>
  <c r="L854" i="57"/>
  <c r="L959" i="57"/>
  <c r="L963" i="58" s="1"/>
  <c r="L852" i="57"/>
  <c r="K744" i="54"/>
  <c r="J962" i="57"/>
  <c r="K855" i="57"/>
  <c r="B770" i="57"/>
  <c r="M386" i="54"/>
  <c r="M401" i="54"/>
  <c r="M406" i="54" s="1"/>
  <c r="M411" i="54" s="1"/>
  <c r="L312" i="54"/>
  <c r="L342" i="54" s="1"/>
  <c r="L347" i="54" s="1"/>
  <c r="L362" i="54" s="1"/>
  <c r="L367" i="54" s="1"/>
  <c r="L317" i="54"/>
  <c r="L332" i="54" s="1"/>
  <c r="L337" i="54" s="1"/>
  <c r="Y922" i="57"/>
  <c r="Y926" i="58" s="1"/>
  <c r="L727" i="54"/>
  <c r="L945" i="57" s="1"/>
  <c r="L949" i="58" s="1"/>
  <c r="Y931" i="57"/>
  <c r="Y935" i="58" s="1"/>
  <c r="L713" i="54"/>
  <c r="L931" i="57" s="1"/>
  <c r="L935" i="58" s="1"/>
  <c r="L706" i="54"/>
  <c r="L924" i="57" s="1"/>
  <c r="L928" i="58" s="1"/>
  <c r="Y924" i="57"/>
  <c r="Y925" i="57"/>
  <c r="L707" i="54"/>
  <c r="L925" i="57" s="1"/>
  <c r="L929" i="58" s="1"/>
  <c r="L710" i="54"/>
  <c r="P663" i="58" s="1"/>
  <c r="Y929" i="57"/>
  <c r="Y933" i="58" s="1"/>
  <c r="L711" i="54"/>
  <c r="L929" i="57" s="1"/>
  <c r="L933" i="58" s="1"/>
  <c r="L708" i="54"/>
  <c r="L926" i="57" s="1"/>
  <c r="L930" i="58" s="1"/>
  <c r="E664" i="54"/>
  <c r="AU664" i="54" s="1"/>
  <c r="B499" i="54"/>
  <c r="D516" i="54"/>
  <c r="B509" i="54"/>
  <c r="B508" i="54"/>
  <c r="B570" i="54" s="1"/>
  <c r="D517" i="54"/>
  <c r="R517" i="54" s="1"/>
  <c r="B497" i="54"/>
  <c r="B498" i="54"/>
  <c r="B569" i="54" s="1"/>
  <c r="D493" i="54"/>
  <c r="R493" i="54" s="1"/>
  <c r="D492" i="54"/>
  <c r="R492" i="54" s="1"/>
  <c r="D491" i="54"/>
  <c r="R491" i="54" s="1"/>
  <c r="D490" i="54"/>
  <c r="R490" i="54" s="1"/>
  <c r="D56" i="54"/>
  <c r="E56" i="54"/>
  <c r="G56" i="54"/>
  <c r="H56" i="54"/>
  <c r="I56" i="54"/>
  <c r="J56" i="54"/>
  <c r="K56" i="54"/>
  <c r="L56" i="54"/>
  <c r="D57" i="54"/>
  <c r="E57" i="54"/>
  <c r="G57" i="54"/>
  <c r="H57" i="54"/>
  <c r="I57" i="54"/>
  <c r="J57" i="54"/>
  <c r="K57" i="54"/>
  <c r="L57" i="54"/>
  <c r="D58" i="54"/>
  <c r="E58" i="54"/>
  <c r="G58" i="54"/>
  <c r="H58" i="54"/>
  <c r="I58" i="54"/>
  <c r="J58" i="54"/>
  <c r="K58" i="54"/>
  <c r="L58" i="54"/>
  <c r="D59" i="54"/>
  <c r="E59" i="54"/>
  <c r="G59" i="54"/>
  <c r="H59" i="54"/>
  <c r="I59" i="54"/>
  <c r="J59" i="54"/>
  <c r="K59" i="54"/>
  <c r="L59" i="54"/>
  <c r="D60" i="54"/>
  <c r="E60" i="54"/>
  <c r="G60" i="54"/>
  <c r="H60" i="54"/>
  <c r="I60" i="54"/>
  <c r="J60" i="54"/>
  <c r="K60" i="54"/>
  <c r="L60" i="54"/>
  <c r="D61" i="54"/>
  <c r="E61" i="54"/>
  <c r="G61" i="54"/>
  <c r="H61" i="54"/>
  <c r="I61" i="54"/>
  <c r="J61" i="54"/>
  <c r="K61" i="54"/>
  <c r="L61" i="54"/>
  <c r="D62" i="54"/>
  <c r="E62" i="54"/>
  <c r="G62" i="54"/>
  <c r="H62" i="54"/>
  <c r="I62" i="54"/>
  <c r="J62" i="54"/>
  <c r="K62" i="54"/>
  <c r="L62" i="54"/>
  <c r="D63" i="54"/>
  <c r="E63" i="54"/>
  <c r="G63" i="54"/>
  <c r="H63" i="54"/>
  <c r="I63" i="54"/>
  <c r="J63" i="54"/>
  <c r="K63" i="54"/>
  <c r="L63" i="54"/>
  <c r="D64" i="54"/>
  <c r="E64" i="54"/>
  <c r="G64" i="54"/>
  <c r="H64" i="54"/>
  <c r="I64" i="54"/>
  <c r="J64" i="54"/>
  <c r="K64" i="54"/>
  <c r="L64" i="54"/>
  <c r="D65" i="54"/>
  <c r="E65" i="54"/>
  <c r="G65" i="54"/>
  <c r="H65" i="54"/>
  <c r="I65" i="54"/>
  <c r="J65" i="54"/>
  <c r="K65" i="54"/>
  <c r="L65" i="54"/>
  <c r="D66" i="54"/>
  <c r="E66" i="54"/>
  <c r="G66" i="54"/>
  <c r="H66" i="54"/>
  <c r="I66" i="54"/>
  <c r="J66" i="54"/>
  <c r="K66" i="54"/>
  <c r="L66" i="54"/>
  <c r="D67" i="54"/>
  <c r="E67" i="54"/>
  <c r="G67" i="54"/>
  <c r="H67" i="54"/>
  <c r="I67" i="54"/>
  <c r="J67" i="54"/>
  <c r="K67" i="54"/>
  <c r="L67" i="54"/>
  <c r="D68" i="54"/>
  <c r="E68" i="54"/>
  <c r="G68" i="54"/>
  <c r="H68" i="54"/>
  <c r="I68" i="54"/>
  <c r="J68" i="54"/>
  <c r="K68" i="54"/>
  <c r="L68" i="54"/>
  <c r="D69" i="54"/>
  <c r="E69" i="54"/>
  <c r="G69" i="54"/>
  <c r="H69" i="54"/>
  <c r="I69" i="54"/>
  <c r="J69" i="54"/>
  <c r="K69" i="54"/>
  <c r="L69" i="54"/>
  <c r="D70" i="54"/>
  <c r="E70" i="54"/>
  <c r="G70" i="54"/>
  <c r="H70" i="54"/>
  <c r="I70" i="54"/>
  <c r="J70" i="54"/>
  <c r="K70" i="54"/>
  <c r="L70" i="54"/>
  <c r="D71" i="54"/>
  <c r="E71" i="54"/>
  <c r="G71" i="54"/>
  <c r="H71" i="54"/>
  <c r="I71" i="54"/>
  <c r="J71" i="54"/>
  <c r="K71" i="54"/>
  <c r="L71" i="54"/>
  <c r="D72" i="54"/>
  <c r="E72" i="54"/>
  <c r="G72" i="54"/>
  <c r="H72" i="54"/>
  <c r="I72" i="54"/>
  <c r="J72" i="54"/>
  <c r="K72" i="54"/>
  <c r="L72" i="54"/>
  <c r="D73" i="54"/>
  <c r="E73" i="54"/>
  <c r="G73" i="54"/>
  <c r="H73" i="54"/>
  <c r="I73" i="54"/>
  <c r="J73" i="54"/>
  <c r="K73" i="54"/>
  <c r="L73" i="54"/>
  <c r="D74" i="54"/>
  <c r="E74" i="54"/>
  <c r="G74" i="54"/>
  <c r="H74" i="54"/>
  <c r="I74" i="54"/>
  <c r="J74" i="54"/>
  <c r="K74" i="54"/>
  <c r="L74" i="54"/>
  <c r="D75" i="54"/>
  <c r="E75" i="54"/>
  <c r="G75" i="54"/>
  <c r="H75" i="54"/>
  <c r="I75" i="54"/>
  <c r="J75" i="54"/>
  <c r="K75" i="54"/>
  <c r="L75" i="54"/>
  <c r="B76" i="54"/>
  <c r="B77" i="54"/>
  <c r="C77" i="54"/>
  <c r="D77" i="54"/>
  <c r="E77" i="54"/>
  <c r="F77" i="54"/>
  <c r="G77" i="54"/>
  <c r="H77" i="54"/>
  <c r="I77" i="54"/>
  <c r="J77" i="54"/>
  <c r="K77" i="54"/>
  <c r="E78" i="54"/>
  <c r="F78" i="54"/>
  <c r="H78" i="54"/>
  <c r="I78" i="54"/>
  <c r="J78" i="54"/>
  <c r="K78" i="54"/>
  <c r="E79" i="54"/>
  <c r="F79" i="54"/>
  <c r="H79" i="54"/>
  <c r="I79" i="54"/>
  <c r="J79" i="54"/>
  <c r="K79" i="54"/>
  <c r="E80" i="54"/>
  <c r="F80" i="54"/>
  <c r="H80" i="54"/>
  <c r="I80" i="54"/>
  <c r="K80" i="54"/>
  <c r="E81" i="54"/>
  <c r="F81" i="54"/>
  <c r="H81" i="54"/>
  <c r="I81" i="54"/>
  <c r="J81" i="54"/>
  <c r="K81" i="54"/>
  <c r="E82" i="54"/>
  <c r="F82" i="54"/>
  <c r="H82" i="54"/>
  <c r="I82" i="54"/>
  <c r="J82" i="54"/>
  <c r="E83" i="54"/>
  <c r="F83" i="54"/>
  <c r="H83" i="54"/>
  <c r="I83" i="54"/>
  <c r="J83" i="54"/>
  <c r="K83" i="54"/>
  <c r="E84" i="54"/>
  <c r="F84" i="54"/>
  <c r="H84" i="54"/>
  <c r="I84" i="54"/>
  <c r="J84" i="54"/>
  <c r="K84" i="54"/>
  <c r="E85" i="54"/>
  <c r="F85" i="54"/>
  <c r="H85" i="54"/>
  <c r="I85" i="54"/>
  <c r="J85" i="54"/>
  <c r="K85" i="54"/>
  <c r="E86" i="54"/>
  <c r="F86" i="54"/>
  <c r="H86" i="54"/>
  <c r="I86" i="54"/>
  <c r="J86" i="54"/>
  <c r="K86" i="54"/>
  <c r="E87" i="54"/>
  <c r="F87" i="54"/>
  <c r="H87" i="54"/>
  <c r="I87" i="54"/>
  <c r="J87" i="54"/>
  <c r="K87" i="54"/>
  <c r="E88" i="54"/>
  <c r="F88" i="54"/>
  <c r="H88" i="54"/>
  <c r="I88" i="54"/>
  <c r="J88" i="54"/>
  <c r="K88" i="54"/>
  <c r="E89" i="54"/>
  <c r="F89" i="54"/>
  <c r="H89" i="54"/>
  <c r="I89" i="54"/>
  <c r="J89" i="54"/>
  <c r="K89" i="54"/>
  <c r="E90" i="54"/>
  <c r="F90" i="54"/>
  <c r="H90" i="54"/>
  <c r="I90" i="54"/>
  <c r="J90" i="54"/>
  <c r="E91" i="54"/>
  <c r="F91" i="54"/>
  <c r="H91" i="54"/>
  <c r="I91" i="54"/>
  <c r="J91" i="54"/>
  <c r="K91" i="54"/>
  <c r="E92" i="54"/>
  <c r="F92" i="54"/>
  <c r="H92" i="54"/>
  <c r="I92" i="54"/>
  <c r="J92" i="54"/>
  <c r="K92" i="54"/>
  <c r="E93" i="54"/>
  <c r="F93" i="54"/>
  <c r="H93" i="54"/>
  <c r="I93" i="54"/>
  <c r="J93" i="54"/>
  <c r="K93" i="54"/>
  <c r="E94" i="54"/>
  <c r="F94" i="54"/>
  <c r="H94" i="54"/>
  <c r="I94" i="54"/>
  <c r="J94" i="54"/>
  <c r="K94" i="54"/>
  <c r="E95" i="54"/>
  <c r="F95" i="54"/>
  <c r="H95" i="54"/>
  <c r="I95" i="54"/>
  <c r="J95" i="54"/>
  <c r="K95" i="54"/>
  <c r="E96" i="54"/>
  <c r="F96" i="54"/>
  <c r="H96" i="54"/>
  <c r="I96" i="54"/>
  <c r="J96" i="54"/>
  <c r="K96" i="54"/>
  <c r="E97" i="54"/>
  <c r="F97" i="54"/>
  <c r="H97" i="54"/>
  <c r="I97" i="54"/>
  <c r="J97" i="54"/>
  <c r="K97" i="54"/>
  <c r="E98" i="54"/>
  <c r="F98" i="54"/>
  <c r="H98" i="54"/>
  <c r="I98" i="54"/>
  <c r="J98" i="54"/>
  <c r="E99" i="54"/>
  <c r="F99" i="54"/>
  <c r="H99" i="54"/>
  <c r="I99" i="54"/>
  <c r="J99" i="54"/>
  <c r="K99" i="54"/>
  <c r="E100" i="54"/>
  <c r="F100" i="54"/>
  <c r="H100" i="54"/>
  <c r="I100" i="54"/>
  <c r="J100" i="54"/>
  <c r="K100" i="54"/>
  <c r="E101" i="54"/>
  <c r="F101" i="54"/>
  <c r="H101" i="54"/>
  <c r="I101" i="54"/>
  <c r="J101" i="54"/>
  <c r="K101" i="54"/>
  <c r="E102" i="54"/>
  <c r="F102" i="54"/>
  <c r="H102" i="54"/>
  <c r="I102" i="54"/>
  <c r="J102" i="54"/>
  <c r="K102" i="54"/>
  <c r="E103" i="54"/>
  <c r="F103" i="54"/>
  <c r="H103" i="54"/>
  <c r="I103" i="54"/>
  <c r="J103" i="54"/>
  <c r="K103" i="54"/>
  <c r="E104" i="54"/>
  <c r="F104" i="54"/>
  <c r="H104" i="54"/>
  <c r="I104" i="54"/>
  <c r="J104" i="54"/>
  <c r="K104" i="54"/>
  <c r="E105" i="54"/>
  <c r="F105" i="54"/>
  <c r="H105" i="54"/>
  <c r="I105" i="54"/>
  <c r="J105" i="54"/>
  <c r="K105" i="54"/>
  <c r="E106" i="54"/>
  <c r="F106" i="54"/>
  <c r="H106" i="54"/>
  <c r="I106" i="54"/>
  <c r="J106" i="54"/>
  <c r="E107" i="54"/>
  <c r="F107" i="54"/>
  <c r="H107" i="54"/>
  <c r="I107" i="54"/>
  <c r="J107" i="54"/>
  <c r="K107" i="54"/>
  <c r="E108" i="54"/>
  <c r="F108" i="54"/>
  <c r="H108" i="54"/>
  <c r="I108" i="54"/>
  <c r="J108" i="54"/>
  <c r="K108" i="54"/>
  <c r="E109" i="54"/>
  <c r="F109" i="54"/>
  <c r="H109" i="54"/>
  <c r="I109" i="54"/>
  <c r="J109" i="54"/>
  <c r="K109" i="54"/>
  <c r="E110" i="54"/>
  <c r="F110" i="54"/>
  <c r="H110" i="54"/>
  <c r="I110" i="54"/>
  <c r="J110" i="54"/>
  <c r="K110" i="54"/>
  <c r="E111" i="54"/>
  <c r="F111" i="54"/>
  <c r="H111" i="54"/>
  <c r="I111" i="54"/>
  <c r="J111" i="54"/>
  <c r="K111" i="54"/>
  <c r="E112" i="54"/>
  <c r="F112" i="54"/>
  <c r="H112" i="54"/>
  <c r="I112" i="54"/>
  <c r="J112" i="54"/>
  <c r="K112" i="54"/>
  <c r="E113" i="54"/>
  <c r="F113" i="54"/>
  <c r="H113" i="54"/>
  <c r="I113" i="54"/>
  <c r="J113" i="54"/>
  <c r="K113" i="54"/>
  <c r="E114" i="54"/>
  <c r="F114" i="54"/>
  <c r="H114" i="54"/>
  <c r="I114" i="54"/>
  <c r="J114" i="54"/>
  <c r="E115" i="54"/>
  <c r="F115" i="54"/>
  <c r="H115" i="54"/>
  <c r="I115" i="54"/>
  <c r="J115" i="54"/>
  <c r="K115" i="54"/>
  <c r="E116" i="54"/>
  <c r="F116" i="54"/>
  <c r="H116" i="54"/>
  <c r="I116" i="54"/>
  <c r="J116" i="54"/>
  <c r="K116" i="54"/>
  <c r="E117" i="54"/>
  <c r="F117" i="54"/>
  <c r="H117" i="54"/>
  <c r="I117" i="54"/>
  <c r="J117" i="54"/>
  <c r="K117" i="54"/>
  <c r="B118" i="54"/>
  <c r="F118" i="54"/>
  <c r="B119" i="54"/>
  <c r="C119" i="54"/>
  <c r="D119" i="54"/>
  <c r="E119" i="54"/>
  <c r="F119" i="54"/>
  <c r="G119" i="54"/>
  <c r="H119" i="54"/>
  <c r="I119" i="54"/>
  <c r="J119" i="54"/>
  <c r="K119" i="54"/>
  <c r="E120" i="54"/>
  <c r="F120" i="54"/>
  <c r="H120" i="54"/>
  <c r="I120" i="54"/>
  <c r="J120" i="54"/>
  <c r="K120" i="54"/>
  <c r="E121" i="54"/>
  <c r="F121" i="54"/>
  <c r="H121" i="54"/>
  <c r="I121" i="54"/>
  <c r="J121" i="54"/>
  <c r="K121" i="54"/>
  <c r="E122" i="54"/>
  <c r="F122" i="54"/>
  <c r="H122" i="54"/>
  <c r="I122" i="54"/>
  <c r="J122" i="54"/>
  <c r="K122" i="54"/>
  <c r="E123" i="54"/>
  <c r="F123" i="54"/>
  <c r="H123" i="54"/>
  <c r="I123" i="54"/>
  <c r="J123" i="54"/>
  <c r="K123" i="54"/>
  <c r="E124" i="54"/>
  <c r="F124" i="54"/>
  <c r="H124" i="54"/>
  <c r="I124" i="54"/>
  <c r="J124" i="54"/>
  <c r="K124" i="54"/>
  <c r="E125" i="54"/>
  <c r="F125" i="54"/>
  <c r="H125" i="54"/>
  <c r="I125" i="54"/>
  <c r="J125" i="54"/>
  <c r="K125" i="54"/>
  <c r="E126" i="54"/>
  <c r="F126" i="54"/>
  <c r="H126" i="54"/>
  <c r="I126" i="54"/>
  <c r="J126" i="54"/>
  <c r="K126" i="54"/>
  <c r="E127" i="54"/>
  <c r="F127" i="54"/>
  <c r="H127" i="54"/>
  <c r="I127" i="54"/>
  <c r="J127" i="54"/>
  <c r="K127" i="54"/>
  <c r="E128" i="54"/>
  <c r="F128" i="54"/>
  <c r="H128" i="54"/>
  <c r="I128" i="54"/>
  <c r="J128" i="54"/>
  <c r="K128" i="54"/>
  <c r="E129" i="54"/>
  <c r="F129" i="54"/>
  <c r="H129" i="54"/>
  <c r="I129" i="54"/>
  <c r="J129" i="54"/>
  <c r="K129" i="54"/>
  <c r="E130" i="54"/>
  <c r="F130" i="54"/>
  <c r="H130" i="54"/>
  <c r="I130" i="54"/>
  <c r="J130" i="54"/>
  <c r="K130" i="54"/>
  <c r="E131" i="54"/>
  <c r="F131" i="54"/>
  <c r="H131" i="54"/>
  <c r="I131" i="54"/>
  <c r="J131" i="54"/>
  <c r="K131" i="54"/>
  <c r="E132" i="54"/>
  <c r="F132" i="54"/>
  <c r="H132" i="54"/>
  <c r="I132" i="54"/>
  <c r="J132" i="54"/>
  <c r="K132" i="54"/>
  <c r="E133" i="54"/>
  <c r="F133" i="54"/>
  <c r="H133" i="54"/>
  <c r="I133" i="54"/>
  <c r="J133" i="54"/>
  <c r="K133" i="54"/>
  <c r="E134" i="54"/>
  <c r="F134" i="54"/>
  <c r="H134" i="54"/>
  <c r="I134" i="54"/>
  <c r="J134" i="54"/>
  <c r="K134" i="54"/>
  <c r="E135" i="54"/>
  <c r="F135" i="54"/>
  <c r="H135" i="54"/>
  <c r="I135" i="54"/>
  <c r="J135" i="54"/>
  <c r="K135" i="54"/>
  <c r="E136" i="54"/>
  <c r="F136" i="54"/>
  <c r="H136" i="54"/>
  <c r="I136" i="54"/>
  <c r="J136" i="54"/>
  <c r="K136" i="54"/>
  <c r="E137" i="54"/>
  <c r="F137" i="54"/>
  <c r="H137" i="54"/>
  <c r="I137" i="54"/>
  <c r="J137" i="54"/>
  <c r="K137" i="54"/>
  <c r="E138" i="54"/>
  <c r="F138" i="54"/>
  <c r="H138" i="54"/>
  <c r="I138" i="54"/>
  <c r="J138" i="54"/>
  <c r="K138" i="54"/>
  <c r="E139" i="54"/>
  <c r="F139" i="54"/>
  <c r="H139" i="54"/>
  <c r="I139" i="54"/>
  <c r="J139" i="54"/>
  <c r="K139" i="54"/>
  <c r="E140" i="54"/>
  <c r="F140" i="54"/>
  <c r="H140" i="54"/>
  <c r="I140" i="54"/>
  <c r="J140" i="54"/>
  <c r="K140" i="54"/>
  <c r="E141" i="54"/>
  <c r="F141" i="54"/>
  <c r="H141" i="54"/>
  <c r="I141" i="54"/>
  <c r="J141" i="54"/>
  <c r="K141" i="54"/>
  <c r="E142" i="54"/>
  <c r="F142" i="54"/>
  <c r="H142" i="54"/>
  <c r="I142" i="54"/>
  <c r="J142" i="54"/>
  <c r="K142" i="54"/>
  <c r="E143" i="54"/>
  <c r="F143" i="54"/>
  <c r="H143" i="54"/>
  <c r="I143" i="54"/>
  <c r="J143" i="54"/>
  <c r="K143" i="54"/>
  <c r="E144" i="54"/>
  <c r="F144" i="54"/>
  <c r="H144" i="54"/>
  <c r="I144" i="54"/>
  <c r="J144" i="54"/>
  <c r="K144" i="54"/>
  <c r="E145" i="54"/>
  <c r="F145" i="54"/>
  <c r="H145" i="54"/>
  <c r="I145" i="54"/>
  <c r="J145" i="54"/>
  <c r="K145" i="54"/>
  <c r="E146" i="54"/>
  <c r="F146" i="54"/>
  <c r="H146" i="54"/>
  <c r="I146" i="54"/>
  <c r="J146" i="54"/>
  <c r="K146" i="54"/>
  <c r="E147" i="54"/>
  <c r="F147" i="54"/>
  <c r="H147" i="54"/>
  <c r="I147" i="54"/>
  <c r="J147" i="54"/>
  <c r="K147" i="54"/>
  <c r="E148" i="54"/>
  <c r="F148" i="54"/>
  <c r="H148" i="54"/>
  <c r="I148" i="54"/>
  <c r="J148" i="54"/>
  <c r="K148" i="54"/>
  <c r="E149" i="54"/>
  <c r="F149" i="54"/>
  <c r="H149" i="54"/>
  <c r="I149" i="54"/>
  <c r="J149" i="54"/>
  <c r="K149" i="54"/>
  <c r="B191" i="54"/>
  <c r="C191" i="54"/>
  <c r="G191" i="54"/>
  <c r="H191" i="54"/>
  <c r="B192" i="54"/>
  <c r="C192" i="54"/>
  <c r="D192" i="54"/>
  <c r="E192" i="54"/>
  <c r="F192" i="54"/>
  <c r="G192" i="54"/>
  <c r="H192" i="54"/>
  <c r="C193" i="54"/>
  <c r="D193" i="54"/>
  <c r="E193" i="54"/>
  <c r="F193" i="54"/>
  <c r="H193" i="54"/>
  <c r="B194" i="54"/>
  <c r="B195" i="54"/>
  <c r="C195" i="54"/>
  <c r="D195" i="54"/>
  <c r="E195" i="54"/>
  <c r="B196" i="54"/>
  <c r="C196" i="54"/>
  <c r="D196" i="54"/>
  <c r="O858" i="54" s="1"/>
  <c r="E196" i="54"/>
  <c r="P858" i="54" s="1"/>
  <c r="B198" i="54"/>
  <c r="C198" i="54"/>
  <c r="D198" i="54"/>
  <c r="O860" i="54" s="1"/>
  <c r="E198" i="54"/>
  <c r="P860" i="54" s="1"/>
  <c r="C55" i="54"/>
  <c r="D55" i="54"/>
  <c r="E55" i="54"/>
  <c r="F55" i="54"/>
  <c r="G55" i="54"/>
  <c r="H55" i="54"/>
  <c r="I55" i="54"/>
  <c r="J55" i="54"/>
  <c r="K55" i="54"/>
  <c r="L55" i="54"/>
  <c r="M55" i="54"/>
  <c r="B55" i="54"/>
  <c r="B22" i="54"/>
  <c r="C22" i="54"/>
  <c r="D22" i="54"/>
  <c r="D260" i="54" s="1"/>
  <c r="E22" i="54"/>
  <c r="F22" i="54"/>
  <c r="G22" i="54"/>
  <c r="H22" i="54"/>
  <c r="B23" i="54"/>
  <c r="C23" i="54"/>
  <c r="C238" i="54" s="1"/>
  <c r="G774" i="54" s="1"/>
  <c r="D805" i="54" s="1"/>
  <c r="D23" i="54"/>
  <c r="E23" i="54"/>
  <c r="F23" i="54"/>
  <c r="G23" i="54"/>
  <c r="H23" i="54"/>
  <c r="B24" i="54"/>
  <c r="C24" i="54"/>
  <c r="C239" i="54" s="1"/>
  <c r="G776" i="54" s="1"/>
  <c r="D809" i="54" s="1"/>
  <c r="D24" i="54"/>
  <c r="E24" i="54"/>
  <c r="F24" i="54"/>
  <c r="G24" i="54"/>
  <c r="H24" i="54"/>
  <c r="B25" i="54"/>
  <c r="C25" i="54"/>
  <c r="D25" i="54"/>
  <c r="E25" i="54"/>
  <c r="F25" i="54"/>
  <c r="G25" i="54"/>
  <c r="H25" i="54"/>
  <c r="B26" i="54"/>
  <c r="C26" i="54"/>
  <c r="D26" i="54"/>
  <c r="E26" i="54"/>
  <c r="F26" i="54"/>
  <c r="G26" i="54"/>
  <c r="H26" i="54"/>
  <c r="B30" i="54"/>
  <c r="C30" i="54"/>
  <c r="D30" i="54"/>
  <c r="E30" i="54"/>
  <c r="F30" i="54"/>
  <c r="G30" i="54"/>
  <c r="H30" i="54"/>
  <c r="J30" i="54"/>
  <c r="B31" i="54"/>
  <c r="C31" i="54"/>
  <c r="C246" i="54" s="1"/>
  <c r="D31" i="54"/>
  <c r="E31" i="54"/>
  <c r="F31" i="54"/>
  <c r="G31" i="54"/>
  <c r="H31" i="54"/>
  <c r="J31" i="54"/>
  <c r="B32" i="54"/>
  <c r="C32" i="54"/>
  <c r="D32" i="54"/>
  <c r="E32" i="54"/>
  <c r="F32" i="54"/>
  <c r="G32" i="54"/>
  <c r="H32" i="54"/>
  <c r="J32" i="54"/>
  <c r="S518" i="54" s="1"/>
  <c r="G21" i="54"/>
  <c r="H21" i="54"/>
  <c r="I21" i="54"/>
  <c r="J21" i="54"/>
  <c r="K21" i="54"/>
  <c r="B11" i="54"/>
  <c r="C11" i="54"/>
  <c r="D11" i="54"/>
  <c r="D12" i="54"/>
  <c r="D14" i="54"/>
  <c r="D304" i="54" s="1"/>
  <c r="B20" i="54"/>
  <c r="B21" i="54"/>
  <c r="C21" i="54"/>
  <c r="D21" i="54"/>
  <c r="E21" i="54"/>
  <c r="F21" i="54"/>
  <c r="B10" i="54"/>
  <c r="B8" i="54"/>
  <c r="B792" i="54" s="1"/>
  <c r="C8" i="54"/>
  <c r="D8" i="54"/>
  <c r="D792" i="54" s="1"/>
  <c r="E8" i="54"/>
  <c r="B9" i="54"/>
  <c r="C9" i="54"/>
  <c r="E9" i="54"/>
  <c r="C7" i="54"/>
  <c r="D7" i="54"/>
  <c r="E7" i="54"/>
  <c r="F7" i="54"/>
  <c r="B7" i="54"/>
  <c r="A7" i="54"/>
  <c r="A8" i="54"/>
  <c r="A9" i="54"/>
  <c r="A10" i="54"/>
  <c r="A11" i="54"/>
  <c r="A12" i="54"/>
  <c r="A14" i="54"/>
  <c r="A20" i="54"/>
  <c r="A21" i="54"/>
  <c r="A22" i="54"/>
  <c r="A23" i="54"/>
  <c r="A24" i="54"/>
  <c r="A25" i="54"/>
  <c r="A26" i="54"/>
  <c r="A30" i="54"/>
  <c r="A31" i="54"/>
  <c r="A32" i="54"/>
  <c r="A55" i="54"/>
  <c r="A56" i="54"/>
  <c r="A57" i="54"/>
  <c r="A58" i="54"/>
  <c r="A59" i="54"/>
  <c r="A60" i="54"/>
  <c r="A61" i="54"/>
  <c r="A62" i="54"/>
  <c r="A63" i="54"/>
  <c r="A64" i="54"/>
  <c r="A65" i="54"/>
  <c r="A66" i="54"/>
  <c r="A67" i="54"/>
  <c r="A68" i="54"/>
  <c r="A69" i="54"/>
  <c r="A70" i="54"/>
  <c r="A71" i="54"/>
  <c r="A72" i="54"/>
  <c r="A73" i="54"/>
  <c r="A74" i="54"/>
  <c r="A75" i="54"/>
  <c r="A76" i="54"/>
  <c r="A77" i="54"/>
  <c r="A78" i="54"/>
  <c r="A79" i="54"/>
  <c r="A80" i="54"/>
  <c r="A81" i="54"/>
  <c r="A82" i="54"/>
  <c r="A83" i="54"/>
  <c r="A84" i="54"/>
  <c r="A85" i="54"/>
  <c r="A86" i="54"/>
  <c r="A87" i="54"/>
  <c r="A88" i="54"/>
  <c r="A89" i="54"/>
  <c r="A90" i="54"/>
  <c r="A91" i="54"/>
  <c r="A92" i="54"/>
  <c r="A93" i="54"/>
  <c r="A94" i="54"/>
  <c r="A95" i="54"/>
  <c r="A96" i="54"/>
  <c r="A97" i="54"/>
  <c r="A98" i="54"/>
  <c r="A99" i="54"/>
  <c r="A100" i="54"/>
  <c r="A101" i="54"/>
  <c r="A102" i="54"/>
  <c r="A103" i="54"/>
  <c r="A104" i="54"/>
  <c r="A105" i="54"/>
  <c r="A106" i="54"/>
  <c r="A107" i="54"/>
  <c r="A108" i="54"/>
  <c r="A109" i="54"/>
  <c r="A110" i="54"/>
  <c r="A111" i="54"/>
  <c r="A112" i="54"/>
  <c r="A113" i="54"/>
  <c r="A114" i="54"/>
  <c r="A115" i="54"/>
  <c r="A116" i="54"/>
  <c r="A117" i="54"/>
  <c r="A118" i="54"/>
  <c r="A119" i="54"/>
  <c r="A120" i="54"/>
  <c r="A121" i="54"/>
  <c r="A122" i="54"/>
  <c r="A123" i="54"/>
  <c r="A124" i="54"/>
  <c r="A125" i="54"/>
  <c r="A126" i="54"/>
  <c r="A127" i="54"/>
  <c r="A128" i="54"/>
  <c r="A129" i="54"/>
  <c r="A130" i="54"/>
  <c r="A131" i="54"/>
  <c r="A132" i="54"/>
  <c r="A133" i="54"/>
  <c r="A134" i="54"/>
  <c r="A135" i="54"/>
  <c r="A136" i="54"/>
  <c r="A137" i="54"/>
  <c r="A138" i="54"/>
  <c r="A139" i="54"/>
  <c r="A140" i="54"/>
  <c r="A141" i="54"/>
  <c r="A142" i="54"/>
  <c r="A143" i="54"/>
  <c r="A144" i="54"/>
  <c r="A145" i="54"/>
  <c r="A146" i="54"/>
  <c r="A147" i="54"/>
  <c r="A148" i="54"/>
  <c r="A149" i="54"/>
  <c r="A191" i="54"/>
  <c r="A192" i="54"/>
  <c r="A193" i="54"/>
  <c r="A194" i="54"/>
  <c r="A195" i="54"/>
  <c r="A196" i="54"/>
  <c r="A198" i="54"/>
  <c r="B6" i="54"/>
  <c r="A6" i="54"/>
  <c r="D332" i="4"/>
  <c r="D335" i="4"/>
  <c r="D336" i="4"/>
  <c r="G303" i="4"/>
  <c r="B335" i="4"/>
  <c r="B336" i="4"/>
  <c r="B314" i="4"/>
  <c r="B315" i="4"/>
  <c r="B316" i="4"/>
  <c r="B317" i="4"/>
  <c r="B318" i="4"/>
  <c r="B319" i="4"/>
  <c r="B312" i="4"/>
  <c r="C304" i="4"/>
  <c r="C303" i="4"/>
  <c r="E304" i="4"/>
  <c r="T304" i="4"/>
  <c r="T306" i="4" s="1"/>
  <c r="U304" i="4"/>
  <c r="U306" i="4" s="1"/>
  <c r="S303" i="4"/>
  <c r="R303" i="4"/>
  <c r="Q303" i="4"/>
  <c r="P303" i="4"/>
  <c r="O303" i="4"/>
  <c r="N303" i="4"/>
  <c r="M303" i="4"/>
  <c r="L303" i="4"/>
  <c r="K303" i="4"/>
  <c r="J303" i="4"/>
  <c r="Q293" i="4"/>
  <c r="Q297" i="4" s="1"/>
  <c r="R293" i="4"/>
  <c r="R297" i="4" s="1"/>
  <c r="Q292" i="4"/>
  <c r="Q296" i="4" s="1"/>
  <c r="R292" i="4"/>
  <c r="R296" i="4" s="1"/>
  <c r="P291" i="4"/>
  <c r="O291" i="4"/>
  <c r="N291" i="4"/>
  <c r="M291" i="4"/>
  <c r="L291" i="4"/>
  <c r="K291" i="4"/>
  <c r="J291" i="4"/>
  <c r="I291" i="4"/>
  <c r="H291" i="4"/>
  <c r="G293" i="4"/>
  <c r="G297" i="4" s="1"/>
  <c r="P290" i="4"/>
  <c r="O290" i="4"/>
  <c r="N290" i="4"/>
  <c r="M290" i="4"/>
  <c r="L290" i="4"/>
  <c r="K290" i="4"/>
  <c r="J290" i="4"/>
  <c r="I290" i="4"/>
  <c r="H290" i="4"/>
  <c r="E293" i="4"/>
  <c r="E292" i="4"/>
  <c r="E291" i="4"/>
  <c r="C291" i="4"/>
  <c r="C292" i="4"/>
  <c r="C293" i="4"/>
  <c r="C290" i="4"/>
  <c r="G284" i="4"/>
  <c r="F284" i="4"/>
  <c r="Q284" i="4"/>
  <c r="R284" i="4"/>
  <c r="H284" i="4"/>
  <c r="P282" i="4"/>
  <c r="O282" i="4"/>
  <c r="N282" i="4"/>
  <c r="M282" i="4"/>
  <c r="L282" i="4"/>
  <c r="K282" i="4"/>
  <c r="J282" i="4"/>
  <c r="I282" i="4"/>
  <c r="H282" i="4"/>
  <c r="G282" i="4"/>
  <c r="F282" i="4"/>
  <c r="E272" i="4"/>
  <c r="E275" i="4"/>
  <c r="E276" i="4"/>
  <c r="N276" i="4"/>
  <c r="O276" i="4"/>
  <c r="N275" i="4"/>
  <c r="O275" i="4"/>
  <c r="D275" i="4"/>
  <c r="D276" i="4" s="1"/>
  <c r="K272" i="4"/>
  <c r="J272" i="4"/>
  <c r="I272" i="4"/>
  <c r="H272" i="4"/>
  <c r="K271" i="4"/>
  <c r="J271" i="4"/>
  <c r="I271" i="4"/>
  <c r="H271" i="4"/>
  <c r="B147" i="4"/>
  <c r="B146" i="58" s="1"/>
  <c r="C147" i="4"/>
  <c r="C146" i="58" s="1"/>
  <c r="B119" i="4"/>
  <c r="B118" i="58" s="1"/>
  <c r="C119" i="4"/>
  <c r="C118" i="58" s="1"/>
  <c r="B120" i="4"/>
  <c r="B119" i="58" s="1"/>
  <c r="C120" i="4"/>
  <c r="C119" i="58" s="1"/>
  <c r="B121" i="4"/>
  <c r="B120" i="58" s="1"/>
  <c r="C121" i="4"/>
  <c r="C120" i="58" s="1"/>
  <c r="B122" i="4"/>
  <c r="B121" i="58" s="1"/>
  <c r="C122" i="4"/>
  <c r="C121" i="58" s="1"/>
  <c r="B123" i="4"/>
  <c r="B122" i="58" s="1"/>
  <c r="C123" i="4"/>
  <c r="C122" i="58" s="1"/>
  <c r="B124" i="4"/>
  <c r="B123" i="58" s="1"/>
  <c r="C124" i="4"/>
  <c r="C123" i="58" s="1"/>
  <c r="B125" i="4"/>
  <c r="B124" i="58" s="1"/>
  <c r="C125" i="4"/>
  <c r="C124" i="58" s="1"/>
  <c r="B126" i="4"/>
  <c r="B125" i="58" s="1"/>
  <c r="C126" i="4"/>
  <c r="C125" i="58" s="1"/>
  <c r="B127" i="4"/>
  <c r="B126" i="58" s="1"/>
  <c r="C127" i="4"/>
  <c r="C126" i="58" s="1"/>
  <c r="B128" i="4"/>
  <c r="B127" i="58" s="1"/>
  <c r="C128" i="4"/>
  <c r="C127" i="58" s="1"/>
  <c r="B129" i="4"/>
  <c r="B128" i="58" s="1"/>
  <c r="C129" i="4"/>
  <c r="C128" i="58" s="1"/>
  <c r="B130" i="4"/>
  <c r="B129" i="58" s="1"/>
  <c r="C130" i="4"/>
  <c r="C129" i="58" s="1"/>
  <c r="B131" i="4"/>
  <c r="B130" i="58" s="1"/>
  <c r="C131" i="4"/>
  <c r="C130" i="58" s="1"/>
  <c r="B132" i="4"/>
  <c r="B131" i="58" s="1"/>
  <c r="C132" i="4"/>
  <c r="C131" i="58" s="1"/>
  <c r="B133" i="4"/>
  <c r="B132" i="58" s="1"/>
  <c r="C133" i="4"/>
  <c r="C132" i="58" s="1"/>
  <c r="B134" i="4"/>
  <c r="B133" i="58" s="1"/>
  <c r="C134" i="4"/>
  <c r="C133" i="58" s="1"/>
  <c r="B135" i="4"/>
  <c r="B134" i="58" s="1"/>
  <c r="C135" i="4"/>
  <c r="C134" i="58" s="1"/>
  <c r="B136" i="4"/>
  <c r="B135" i="58" s="1"/>
  <c r="C136" i="4"/>
  <c r="C135" i="58" s="1"/>
  <c r="B137" i="4"/>
  <c r="B136" i="58" s="1"/>
  <c r="C137" i="4"/>
  <c r="C136" i="58" s="1"/>
  <c r="B138" i="4"/>
  <c r="B137" i="58" s="1"/>
  <c r="C138" i="4"/>
  <c r="C137" i="58" s="1"/>
  <c r="B139" i="4"/>
  <c r="B138" i="58" s="1"/>
  <c r="C139" i="4"/>
  <c r="C138" i="58" s="1"/>
  <c r="B140" i="4"/>
  <c r="B139" i="58" s="1"/>
  <c r="C140" i="4"/>
  <c r="C139" i="58" s="1"/>
  <c r="B141" i="4"/>
  <c r="B140" i="58" s="1"/>
  <c r="C141" i="4"/>
  <c r="C140" i="58" s="1"/>
  <c r="B142" i="4"/>
  <c r="B141" i="58" s="1"/>
  <c r="C142" i="4"/>
  <c r="C141" i="58" s="1"/>
  <c r="B143" i="4"/>
  <c r="B142" i="58" s="1"/>
  <c r="C143" i="4"/>
  <c r="C142" i="58" s="1"/>
  <c r="B144" i="4"/>
  <c r="B143" i="58" s="1"/>
  <c r="C144" i="4"/>
  <c r="C143" i="58" s="1"/>
  <c r="B145" i="4"/>
  <c r="B144" i="58" s="1"/>
  <c r="C145" i="4"/>
  <c r="C144" i="58" s="1"/>
  <c r="B146" i="4"/>
  <c r="B145" i="58" s="1"/>
  <c r="C146" i="4"/>
  <c r="C145" i="58" s="1"/>
  <c r="C118" i="4"/>
  <c r="C117" i="58" s="1"/>
  <c r="D139" i="4"/>
  <c r="D138" i="58" s="1"/>
  <c r="D140" i="4"/>
  <c r="D139" i="58" s="1"/>
  <c r="D141" i="4"/>
  <c r="D140" i="58" s="1"/>
  <c r="D142" i="4"/>
  <c r="D141" i="58" s="1"/>
  <c r="D143" i="4"/>
  <c r="D142" i="58" s="1"/>
  <c r="D144" i="4"/>
  <c r="D143" i="58" s="1"/>
  <c r="D145" i="4"/>
  <c r="D144" i="58" s="1"/>
  <c r="D146" i="4"/>
  <c r="D145" i="58" s="1"/>
  <c r="D138" i="4"/>
  <c r="D137" i="58" s="1"/>
  <c r="D137" i="4"/>
  <c r="D136" i="58" s="1"/>
  <c r="D129" i="4"/>
  <c r="D128" i="58" s="1"/>
  <c r="D130" i="4"/>
  <c r="D129" i="58" s="1"/>
  <c r="D131" i="4"/>
  <c r="D130" i="58" s="1"/>
  <c r="D132" i="4"/>
  <c r="D131" i="58" s="1"/>
  <c r="D133" i="4"/>
  <c r="D132" i="58" s="1"/>
  <c r="D134" i="4"/>
  <c r="D133" i="58" s="1"/>
  <c r="D135" i="4"/>
  <c r="D134" i="58" s="1"/>
  <c r="D136" i="4"/>
  <c r="D135" i="58" s="1"/>
  <c r="D128" i="4"/>
  <c r="D127" i="58" s="1"/>
  <c r="D123" i="4"/>
  <c r="D122" i="58" s="1"/>
  <c r="D124" i="4"/>
  <c r="D123" i="58" s="1"/>
  <c r="D125" i="4"/>
  <c r="D124" i="58" s="1"/>
  <c r="D126" i="4"/>
  <c r="D125" i="58" s="1"/>
  <c r="D127" i="4"/>
  <c r="D126" i="58" s="1"/>
  <c r="D122" i="4"/>
  <c r="D121" i="58" s="1"/>
  <c r="D119" i="4"/>
  <c r="D118" i="58" s="1"/>
  <c r="D120" i="4"/>
  <c r="D119" i="58" s="1"/>
  <c r="D121" i="4"/>
  <c r="D120" i="58" s="1"/>
  <c r="D118" i="4"/>
  <c r="D117" i="58" s="1"/>
  <c r="B118" i="4"/>
  <c r="B117" i="58" s="1"/>
  <c r="B77" i="4"/>
  <c r="B76" i="58" s="1"/>
  <c r="B78" i="4"/>
  <c r="B77" i="58" s="1"/>
  <c r="B79" i="4"/>
  <c r="B78" i="58" s="1"/>
  <c r="B80" i="4"/>
  <c r="B79" i="58" s="1"/>
  <c r="B81" i="4"/>
  <c r="B80" i="58" s="1"/>
  <c r="B82" i="4"/>
  <c r="B81" i="58" s="1"/>
  <c r="B83" i="4"/>
  <c r="B82" i="58" s="1"/>
  <c r="B84" i="4"/>
  <c r="B83" i="58" s="1"/>
  <c r="B85" i="4"/>
  <c r="B84" i="58" s="1"/>
  <c r="B86" i="4"/>
  <c r="B85" i="58" s="1"/>
  <c r="B87" i="4"/>
  <c r="B86" i="58" s="1"/>
  <c r="B88" i="4"/>
  <c r="B87" i="58" s="1"/>
  <c r="B89" i="4"/>
  <c r="B88" i="58" s="1"/>
  <c r="B90" i="4"/>
  <c r="B89" i="58" s="1"/>
  <c r="B91" i="4"/>
  <c r="B90" i="58" s="1"/>
  <c r="B92" i="4"/>
  <c r="B91" i="58" s="1"/>
  <c r="B93" i="4"/>
  <c r="B92" i="58" s="1"/>
  <c r="B94" i="4"/>
  <c r="B93" i="58" s="1"/>
  <c r="B95" i="4"/>
  <c r="B94" i="58" s="1"/>
  <c r="B96" i="4"/>
  <c r="B95" i="58" s="1"/>
  <c r="B97" i="4"/>
  <c r="B96" i="58" s="1"/>
  <c r="B98" i="4"/>
  <c r="B97" i="58" s="1"/>
  <c r="B99" i="4"/>
  <c r="B98" i="58" s="1"/>
  <c r="B100" i="4"/>
  <c r="B99" i="58" s="1"/>
  <c r="B101" i="4"/>
  <c r="B100" i="58" s="1"/>
  <c r="B102" i="4"/>
  <c r="B101" i="58" s="1"/>
  <c r="B103" i="4"/>
  <c r="B102" i="58" s="1"/>
  <c r="B104" i="4"/>
  <c r="B103" i="58" s="1"/>
  <c r="B105" i="4"/>
  <c r="B104" i="58" s="1"/>
  <c r="B106" i="4"/>
  <c r="B105" i="58" s="1"/>
  <c r="B107" i="4"/>
  <c r="B106" i="58" s="1"/>
  <c r="B108" i="4"/>
  <c r="B107" i="58" s="1"/>
  <c r="B109" i="4"/>
  <c r="B108" i="58" s="1"/>
  <c r="B110" i="4"/>
  <c r="B109" i="58" s="1"/>
  <c r="B111" i="4"/>
  <c r="B110" i="58" s="1"/>
  <c r="B112" i="4"/>
  <c r="B111" i="58" s="1"/>
  <c r="B113" i="4"/>
  <c r="B112" i="58" s="1"/>
  <c r="B114" i="4"/>
  <c r="B113" i="58" s="1"/>
  <c r="B115" i="4"/>
  <c r="B114" i="58" s="1"/>
  <c r="B76" i="4"/>
  <c r="B75" i="58" s="1"/>
  <c r="K114" i="54"/>
  <c r="K106" i="54"/>
  <c r="K98" i="54"/>
  <c r="K90" i="54"/>
  <c r="D109" i="4"/>
  <c r="D108" i="58" s="1"/>
  <c r="D110" i="4"/>
  <c r="D109" i="58" s="1"/>
  <c r="D111" i="4"/>
  <c r="D110" i="58" s="1"/>
  <c r="D112" i="4"/>
  <c r="D111" i="58" s="1"/>
  <c r="D113" i="4"/>
  <c r="D112" i="58" s="1"/>
  <c r="D114" i="4"/>
  <c r="D113" i="58" s="1"/>
  <c r="D115" i="4"/>
  <c r="D114" i="58" s="1"/>
  <c r="D108" i="4"/>
  <c r="D107" i="58" s="1"/>
  <c r="D101" i="4"/>
  <c r="D100" i="58" s="1"/>
  <c r="D100" i="4"/>
  <c r="D99" i="58" s="1"/>
  <c r="C113" i="4"/>
  <c r="C112" i="58" s="1"/>
  <c r="C114" i="4"/>
  <c r="C113" i="58" s="1"/>
  <c r="C115" i="4"/>
  <c r="C114" i="58" s="1"/>
  <c r="D106" i="4"/>
  <c r="D105" i="58" s="1"/>
  <c r="D107" i="4"/>
  <c r="D106" i="58" s="1"/>
  <c r="C103" i="4"/>
  <c r="C102" i="58" s="1"/>
  <c r="D103" i="4"/>
  <c r="D102" i="58" s="1"/>
  <c r="D99" i="4"/>
  <c r="D98" i="58" s="1"/>
  <c r="C77" i="4"/>
  <c r="C76" i="58" s="1"/>
  <c r="C78" i="4"/>
  <c r="C77" i="58" s="1"/>
  <c r="C79" i="4"/>
  <c r="C78" i="58" s="1"/>
  <c r="C80" i="4"/>
  <c r="C79" i="58" s="1"/>
  <c r="C81" i="4"/>
  <c r="C80" i="58" s="1"/>
  <c r="C82" i="4"/>
  <c r="C81" i="58" s="1"/>
  <c r="C83" i="4"/>
  <c r="C82" i="58" s="1"/>
  <c r="C84" i="4"/>
  <c r="C83" i="58" s="1"/>
  <c r="C85" i="4"/>
  <c r="C84" i="58" s="1"/>
  <c r="C86" i="4"/>
  <c r="C85" i="58" s="1"/>
  <c r="C87" i="4"/>
  <c r="C86" i="58" s="1"/>
  <c r="C88" i="4"/>
  <c r="C87" i="58" s="1"/>
  <c r="C89" i="4"/>
  <c r="C88" i="58" s="1"/>
  <c r="C90" i="4"/>
  <c r="C89" i="58" s="1"/>
  <c r="C91" i="4"/>
  <c r="C90" i="58" s="1"/>
  <c r="C92" i="4"/>
  <c r="C91" i="58" s="1"/>
  <c r="C93" i="4"/>
  <c r="C92" i="58" s="1"/>
  <c r="C94" i="4"/>
  <c r="C93" i="58" s="1"/>
  <c r="C95" i="4"/>
  <c r="C94" i="58" s="1"/>
  <c r="C96" i="4"/>
  <c r="C95" i="58" s="1"/>
  <c r="C97" i="4"/>
  <c r="C96" i="58" s="1"/>
  <c r="C98" i="4"/>
  <c r="C97" i="58" s="1"/>
  <c r="C99" i="4"/>
  <c r="C98" i="58" s="1"/>
  <c r="C100" i="4"/>
  <c r="C99" i="58" s="1"/>
  <c r="C101" i="4"/>
  <c r="C100" i="58" s="1"/>
  <c r="C102" i="4"/>
  <c r="C101" i="58" s="1"/>
  <c r="C104" i="4"/>
  <c r="C103" i="58" s="1"/>
  <c r="C105" i="4"/>
  <c r="C104" i="58" s="1"/>
  <c r="C106" i="4"/>
  <c r="C105" i="58" s="1"/>
  <c r="C107" i="4"/>
  <c r="C106" i="58" s="1"/>
  <c r="C108" i="4"/>
  <c r="C107" i="58" s="1"/>
  <c r="C109" i="4"/>
  <c r="C108" i="58" s="1"/>
  <c r="C110" i="4"/>
  <c r="C109" i="58" s="1"/>
  <c r="C111" i="4"/>
  <c r="C110" i="58" s="1"/>
  <c r="C112" i="4"/>
  <c r="C111" i="58" s="1"/>
  <c r="C76" i="4"/>
  <c r="C75" i="58" s="1"/>
  <c r="B62" i="4"/>
  <c r="B61" i="58" s="1"/>
  <c r="B63" i="4"/>
  <c r="B62" i="58" s="1"/>
  <c r="B64" i="4"/>
  <c r="B63" i="58" s="1"/>
  <c r="B65" i="4"/>
  <c r="B64" i="58" s="1"/>
  <c r="B66" i="4"/>
  <c r="B65" i="58" s="1"/>
  <c r="B67" i="4"/>
  <c r="B66" i="58" s="1"/>
  <c r="B68" i="4"/>
  <c r="B67" i="58" s="1"/>
  <c r="B69" i="4"/>
  <c r="B68" i="58" s="1"/>
  <c r="B70" i="4"/>
  <c r="B69" i="58" s="1"/>
  <c r="B71" i="4"/>
  <c r="B70" i="58" s="1"/>
  <c r="B72" i="4"/>
  <c r="B71" i="58" s="1"/>
  <c r="B73" i="4"/>
  <c r="B72" i="58" s="1"/>
  <c r="C73" i="4"/>
  <c r="C72" i="58" s="1"/>
  <c r="C72" i="4"/>
  <c r="C71" i="58" s="1"/>
  <c r="C71" i="4"/>
  <c r="C70" i="58" s="1"/>
  <c r="C70" i="4"/>
  <c r="C69" i="58" s="1"/>
  <c r="C69" i="4"/>
  <c r="C68" i="58" s="1"/>
  <c r="C68" i="4"/>
  <c r="C67" i="58" s="1"/>
  <c r="C67" i="4"/>
  <c r="C66" i="58" s="1"/>
  <c r="C66" i="4"/>
  <c r="C65" i="58" s="1"/>
  <c r="C65" i="4"/>
  <c r="C64" i="58" s="1"/>
  <c r="C64" i="4"/>
  <c r="C63" i="58" s="1"/>
  <c r="C63" i="4"/>
  <c r="C62" i="58" s="1"/>
  <c r="C62" i="4"/>
  <c r="C61" i="58" s="1"/>
  <c r="C61" i="4"/>
  <c r="C60" i="58" s="1"/>
  <c r="C60" i="4"/>
  <c r="C59" i="58" s="1"/>
  <c r="C59" i="4"/>
  <c r="C58" i="58" s="1"/>
  <c r="C58" i="4"/>
  <c r="C57" i="58" s="1"/>
  <c r="C57" i="4"/>
  <c r="C56" i="58" s="1"/>
  <c r="C56" i="4"/>
  <c r="C55" i="58" s="1"/>
  <c r="C55" i="4"/>
  <c r="C54" i="58" s="1"/>
  <c r="C54" i="4"/>
  <c r="C53" i="58" s="1"/>
  <c r="D102" i="4"/>
  <c r="D101" i="58" s="1"/>
  <c r="D104" i="4"/>
  <c r="D103" i="58" s="1"/>
  <c r="D105" i="4"/>
  <c r="D104" i="58" s="1"/>
  <c r="D96" i="4"/>
  <c r="D95" i="58" s="1"/>
  <c r="D97" i="4"/>
  <c r="D96" i="58" s="1"/>
  <c r="D98" i="4"/>
  <c r="D97" i="58" s="1"/>
  <c r="D93" i="4"/>
  <c r="D92" i="58" s="1"/>
  <c r="D94" i="4"/>
  <c r="D93" i="58" s="1"/>
  <c r="D95" i="4"/>
  <c r="D94" i="58" s="1"/>
  <c r="D89" i="4"/>
  <c r="D88" i="58" s="1"/>
  <c r="D90" i="4"/>
  <c r="D89" i="58" s="1"/>
  <c r="D91" i="4"/>
  <c r="D90" i="58" s="1"/>
  <c r="D85" i="4"/>
  <c r="D84" i="58" s="1"/>
  <c r="D86" i="4"/>
  <c r="D85" i="58" s="1"/>
  <c r="D87" i="4"/>
  <c r="D86" i="58" s="1"/>
  <c r="D81" i="4"/>
  <c r="D80" i="58" s="1"/>
  <c r="D82" i="4"/>
  <c r="D81" i="58" s="1"/>
  <c r="D83" i="4"/>
  <c r="D82" i="58" s="1"/>
  <c r="D77" i="4"/>
  <c r="D76" i="58" s="1"/>
  <c r="D78" i="4"/>
  <c r="D77" i="58" s="1"/>
  <c r="D79" i="4"/>
  <c r="D78" i="58" s="1"/>
  <c r="D92" i="4"/>
  <c r="D91" i="58" s="1"/>
  <c r="D88" i="4"/>
  <c r="D87" i="58" s="1"/>
  <c r="D84" i="4"/>
  <c r="D83" i="58" s="1"/>
  <c r="D80" i="4"/>
  <c r="D79" i="58" s="1"/>
  <c r="D76" i="4"/>
  <c r="D75" i="58" s="1"/>
  <c r="AD682" i="58" l="1"/>
  <c r="AC682" i="58"/>
  <c r="D716" i="57"/>
  <c r="B716" i="57" s="1"/>
  <c r="D707" i="57"/>
  <c r="B707" i="57" s="1"/>
  <c r="B771" i="57" s="1"/>
  <c r="E877" i="57"/>
  <c r="B933" i="58"/>
  <c r="E881" i="58" s="1"/>
  <c r="R839" i="54"/>
  <c r="F792" i="54"/>
  <c r="C839" i="54"/>
  <c r="C792" i="54"/>
  <c r="I792" i="54"/>
  <c r="J766" i="58"/>
  <c r="P977" i="58"/>
  <c r="O977" i="58"/>
  <c r="AM1001" i="58"/>
  <c r="AI978" i="58"/>
  <c r="O978" i="58"/>
  <c r="AI985" i="58"/>
  <c r="O985" i="58"/>
  <c r="P989" i="58"/>
  <c r="O989" i="58"/>
  <c r="AO1002" i="58"/>
  <c r="P987" i="58"/>
  <c r="O987" i="58"/>
  <c r="AN1000" i="58"/>
  <c r="AI988" i="58"/>
  <c r="O988" i="58"/>
  <c r="AO999" i="58"/>
  <c r="AI980" i="58"/>
  <c r="AR980" i="58"/>
  <c r="O980" i="58"/>
  <c r="D710" i="57"/>
  <c r="B710" i="57" s="1"/>
  <c r="B773" i="57" s="1"/>
  <c r="P861" i="57"/>
  <c r="AC861" i="57"/>
  <c r="P857" i="57"/>
  <c r="AC857" i="57"/>
  <c r="P858" i="57"/>
  <c r="AC858" i="57"/>
  <c r="P859" i="57"/>
  <c r="AC859" i="57"/>
  <c r="P863" i="57"/>
  <c r="AC863" i="57"/>
  <c r="P864" i="57"/>
  <c r="AC864" i="57"/>
  <c r="P860" i="57"/>
  <c r="AC860" i="57"/>
  <c r="P862" i="57"/>
  <c r="AC862" i="57"/>
  <c r="P982" i="58"/>
  <c r="O839" i="54"/>
  <c r="E551" i="54"/>
  <c r="F551" i="54" s="1"/>
  <c r="B839" i="54"/>
  <c r="AM551" i="54"/>
  <c r="AT746" i="54"/>
  <c r="D302" i="54"/>
  <c r="J942" i="57"/>
  <c r="K942" i="57" s="1"/>
  <c r="K946" i="58" s="1"/>
  <c r="D703" i="57"/>
  <c r="B703" i="57" s="1"/>
  <c r="I770" i="57" s="1"/>
  <c r="R518" i="54"/>
  <c r="Y721" i="54"/>
  <c r="AI982" i="58"/>
  <c r="K551" i="54"/>
  <c r="H746" i="54"/>
  <c r="U746" i="54"/>
  <c r="AD746" i="54"/>
  <c r="AV746" i="54"/>
  <c r="AW746" i="54"/>
  <c r="AK746" i="54"/>
  <c r="AQ746" i="54"/>
  <c r="AP746" i="54"/>
  <c r="AA746" i="54"/>
  <c r="AB746" i="54"/>
  <c r="T675" i="54"/>
  <c r="AK675" i="54"/>
  <c r="AV675" i="54"/>
  <c r="AL675" i="54"/>
  <c r="AW675" i="54"/>
  <c r="AI675" i="54"/>
  <c r="AA675" i="54"/>
  <c r="Y675" i="54"/>
  <c r="X674" i="54"/>
  <c r="Y674" i="54"/>
  <c r="X675" i="54"/>
  <c r="AN551" i="54"/>
  <c r="AQ675" i="54"/>
  <c r="AQ674" i="54"/>
  <c r="AL551" i="54"/>
  <c r="AM552" i="54"/>
  <c r="AL552" i="54"/>
  <c r="AL561" i="54"/>
  <c r="AM554" i="54"/>
  <c r="AL557" i="54"/>
  <c r="AL559" i="54"/>
  <c r="AM556" i="54"/>
  <c r="AM561" i="54"/>
  <c r="AL554" i="54"/>
  <c r="AM557" i="54"/>
  <c r="AM559" i="54"/>
  <c r="AL556" i="54"/>
  <c r="AM560" i="54"/>
  <c r="AL555" i="54"/>
  <c r="AM558" i="54"/>
  <c r="AL553" i="54"/>
  <c r="AL560" i="54"/>
  <c r="AM555" i="54"/>
  <c r="AL558" i="54"/>
  <c r="AM553" i="54"/>
  <c r="M551" i="54"/>
  <c r="M552" i="54"/>
  <c r="M556" i="54"/>
  <c r="M561" i="54"/>
  <c r="M553" i="54"/>
  <c r="M560" i="54"/>
  <c r="M558" i="54"/>
  <c r="M554" i="54"/>
  <c r="M557" i="54"/>
  <c r="M555" i="54"/>
  <c r="M559" i="54"/>
  <c r="L549" i="54"/>
  <c r="H640" i="54" s="1"/>
  <c r="P640" i="54" s="1"/>
  <c r="L550" i="54"/>
  <c r="E466" i="54"/>
  <c r="E471" i="54"/>
  <c r="E461" i="54"/>
  <c r="E476" i="54"/>
  <c r="Q766" i="58"/>
  <c r="AR982" i="58"/>
  <c r="AO851" i="54"/>
  <c r="D867" i="54"/>
  <c r="D851" i="54"/>
  <c r="D859" i="54"/>
  <c r="P980" i="58"/>
  <c r="R769" i="58"/>
  <c r="Q769" i="58"/>
  <c r="AT876" i="57"/>
  <c r="AC984" i="58"/>
  <c r="Q765" i="58"/>
  <c r="J765" i="58"/>
  <c r="AC980" i="58"/>
  <c r="G919" i="58"/>
  <c r="AR919" i="58" s="1"/>
  <c r="AR918" i="58"/>
  <c r="AC982" i="58"/>
  <c r="AC979" i="58"/>
  <c r="C823" i="54"/>
  <c r="C824" i="54"/>
  <c r="O823" i="54"/>
  <c r="O824" i="54"/>
  <c r="E527" i="54"/>
  <c r="C730" i="54" s="1"/>
  <c r="B824" i="54"/>
  <c r="B823" i="54"/>
  <c r="R823" i="54"/>
  <c r="R824" i="54"/>
  <c r="AR991" i="58"/>
  <c r="AR999" i="58"/>
  <c r="AF999" i="58"/>
  <c r="AM999" i="58"/>
  <c r="K723" i="54"/>
  <c r="AV683" i="54"/>
  <c r="K947" i="57"/>
  <c r="K951" i="58" s="1"/>
  <c r="J951" i="58"/>
  <c r="J952" i="58"/>
  <c r="K952" i="58"/>
  <c r="AE999" i="58"/>
  <c r="AN999" i="58"/>
  <c r="AH999" i="58"/>
  <c r="AG999" i="58"/>
  <c r="AL999" i="58"/>
  <c r="AI999" i="58"/>
  <c r="AC999" i="58"/>
  <c r="R773" i="58"/>
  <c r="AI987" i="58"/>
  <c r="AL1002" i="58"/>
  <c r="J770" i="58"/>
  <c r="AC1001" i="58"/>
  <c r="J763" i="58"/>
  <c r="R763" i="58"/>
  <c r="Q768" i="58"/>
  <c r="AR1000" i="58"/>
  <c r="J764" i="58"/>
  <c r="AR985" i="58"/>
  <c r="AR977" i="58"/>
  <c r="AN1001" i="58"/>
  <c r="Q773" i="58"/>
  <c r="AR987" i="58"/>
  <c r="J768" i="58"/>
  <c r="R764" i="58"/>
  <c r="Q770" i="58"/>
  <c r="AC1000" i="58"/>
  <c r="AI1000" i="58"/>
  <c r="AC989" i="58"/>
  <c r="AR983" i="58"/>
  <c r="P985" i="58"/>
  <c r="AN1002" i="58"/>
  <c r="AO1001" i="58"/>
  <c r="AI989" i="58"/>
  <c r="AI983" i="58"/>
  <c r="AM1002" i="58"/>
  <c r="AR989" i="58"/>
  <c r="AM1000" i="58"/>
  <c r="AR988" i="58"/>
  <c r="R688" i="58"/>
  <c r="AE1000" i="58"/>
  <c r="AC977" i="58"/>
  <c r="AI1001" i="58"/>
  <c r="AC983" i="58"/>
  <c r="AC985" i="58"/>
  <c r="P983" i="58"/>
  <c r="P988" i="58"/>
  <c r="AG1000" i="58"/>
  <c r="AF1000" i="58"/>
  <c r="AR978" i="58"/>
  <c r="AC987" i="58"/>
  <c r="AL1000" i="58"/>
  <c r="AO1000" i="58"/>
  <c r="AH1000" i="58"/>
  <c r="AC978" i="58"/>
  <c r="AC1002" i="58"/>
  <c r="AC988" i="58"/>
  <c r="P978" i="58"/>
  <c r="AI977" i="58"/>
  <c r="AL1001" i="58"/>
  <c r="AI1002" i="58"/>
  <c r="B742" i="58"/>
  <c r="AV901" i="57"/>
  <c r="AV905" i="58" s="1"/>
  <c r="AT891" i="57"/>
  <c r="AT895" i="58" s="1"/>
  <c r="AV895" i="57"/>
  <c r="AV899" i="58" s="1"/>
  <c r="AT893" i="57"/>
  <c r="AT897" i="58" s="1"/>
  <c r="AT901" i="57"/>
  <c r="AT905" i="58" s="1"/>
  <c r="AV897" i="57"/>
  <c r="AV901" i="58" s="1"/>
  <c r="AT895" i="57"/>
  <c r="AT899" i="58" s="1"/>
  <c r="AT894" i="57"/>
  <c r="AT898" i="58" s="1"/>
  <c r="AT896" i="57"/>
  <c r="AT900" i="58" s="1"/>
  <c r="AT897" i="57"/>
  <c r="AT901" i="58" s="1"/>
  <c r="AV899" i="57"/>
  <c r="AV903" i="58" s="1"/>
  <c r="AV894" i="57"/>
  <c r="AV898" i="58" s="1"/>
  <c r="AV891" i="57"/>
  <c r="AV895" i="58" s="1"/>
  <c r="AV896" i="57"/>
  <c r="AV900" i="58" s="1"/>
  <c r="AV893" i="57"/>
  <c r="AV897" i="58" s="1"/>
  <c r="AT899" i="57"/>
  <c r="AT903" i="58" s="1"/>
  <c r="AT900" i="57"/>
  <c r="AT904" i="58" s="1"/>
  <c r="AV898" i="57"/>
  <c r="AV902" i="58" s="1"/>
  <c r="AV900" i="57"/>
  <c r="AV904" i="58" s="1"/>
  <c r="AT898" i="57"/>
  <c r="AT902" i="58" s="1"/>
  <c r="AT892" i="57"/>
  <c r="AT896" i="58" s="1"/>
  <c r="AV890" i="57"/>
  <c r="AV894" i="58" s="1"/>
  <c r="AT890" i="57"/>
  <c r="AT894" i="58" s="1"/>
  <c r="I976" i="58"/>
  <c r="U976" i="58" s="1"/>
  <c r="AW972" i="57"/>
  <c r="AX972" i="57"/>
  <c r="I969" i="58"/>
  <c r="U969" i="58" s="1"/>
  <c r="AX965" i="57"/>
  <c r="AW965" i="57"/>
  <c r="I970" i="58"/>
  <c r="U970" i="58" s="1"/>
  <c r="AW966" i="57"/>
  <c r="AX966" i="57"/>
  <c r="I972" i="58"/>
  <c r="AK972" i="58" s="1"/>
  <c r="AW968" i="57"/>
  <c r="AX968" i="57"/>
  <c r="AW748" i="54"/>
  <c r="AV686" i="54"/>
  <c r="AW750" i="54"/>
  <c r="AW681" i="54"/>
  <c r="AW680" i="54"/>
  <c r="I895" i="58"/>
  <c r="AW891" i="57"/>
  <c r="AX891" i="57"/>
  <c r="AV751" i="54"/>
  <c r="AV687" i="54"/>
  <c r="I900" i="58"/>
  <c r="AX896" i="57"/>
  <c r="AW896" i="57"/>
  <c r="AW754" i="54"/>
  <c r="AV679" i="54"/>
  <c r="I901" i="58"/>
  <c r="AW897" i="57"/>
  <c r="AX897" i="57"/>
  <c r="AW749" i="54"/>
  <c r="I904" i="58"/>
  <c r="AX900" i="57"/>
  <c r="AW900" i="57"/>
  <c r="AV750" i="54"/>
  <c r="AV681" i="54"/>
  <c r="I898" i="58"/>
  <c r="AX894" i="57"/>
  <c r="AW894" i="57"/>
  <c r="AV752" i="54"/>
  <c r="I905" i="58"/>
  <c r="AW901" i="57"/>
  <c r="AX901" i="57"/>
  <c r="AW684" i="54"/>
  <c r="AW747" i="54"/>
  <c r="I897" i="58"/>
  <c r="AW893" i="57"/>
  <c r="AX893" i="57"/>
  <c r="AW685" i="54"/>
  <c r="I971" i="58"/>
  <c r="AD971" i="58" s="1"/>
  <c r="AX967" i="57"/>
  <c r="AW967" i="57"/>
  <c r="I974" i="58"/>
  <c r="AP974" i="58" s="1"/>
  <c r="AW970" i="57"/>
  <c r="AX970" i="57"/>
  <c r="AV749" i="54"/>
  <c r="AW753" i="54"/>
  <c r="I899" i="58"/>
  <c r="AW895" i="57"/>
  <c r="AX895" i="57"/>
  <c r="AW677" i="54"/>
  <c r="AW752" i="54"/>
  <c r="AW682" i="54"/>
  <c r="AV684" i="54"/>
  <c r="AV747" i="54"/>
  <c r="AW683" i="54"/>
  <c r="AV685" i="54"/>
  <c r="I975" i="58"/>
  <c r="AQ975" i="58" s="1"/>
  <c r="AX971" i="57"/>
  <c r="AW971" i="57"/>
  <c r="I973" i="58"/>
  <c r="AK973" i="58" s="1"/>
  <c r="AX969" i="57"/>
  <c r="AW969" i="57"/>
  <c r="AV748" i="54"/>
  <c r="AW686" i="54"/>
  <c r="AV753" i="54"/>
  <c r="AV680" i="54"/>
  <c r="AV677" i="54"/>
  <c r="AW751" i="54"/>
  <c r="AW687" i="54"/>
  <c r="AV682" i="54"/>
  <c r="I902" i="58"/>
  <c r="AX898" i="57"/>
  <c r="AW898" i="57"/>
  <c r="AV754" i="54"/>
  <c r="AW679" i="54"/>
  <c r="I903" i="58"/>
  <c r="AW899" i="57"/>
  <c r="AX899" i="57"/>
  <c r="R676" i="58"/>
  <c r="AD666" i="58"/>
  <c r="P672" i="58"/>
  <c r="AF663" i="58"/>
  <c r="R599" i="58"/>
  <c r="R697" i="57"/>
  <c r="AC697" i="57" s="1"/>
  <c r="P702" i="57"/>
  <c r="AF702" i="57" s="1"/>
  <c r="AF693" i="57"/>
  <c r="R703" i="57"/>
  <c r="AD694" i="57"/>
  <c r="R681" i="58"/>
  <c r="R712" i="57"/>
  <c r="AC712" i="57" s="1"/>
  <c r="AC702" i="57"/>
  <c r="AD702" i="57"/>
  <c r="D717" i="57"/>
  <c r="B717" i="57" s="1"/>
  <c r="R719" i="57"/>
  <c r="AD713" i="57"/>
  <c r="P694" i="57"/>
  <c r="F878" i="54"/>
  <c r="AR993" i="58"/>
  <c r="J292" i="4"/>
  <c r="J296" i="4" s="1"/>
  <c r="J294" i="4"/>
  <c r="N292" i="4"/>
  <c r="N296" i="4" s="1"/>
  <c r="N294" i="4"/>
  <c r="H293" i="4"/>
  <c r="H297" i="4" s="1"/>
  <c r="H295" i="4"/>
  <c r="M304" i="4"/>
  <c r="M306" i="4" s="1"/>
  <c r="M305" i="4"/>
  <c r="Q304" i="4"/>
  <c r="Q306" i="4" s="1"/>
  <c r="Q305" i="4"/>
  <c r="K292" i="4"/>
  <c r="K296" i="4" s="1"/>
  <c r="K294" i="4"/>
  <c r="O292" i="4"/>
  <c r="O296" i="4" s="1"/>
  <c r="O294" i="4"/>
  <c r="J304" i="4"/>
  <c r="J306" i="4" s="1"/>
  <c r="J305" i="4"/>
  <c r="N304" i="4"/>
  <c r="N306" i="4" s="1"/>
  <c r="N305" i="4"/>
  <c r="R304" i="4"/>
  <c r="R306" i="4" s="1"/>
  <c r="R305" i="4"/>
  <c r="H292" i="4"/>
  <c r="H296" i="4" s="1"/>
  <c r="H294" i="4"/>
  <c r="L292" i="4"/>
  <c r="L296" i="4" s="1"/>
  <c r="L294" i="4"/>
  <c r="P292" i="4"/>
  <c r="P296" i="4" s="1"/>
  <c r="P294" i="4"/>
  <c r="K304" i="4"/>
  <c r="K306" i="4" s="1"/>
  <c r="K305" i="4"/>
  <c r="O304" i="4"/>
  <c r="O306" i="4" s="1"/>
  <c r="O305" i="4"/>
  <c r="S304" i="4"/>
  <c r="S306" i="4" s="1"/>
  <c r="S305" i="4"/>
  <c r="I292" i="4"/>
  <c r="I296" i="4" s="1"/>
  <c r="I294" i="4"/>
  <c r="M292" i="4"/>
  <c r="M296" i="4" s="1"/>
  <c r="M294" i="4"/>
  <c r="L304" i="4"/>
  <c r="L306" i="4" s="1"/>
  <c r="L305" i="4"/>
  <c r="P304" i="4"/>
  <c r="P306" i="4" s="1"/>
  <c r="P305" i="4"/>
  <c r="AR996" i="58"/>
  <c r="AR994" i="58"/>
  <c r="AR992" i="58"/>
  <c r="J293" i="4"/>
  <c r="J297" i="4" s="1"/>
  <c r="J295" i="4"/>
  <c r="N293" i="4"/>
  <c r="N297" i="4" s="1"/>
  <c r="N295" i="4"/>
  <c r="K293" i="4"/>
  <c r="K297" i="4" s="1"/>
  <c r="K295" i="4"/>
  <c r="O293" i="4"/>
  <c r="O297" i="4" s="1"/>
  <c r="O295" i="4"/>
  <c r="L293" i="4"/>
  <c r="L297" i="4" s="1"/>
  <c r="L295" i="4"/>
  <c r="P293" i="4"/>
  <c r="P297" i="4" s="1"/>
  <c r="P295" i="4"/>
  <c r="I293" i="4"/>
  <c r="I297" i="4" s="1"/>
  <c r="I295" i="4"/>
  <c r="M293" i="4"/>
  <c r="M297" i="4" s="1"/>
  <c r="M295" i="4"/>
  <c r="AR995" i="58"/>
  <c r="AR997" i="58"/>
  <c r="AC995" i="58"/>
  <c r="K970" i="57"/>
  <c r="K974" i="58" s="1"/>
  <c r="J974" i="58"/>
  <c r="K972" i="57"/>
  <c r="K976" i="58" s="1"/>
  <c r="J976" i="58"/>
  <c r="AC990" i="58"/>
  <c r="P993" i="58"/>
  <c r="AI993" i="58"/>
  <c r="P994" i="58"/>
  <c r="AI994" i="58"/>
  <c r="AC997" i="58"/>
  <c r="AC993" i="58"/>
  <c r="AC994" i="58"/>
  <c r="AC991" i="58"/>
  <c r="P992" i="58"/>
  <c r="AI992" i="58"/>
  <c r="K971" i="57"/>
  <c r="K975" i="58" s="1"/>
  <c r="J975" i="58"/>
  <c r="K968" i="57"/>
  <c r="K972" i="58" s="1"/>
  <c r="J972" i="58"/>
  <c r="AI990" i="58"/>
  <c r="P990" i="58"/>
  <c r="P996" i="58"/>
  <c r="AI996" i="58"/>
  <c r="AC992" i="58"/>
  <c r="K965" i="57"/>
  <c r="K969" i="58" s="1"/>
  <c r="J969" i="58"/>
  <c r="K969" i="57"/>
  <c r="K973" i="58" s="1"/>
  <c r="J973" i="58"/>
  <c r="K966" i="57"/>
  <c r="K970" i="58" s="1"/>
  <c r="J970" i="58"/>
  <c r="K967" i="57"/>
  <c r="K971" i="58" s="1"/>
  <c r="J971" i="58"/>
  <c r="P995" i="58"/>
  <c r="AI995" i="58"/>
  <c r="AC996" i="58"/>
  <c r="P997" i="58"/>
  <c r="AI997" i="58"/>
  <c r="AI991" i="58"/>
  <c r="P991" i="58"/>
  <c r="AB730" i="54"/>
  <c r="AA729" i="54"/>
  <c r="AB729" i="54"/>
  <c r="AA730" i="54"/>
  <c r="K527" i="54"/>
  <c r="H729" i="54"/>
  <c r="H730" i="54"/>
  <c r="AT729" i="54"/>
  <c r="AT730" i="54"/>
  <c r="K717" i="54"/>
  <c r="AD972" i="57"/>
  <c r="AP972" i="57"/>
  <c r="AK972" i="57"/>
  <c r="U972" i="57"/>
  <c r="AQ972" i="57"/>
  <c r="X972" i="57"/>
  <c r="Z972" i="57"/>
  <c r="V972" i="57"/>
  <c r="W972" i="57"/>
  <c r="AD965" i="57"/>
  <c r="AQ965" i="57"/>
  <c r="AP965" i="57"/>
  <c r="AK965" i="57"/>
  <c r="U965" i="57"/>
  <c r="V965" i="57"/>
  <c r="X965" i="57"/>
  <c r="Z965" i="57"/>
  <c r="W965" i="57"/>
  <c r="AD966" i="57"/>
  <c r="AK966" i="57"/>
  <c r="AP966" i="57"/>
  <c r="AQ966" i="57"/>
  <c r="U966" i="57"/>
  <c r="X966" i="57"/>
  <c r="V966" i="57"/>
  <c r="Z966" i="57"/>
  <c r="W966" i="57"/>
  <c r="AQ968" i="57"/>
  <c r="AD968" i="57"/>
  <c r="AK968" i="57"/>
  <c r="U968" i="57"/>
  <c r="AP968" i="57"/>
  <c r="Z968" i="57"/>
  <c r="V968" i="57"/>
  <c r="W968" i="57"/>
  <c r="X968" i="57"/>
  <c r="X863" i="57"/>
  <c r="Z863" i="57"/>
  <c r="AB863" i="57"/>
  <c r="I863" i="57"/>
  <c r="X864" i="57"/>
  <c r="I864" i="57"/>
  <c r="AB864" i="57"/>
  <c r="Z864" i="57"/>
  <c r="X860" i="57"/>
  <c r="AB860" i="57"/>
  <c r="I860" i="57"/>
  <c r="Z860" i="57"/>
  <c r="X862" i="57"/>
  <c r="AB862" i="57"/>
  <c r="Z862" i="57"/>
  <c r="I862" i="57"/>
  <c r="AD967" i="57"/>
  <c r="U967" i="57"/>
  <c r="AQ967" i="57"/>
  <c r="AP967" i="57"/>
  <c r="AK967" i="57"/>
  <c r="W967" i="57"/>
  <c r="X967" i="57"/>
  <c r="V967" i="57"/>
  <c r="Z967" i="57"/>
  <c r="X861" i="57"/>
  <c r="AB861" i="57"/>
  <c r="I861" i="57"/>
  <c r="Z861" i="57"/>
  <c r="U970" i="57"/>
  <c r="AQ970" i="57"/>
  <c r="AD970" i="57"/>
  <c r="AP970" i="57"/>
  <c r="AK970" i="57"/>
  <c r="Z970" i="57"/>
  <c r="W970" i="57"/>
  <c r="V970" i="57"/>
  <c r="X970" i="57"/>
  <c r="X857" i="57"/>
  <c r="Z857" i="57"/>
  <c r="AB857" i="57"/>
  <c r="I857" i="57"/>
  <c r="X858" i="57"/>
  <c r="I858" i="57"/>
  <c r="AB858" i="57"/>
  <c r="Z858" i="57"/>
  <c r="X859" i="57"/>
  <c r="I859" i="57"/>
  <c r="Z859" i="57"/>
  <c r="AB859" i="57"/>
  <c r="U971" i="57"/>
  <c r="AQ971" i="57"/>
  <c r="AP971" i="57"/>
  <c r="AD971" i="57"/>
  <c r="AK971" i="57"/>
  <c r="V971" i="57"/>
  <c r="Z971" i="57"/>
  <c r="W971" i="57"/>
  <c r="X971" i="57"/>
  <c r="AD969" i="57"/>
  <c r="AQ969" i="57"/>
  <c r="AP969" i="57"/>
  <c r="U969" i="57"/>
  <c r="AK969" i="57"/>
  <c r="W969" i="57"/>
  <c r="V969" i="57"/>
  <c r="Z969" i="57"/>
  <c r="X969" i="57"/>
  <c r="E882" i="57"/>
  <c r="E884" i="57" s="1"/>
  <c r="AN884" i="57" s="1"/>
  <c r="B935" i="58"/>
  <c r="E883" i="58" s="1"/>
  <c r="AN526" i="54"/>
  <c r="AN527" i="54"/>
  <c r="L526" i="54"/>
  <c r="L527" i="54"/>
  <c r="C828" i="54"/>
  <c r="C827" i="54"/>
  <c r="O828" i="54"/>
  <c r="O825" i="54"/>
  <c r="O827" i="54"/>
  <c r="F242" i="54"/>
  <c r="O830" i="54"/>
  <c r="O829" i="54"/>
  <c r="O826" i="54"/>
  <c r="O821" i="54"/>
  <c r="O822" i="54"/>
  <c r="AD748" i="54"/>
  <c r="AD751" i="54"/>
  <c r="R822" i="54"/>
  <c r="R826" i="54"/>
  <c r="R828" i="54"/>
  <c r="R830" i="54"/>
  <c r="R821" i="54"/>
  <c r="R825" i="54"/>
  <c r="R827" i="54"/>
  <c r="R829" i="54"/>
  <c r="R831" i="54"/>
  <c r="AD749" i="54"/>
  <c r="AD752" i="54"/>
  <c r="B827" i="54"/>
  <c r="B828" i="54"/>
  <c r="AD750" i="54"/>
  <c r="AD754" i="54"/>
  <c r="AD753" i="54"/>
  <c r="AD747" i="54"/>
  <c r="Y936" i="57"/>
  <c r="Y940" i="58" s="1"/>
  <c r="B822" i="54"/>
  <c r="B826" i="54"/>
  <c r="B830" i="54"/>
  <c r="B821" i="54"/>
  <c r="B825" i="54"/>
  <c r="B829" i="54"/>
  <c r="C821" i="54"/>
  <c r="C825" i="54"/>
  <c r="C829" i="54"/>
  <c r="C822" i="54"/>
  <c r="C826" i="54"/>
  <c r="C830" i="54"/>
  <c r="C783" i="54"/>
  <c r="C785" i="54"/>
  <c r="C787" i="54"/>
  <c r="C782" i="54"/>
  <c r="C784" i="54"/>
  <c r="C786" i="54"/>
  <c r="L525" i="54"/>
  <c r="BU786" i="54"/>
  <c r="I782" i="54"/>
  <c r="BV786" i="54"/>
  <c r="BU784" i="54"/>
  <c r="I784" i="54"/>
  <c r="I786" i="54"/>
  <c r="BV784" i="54"/>
  <c r="BU782" i="54"/>
  <c r="BV782" i="54"/>
  <c r="BU787" i="54"/>
  <c r="BU783" i="54"/>
  <c r="BU785" i="54"/>
  <c r="BV787" i="54"/>
  <c r="BV783" i="54"/>
  <c r="BV785" i="54"/>
  <c r="I787" i="54"/>
  <c r="I783" i="54"/>
  <c r="I785" i="54"/>
  <c r="E526" i="54"/>
  <c r="C729" i="54" s="1"/>
  <c r="C947" i="57" s="1"/>
  <c r="C951" i="58" s="1"/>
  <c r="C761" i="58" s="1"/>
  <c r="B782" i="54"/>
  <c r="B784" i="54"/>
  <c r="B786" i="54"/>
  <c r="B783" i="54"/>
  <c r="B785" i="54"/>
  <c r="B787" i="54"/>
  <c r="F782" i="54"/>
  <c r="F783" i="54"/>
  <c r="F784" i="54"/>
  <c r="F785" i="54"/>
  <c r="F786" i="54"/>
  <c r="F787" i="54"/>
  <c r="D782" i="54"/>
  <c r="D783" i="54"/>
  <c r="D784" i="54"/>
  <c r="D785" i="54"/>
  <c r="D786" i="54"/>
  <c r="D787" i="54"/>
  <c r="E890" i="58"/>
  <c r="E902" i="57"/>
  <c r="AV902" i="57" s="1"/>
  <c r="E906" i="58"/>
  <c r="E880" i="57"/>
  <c r="AT880" i="57" s="1"/>
  <c r="E886" i="57"/>
  <c r="AN886" i="57" s="1"/>
  <c r="H750" i="54"/>
  <c r="H754" i="54"/>
  <c r="H752" i="54"/>
  <c r="H747" i="54"/>
  <c r="H749" i="54"/>
  <c r="H751" i="54"/>
  <c r="H753" i="54"/>
  <c r="H748" i="54"/>
  <c r="AT748" i="54"/>
  <c r="AT749" i="54"/>
  <c r="AT750" i="54"/>
  <c r="AT747" i="54"/>
  <c r="AT752" i="54"/>
  <c r="AT753" i="54"/>
  <c r="AT754" i="54"/>
  <c r="AT751" i="54"/>
  <c r="AK754" i="54"/>
  <c r="AQ747" i="54"/>
  <c r="U747" i="54"/>
  <c r="U753" i="54"/>
  <c r="AK750" i="54"/>
  <c r="AQ751" i="54"/>
  <c r="U752" i="54"/>
  <c r="U749" i="54"/>
  <c r="U748" i="54"/>
  <c r="AK748" i="54"/>
  <c r="AP747" i="54"/>
  <c r="AQ753" i="54"/>
  <c r="AP753" i="54"/>
  <c r="AQ750" i="54"/>
  <c r="AK751" i="54"/>
  <c r="AQ752" i="54"/>
  <c r="AK752" i="54"/>
  <c r="AK749" i="54"/>
  <c r="AP749" i="54"/>
  <c r="AA749" i="54"/>
  <c r="AA750" i="54"/>
  <c r="AA751" i="54"/>
  <c r="AB752" i="54"/>
  <c r="AA748" i="54"/>
  <c r="AB749" i="54"/>
  <c r="AB750" i="54"/>
  <c r="AB751" i="54"/>
  <c r="AA753" i="54"/>
  <c r="AA754" i="54"/>
  <c r="AB748" i="54"/>
  <c r="AB753" i="54"/>
  <c r="AB754" i="54"/>
  <c r="AA747" i="54"/>
  <c r="AB747" i="54"/>
  <c r="AA752" i="54"/>
  <c r="AQ754" i="54"/>
  <c r="U754" i="54"/>
  <c r="AQ748" i="54"/>
  <c r="AK747" i="54"/>
  <c r="AP750" i="54"/>
  <c r="U751" i="54"/>
  <c r="AP752" i="54"/>
  <c r="AP754" i="54"/>
  <c r="AP748" i="54"/>
  <c r="AK753" i="54"/>
  <c r="U750" i="54"/>
  <c r="AP751" i="54"/>
  <c r="AQ749" i="54"/>
  <c r="J579" i="54"/>
  <c r="K526" i="54"/>
  <c r="L664" i="54"/>
  <c r="M664" i="54" s="1"/>
  <c r="AT664" i="54"/>
  <c r="AN664" i="54"/>
  <c r="T684" i="54"/>
  <c r="T898" i="57" s="1"/>
  <c r="T902" i="58" s="1"/>
  <c r="T686" i="54"/>
  <c r="T900" i="57" s="1"/>
  <c r="T904" i="58" s="1"/>
  <c r="AA686" i="54"/>
  <c r="AA900" i="57" s="1"/>
  <c r="AA904" i="58" s="1"/>
  <c r="T687" i="54"/>
  <c r="T901" i="57" s="1"/>
  <c r="T905" i="58" s="1"/>
  <c r="AI687" i="54"/>
  <c r="T680" i="54"/>
  <c r="T894" i="57" s="1"/>
  <c r="T898" i="58" s="1"/>
  <c r="AA685" i="54"/>
  <c r="AA899" i="57" s="1"/>
  <c r="AA903" i="58" s="1"/>
  <c r="T685" i="54"/>
  <c r="T899" i="57" s="1"/>
  <c r="T903" i="58" s="1"/>
  <c r="AI682" i="54"/>
  <c r="AL681" i="54"/>
  <c r="AL895" i="57" s="1"/>
  <c r="AL899" i="58" s="1"/>
  <c r="T677" i="54"/>
  <c r="T891" i="57" s="1"/>
  <c r="T895" i="58" s="1"/>
  <c r="AI683" i="54"/>
  <c r="AQ676" i="54"/>
  <c r="AQ890" i="57" s="1"/>
  <c r="AQ894" i="58" s="1"/>
  <c r="AQ680" i="54"/>
  <c r="AQ894" i="57" s="1"/>
  <c r="AQ898" i="58" s="1"/>
  <c r="AQ684" i="54"/>
  <c r="AQ898" i="57" s="1"/>
  <c r="AQ902" i="58" s="1"/>
  <c r="AQ679" i="54"/>
  <c r="AQ893" i="57" s="1"/>
  <c r="AQ897" i="58" s="1"/>
  <c r="AQ683" i="54"/>
  <c r="AQ897" i="57" s="1"/>
  <c r="AQ901" i="58" s="1"/>
  <c r="AQ687" i="54"/>
  <c r="AQ901" i="57" s="1"/>
  <c r="AQ905" i="58" s="1"/>
  <c r="AQ678" i="54"/>
  <c r="AQ892" i="57" s="1"/>
  <c r="AQ896" i="58" s="1"/>
  <c r="AQ682" i="54"/>
  <c r="AQ896" i="57" s="1"/>
  <c r="AQ900" i="58" s="1"/>
  <c r="AQ686" i="54"/>
  <c r="AQ900" i="57" s="1"/>
  <c r="AQ904" i="58" s="1"/>
  <c r="AQ677" i="54"/>
  <c r="AQ891" i="57" s="1"/>
  <c r="AQ895" i="58" s="1"/>
  <c r="AQ681" i="54"/>
  <c r="AQ895" i="57" s="1"/>
  <c r="AQ899" i="58" s="1"/>
  <c r="AQ685" i="54"/>
  <c r="AQ899" i="57" s="1"/>
  <c r="AQ903" i="58" s="1"/>
  <c r="AL684" i="54"/>
  <c r="AL898" i="57" s="1"/>
  <c r="AL902" i="58" s="1"/>
  <c r="T679" i="54"/>
  <c r="T893" i="57" s="1"/>
  <c r="T897" i="58" s="1"/>
  <c r="AL686" i="54"/>
  <c r="AL900" i="57" s="1"/>
  <c r="AL904" i="58" s="1"/>
  <c r="AL687" i="54"/>
  <c r="AL901" i="57" s="1"/>
  <c r="AL905" i="58" s="1"/>
  <c r="AA680" i="54"/>
  <c r="AA894" i="57" s="1"/>
  <c r="AA898" i="58" s="1"/>
  <c r="AI681" i="54"/>
  <c r="AA683" i="54"/>
  <c r="AA897" i="57" s="1"/>
  <c r="AA901" i="58" s="1"/>
  <c r="AI684" i="54"/>
  <c r="AA679" i="54"/>
  <c r="AA893" i="57" s="1"/>
  <c r="AA897" i="58" s="1"/>
  <c r="AL679" i="54"/>
  <c r="AL893" i="57" s="1"/>
  <c r="AL897" i="58" s="1"/>
  <c r="AA687" i="54"/>
  <c r="AA901" i="57" s="1"/>
  <c r="AA905" i="58" s="1"/>
  <c r="AL680" i="54"/>
  <c r="AL894" i="57" s="1"/>
  <c r="AL898" i="58" s="1"/>
  <c r="AL685" i="54"/>
  <c r="AL899" i="57" s="1"/>
  <c r="AL903" i="58" s="1"/>
  <c r="T682" i="54"/>
  <c r="T896" i="57" s="1"/>
  <c r="T900" i="58" s="1"/>
  <c r="AA682" i="54"/>
  <c r="AA896" i="57" s="1"/>
  <c r="AA900" i="58" s="1"/>
  <c r="T681" i="54"/>
  <c r="T895" i="57" s="1"/>
  <c r="T899" i="58" s="1"/>
  <c r="AA677" i="54"/>
  <c r="AA891" i="57" s="1"/>
  <c r="AA895" i="58" s="1"/>
  <c r="AL677" i="54"/>
  <c r="AL891" i="57" s="1"/>
  <c r="AL895" i="58" s="1"/>
  <c r="T683" i="54"/>
  <c r="T897" i="57" s="1"/>
  <c r="T901" i="58" s="1"/>
  <c r="X676" i="54"/>
  <c r="X890" i="57" s="1"/>
  <c r="X894" i="58" s="1"/>
  <c r="X678" i="54"/>
  <c r="X892" i="57" s="1"/>
  <c r="X896" i="58" s="1"/>
  <c r="X680" i="54"/>
  <c r="X894" i="57" s="1"/>
  <c r="X898" i="58" s="1"/>
  <c r="X682" i="54"/>
  <c r="X896" i="57" s="1"/>
  <c r="X900" i="58" s="1"/>
  <c r="X684" i="54"/>
  <c r="X898" i="57" s="1"/>
  <c r="X902" i="58" s="1"/>
  <c r="X686" i="54"/>
  <c r="X900" i="57" s="1"/>
  <c r="X904" i="58" s="1"/>
  <c r="Y676" i="54"/>
  <c r="Y890" i="57" s="1"/>
  <c r="Y894" i="58" s="1"/>
  <c r="Y678" i="54"/>
  <c r="Y892" i="57" s="1"/>
  <c r="Y896" i="58" s="1"/>
  <c r="Y680" i="54"/>
  <c r="Y894" i="57" s="1"/>
  <c r="Y898" i="58" s="1"/>
  <c r="Y682" i="54"/>
  <c r="Y896" i="57" s="1"/>
  <c r="Y900" i="58" s="1"/>
  <c r="Y684" i="54"/>
  <c r="Y898" i="57" s="1"/>
  <c r="Y902" i="58" s="1"/>
  <c r="Y686" i="54"/>
  <c r="Y900" i="57" s="1"/>
  <c r="Y904" i="58" s="1"/>
  <c r="X677" i="54"/>
  <c r="X891" i="57" s="1"/>
  <c r="X895" i="58" s="1"/>
  <c r="X679" i="54"/>
  <c r="X893" i="57" s="1"/>
  <c r="X897" i="58" s="1"/>
  <c r="X681" i="54"/>
  <c r="X895" i="57" s="1"/>
  <c r="X899" i="58" s="1"/>
  <c r="X683" i="54"/>
  <c r="X897" i="57" s="1"/>
  <c r="X901" i="58" s="1"/>
  <c r="X685" i="54"/>
  <c r="X899" i="57" s="1"/>
  <c r="X903" i="58" s="1"/>
  <c r="X687" i="54"/>
  <c r="X901" i="57" s="1"/>
  <c r="X905" i="58" s="1"/>
  <c r="Y677" i="54"/>
  <c r="Y891" i="57" s="1"/>
  <c r="Y895" i="58" s="1"/>
  <c r="Y679" i="54"/>
  <c r="Y893" i="57" s="1"/>
  <c r="Y897" i="58" s="1"/>
  <c r="Y681" i="54"/>
  <c r="Y895" i="57" s="1"/>
  <c r="Y899" i="58" s="1"/>
  <c r="Y683" i="54"/>
  <c r="Y897" i="57" s="1"/>
  <c r="Y901" i="58" s="1"/>
  <c r="Y685" i="54"/>
  <c r="Y899" i="57" s="1"/>
  <c r="Y903" i="58" s="1"/>
  <c r="Y687" i="54"/>
  <c r="Y901" i="57" s="1"/>
  <c r="Y905" i="58" s="1"/>
  <c r="AA684" i="54"/>
  <c r="AA898" i="57" s="1"/>
  <c r="AA902" i="58" s="1"/>
  <c r="AI679" i="54"/>
  <c r="AI686" i="54"/>
  <c r="AI680" i="54"/>
  <c r="AI685" i="54"/>
  <c r="AL682" i="54"/>
  <c r="AL896" i="57" s="1"/>
  <c r="AL900" i="58" s="1"/>
  <c r="AA681" i="54"/>
  <c r="AA895" i="57" s="1"/>
  <c r="AA899" i="58" s="1"/>
  <c r="AI677" i="54"/>
  <c r="AL683" i="54"/>
  <c r="AL897" i="57" s="1"/>
  <c r="AL901" i="58" s="1"/>
  <c r="J936" i="57"/>
  <c r="J940" i="58" s="1"/>
  <c r="AB642" i="54"/>
  <c r="Y642" i="54"/>
  <c r="Z642" i="54" s="1"/>
  <c r="P645" i="54"/>
  <c r="AB643" i="54"/>
  <c r="P643" i="54"/>
  <c r="P646" i="54"/>
  <c r="AC649" i="54"/>
  <c r="AC642" i="54"/>
  <c r="AB644" i="54"/>
  <c r="P644" i="54"/>
  <c r="P647" i="54"/>
  <c r="AB645" i="54"/>
  <c r="AC643" i="54"/>
  <c r="Y648" i="54"/>
  <c r="Z648" i="54" s="1"/>
  <c r="P648" i="54"/>
  <c r="AB646" i="54"/>
  <c r="Y644" i="54"/>
  <c r="Z644" i="54" s="1"/>
  <c r="Y647" i="54"/>
  <c r="Z647" i="54" s="1"/>
  <c r="AC647" i="54"/>
  <c r="Y645" i="54"/>
  <c r="Z645" i="54" s="1"/>
  <c r="Y643" i="54"/>
  <c r="Z643" i="54" s="1"/>
  <c r="AB648" i="54"/>
  <c r="Y646" i="54"/>
  <c r="Z646" i="54" s="1"/>
  <c r="AC646" i="54"/>
  <c r="P649" i="54"/>
  <c r="P642" i="54"/>
  <c r="AC644" i="54"/>
  <c r="AB647" i="54"/>
  <c r="AC645" i="54"/>
  <c r="AC648" i="54"/>
  <c r="Y649" i="54"/>
  <c r="Z649" i="54" s="1"/>
  <c r="AB649" i="54"/>
  <c r="R516" i="54"/>
  <c r="AN552" i="54"/>
  <c r="AN553" i="54"/>
  <c r="AN554" i="54"/>
  <c r="AN555" i="54"/>
  <c r="AN556" i="54"/>
  <c r="AN557" i="54"/>
  <c r="AN558" i="54"/>
  <c r="AN559" i="54"/>
  <c r="AN560" i="54"/>
  <c r="AN561" i="54"/>
  <c r="E554" i="54"/>
  <c r="C749" i="54" s="1"/>
  <c r="E558" i="54"/>
  <c r="E557" i="54"/>
  <c r="F557" i="54" s="1"/>
  <c r="AI557" i="54" s="1"/>
  <c r="E561" i="54"/>
  <c r="E555" i="54"/>
  <c r="C750" i="54" s="1"/>
  <c r="E559" i="54"/>
  <c r="E553" i="54"/>
  <c r="C748" i="54" s="1"/>
  <c r="E552" i="54"/>
  <c r="C747" i="54" s="1"/>
  <c r="E556" i="54"/>
  <c r="F556" i="54" s="1"/>
  <c r="AI556" i="54" s="1"/>
  <c r="E560" i="54"/>
  <c r="K554" i="54"/>
  <c r="G644" i="54" s="1"/>
  <c r="K561" i="54"/>
  <c r="G649" i="54" s="1"/>
  <c r="K557" i="54"/>
  <c r="K560" i="54"/>
  <c r="G648" i="54" s="1"/>
  <c r="K552" i="54"/>
  <c r="G642" i="54" s="1"/>
  <c r="K555" i="54"/>
  <c r="G645" i="54" s="1"/>
  <c r="K558" i="54"/>
  <c r="G646" i="54" s="1"/>
  <c r="K553" i="54"/>
  <c r="G643" i="54" s="1"/>
  <c r="K556" i="54"/>
  <c r="K559" i="54"/>
  <c r="G647" i="54" s="1"/>
  <c r="F244" i="54"/>
  <c r="F243" i="54"/>
  <c r="AJ909" i="58"/>
  <c r="AJ908" i="58"/>
  <c r="AJ906" i="58"/>
  <c r="AJ910" i="58"/>
  <c r="AJ907" i="58"/>
  <c r="AJ917" i="58"/>
  <c r="AJ889" i="58"/>
  <c r="AJ882" i="58"/>
  <c r="AJ885" i="58"/>
  <c r="AJ919" i="58"/>
  <c r="AJ880" i="58"/>
  <c r="AJ911" i="58"/>
  <c r="AJ884" i="58"/>
  <c r="AJ915" i="58"/>
  <c r="AJ913" i="58"/>
  <c r="AJ881" i="58"/>
  <c r="AJ888" i="58"/>
  <c r="AJ883" i="58"/>
  <c r="AJ916" i="58"/>
  <c r="AJ914" i="58"/>
  <c r="AJ912" i="58"/>
  <c r="AJ918" i="58"/>
  <c r="L1004" i="58"/>
  <c r="AR1004" i="58" s="1"/>
  <c r="B768" i="57"/>
  <c r="I768" i="57" s="1"/>
  <c r="K930" i="57"/>
  <c r="K934" i="58" s="1"/>
  <c r="J934" i="58"/>
  <c r="K956" i="57"/>
  <c r="K960" i="58" s="1"/>
  <c r="J960" i="58"/>
  <c r="K954" i="57"/>
  <c r="K958" i="58" s="1"/>
  <c r="J958" i="58"/>
  <c r="B752" i="58"/>
  <c r="K952" i="57"/>
  <c r="K956" i="58" s="1"/>
  <c r="J956" i="58"/>
  <c r="K950" i="57"/>
  <c r="K954" i="58" s="1"/>
  <c r="J954" i="58"/>
  <c r="K933" i="57"/>
  <c r="K937" i="58" s="1"/>
  <c r="J937" i="58"/>
  <c r="K946" i="57"/>
  <c r="K950" i="58" s="1"/>
  <c r="J950" i="58"/>
  <c r="K923" i="57"/>
  <c r="K927" i="58" s="1"/>
  <c r="J927" i="58"/>
  <c r="K938" i="57"/>
  <c r="K942" i="58" s="1"/>
  <c r="J942" i="58"/>
  <c r="K937" i="57"/>
  <c r="K941" i="58" s="1"/>
  <c r="J941" i="58"/>
  <c r="K941" i="57"/>
  <c r="K945" i="58" s="1"/>
  <c r="J945" i="58"/>
  <c r="B745" i="58"/>
  <c r="E886" i="58"/>
  <c r="K935" i="57"/>
  <c r="K939" i="58" s="1"/>
  <c r="J939" i="58"/>
  <c r="Y929" i="58"/>
  <c r="B769" i="57"/>
  <c r="K961" i="57"/>
  <c r="K965" i="58" s="1"/>
  <c r="J965" i="58"/>
  <c r="K959" i="57"/>
  <c r="K963" i="58" s="1"/>
  <c r="J963" i="58"/>
  <c r="K963" i="57"/>
  <c r="K967" i="58" s="1"/>
  <c r="J967" i="58"/>
  <c r="K949" i="57"/>
  <c r="K953" i="58" s="1"/>
  <c r="J953" i="58"/>
  <c r="K934" i="57"/>
  <c r="K938" i="58" s="1"/>
  <c r="J938" i="58"/>
  <c r="K940" i="57"/>
  <c r="K944" i="58" s="1"/>
  <c r="J944" i="58"/>
  <c r="B748" i="58"/>
  <c r="K953" i="57"/>
  <c r="K957" i="58" s="1"/>
  <c r="J957" i="58"/>
  <c r="K939" i="57"/>
  <c r="K943" i="58" s="1"/>
  <c r="J943" i="58"/>
  <c r="K932" i="57"/>
  <c r="K936" i="58" s="1"/>
  <c r="J936" i="58"/>
  <c r="K957" i="57"/>
  <c r="K961" i="58" s="1"/>
  <c r="J961" i="58"/>
  <c r="K943" i="57"/>
  <c r="K947" i="58" s="1"/>
  <c r="J947" i="58"/>
  <c r="K958" i="57"/>
  <c r="K962" i="58" s="1"/>
  <c r="J962" i="58"/>
  <c r="K955" i="57"/>
  <c r="K959" i="58" s="1"/>
  <c r="J959" i="58"/>
  <c r="B744" i="58"/>
  <c r="E884" i="58"/>
  <c r="Y928" i="58"/>
  <c r="K962" i="57"/>
  <c r="K966" i="58" s="1"/>
  <c r="J966" i="58"/>
  <c r="K960" i="57"/>
  <c r="K964" i="58" s="1"/>
  <c r="J964" i="58"/>
  <c r="K951" i="57"/>
  <c r="K955" i="58" s="1"/>
  <c r="J955" i="58"/>
  <c r="K927" i="57"/>
  <c r="K931" i="58" s="1"/>
  <c r="J931" i="58"/>
  <c r="K944" i="57"/>
  <c r="K948" i="58" s="1"/>
  <c r="J948" i="58"/>
  <c r="AN883" i="57"/>
  <c r="B930" i="58"/>
  <c r="B746" i="58" s="1"/>
  <c r="AV913" i="57"/>
  <c r="AV909" i="57"/>
  <c r="AV903" i="57"/>
  <c r="AV877" i="57"/>
  <c r="AV885" i="57"/>
  <c r="AV912" i="57"/>
  <c r="AV908" i="57"/>
  <c r="AV887" i="57"/>
  <c r="AV879" i="57"/>
  <c r="AV915" i="57"/>
  <c r="AV911" i="57"/>
  <c r="AV906" i="57"/>
  <c r="AV905" i="57"/>
  <c r="AV878" i="57"/>
  <c r="AV881" i="57"/>
  <c r="AV883" i="57"/>
  <c r="AV914" i="57"/>
  <c r="AV910" i="57"/>
  <c r="AV907" i="57"/>
  <c r="AV889" i="57"/>
  <c r="AV876" i="57"/>
  <c r="AT883" i="57"/>
  <c r="AN915" i="57"/>
  <c r="AN913" i="57"/>
  <c r="AT911" i="57"/>
  <c r="AN909" i="57"/>
  <c r="AN907" i="57"/>
  <c r="AN905" i="57"/>
  <c r="AN887" i="57"/>
  <c r="AT904" i="57"/>
  <c r="AN876" i="57"/>
  <c r="AT879" i="57"/>
  <c r="AN878" i="57"/>
  <c r="AT915" i="57"/>
  <c r="AT913" i="57"/>
  <c r="AN911" i="57"/>
  <c r="AT909" i="57"/>
  <c r="AT907" i="57"/>
  <c r="AN903" i="57"/>
  <c r="AN889" i="57"/>
  <c r="AT888" i="57"/>
  <c r="AT881" i="57"/>
  <c r="AN877" i="57"/>
  <c r="AN885" i="57"/>
  <c r="AN914" i="57"/>
  <c r="AT912" i="57"/>
  <c r="AT910" i="57"/>
  <c r="AN908" i="57"/>
  <c r="AT887" i="57"/>
  <c r="AT903" i="57"/>
  <c r="AN906" i="57"/>
  <c r="AT878" i="57"/>
  <c r="AT877" i="57"/>
  <c r="AT885" i="57"/>
  <c r="AT914" i="57"/>
  <c r="AN912" i="57"/>
  <c r="AN910" i="57"/>
  <c r="AT908" i="57"/>
  <c r="AT906" i="57"/>
  <c r="AT905" i="57"/>
  <c r="AT889" i="57"/>
  <c r="AN879" i="57"/>
  <c r="AN881" i="57"/>
  <c r="G879" i="57"/>
  <c r="AR878" i="57"/>
  <c r="R757" i="57"/>
  <c r="R758" i="57" s="1"/>
  <c r="Y928" i="57"/>
  <c r="Y932" i="58" s="1"/>
  <c r="K727" i="54"/>
  <c r="J945" i="57"/>
  <c r="K708" i="54"/>
  <c r="J926" i="57"/>
  <c r="K711" i="54"/>
  <c r="J929" i="57"/>
  <c r="L928" i="57"/>
  <c r="L932" i="58" s="1"/>
  <c r="K706" i="54"/>
  <c r="J924" i="57"/>
  <c r="K713" i="54"/>
  <c r="J931" i="57"/>
  <c r="K704" i="54"/>
  <c r="J922" i="57"/>
  <c r="Y926" i="57"/>
  <c r="Y930" i="58" s="1"/>
  <c r="K710" i="54"/>
  <c r="J928" i="57"/>
  <c r="K707" i="54"/>
  <c r="J925" i="57"/>
  <c r="G90" i="4"/>
  <c r="G89" i="58" s="1"/>
  <c r="D89" i="57"/>
  <c r="C61" i="54"/>
  <c r="C58" i="57"/>
  <c r="B74" i="54"/>
  <c r="B71" i="57"/>
  <c r="G92" i="4"/>
  <c r="G91" i="58" s="1"/>
  <c r="D91" i="57"/>
  <c r="G84" i="4"/>
  <c r="G83" i="58" s="1"/>
  <c r="D83" i="57"/>
  <c r="G78" i="4"/>
  <c r="G80" i="54" s="1"/>
  <c r="D77" i="57"/>
  <c r="G81" i="4"/>
  <c r="D80" i="57"/>
  <c r="G91" i="4"/>
  <c r="G90" i="58" s="1"/>
  <c r="D90" i="57"/>
  <c r="G94" i="4"/>
  <c r="G93" i="58" s="1"/>
  <c r="D93" i="57"/>
  <c r="G96" i="4"/>
  <c r="G95" i="57" s="1"/>
  <c r="D95" i="57"/>
  <c r="C56" i="54"/>
  <c r="C53" i="57"/>
  <c r="C60" i="54"/>
  <c r="C57" i="57"/>
  <c r="C64" i="54"/>
  <c r="C61" i="57"/>
  <c r="F66" i="4"/>
  <c r="F65" i="57" s="1"/>
  <c r="C65" i="57"/>
  <c r="F70" i="4"/>
  <c r="F69" i="58" s="1"/>
  <c r="C69" i="57"/>
  <c r="B75" i="54"/>
  <c r="B72" i="57"/>
  <c r="B71" i="54"/>
  <c r="B68" i="57"/>
  <c r="B67" i="54"/>
  <c r="B64" i="57"/>
  <c r="C78" i="54"/>
  <c r="C75" i="57"/>
  <c r="C111" i="54"/>
  <c r="C108" i="57"/>
  <c r="C107" i="54"/>
  <c r="C104" i="57"/>
  <c r="C102" i="54"/>
  <c r="C99" i="57"/>
  <c r="C98" i="54"/>
  <c r="C95" i="57"/>
  <c r="C94" i="54"/>
  <c r="C91" i="57"/>
  <c r="C90" i="54"/>
  <c r="C87" i="57"/>
  <c r="C86" i="54"/>
  <c r="C83" i="57"/>
  <c r="C82" i="54"/>
  <c r="C79" i="57"/>
  <c r="G99" i="4"/>
  <c r="G98" i="57" s="1"/>
  <c r="D98" i="57"/>
  <c r="G106" i="4"/>
  <c r="G105" i="58" s="1"/>
  <c r="D105" i="57"/>
  <c r="G100" i="4"/>
  <c r="D99" i="57"/>
  <c r="G114" i="4"/>
  <c r="G113" i="58" s="1"/>
  <c r="D113" i="57"/>
  <c r="G110" i="4"/>
  <c r="G109" i="58" s="1"/>
  <c r="D109" i="57"/>
  <c r="B117" i="54"/>
  <c r="B114" i="57"/>
  <c r="B113" i="54"/>
  <c r="B110" i="57"/>
  <c r="B109" i="54"/>
  <c r="B106" i="57"/>
  <c r="B105" i="54"/>
  <c r="B102" i="57"/>
  <c r="B101" i="54"/>
  <c r="B98" i="57"/>
  <c r="B97" i="54"/>
  <c r="B94" i="57"/>
  <c r="B93" i="54"/>
  <c r="B90" i="57"/>
  <c r="B89" i="54"/>
  <c r="B86" i="57"/>
  <c r="B85" i="54"/>
  <c r="B82" i="57"/>
  <c r="B81" i="54"/>
  <c r="B78" i="57"/>
  <c r="G118" i="4"/>
  <c r="G117" i="58" s="1"/>
  <c r="D117" i="57"/>
  <c r="G122" i="4"/>
  <c r="D121" i="57"/>
  <c r="G124" i="4"/>
  <c r="G126" i="54" s="1"/>
  <c r="D123" i="57"/>
  <c r="G135" i="4"/>
  <c r="G134" i="57" s="1"/>
  <c r="D134" i="57"/>
  <c r="G131" i="4"/>
  <c r="G130" i="58" s="1"/>
  <c r="D130" i="57"/>
  <c r="G138" i="4"/>
  <c r="G137" i="58" s="1"/>
  <c r="D137" i="57"/>
  <c r="G144" i="4"/>
  <c r="G143" i="58" s="1"/>
  <c r="D143" i="57"/>
  <c r="G140" i="4"/>
  <c r="G142" i="54" s="1"/>
  <c r="D139" i="57"/>
  <c r="B148" i="54"/>
  <c r="B145" i="57"/>
  <c r="B146" i="54"/>
  <c r="B143" i="57"/>
  <c r="B144" i="54"/>
  <c r="B141" i="57"/>
  <c r="B142" i="54"/>
  <c r="B139" i="57"/>
  <c r="B140" i="54"/>
  <c r="B137" i="57"/>
  <c r="B138" i="54"/>
  <c r="B135" i="57"/>
  <c r="B136" i="54"/>
  <c r="B133" i="57"/>
  <c r="B134" i="54"/>
  <c r="B131" i="57"/>
  <c r="B132" i="54"/>
  <c r="B129" i="57"/>
  <c r="B130" i="54"/>
  <c r="B127" i="57"/>
  <c r="B128" i="54"/>
  <c r="B125" i="57"/>
  <c r="B126" i="54"/>
  <c r="B123" i="57"/>
  <c r="B124" i="54"/>
  <c r="B121" i="57"/>
  <c r="B122" i="54"/>
  <c r="B119" i="57"/>
  <c r="B149" i="54"/>
  <c r="B146" i="57"/>
  <c r="G87" i="4"/>
  <c r="G86" i="58" s="1"/>
  <c r="D86" i="57"/>
  <c r="C57" i="54"/>
  <c r="C54" i="57"/>
  <c r="F71" i="4"/>
  <c r="F70" i="58" s="1"/>
  <c r="C70" i="57"/>
  <c r="B66" i="54"/>
  <c r="B63" i="57"/>
  <c r="C114" i="54"/>
  <c r="C111" i="57"/>
  <c r="C110" i="54"/>
  <c r="C107" i="57"/>
  <c r="C106" i="54"/>
  <c r="C103" i="57"/>
  <c r="C101" i="54"/>
  <c r="C98" i="57"/>
  <c r="C97" i="54"/>
  <c r="C94" i="57"/>
  <c r="C93" i="54"/>
  <c r="C90" i="57"/>
  <c r="C89" i="54"/>
  <c r="C86" i="57"/>
  <c r="C85" i="54"/>
  <c r="C82" i="57"/>
  <c r="C81" i="54"/>
  <c r="C78" i="57"/>
  <c r="G103" i="4"/>
  <c r="G102" i="58" s="1"/>
  <c r="D102" i="57"/>
  <c r="C117" i="54"/>
  <c r="C114" i="57"/>
  <c r="G101" i="4"/>
  <c r="G100" i="58" s="1"/>
  <c r="D100" i="57"/>
  <c r="G113" i="4"/>
  <c r="G112" i="58" s="1"/>
  <c r="D112" i="57"/>
  <c r="G109" i="4"/>
  <c r="G108" i="58" s="1"/>
  <c r="D108" i="57"/>
  <c r="B116" i="54"/>
  <c r="B113" i="57"/>
  <c r="B112" i="54"/>
  <c r="B109" i="57"/>
  <c r="B108" i="54"/>
  <c r="B105" i="57"/>
  <c r="B104" i="54"/>
  <c r="B101" i="57"/>
  <c r="B100" i="54"/>
  <c r="B97" i="57"/>
  <c r="B96" i="54"/>
  <c r="B93" i="57"/>
  <c r="B92" i="54"/>
  <c r="B89" i="57"/>
  <c r="B88" i="54"/>
  <c r="B85" i="57"/>
  <c r="B84" i="54"/>
  <c r="B81" i="57"/>
  <c r="B80" i="54"/>
  <c r="B77" i="57"/>
  <c r="G121" i="4"/>
  <c r="D120" i="57"/>
  <c r="G127" i="4"/>
  <c r="D126" i="57"/>
  <c r="G123" i="4"/>
  <c r="D122" i="57"/>
  <c r="G134" i="4"/>
  <c r="G133" i="58" s="1"/>
  <c r="D133" i="57"/>
  <c r="G130" i="4"/>
  <c r="G132" i="54" s="1"/>
  <c r="D129" i="57"/>
  <c r="G147" i="4"/>
  <c r="G146" i="58" s="1"/>
  <c r="D146" i="57"/>
  <c r="G143" i="4"/>
  <c r="G142" i="58" s="1"/>
  <c r="D142" i="57"/>
  <c r="G139" i="4"/>
  <c r="G138" i="58" s="1"/>
  <c r="D138" i="57"/>
  <c r="C147" i="54"/>
  <c r="C144" i="57"/>
  <c r="C145" i="54"/>
  <c r="C142" i="57"/>
  <c r="C143" i="54"/>
  <c r="C140" i="57"/>
  <c r="C141" i="54"/>
  <c r="C138" i="57"/>
  <c r="C139" i="54"/>
  <c r="C136" i="57"/>
  <c r="C137" i="54"/>
  <c r="C134" i="57"/>
  <c r="C135" i="54"/>
  <c r="C132" i="57"/>
  <c r="C133" i="54"/>
  <c r="C130" i="57"/>
  <c r="C131" i="54"/>
  <c r="C128" i="57"/>
  <c r="C129" i="54"/>
  <c r="C126" i="57"/>
  <c r="C127" i="54"/>
  <c r="C124" i="57"/>
  <c r="C125" i="54"/>
  <c r="C122" i="57"/>
  <c r="C123" i="54"/>
  <c r="C120" i="57"/>
  <c r="C121" i="54"/>
  <c r="C118" i="57"/>
  <c r="G77" i="4"/>
  <c r="G79" i="54" s="1"/>
  <c r="D76" i="57"/>
  <c r="G105" i="4"/>
  <c r="G104" i="58" s="1"/>
  <c r="D104" i="57"/>
  <c r="F67" i="4"/>
  <c r="F66" i="57" s="1"/>
  <c r="C66" i="57"/>
  <c r="G76" i="4"/>
  <c r="G75" i="58" s="1"/>
  <c r="D75" i="57"/>
  <c r="G86" i="4"/>
  <c r="G85" i="58" s="1"/>
  <c r="D85" i="57"/>
  <c r="G98" i="4"/>
  <c r="G97" i="58" s="1"/>
  <c r="D97" i="57"/>
  <c r="C62" i="54"/>
  <c r="C59" i="57"/>
  <c r="F68" i="4"/>
  <c r="F67" i="58" s="1"/>
  <c r="C67" i="57"/>
  <c r="B73" i="54"/>
  <c r="B70" i="57"/>
  <c r="C113" i="54"/>
  <c r="C110" i="57"/>
  <c r="C104" i="54"/>
  <c r="C101" i="57"/>
  <c r="C96" i="54"/>
  <c r="C93" i="57"/>
  <c r="C84" i="54"/>
  <c r="C81" i="57"/>
  <c r="C105" i="54"/>
  <c r="C102" i="57"/>
  <c r="G108" i="4"/>
  <c r="G107" i="58" s="1"/>
  <c r="D107" i="57"/>
  <c r="B115" i="54"/>
  <c r="B112" i="57"/>
  <c r="B111" i="54"/>
  <c r="B108" i="57"/>
  <c r="B107" i="54"/>
  <c r="B104" i="57"/>
  <c r="B103" i="54"/>
  <c r="B100" i="57"/>
  <c r="B99" i="54"/>
  <c r="B96" i="57"/>
  <c r="B95" i="54"/>
  <c r="B92" i="57"/>
  <c r="B91" i="54"/>
  <c r="B88" i="57"/>
  <c r="B87" i="54"/>
  <c r="B84" i="57"/>
  <c r="B83" i="54"/>
  <c r="B80" i="57"/>
  <c r="B79" i="54"/>
  <c r="B76" i="57"/>
  <c r="G120" i="4"/>
  <c r="G122" i="54" s="1"/>
  <c r="D119" i="57"/>
  <c r="G126" i="4"/>
  <c r="D125" i="57"/>
  <c r="G128" i="4"/>
  <c r="G127" i="58" s="1"/>
  <c r="D127" i="57"/>
  <c r="G133" i="4"/>
  <c r="G132" i="57" s="1"/>
  <c r="D132" i="57"/>
  <c r="G129" i="4"/>
  <c r="G128" i="58" s="1"/>
  <c r="D128" i="57"/>
  <c r="G146" i="4"/>
  <c r="G145" i="57" s="1"/>
  <c r="D145" i="57"/>
  <c r="G142" i="4"/>
  <c r="G141" i="58" s="1"/>
  <c r="D141" i="57"/>
  <c r="C120" i="54"/>
  <c r="C117" i="57"/>
  <c r="B147" i="54"/>
  <c r="B144" i="57"/>
  <c r="B145" i="54"/>
  <c r="B142" i="57"/>
  <c r="B143" i="54"/>
  <c r="B140" i="57"/>
  <c r="B141" i="54"/>
  <c r="B138" i="57"/>
  <c r="B139" i="54"/>
  <c r="B136" i="57"/>
  <c r="B137" i="54"/>
  <c r="B134" i="57"/>
  <c r="B135" i="54"/>
  <c r="B132" i="57"/>
  <c r="B133" i="54"/>
  <c r="B130" i="57"/>
  <c r="B131" i="54"/>
  <c r="B128" i="57"/>
  <c r="B129" i="54"/>
  <c r="B126" i="57"/>
  <c r="B127" i="54"/>
  <c r="B124" i="57"/>
  <c r="B125" i="54"/>
  <c r="B122" i="57"/>
  <c r="B123" i="54"/>
  <c r="B120" i="57"/>
  <c r="B121" i="54"/>
  <c r="B118" i="57"/>
  <c r="G88" i="4"/>
  <c r="G87" i="58" s="1"/>
  <c r="D87" i="57"/>
  <c r="G93" i="4"/>
  <c r="G92" i="57" s="1"/>
  <c r="D92" i="57"/>
  <c r="C65" i="54"/>
  <c r="C62" i="57"/>
  <c r="B70" i="54"/>
  <c r="B67" i="57"/>
  <c r="G83" i="4"/>
  <c r="G85" i="54" s="1"/>
  <c r="D82" i="57"/>
  <c r="G89" i="4"/>
  <c r="G88" i="58" s="1"/>
  <c r="D88" i="57"/>
  <c r="G104" i="4"/>
  <c r="G103" i="57" s="1"/>
  <c r="D103" i="57"/>
  <c r="C58" i="54"/>
  <c r="C55" i="57"/>
  <c r="F64" i="4"/>
  <c r="F63" i="58" s="1"/>
  <c r="C63" i="57"/>
  <c r="F72" i="4"/>
  <c r="F71" i="58" s="1"/>
  <c r="C71" i="57"/>
  <c r="B69" i="54"/>
  <c r="B66" i="57"/>
  <c r="B65" i="54"/>
  <c r="B62" i="57"/>
  <c r="C109" i="54"/>
  <c r="C106" i="57"/>
  <c r="C100" i="54"/>
  <c r="C97" i="57"/>
  <c r="C92" i="54"/>
  <c r="C89" i="57"/>
  <c r="C88" i="54"/>
  <c r="C85" i="57"/>
  <c r="C80" i="54"/>
  <c r="C77" i="57"/>
  <c r="C116" i="54"/>
  <c r="C113" i="57"/>
  <c r="G112" i="4"/>
  <c r="G111" i="58" s="1"/>
  <c r="D111" i="57"/>
  <c r="G80" i="4"/>
  <c r="G82" i="54" s="1"/>
  <c r="D79" i="57"/>
  <c r="G79" i="4"/>
  <c r="G81" i="54" s="1"/>
  <c r="D78" i="57"/>
  <c r="G82" i="4"/>
  <c r="G84" i="54" s="1"/>
  <c r="D81" i="57"/>
  <c r="G85" i="4"/>
  <c r="G84" i="58" s="1"/>
  <c r="D84" i="57"/>
  <c r="G95" i="4"/>
  <c r="D94" i="57"/>
  <c r="G97" i="4"/>
  <c r="G96" i="57" s="1"/>
  <c r="D96" i="57"/>
  <c r="G102" i="4"/>
  <c r="G101" i="57" s="1"/>
  <c r="D101" i="57"/>
  <c r="C59" i="54"/>
  <c r="C56" i="57"/>
  <c r="C63" i="54"/>
  <c r="C60" i="57"/>
  <c r="F65" i="4"/>
  <c r="F64" i="57" s="1"/>
  <c r="C64" i="57"/>
  <c r="F69" i="4"/>
  <c r="C68" i="57"/>
  <c r="F73" i="4"/>
  <c r="F72" i="58" s="1"/>
  <c r="C72" i="57"/>
  <c r="B72" i="54"/>
  <c r="B69" i="57"/>
  <c r="B68" i="54"/>
  <c r="B65" i="57"/>
  <c r="B64" i="54"/>
  <c r="B61" i="57"/>
  <c r="C112" i="54"/>
  <c r="C109" i="57"/>
  <c r="C108" i="54"/>
  <c r="C105" i="57"/>
  <c r="C103" i="54"/>
  <c r="C100" i="57"/>
  <c r="C99" i="54"/>
  <c r="C96" i="57"/>
  <c r="C95" i="54"/>
  <c r="C92" i="57"/>
  <c r="C91" i="54"/>
  <c r="C88" i="57"/>
  <c r="C87" i="54"/>
  <c r="C84" i="57"/>
  <c r="C83" i="54"/>
  <c r="C80" i="57"/>
  <c r="C79" i="54"/>
  <c r="C76" i="57"/>
  <c r="G107" i="4"/>
  <c r="D106" i="57"/>
  <c r="C115" i="54"/>
  <c r="C112" i="57"/>
  <c r="G115" i="4"/>
  <c r="G117" i="54" s="1"/>
  <c r="D114" i="57"/>
  <c r="G111" i="4"/>
  <c r="G110" i="58" s="1"/>
  <c r="D110" i="57"/>
  <c r="B78" i="54"/>
  <c r="B75" i="57"/>
  <c r="B114" i="54"/>
  <c r="B111" i="57"/>
  <c r="B110" i="54"/>
  <c r="B107" i="57"/>
  <c r="B106" i="54"/>
  <c r="B103" i="57"/>
  <c r="B102" i="54"/>
  <c r="B99" i="57"/>
  <c r="B98" i="54"/>
  <c r="B95" i="57"/>
  <c r="B94" i="54"/>
  <c r="B91" i="57"/>
  <c r="B90" i="54"/>
  <c r="B87" i="57"/>
  <c r="B86" i="54"/>
  <c r="B83" i="57"/>
  <c r="B82" i="54"/>
  <c r="B79" i="57"/>
  <c r="B120" i="54"/>
  <c r="B117" i="57"/>
  <c r="G119" i="4"/>
  <c r="G118" i="58" s="1"/>
  <c r="D118" i="57"/>
  <c r="G125" i="4"/>
  <c r="D124" i="57"/>
  <c r="G136" i="4"/>
  <c r="G135" i="58" s="1"/>
  <c r="D135" i="57"/>
  <c r="G132" i="4"/>
  <c r="D131" i="57"/>
  <c r="G137" i="4"/>
  <c r="G136" i="57" s="1"/>
  <c r="D136" i="57"/>
  <c r="G145" i="4"/>
  <c r="D144" i="57"/>
  <c r="G141" i="4"/>
  <c r="G140" i="58" s="1"/>
  <c r="D140" i="57"/>
  <c r="C148" i="54"/>
  <c r="C145" i="57"/>
  <c r="C146" i="54"/>
  <c r="C143" i="57"/>
  <c r="C144" i="54"/>
  <c r="C141" i="57"/>
  <c r="C142" i="54"/>
  <c r="C139" i="57"/>
  <c r="C140" i="54"/>
  <c r="C137" i="57"/>
  <c r="C138" i="54"/>
  <c r="C135" i="57"/>
  <c r="C136" i="54"/>
  <c r="C133" i="57"/>
  <c r="C134" i="54"/>
  <c r="C131" i="57"/>
  <c r="C132" i="54"/>
  <c r="C129" i="57"/>
  <c r="C130" i="54"/>
  <c r="C127" i="57"/>
  <c r="C128" i="54"/>
  <c r="C125" i="57"/>
  <c r="C126" i="54"/>
  <c r="C123" i="57"/>
  <c r="C124" i="54"/>
  <c r="C121" i="57"/>
  <c r="C122" i="54"/>
  <c r="C119" i="57"/>
  <c r="B191" i="4"/>
  <c r="B190" i="58" s="1"/>
  <c r="B241" i="58" s="1"/>
  <c r="C146" i="57"/>
  <c r="G83" i="54"/>
  <c r="AQ667" i="54"/>
  <c r="AQ669" i="54"/>
  <c r="AQ666" i="54"/>
  <c r="AQ668" i="54"/>
  <c r="Y666" i="54"/>
  <c r="Y668" i="54"/>
  <c r="X667" i="54"/>
  <c r="X669" i="54"/>
  <c r="Y667" i="54"/>
  <c r="Y669" i="54"/>
  <c r="X666" i="54"/>
  <c r="X668" i="54"/>
  <c r="C241" i="54"/>
  <c r="G780" i="54" s="1"/>
  <c r="L511" i="54"/>
  <c r="L510" i="54"/>
  <c r="E511" i="54"/>
  <c r="F667" i="54" s="1"/>
  <c r="E510" i="54"/>
  <c r="F669" i="54" s="1"/>
  <c r="K510" i="54"/>
  <c r="K511" i="54"/>
  <c r="AT744" i="54"/>
  <c r="AN510" i="54"/>
  <c r="AN511" i="54"/>
  <c r="B777" i="57"/>
  <c r="X670" i="54"/>
  <c r="AA744" i="54"/>
  <c r="AB744" i="54"/>
  <c r="AO852" i="54"/>
  <c r="H744" i="54"/>
  <c r="D860" i="54"/>
  <c r="D852" i="54"/>
  <c r="AA312" i="54"/>
  <c r="AA317" i="54" s="1"/>
  <c r="AQ657" i="54"/>
  <c r="AQ659" i="54"/>
  <c r="AQ661" i="54"/>
  <c r="AQ663" i="54"/>
  <c r="AQ665" i="54"/>
  <c r="AQ671" i="54"/>
  <c r="AQ673" i="54"/>
  <c r="AQ689" i="54"/>
  <c r="AQ691" i="54"/>
  <c r="AQ693" i="54"/>
  <c r="AQ695" i="54"/>
  <c r="AQ697" i="54"/>
  <c r="AT705" i="54"/>
  <c r="AT707" i="54"/>
  <c r="AT709" i="54"/>
  <c r="AT711" i="54"/>
  <c r="AT713" i="54"/>
  <c r="AT715" i="54"/>
  <c r="AT717" i="54"/>
  <c r="AT719" i="54"/>
  <c r="AT721" i="54"/>
  <c r="AT723" i="54"/>
  <c r="AT725" i="54"/>
  <c r="AT727" i="54"/>
  <c r="AT731" i="54"/>
  <c r="AT733" i="54"/>
  <c r="AT736" i="54"/>
  <c r="AT738" i="54"/>
  <c r="AT739" i="54"/>
  <c r="AT741" i="54"/>
  <c r="AT743" i="54"/>
  <c r="AT704" i="54"/>
  <c r="AQ658" i="54"/>
  <c r="AQ660" i="54"/>
  <c r="AQ662" i="54"/>
  <c r="AQ664" i="54"/>
  <c r="AQ670" i="54"/>
  <c r="AQ672" i="54"/>
  <c r="AQ688" i="54"/>
  <c r="AQ690" i="54"/>
  <c r="AQ692" i="54"/>
  <c r="AQ694" i="54"/>
  <c r="AQ696" i="54"/>
  <c r="AT706" i="54"/>
  <c r="AT708" i="54"/>
  <c r="AT710" i="54"/>
  <c r="AT712" i="54"/>
  <c r="AT714" i="54"/>
  <c r="AT716" i="54"/>
  <c r="AT718" i="54"/>
  <c r="AT720" i="54"/>
  <c r="AT722" i="54"/>
  <c r="AT724" i="54"/>
  <c r="AT726" i="54"/>
  <c r="AT728" i="54"/>
  <c r="AT732" i="54"/>
  <c r="AT734" i="54"/>
  <c r="AT735" i="54"/>
  <c r="AT737" i="54"/>
  <c r="AT740" i="54"/>
  <c r="AT742" i="54"/>
  <c r="AT745" i="54"/>
  <c r="AQ656" i="54"/>
  <c r="M431" i="54"/>
  <c r="M436" i="54" s="1"/>
  <c r="M416" i="54"/>
  <c r="M421" i="54" s="1"/>
  <c r="M426" i="54" s="1"/>
  <c r="D868" i="54"/>
  <c r="E549" i="54"/>
  <c r="C640" i="54" s="1"/>
  <c r="C260" i="54"/>
  <c r="K260" i="54" s="1"/>
  <c r="K328" i="58" s="1"/>
  <c r="D307" i="54"/>
  <c r="AA362" i="54" s="1"/>
  <c r="AA367" i="54" s="1"/>
  <c r="AA332" i="54"/>
  <c r="AA337" i="54" s="1"/>
  <c r="D287" i="54"/>
  <c r="D293" i="54" s="1"/>
  <c r="D288" i="54"/>
  <c r="D298" i="54" s="1"/>
  <c r="I272" i="54"/>
  <c r="I282" i="54"/>
  <c r="I277" i="54"/>
  <c r="F758" i="54"/>
  <c r="I765" i="54" s="1"/>
  <c r="I287" i="54" s="1"/>
  <c r="I293" i="54" s="1"/>
  <c r="H265" i="54"/>
  <c r="G266" i="54"/>
  <c r="G265" i="54"/>
  <c r="G267" i="54"/>
  <c r="AN549" i="54"/>
  <c r="R267" i="54"/>
  <c r="R266" i="54"/>
  <c r="R265" i="54"/>
  <c r="H272" i="54" s="1"/>
  <c r="H277" i="54" s="1"/>
  <c r="H282" i="54" s="1"/>
  <c r="C240" i="54"/>
  <c r="G778" i="54" s="1"/>
  <c r="D813" i="54" s="1"/>
  <c r="H266" i="54"/>
  <c r="H267" i="54"/>
  <c r="Y695" i="54"/>
  <c r="Y694" i="54"/>
  <c r="X695" i="54"/>
  <c r="X694" i="54"/>
  <c r="AF549" i="54"/>
  <c r="K549" i="54"/>
  <c r="G640" i="54" s="1"/>
  <c r="O809" i="54"/>
  <c r="O805" i="54"/>
  <c r="R804" i="54"/>
  <c r="R808" i="54"/>
  <c r="R812" i="54"/>
  <c r="R816" i="54"/>
  <c r="R820" i="54"/>
  <c r="R834" i="54"/>
  <c r="R838" i="54"/>
  <c r="R843" i="54"/>
  <c r="R803" i="54"/>
  <c r="R807" i="54"/>
  <c r="R811" i="54"/>
  <c r="R815" i="54"/>
  <c r="R819" i="54"/>
  <c r="R833" i="54"/>
  <c r="R837" i="54"/>
  <c r="R842" i="54"/>
  <c r="R801" i="54"/>
  <c r="R802" i="54"/>
  <c r="R806" i="54"/>
  <c r="R810" i="54"/>
  <c r="R814" i="54"/>
  <c r="R818" i="54"/>
  <c r="R832" i="54"/>
  <c r="R836" i="54"/>
  <c r="R841" i="54"/>
  <c r="R805" i="54"/>
  <c r="R809" i="54"/>
  <c r="R813" i="54"/>
  <c r="R817" i="54"/>
  <c r="R835" i="54"/>
  <c r="R840" i="54"/>
  <c r="C815" i="54"/>
  <c r="C819" i="54"/>
  <c r="C817" i="54"/>
  <c r="C813" i="54"/>
  <c r="C814" i="54"/>
  <c r="C818" i="54"/>
  <c r="C816" i="54"/>
  <c r="C820" i="54"/>
  <c r="C802" i="54"/>
  <c r="C804" i="54"/>
  <c r="C806" i="54"/>
  <c r="C808" i="54"/>
  <c r="C810" i="54"/>
  <c r="C812" i="54"/>
  <c r="C832" i="54"/>
  <c r="C834" i="54"/>
  <c r="C836" i="54"/>
  <c r="C838" i="54"/>
  <c r="C841" i="54"/>
  <c r="C843" i="54"/>
  <c r="C803" i="54"/>
  <c r="C805" i="54"/>
  <c r="C807" i="54"/>
  <c r="C809" i="54"/>
  <c r="C811" i="54"/>
  <c r="C831" i="54"/>
  <c r="C833" i="54"/>
  <c r="C835" i="54"/>
  <c r="C837" i="54"/>
  <c r="C840" i="54"/>
  <c r="C842" i="54"/>
  <c r="C801" i="54"/>
  <c r="B815" i="54"/>
  <c r="B838" i="54"/>
  <c r="B803" i="54"/>
  <c r="B816" i="54"/>
  <c r="B820" i="54"/>
  <c r="B814" i="54"/>
  <c r="B818" i="54"/>
  <c r="B801" i="54"/>
  <c r="B802" i="54"/>
  <c r="B804" i="54"/>
  <c r="B806" i="54"/>
  <c r="B808" i="54"/>
  <c r="B810" i="54"/>
  <c r="B812" i="54"/>
  <c r="B819" i="54"/>
  <c r="B832" i="54"/>
  <c r="B834" i="54"/>
  <c r="B836" i="54"/>
  <c r="B841" i="54"/>
  <c r="B843" i="54"/>
  <c r="B807" i="54"/>
  <c r="B817" i="54"/>
  <c r="B837" i="54"/>
  <c r="B809" i="54"/>
  <c r="B831" i="54"/>
  <c r="B840" i="54"/>
  <c r="B811" i="54"/>
  <c r="B833" i="54"/>
  <c r="B842" i="54"/>
  <c r="B805" i="54"/>
  <c r="B813" i="54"/>
  <c r="B835" i="54"/>
  <c r="D808" i="54"/>
  <c r="D807" i="54"/>
  <c r="D806" i="54"/>
  <c r="D812" i="54"/>
  <c r="D810" i="54"/>
  <c r="D811" i="54"/>
  <c r="D866" i="54"/>
  <c r="AO850" i="54"/>
  <c r="BV776" i="54"/>
  <c r="D850" i="54"/>
  <c r="D858" i="54"/>
  <c r="BV774" i="54"/>
  <c r="R695" i="57"/>
  <c r="AC695" i="57" s="1"/>
  <c r="BU774" i="54"/>
  <c r="BU776" i="54"/>
  <c r="D765" i="54"/>
  <c r="D766" i="54"/>
  <c r="F774" i="54"/>
  <c r="F778" i="54"/>
  <c r="F788" i="54"/>
  <c r="F793" i="54"/>
  <c r="E758" i="54"/>
  <c r="F775" i="54"/>
  <c r="F779" i="54"/>
  <c r="F789" i="54"/>
  <c r="F794" i="54"/>
  <c r="F776" i="54"/>
  <c r="F780" i="54"/>
  <c r="F790" i="54"/>
  <c r="E759" i="54"/>
  <c r="F773" i="54"/>
  <c r="F777" i="54"/>
  <c r="F781" i="54"/>
  <c r="F791" i="54"/>
  <c r="F772" i="54"/>
  <c r="I776" i="54"/>
  <c r="G777" i="54"/>
  <c r="D789" i="54"/>
  <c r="D794" i="54"/>
  <c r="D774" i="54"/>
  <c r="D788" i="54"/>
  <c r="D793" i="54"/>
  <c r="D772" i="54"/>
  <c r="D777" i="54"/>
  <c r="D779" i="54"/>
  <c r="D791" i="54"/>
  <c r="D773" i="54"/>
  <c r="D781" i="54"/>
  <c r="D776" i="54"/>
  <c r="D790" i="54"/>
  <c r="D775" i="54"/>
  <c r="D778" i="54"/>
  <c r="D780" i="54"/>
  <c r="D588" i="54"/>
  <c r="D266" i="54" s="1"/>
  <c r="F277" i="54" s="1"/>
  <c r="C779" i="54"/>
  <c r="C780" i="54"/>
  <c r="C781" i="54"/>
  <c r="C778" i="54"/>
  <c r="C773" i="54"/>
  <c r="C777" i="54"/>
  <c r="C791" i="54"/>
  <c r="C772" i="54"/>
  <c r="C776" i="54"/>
  <c r="C790" i="54"/>
  <c r="C775" i="54"/>
  <c r="C789" i="54"/>
  <c r="C794" i="54"/>
  <c r="C774" i="54"/>
  <c r="C788" i="54"/>
  <c r="C793" i="54"/>
  <c r="B758" i="54"/>
  <c r="B777" i="54"/>
  <c r="B776" i="54"/>
  <c r="B779" i="54"/>
  <c r="B781" i="54"/>
  <c r="B790" i="54"/>
  <c r="B775" i="54"/>
  <c r="B789" i="54"/>
  <c r="B794" i="54"/>
  <c r="B774" i="54"/>
  <c r="B778" i="54"/>
  <c r="B780" i="54"/>
  <c r="B788" i="54"/>
  <c r="B793" i="54"/>
  <c r="B772" i="54"/>
  <c r="B773" i="54"/>
  <c r="B791" i="54"/>
  <c r="G791" i="54"/>
  <c r="BV791" i="54" s="1"/>
  <c r="G790" i="54"/>
  <c r="I774" i="54"/>
  <c r="G775" i="54"/>
  <c r="E587" i="54"/>
  <c r="E265" i="54" s="1"/>
  <c r="G272" i="54" s="1"/>
  <c r="G277" i="54" s="1"/>
  <c r="G282" i="54" s="1"/>
  <c r="D758" i="54"/>
  <c r="G765" i="54" s="1"/>
  <c r="G287" i="54" s="1"/>
  <c r="G293" i="54" s="1"/>
  <c r="D759" i="54"/>
  <c r="G766" i="54" s="1"/>
  <c r="G288" i="54" s="1"/>
  <c r="G298" i="54" s="1"/>
  <c r="D587" i="54"/>
  <c r="D265" i="54" s="1"/>
  <c r="F272" i="54" s="1"/>
  <c r="C758" i="54"/>
  <c r="F765" i="54" s="1"/>
  <c r="F287" i="54" s="1"/>
  <c r="F293" i="54" s="1"/>
  <c r="C759" i="54"/>
  <c r="F766" i="54" s="1"/>
  <c r="F288" i="54" s="1"/>
  <c r="F298" i="54" s="1"/>
  <c r="H706" i="54"/>
  <c r="H710" i="54"/>
  <c r="H714" i="54"/>
  <c r="H718" i="54"/>
  <c r="H722" i="54"/>
  <c r="H726" i="54"/>
  <c r="H732" i="54"/>
  <c r="H735" i="54"/>
  <c r="H741" i="54"/>
  <c r="H704" i="54"/>
  <c r="H707" i="54"/>
  <c r="H711" i="54"/>
  <c r="H715" i="54"/>
  <c r="H719" i="54"/>
  <c r="H723" i="54"/>
  <c r="H727" i="54"/>
  <c r="H733" i="54"/>
  <c r="H736" i="54"/>
  <c r="H739" i="54"/>
  <c r="H742" i="54"/>
  <c r="H708" i="54"/>
  <c r="H712" i="54"/>
  <c r="H716" i="54"/>
  <c r="H720" i="54"/>
  <c r="H724" i="54"/>
  <c r="H728" i="54"/>
  <c r="H734" i="54"/>
  <c r="H737" i="54"/>
  <c r="H743" i="54"/>
  <c r="H705" i="54"/>
  <c r="H709" i="54"/>
  <c r="H713" i="54"/>
  <c r="H717" i="54"/>
  <c r="H721" i="54"/>
  <c r="H725" i="54"/>
  <c r="H731" i="54"/>
  <c r="H738" i="54"/>
  <c r="H740" i="54"/>
  <c r="H745" i="54"/>
  <c r="AB705" i="54"/>
  <c r="AB707" i="54"/>
  <c r="AB709" i="54"/>
  <c r="AB711" i="54"/>
  <c r="AB713" i="54"/>
  <c r="AB715" i="54"/>
  <c r="AB717" i="54"/>
  <c r="AB719" i="54"/>
  <c r="AB721" i="54"/>
  <c r="AB723" i="54"/>
  <c r="AB725" i="54"/>
  <c r="AB727" i="54"/>
  <c r="AB731" i="54"/>
  <c r="AB733" i="54"/>
  <c r="AB736" i="54"/>
  <c r="AB738" i="54"/>
  <c r="AB739" i="54"/>
  <c r="AB740" i="54"/>
  <c r="AB742" i="54"/>
  <c r="AB745" i="54"/>
  <c r="AA706" i="54"/>
  <c r="AA708" i="54"/>
  <c r="AA710" i="54"/>
  <c r="AA712" i="54"/>
  <c r="AA714" i="54"/>
  <c r="AA716" i="54"/>
  <c r="AA718" i="54"/>
  <c r="AA720" i="54"/>
  <c r="AA722" i="54"/>
  <c r="AA724" i="54"/>
  <c r="AA726" i="54"/>
  <c r="AA728" i="54"/>
  <c r="AA732" i="54"/>
  <c r="AA734" i="54"/>
  <c r="AA735" i="54"/>
  <c r="AA737" i="54"/>
  <c r="AA741" i="54"/>
  <c r="AA743" i="54"/>
  <c r="AB706" i="54"/>
  <c r="AB708" i="54"/>
  <c r="AB710" i="54"/>
  <c r="AB712" i="54"/>
  <c r="AB714" i="54"/>
  <c r="AB716" i="54"/>
  <c r="AB718" i="54"/>
  <c r="AB720" i="54"/>
  <c r="AB722" i="54"/>
  <c r="AB724" i="54"/>
  <c r="AB726" i="54"/>
  <c r="AB728" i="54"/>
  <c r="AB732" i="54"/>
  <c r="AB734" i="54"/>
  <c r="AB735" i="54"/>
  <c r="AB737" i="54"/>
  <c r="AB741" i="54"/>
  <c r="AB743" i="54"/>
  <c r="AA705" i="54"/>
  <c r="AA707" i="54"/>
  <c r="AA709" i="54"/>
  <c r="AA711" i="54"/>
  <c r="AA713" i="54"/>
  <c r="AA715" i="54"/>
  <c r="AA717" i="54"/>
  <c r="AA719" i="54"/>
  <c r="AA721" i="54"/>
  <c r="AA723" i="54"/>
  <c r="AA725" i="54"/>
  <c r="AA727" i="54"/>
  <c r="AA731" i="54"/>
  <c r="AA733" i="54"/>
  <c r="AA736" i="54"/>
  <c r="AA738" i="54"/>
  <c r="AA739" i="54"/>
  <c r="AA740" i="54"/>
  <c r="AA742" i="54"/>
  <c r="AA745" i="54"/>
  <c r="AB704" i="54"/>
  <c r="AA704" i="54"/>
  <c r="F246" i="54"/>
  <c r="C237" i="54"/>
  <c r="F249" i="54"/>
  <c r="C247" i="54"/>
  <c r="L536" i="54"/>
  <c r="C245" i="54"/>
  <c r="F245" i="54" s="1"/>
  <c r="X657" i="54"/>
  <c r="X659" i="54"/>
  <c r="X661" i="54"/>
  <c r="X663" i="54"/>
  <c r="X665" i="54"/>
  <c r="X671" i="54"/>
  <c r="X673" i="54"/>
  <c r="X689" i="54"/>
  <c r="X691" i="54"/>
  <c r="X693" i="54"/>
  <c r="X697" i="54"/>
  <c r="Y662" i="54"/>
  <c r="Y690" i="54"/>
  <c r="Y656" i="54"/>
  <c r="Y657" i="54"/>
  <c r="Y659" i="54"/>
  <c r="Y661" i="54"/>
  <c r="Y663" i="54"/>
  <c r="Y665" i="54"/>
  <c r="Y671" i="54"/>
  <c r="Y673" i="54"/>
  <c r="Y689" i="54"/>
  <c r="Y691" i="54"/>
  <c r="Y693" i="54"/>
  <c r="Y697" i="54"/>
  <c r="Y660" i="54"/>
  <c r="Y664" i="54"/>
  <c r="Y672" i="54"/>
  <c r="Y692" i="54"/>
  <c r="X658" i="54"/>
  <c r="X660" i="54"/>
  <c r="X662" i="54"/>
  <c r="X664" i="54"/>
  <c r="X672" i="54"/>
  <c r="X688" i="54"/>
  <c r="X690" i="54"/>
  <c r="X692" i="54"/>
  <c r="X696" i="54"/>
  <c r="X656" i="54"/>
  <c r="Y658" i="54"/>
  <c r="Y670" i="54"/>
  <c r="Y688" i="54"/>
  <c r="Y696" i="54"/>
  <c r="AN501" i="54"/>
  <c r="AN503" i="54"/>
  <c r="AN502" i="54"/>
  <c r="I275" i="4"/>
  <c r="I273" i="4"/>
  <c r="J276" i="4"/>
  <c r="J274" i="4"/>
  <c r="K284" i="4"/>
  <c r="K283" i="4"/>
  <c r="O284" i="4"/>
  <c r="O283" i="4"/>
  <c r="D149" i="54"/>
  <c r="D145" i="54"/>
  <c r="D141" i="54"/>
  <c r="D91" i="54"/>
  <c r="D87" i="54"/>
  <c r="D83" i="54"/>
  <c r="D79" i="54"/>
  <c r="F275" i="4"/>
  <c r="F273" i="4"/>
  <c r="J275" i="4"/>
  <c r="J273" i="4"/>
  <c r="F276" i="4"/>
  <c r="F274" i="4"/>
  <c r="K276" i="4"/>
  <c r="K274" i="4"/>
  <c r="L284" i="4"/>
  <c r="L283" i="4"/>
  <c r="P284" i="4"/>
  <c r="P283" i="4"/>
  <c r="C149" i="54"/>
  <c r="D148" i="54"/>
  <c r="D144" i="54"/>
  <c r="D140" i="54"/>
  <c r="D90" i="54"/>
  <c r="D86" i="54"/>
  <c r="D82" i="54"/>
  <c r="G276" i="4"/>
  <c r="G274" i="4"/>
  <c r="G275" i="4"/>
  <c r="G273" i="4"/>
  <c r="K275" i="4"/>
  <c r="K273" i="4"/>
  <c r="H276" i="4"/>
  <c r="H274" i="4"/>
  <c r="I284" i="4"/>
  <c r="I283" i="4"/>
  <c r="M284" i="4"/>
  <c r="M283" i="4"/>
  <c r="D147" i="54"/>
  <c r="D143" i="54"/>
  <c r="D93" i="54"/>
  <c r="D89" i="54"/>
  <c r="D85" i="54"/>
  <c r="D81" i="54"/>
  <c r="D78" i="54"/>
  <c r="H275" i="4"/>
  <c r="H273" i="4"/>
  <c r="I276" i="4"/>
  <c r="I274" i="4"/>
  <c r="J284" i="4"/>
  <c r="J283" i="4"/>
  <c r="N284" i="4"/>
  <c r="N283" i="4"/>
  <c r="D146" i="54"/>
  <c r="D142" i="54"/>
  <c r="D92" i="54"/>
  <c r="D88" i="54"/>
  <c r="D84" i="54"/>
  <c r="K82" i="54"/>
  <c r="D80" i="54"/>
  <c r="B516" i="54"/>
  <c r="B572" i="54" s="1"/>
  <c r="B517" i="54"/>
  <c r="B573" i="54" s="1"/>
  <c r="E501" i="54"/>
  <c r="F674" i="54" s="1"/>
  <c r="E503" i="54"/>
  <c r="F665" i="54" s="1"/>
  <c r="B490" i="54"/>
  <c r="B567" i="54" s="1"/>
  <c r="L500" i="54"/>
  <c r="L501" i="54"/>
  <c r="I674" i="54" s="1"/>
  <c r="K502" i="54"/>
  <c r="K503" i="54"/>
  <c r="K501" i="54"/>
  <c r="L502" i="54"/>
  <c r="L503" i="54"/>
  <c r="B568" i="54"/>
  <c r="D139" i="54"/>
  <c r="D135" i="54"/>
  <c r="D131" i="54"/>
  <c r="D138" i="54"/>
  <c r="D134" i="54"/>
  <c r="D130" i="54"/>
  <c r="D137" i="54"/>
  <c r="D133" i="54"/>
  <c r="D136" i="54"/>
  <c r="D132" i="54"/>
  <c r="X597" i="54"/>
  <c r="X599" i="54"/>
  <c r="X600" i="54"/>
  <c r="X598" i="54"/>
  <c r="X601" i="54"/>
  <c r="X596" i="54"/>
  <c r="R588" i="54"/>
  <c r="R589" i="54"/>
  <c r="R587" i="54"/>
  <c r="G588" i="54"/>
  <c r="I616" i="54" s="1"/>
  <c r="G589" i="54"/>
  <c r="I617" i="54" s="1"/>
  <c r="G587" i="54"/>
  <c r="I615" i="54" s="1"/>
  <c r="H589" i="54"/>
  <c r="I589" i="54" s="1"/>
  <c r="H588" i="54"/>
  <c r="I588" i="54" s="1"/>
  <c r="E536" i="54"/>
  <c r="C587" i="54"/>
  <c r="H587" i="54"/>
  <c r="I587" i="54" s="1"/>
  <c r="D513" i="54"/>
  <c r="R513" i="54" s="1"/>
  <c r="B491" i="54"/>
  <c r="D515" i="54"/>
  <c r="R515" i="54" s="1"/>
  <c r="B493" i="54"/>
  <c r="D514" i="54"/>
  <c r="R514" i="54" s="1"/>
  <c r="B492" i="54"/>
  <c r="J570" i="54"/>
  <c r="J573" i="54"/>
  <c r="J577" i="54"/>
  <c r="J571" i="54"/>
  <c r="J574" i="54"/>
  <c r="J578" i="54"/>
  <c r="K529" i="54"/>
  <c r="G626" i="54" s="1"/>
  <c r="K531" i="54"/>
  <c r="G628" i="54" s="1"/>
  <c r="K533" i="54"/>
  <c r="K535" i="54"/>
  <c r="K537" i="54"/>
  <c r="G630" i="54" s="1"/>
  <c r="K539" i="54"/>
  <c r="G632" i="54" s="1"/>
  <c r="K541" i="54"/>
  <c r="K543" i="54"/>
  <c r="K545" i="54"/>
  <c r="G636" i="54" s="1"/>
  <c r="K547" i="54"/>
  <c r="G638" i="54" s="1"/>
  <c r="K550" i="54"/>
  <c r="G641" i="54" s="1"/>
  <c r="J568" i="54"/>
  <c r="J575" i="54"/>
  <c r="J569" i="54"/>
  <c r="J572" i="54"/>
  <c r="J576" i="54"/>
  <c r="J567" i="54"/>
  <c r="K530" i="54"/>
  <c r="G627" i="54" s="1"/>
  <c r="K532" i="54"/>
  <c r="G629" i="54" s="1"/>
  <c r="K534" i="54"/>
  <c r="K536" i="54"/>
  <c r="K538" i="54"/>
  <c r="G631" i="54" s="1"/>
  <c r="K540" i="54"/>
  <c r="K542" i="54"/>
  <c r="K544" i="54"/>
  <c r="G635" i="54" s="1"/>
  <c r="K546" i="54"/>
  <c r="G637" i="54" s="1"/>
  <c r="K548" i="54"/>
  <c r="G639" i="54" s="1"/>
  <c r="D512" i="54"/>
  <c r="AN530" i="54"/>
  <c r="AN534" i="54"/>
  <c r="AN538" i="54"/>
  <c r="AN542" i="54"/>
  <c r="AN546" i="54"/>
  <c r="AN529" i="54"/>
  <c r="AN490" i="54"/>
  <c r="AN494" i="54"/>
  <c r="AN498" i="54"/>
  <c r="AN504" i="54"/>
  <c r="AN508" i="54"/>
  <c r="AN514" i="54"/>
  <c r="AN518" i="54"/>
  <c r="AN522" i="54"/>
  <c r="AN486" i="54"/>
  <c r="AN531" i="54"/>
  <c r="AN535" i="54"/>
  <c r="AN539" i="54"/>
  <c r="AN543" i="54"/>
  <c r="AN547" i="54"/>
  <c r="AN487" i="54"/>
  <c r="AN491" i="54"/>
  <c r="AN495" i="54"/>
  <c r="AN499" i="54"/>
  <c r="AN505" i="54"/>
  <c r="AN509" i="54"/>
  <c r="AN515" i="54"/>
  <c r="AN519" i="54"/>
  <c r="AN523" i="54"/>
  <c r="AN532" i="54"/>
  <c r="AN536" i="54"/>
  <c r="AN540" i="54"/>
  <c r="AN544" i="54"/>
  <c r="AN548" i="54"/>
  <c r="AN488" i="54"/>
  <c r="AN492" i="54"/>
  <c r="AN496" i="54"/>
  <c r="AN500" i="54"/>
  <c r="AN506" i="54"/>
  <c r="AN512" i="54"/>
  <c r="AN516" i="54"/>
  <c r="AN520" i="54"/>
  <c r="AN524" i="54"/>
  <c r="AN533" i="54"/>
  <c r="AN537" i="54"/>
  <c r="AN541" i="54"/>
  <c r="AN545" i="54"/>
  <c r="AN550" i="54"/>
  <c r="AN489" i="54"/>
  <c r="AN493" i="54"/>
  <c r="AN497" i="54"/>
  <c r="AN507" i="54"/>
  <c r="AN513" i="54"/>
  <c r="AN517" i="54"/>
  <c r="AN521" i="54"/>
  <c r="AN525" i="54"/>
  <c r="L534" i="54"/>
  <c r="L532" i="54"/>
  <c r="E534" i="54"/>
  <c r="E532" i="54"/>
  <c r="L548" i="54"/>
  <c r="E530" i="54"/>
  <c r="E537" i="54"/>
  <c r="E541" i="54"/>
  <c r="E545" i="54"/>
  <c r="E550" i="54"/>
  <c r="C745" i="54" s="1"/>
  <c r="C856" i="57" s="1"/>
  <c r="C867" i="57" s="1"/>
  <c r="E531" i="54"/>
  <c r="E535" i="54"/>
  <c r="E538" i="54"/>
  <c r="E542" i="54"/>
  <c r="E546" i="54"/>
  <c r="E539" i="54"/>
  <c r="E543" i="54"/>
  <c r="E547" i="54"/>
  <c r="E529" i="54"/>
  <c r="C626" i="54" s="1"/>
  <c r="E533" i="54"/>
  <c r="E540" i="54"/>
  <c r="F671" i="54" s="1"/>
  <c r="E544" i="54"/>
  <c r="C635" i="54" s="1"/>
  <c r="E548" i="54"/>
  <c r="C639" i="54" s="1"/>
  <c r="L546" i="54"/>
  <c r="L547" i="54"/>
  <c r="L543" i="54"/>
  <c r="L540" i="54"/>
  <c r="L537" i="54"/>
  <c r="L541" i="54"/>
  <c r="L538" i="54"/>
  <c r="L542" i="54"/>
  <c r="L539" i="54"/>
  <c r="L545" i="54"/>
  <c r="L544" i="54"/>
  <c r="L535" i="54"/>
  <c r="L533" i="54"/>
  <c r="L530" i="54"/>
  <c r="L531" i="54"/>
  <c r="L529" i="54"/>
  <c r="K490" i="54"/>
  <c r="K494" i="54"/>
  <c r="K498" i="54"/>
  <c r="K504" i="54"/>
  <c r="K508" i="54"/>
  <c r="K514" i="54"/>
  <c r="K518" i="54"/>
  <c r="K522" i="54"/>
  <c r="K486" i="54"/>
  <c r="K487" i="54"/>
  <c r="K491" i="54"/>
  <c r="K495" i="54"/>
  <c r="K499" i="54"/>
  <c r="K505" i="54"/>
  <c r="K509" i="54"/>
  <c r="K515" i="54"/>
  <c r="K519" i="54"/>
  <c r="K523" i="54"/>
  <c r="K488" i="54"/>
  <c r="K492" i="54"/>
  <c r="K496" i="54"/>
  <c r="K500" i="54"/>
  <c r="K506" i="54"/>
  <c r="K512" i="54"/>
  <c r="K516" i="54"/>
  <c r="K520" i="54"/>
  <c r="K524" i="54"/>
  <c r="K489" i="54"/>
  <c r="K493" i="54"/>
  <c r="K497" i="54"/>
  <c r="K507" i="54"/>
  <c r="K513" i="54"/>
  <c r="K517" i="54"/>
  <c r="K521" i="54"/>
  <c r="K525" i="54"/>
  <c r="AH487" i="54"/>
  <c r="AH491" i="54"/>
  <c r="AH495" i="54"/>
  <c r="AH499" i="54"/>
  <c r="AH505" i="54"/>
  <c r="AH509" i="54"/>
  <c r="AH515" i="54"/>
  <c r="AH519" i="54"/>
  <c r="AH523" i="54"/>
  <c r="AH488" i="54"/>
  <c r="AH492" i="54"/>
  <c r="AH496" i="54"/>
  <c r="AH500" i="54"/>
  <c r="AH506" i="54"/>
  <c r="AH512" i="54"/>
  <c r="AH516" i="54"/>
  <c r="AH520" i="54"/>
  <c r="AH524" i="54"/>
  <c r="AH489" i="54"/>
  <c r="AH493" i="54"/>
  <c r="AH497" i="54"/>
  <c r="AH507" i="54"/>
  <c r="AH513" i="54"/>
  <c r="AH517" i="54"/>
  <c r="AH521" i="54"/>
  <c r="AH525" i="54"/>
  <c r="AH490" i="54"/>
  <c r="AH494" i="54"/>
  <c r="AH498" i="54"/>
  <c r="AH504" i="54"/>
  <c r="AH508" i="54"/>
  <c r="AH514" i="54"/>
  <c r="AH518" i="54"/>
  <c r="AH522" i="54"/>
  <c r="AH486" i="54"/>
  <c r="E512" i="54"/>
  <c r="E513" i="54"/>
  <c r="E514" i="54"/>
  <c r="E515" i="54"/>
  <c r="F515" i="54" s="1"/>
  <c r="L512" i="54"/>
  <c r="L513" i="54"/>
  <c r="L514" i="54"/>
  <c r="L515" i="54"/>
  <c r="E525" i="54"/>
  <c r="C728" i="54" s="1"/>
  <c r="E522" i="54"/>
  <c r="C725" i="54" s="1"/>
  <c r="E524" i="54"/>
  <c r="E523" i="54"/>
  <c r="C726" i="54" s="1"/>
  <c r="L522" i="54"/>
  <c r="L524" i="54"/>
  <c r="L523" i="54"/>
  <c r="S519" i="54"/>
  <c r="S521" i="54"/>
  <c r="S520" i="54"/>
  <c r="S523" i="54"/>
  <c r="Y726" i="54" s="1"/>
  <c r="S524" i="54"/>
  <c r="Y727" i="54" s="1"/>
  <c r="S522" i="54"/>
  <c r="Y725" i="54" s="1"/>
  <c r="L517" i="54"/>
  <c r="L516" i="54"/>
  <c r="E498" i="54"/>
  <c r="E516" i="54"/>
  <c r="E499" i="54"/>
  <c r="F499" i="54" s="1"/>
  <c r="E517" i="54"/>
  <c r="E497" i="54"/>
  <c r="E521" i="54"/>
  <c r="C724" i="54" s="1"/>
  <c r="E508" i="54"/>
  <c r="E509" i="54"/>
  <c r="L518" i="54"/>
  <c r="L519" i="54"/>
  <c r="L520" i="54"/>
  <c r="L521" i="54"/>
  <c r="L508" i="54"/>
  <c r="L509" i="54"/>
  <c r="L507" i="54"/>
  <c r="L505" i="54"/>
  <c r="L506" i="54"/>
  <c r="L504" i="54"/>
  <c r="L496" i="54"/>
  <c r="L497" i="54"/>
  <c r="L498" i="54"/>
  <c r="L499" i="54"/>
  <c r="C75" i="54"/>
  <c r="D117" i="54"/>
  <c r="D115" i="54"/>
  <c r="D113" i="54"/>
  <c r="D111" i="54"/>
  <c r="C72" i="54"/>
  <c r="C73" i="54"/>
  <c r="D116" i="54"/>
  <c r="D114" i="54"/>
  <c r="D112" i="54"/>
  <c r="D110" i="54"/>
  <c r="C74" i="54"/>
  <c r="C71" i="54"/>
  <c r="D109" i="54"/>
  <c r="D107" i="54"/>
  <c r="D105" i="54"/>
  <c r="D103" i="54"/>
  <c r="C68" i="54"/>
  <c r="C69" i="54"/>
  <c r="D108" i="54"/>
  <c r="D106" i="54"/>
  <c r="D104" i="54"/>
  <c r="D102" i="54"/>
  <c r="C70" i="54"/>
  <c r="C67" i="54"/>
  <c r="D101" i="54"/>
  <c r="D99" i="54"/>
  <c r="D97" i="54"/>
  <c r="D95" i="54"/>
  <c r="D100" i="54"/>
  <c r="D98" i="54"/>
  <c r="D96" i="54"/>
  <c r="D94" i="54"/>
  <c r="C66" i="54"/>
  <c r="D129" i="54"/>
  <c r="D127" i="54"/>
  <c r="D125" i="54"/>
  <c r="D123" i="54"/>
  <c r="D121" i="54"/>
  <c r="D128" i="54"/>
  <c r="D126" i="54"/>
  <c r="D124" i="54"/>
  <c r="D122" i="54"/>
  <c r="D120" i="54"/>
  <c r="E496" i="54"/>
  <c r="E492" i="54"/>
  <c r="F492" i="54" s="1"/>
  <c r="E488" i="54"/>
  <c r="F660" i="54" s="1"/>
  <c r="E495" i="54"/>
  <c r="C709" i="54" s="1"/>
  <c r="E491" i="54"/>
  <c r="F491" i="54" s="1"/>
  <c r="E487" i="54"/>
  <c r="E494" i="54"/>
  <c r="C708" i="54" s="1"/>
  <c r="E490" i="54"/>
  <c r="E493" i="54"/>
  <c r="F493" i="54" s="1"/>
  <c r="E489" i="54"/>
  <c r="F664" i="54" s="1"/>
  <c r="L487" i="54"/>
  <c r="L494" i="54"/>
  <c r="L493" i="54"/>
  <c r="L492" i="54"/>
  <c r="L490" i="54"/>
  <c r="L489" i="54"/>
  <c r="L491" i="54"/>
  <c r="E520" i="54"/>
  <c r="C723" i="54" s="1"/>
  <c r="E506" i="54"/>
  <c r="E500" i="54"/>
  <c r="F657" i="54" s="1"/>
  <c r="L486" i="54"/>
  <c r="E505" i="54"/>
  <c r="C716" i="54" s="1"/>
  <c r="E519" i="54"/>
  <c r="C722" i="54" s="1"/>
  <c r="E486" i="54"/>
  <c r="E504" i="54"/>
  <c r="C715" i="54" s="1"/>
  <c r="E518" i="54"/>
  <c r="C721" i="54" s="1"/>
  <c r="L495" i="54"/>
  <c r="E507" i="54"/>
  <c r="E502" i="54"/>
  <c r="F659" i="54" s="1"/>
  <c r="L488" i="54"/>
  <c r="AD681" i="58" l="1"/>
  <c r="AC681" i="58"/>
  <c r="AD688" i="58"/>
  <c r="AC688" i="58"/>
  <c r="AD676" i="58"/>
  <c r="AC676" i="58"/>
  <c r="O807" i="54"/>
  <c r="J807" i="54"/>
  <c r="I807" i="54"/>
  <c r="O808" i="54"/>
  <c r="I808" i="54"/>
  <c r="J808" i="54"/>
  <c r="I839" i="54"/>
  <c r="J839" i="54"/>
  <c r="I825" i="54"/>
  <c r="J825" i="54"/>
  <c r="I829" i="54"/>
  <c r="J829" i="54"/>
  <c r="I821" i="54"/>
  <c r="J821" i="54"/>
  <c r="I828" i="54"/>
  <c r="J824" i="54"/>
  <c r="J828" i="54"/>
  <c r="I824" i="54"/>
  <c r="J827" i="54"/>
  <c r="I823" i="54"/>
  <c r="I827" i="54"/>
  <c r="J823" i="54"/>
  <c r="J830" i="54"/>
  <c r="I826" i="54"/>
  <c r="I830" i="54"/>
  <c r="J826" i="54"/>
  <c r="J822" i="54"/>
  <c r="I822" i="54"/>
  <c r="O813" i="54"/>
  <c r="I813" i="54"/>
  <c r="J813" i="54"/>
  <c r="J809" i="54"/>
  <c r="O811" i="54"/>
  <c r="J811" i="54"/>
  <c r="I811" i="54"/>
  <c r="I809" i="54"/>
  <c r="O810" i="54"/>
  <c r="J810" i="54"/>
  <c r="I810" i="54"/>
  <c r="J805" i="54"/>
  <c r="O806" i="54"/>
  <c r="J806" i="54"/>
  <c r="I806" i="54"/>
  <c r="O812" i="54"/>
  <c r="I812" i="54"/>
  <c r="J812" i="54"/>
  <c r="I805" i="54"/>
  <c r="C746" i="54"/>
  <c r="C964" i="57" s="1"/>
  <c r="C968" i="58" s="1"/>
  <c r="AM681" i="54"/>
  <c r="AM895" i="57" s="1"/>
  <c r="AM899" i="58" s="1"/>
  <c r="F675" i="54"/>
  <c r="I744" i="54"/>
  <c r="H870" i="58" s="1"/>
  <c r="P870" i="58" s="1"/>
  <c r="I695" i="54"/>
  <c r="AV695" i="54" s="1"/>
  <c r="AF672" i="58"/>
  <c r="R792" i="54"/>
  <c r="W746" i="54"/>
  <c r="AI746" i="54" s="1"/>
  <c r="AD703" i="57"/>
  <c r="AC703" i="57"/>
  <c r="AD719" i="57"/>
  <c r="AC719" i="57"/>
  <c r="AR747" i="54"/>
  <c r="AR968" i="57"/>
  <c r="AR750" i="54"/>
  <c r="AR972" i="57"/>
  <c r="AR754" i="54"/>
  <c r="AF971" i="57"/>
  <c r="AR971" i="57"/>
  <c r="AR751" i="54"/>
  <c r="AR970" i="57"/>
  <c r="AR746" i="54"/>
  <c r="AR749" i="54"/>
  <c r="AR748" i="54"/>
  <c r="AE967" i="57"/>
  <c r="AR967" i="57"/>
  <c r="AE965" i="57"/>
  <c r="AR965" i="57"/>
  <c r="AR753" i="54"/>
  <c r="AR752" i="54"/>
  <c r="AE969" i="57"/>
  <c r="AR969" i="57"/>
  <c r="AR966" i="57"/>
  <c r="AM686" i="54"/>
  <c r="AM900" i="57" s="1"/>
  <c r="AM904" i="58" s="1"/>
  <c r="AF969" i="57"/>
  <c r="AF967" i="57"/>
  <c r="AF965" i="57"/>
  <c r="AE971" i="57"/>
  <c r="AM685" i="54"/>
  <c r="AM899" i="57" s="1"/>
  <c r="AM903" i="58" s="1"/>
  <c r="AM684" i="54"/>
  <c r="AM898" i="57" s="1"/>
  <c r="AM902" i="58" s="1"/>
  <c r="AM677" i="54"/>
  <c r="AM891" i="57" s="1"/>
  <c r="AM895" i="58" s="1"/>
  <c r="AM680" i="54"/>
  <c r="AM894" i="57" s="1"/>
  <c r="AM898" i="58" s="1"/>
  <c r="AM679" i="54"/>
  <c r="AM893" i="57" s="1"/>
  <c r="AM897" i="58" s="1"/>
  <c r="AM682" i="54"/>
  <c r="AM896" i="57" s="1"/>
  <c r="AM900" i="58" s="1"/>
  <c r="AM687" i="54"/>
  <c r="AM901" i="57" s="1"/>
  <c r="AM905" i="58" s="1"/>
  <c r="AM683" i="54"/>
  <c r="AM897" i="57" s="1"/>
  <c r="AM901" i="58" s="1"/>
  <c r="AM675" i="54"/>
  <c r="C948" i="57"/>
  <c r="C952" i="58" s="1"/>
  <c r="C762" i="58" s="1"/>
  <c r="U770" i="57"/>
  <c r="J946" i="58"/>
  <c r="L756" i="58" s="1"/>
  <c r="Z746" i="54"/>
  <c r="AK551" i="54"/>
  <c r="AJ551" i="54"/>
  <c r="R520" i="54"/>
  <c r="Y723" i="54"/>
  <c r="R521" i="54"/>
  <c r="Y724" i="54"/>
  <c r="V746" i="54"/>
  <c r="X746" i="54"/>
  <c r="R519" i="54"/>
  <c r="Y722" i="54"/>
  <c r="R667" i="58" s="1"/>
  <c r="G675" i="54"/>
  <c r="AR675" i="54" s="1"/>
  <c r="D746" i="54"/>
  <c r="U675" i="54"/>
  <c r="W675" i="54"/>
  <c r="V675" i="54"/>
  <c r="AD675" i="54" s="1"/>
  <c r="AJ675" i="54"/>
  <c r="W674" i="54"/>
  <c r="V674" i="54"/>
  <c r="AI674" i="54"/>
  <c r="AL674" i="54"/>
  <c r="U674" i="54"/>
  <c r="AA674" i="54"/>
  <c r="AV674" i="54"/>
  <c r="AK674" i="54"/>
  <c r="AJ674" i="54" s="1"/>
  <c r="AW674" i="54"/>
  <c r="T674" i="54"/>
  <c r="M490" i="54"/>
  <c r="AM490" i="54"/>
  <c r="AL490" i="54"/>
  <c r="AL487" i="54"/>
  <c r="AM487" i="54"/>
  <c r="M536" i="54"/>
  <c r="AM536" i="54"/>
  <c r="AL536" i="54"/>
  <c r="M511" i="54"/>
  <c r="AL511" i="54"/>
  <c r="AM511" i="54"/>
  <c r="M488" i="54"/>
  <c r="AM488" i="54"/>
  <c r="AL488" i="54"/>
  <c r="M492" i="54"/>
  <c r="AM492" i="54"/>
  <c r="AL492" i="54"/>
  <c r="M497" i="54"/>
  <c r="AL497" i="54"/>
  <c r="AM497" i="54"/>
  <c r="M505" i="54"/>
  <c r="AL505" i="54"/>
  <c r="AM505" i="54"/>
  <c r="M521" i="54"/>
  <c r="AL521" i="54"/>
  <c r="AM521" i="54"/>
  <c r="M516" i="54"/>
  <c r="AM516" i="54"/>
  <c r="AL516" i="54"/>
  <c r="M523" i="54"/>
  <c r="AL523" i="54"/>
  <c r="AM523" i="54"/>
  <c r="M514" i="54"/>
  <c r="AM514" i="54"/>
  <c r="AL514" i="54"/>
  <c r="M533" i="54"/>
  <c r="AL533" i="54"/>
  <c r="AM533" i="54"/>
  <c r="M539" i="54"/>
  <c r="AL539" i="54"/>
  <c r="AM539" i="54"/>
  <c r="M537" i="54"/>
  <c r="AL537" i="54"/>
  <c r="AM537" i="54"/>
  <c r="M546" i="54"/>
  <c r="AM546" i="54"/>
  <c r="AL546" i="54"/>
  <c r="M503" i="54"/>
  <c r="AL503" i="54"/>
  <c r="AM503" i="54"/>
  <c r="M527" i="54"/>
  <c r="AL527" i="54"/>
  <c r="AM527" i="54"/>
  <c r="AM550" i="54"/>
  <c r="AL550" i="54"/>
  <c r="M495" i="54"/>
  <c r="AL495" i="54"/>
  <c r="AM495" i="54"/>
  <c r="AM498" i="54"/>
  <c r="AL498" i="54"/>
  <c r="M508" i="54"/>
  <c r="AM508" i="54"/>
  <c r="AL508" i="54"/>
  <c r="M530" i="54"/>
  <c r="AM530" i="54"/>
  <c r="AL530" i="54"/>
  <c r="M545" i="54"/>
  <c r="AL545" i="54"/>
  <c r="AM545" i="54"/>
  <c r="M541" i="54"/>
  <c r="AL541" i="54"/>
  <c r="AM541" i="54"/>
  <c r="M547" i="54"/>
  <c r="AL547" i="54"/>
  <c r="AM547" i="54"/>
  <c r="M548" i="54"/>
  <c r="AM548" i="54"/>
  <c r="AL548" i="54"/>
  <c r="M534" i="54"/>
  <c r="AM534" i="54"/>
  <c r="AL534" i="54"/>
  <c r="M486" i="54"/>
  <c r="AL486" i="54"/>
  <c r="AM486" i="54"/>
  <c r="M491" i="54"/>
  <c r="AL491" i="54"/>
  <c r="AM491" i="54"/>
  <c r="M493" i="54"/>
  <c r="AL493" i="54"/>
  <c r="AM493" i="54"/>
  <c r="M496" i="54"/>
  <c r="AM496" i="54"/>
  <c r="AL496" i="54"/>
  <c r="M507" i="54"/>
  <c r="AL507" i="54"/>
  <c r="AM507" i="54"/>
  <c r="M520" i="54"/>
  <c r="AM520" i="54"/>
  <c r="AL520" i="54"/>
  <c r="M517" i="54"/>
  <c r="AL517" i="54"/>
  <c r="AM517" i="54"/>
  <c r="M524" i="54"/>
  <c r="AM524" i="54"/>
  <c r="AL524" i="54"/>
  <c r="M513" i="54"/>
  <c r="AL513" i="54"/>
  <c r="AM513" i="54"/>
  <c r="M529" i="54"/>
  <c r="AL529" i="54"/>
  <c r="AM529" i="54"/>
  <c r="M535" i="54"/>
  <c r="AL535" i="54"/>
  <c r="AM535" i="54"/>
  <c r="M542" i="54"/>
  <c r="AM542" i="54"/>
  <c r="AL542" i="54"/>
  <c r="M540" i="54"/>
  <c r="AM540" i="54"/>
  <c r="AL540" i="54"/>
  <c r="I690" i="54"/>
  <c r="M502" i="54"/>
  <c r="AM502" i="54"/>
  <c r="AL502" i="54"/>
  <c r="M501" i="54"/>
  <c r="AL501" i="54"/>
  <c r="AM501" i="54"/>
  <c r="M526" i="54"/>
  <c r="AM526" i="54"/>
  <c r="AK526" i="54" s="1"/>
  <c r="AL526" i="54"/>
  <c r="M549" i="54"/>
  <c r="I640" i="54" s="1"/>
  <c r="AL549" i="54"/>
  <c r="AM549" i="54"/>
  <c r="M506" i="54"/>
  <c r="AM506" i="54"/>
  <c r="AL506" i="54"/>
  <c r="M518" i="54"/>
  <c r="AM518" i="54"/>
  <c r="AL518" i="54"/>
  <c r="M515" i="54"/>
  <c r="AL515" i="54"/>
  <c r="AM515" i="54"/>
  <c r="M489" i="54"/>
  <c r="AL489" i="54"/>
  <c r="AM489" i="54"/>
  <c r="M494" i="54"/>
  <c r="AM494" i="54"/>
  <c r="AL494" i="54"/>
  <c r="M499" i="54"/>
  <c r="AL499" i="54"/>
  <c r="AM499" i="54"/>
  <c r="M504" i="54"/>
  <c r="AM504" i="54"/>
  <c r="AL504" i="54"/>
  <c r="M509" i="54"/>
  <c r="AL509" i="54"/>
  <c r="AM509" i="54"/>
  <c r="M519" i="54"/>
  <c r="AL519" i="54"/>
  <c r="AM519" i="54"/>
  <c r="M522" i="54"/>
  <c r="AM522" i="54"/>
  <c r="AL522" i="54"/>
  <c r="M512" i="54"/>
  <c r="AM512" i="54"/>
  <c r="AL512" i="54"/>
  <c r="M531" i="54"/>
  <c r="AL531" i="54"/>
  <c r="AM531" i="54"/>
  <c r="M544" i="54"/>
  <c r="AM544" i="54"/>
  <c r="AL544" i="54"/>
  <c r="M538" i="54"/>
  <c r="AM538" i="54"/>
  <c r="AL538" i="54"/>
  <c r="M543" i="54"/>
  <c r="AL543" i="54"/>
  <c r="AM543" i="54"/>
  <c r="M532" i="54"/>
  <c r="AM532" i="54"/>
  <c r="AL532" i="54"/>
  <c r="M500" i="54"/>
  <c r="AM500" i="54"/>
  <c r="AL500" i="54"/>
  <c r="M510" i="54"/>
  <c r="AM510" i="54"/>
  <c r="AL510" i="54"/>
  <c r="M525" i="54"/>
  <c r="AL525" i="54"/>
  <c r="AM525" i="54"/>
  <c r="G551" i="54"/>
  <c r="AI551" i="54"/>
  <c r="T551" i="54"/>
  <c r="T550" i="54"/>
  <c r="M550" i="54"/>
  <c r="AE551" i="54"/>
  <c r="T487" i="54"/>
  <c r="M487" i="54"/>
  <c r="T498" i="54"/>
  <c r="M498" i="54"/>
  <c r="W863" i="57"/>
  <c r="W858" i="57"/>
  <c r="W851" i="54"/>
  <c r="AD867" i="54" s="1"/>
  <c r="AH851" i="54"/>
  <c r="AL867" i="54" s="1"/>
  <c r="AF851" i="54"/>
  <c r="AJ867" i="54" s="1"/>
  <c r="Y851" i="54"/>
  <c r="AF867" i="54" s="1"/>
  <c r="T508" i="54"/>
  <c r="T506" i="54"/>
  <c r="I774" i="57"/>
  <c r="T490" i="54"/>
  <c r="S567" i="54" s="1"/>
  <c r="T518" i="54"/>
  <c r="T515" i="54"/>
  <c r="I772" i="57"/>
  <c r="U774" i="57"/>
  <c r="I771" i="57"/>
  <c r="P772" i="57"/>
  <c r="I773" i="57"/>
  <c r="P773" i="57"/>
  <c r="I769" i="57"/>
  <c r="U769" i="57"/>
  <c r="I777" i="57"/>
  <c r="U777" i="57"/>
  <c r="Y640" i="54"/>
  <c r="Z640" i="54" s="1"/>
  <c r="F527" i="54"/>
  <c r="D730" i="54" s="1"/>
  <c r="AU730" i="54" s="1"/>
  <c r="T488" i="54"/>
  <c r="T492" i="54"/>
  <c r="T497" i="54"/>
  <c r="S568" i="54" s="1"/>
  <c r="T505" i="54"/>
  <c r="T521" i="54"/>
  <c r="T516" i="54"/>
  <c r="T523" i="54"/>
  <c r="T514" i="54"/>
  <c r="T503" i="54"/>
  <c r="T530" i="54"/>
  <c r="T541" i="54"/>
  <c r="T547" i="54"/>
  <c r="T489" i="54"/>
  <c r="T499" i="54"/>
  <c r="T504" i="54"/>
  <c r="T509" i="54"/>
  <c r="T519" i="54"/>
  <c r="T522" i="54"/>
  <c r="T512" i="54"/>
  <c r="T531" i="54"/>
  <c r="T538" i="54"/>
  <c r="T543" i="54"/>
  <c r="T532" i="54"/>
  <c r="T500" i="54"/>
  <c r="X640" i="54"/>
  <c r="T533" i="54"/>
  <c r="T539" i="54"/>
  <c r="T546" i="54"/>
  <c r="AB640" i="54"/>
  <c r="T486" i="54"/>
  <c r="T491" i="54"/>
  <c r="T493" i="54"/>
  <c r="T496" i="54"/>
  <c r="T507" i="54"/>
  <c r="T520" i="54"/>
  <c r="T517" i="54"/>
  <c r="T524" i="54"/>
  <c r="T513" i="54"/>
  <c r="T529" i="54"/>
  <c r="T535" i="54"/>
  <c r="T542" i="54"/>
  <c r="T502" i="54"/>
  <c r="T501" i="54"/>
  <c r="T549" i="54"/>
  <c r="I745" i="54"/>
  <c r="H871" i="58" s="1"/>
  <c r="I730" i="54"/>
  <c r="I948" i="57" s="1"/>
  <c r="AZ948" i="57" s="1"/>
  <c r="T527" i="54"/>
  <c r="P743" i="58"/>
  <c r="L762" i="58"/>
  <c r="L761" i="58"/>
  <c r="N762" i="58"/>
  <c r="N761" i="58"/>
  <c r="H639" i="54"/>
  <c r="T548" i="54"/>
  <c r="AF534" i="54"/>
  <c r="T534" i="54"/>
  <c r="I669" i="54"/>
  <c r="AW669" i="54" s="1"/>
  <c r="T510" i="54"/>
  <c r="T525" i="54"/>
  <c r="T526" i="54"/>
  <c r="I708" i="54"/>
  <c r="AW708" i="54" s="1"/>
  <c r="T494" i="54"/>
  <c r="I709" i="54"/>
  <c r="AV709" i="54" s="1"/>
  <c r="T495" i="54"/>
  <c r="I673" i="54"/>
  <c r="AV673" i="54" s="1"/>
  <c r="T545" i="54"/>
  <c r="H630" i="54"/>
  <c r="Y630" i="54" s="1"/>
  <c r="Z630" i="54" s="1"/>
  <c r="T537" i="54"/>
  <c r="T536" i="54"/>
  <c r="T560" i="54"/>
  <c r="T552" i="54"/>
  <c r="T561" i="54"/>
  <c r="T555" i="54"/>
  <c r="T553" i="54"/>
  <c r="T556" i="54"/>
  <c r="T559" i="54"/>
  <c r="T558" i="54"/>
  <c r="T557" i="54"/>
  <c r="T554" i="54"/>
  <c r="I667" i="54"/>
  <c r="W667" i="54" s="1"/>
  <c r="T511" i="54"/>
  <c r="H635" i="54"/>
  <c r="Y635" i="54" s="1"/>
  <c r="Z635" i="54" s="1"/>
  <c r="T544" i="54"/>
  <c r="I671" i="54"/>
  <c r="AV671" i="54" s="1"/>
  <c r="T540" i="54"/>
  <c r="W861" i="57"/>
  <c r="W862" i="57"/>
  <c r="N743" i="58"/>
  <c r="L743" i="58"/>
  <c r="M743" i="58" s="1"/>
  <c r="X970" i="58"/>
  <c r="AK974" i="58"/>
  <c r="AQ976" i="58"/>
  <c r="AP976" i="58"/>
  <c r="AD974" i="58"/>
  <c r="W976" i="58"/>
  <c r="X974" i="58"/>
  <c r="Z976" i="58"/>
  <c r="W973" i="58"/>
  <c r="AQ973" i="58"/>
  <c r="AP970" i="58"/>
  <c r="AK976" i="58"/>
  <c r="X973" i="58"/>
  <c r="AP973" i="58"/>
  <c r="Z974" i="58"/>
  <c r="U974" i="58"/>
  <c r="V970" i="58"/>
  <c r="AK970" i="58"/>
  <c r="V973" i="58"/>
  <c r="U973" i="58"/>
  <c r="W970" i="58"/>
  <c r="AD970" i="58"/>
  <c r="V976" i="58"/>
  <c r="AD976" i="58"/>
  <c r="AD973" i="58"/>
  <c r="V974" i="58"/>
  <c r="AQ974" i="58"/>
  <c r="U975" i="58"/>
  <c r="AD972" i="58"/>
  <c r="Z970" i="58"/>
  <c r="AQ970" i="58"/>
  <c r="X976" i="58"/>
  <c r="Z973" i="58"/>
  <c r="W974" i="58"/>
  <c r="AQ971" i="58"/>
  <c r="W972" i="58"/>
  <c r="X969" i="58"/>
  <c r="AD969" i="58"/>
  <c r="U972" i="58"/>
  <c r="Z971" i="58"/>
  <c r="U971" i="58"/>
  <c r="AQ972" i="58"/>
  <c r="AK969" i="58"/>
  <c r="W971" i="58"/>
  <c r="Z972" i="58"/>
  <c r="AP971" i="58"/>
  <c r="V972" i="58"/>
  <c r="AP972" i="58"/>
  <c r="Z969" i="58"/>
  <c r="AQ969" i="58"/>
  <c r="V971" i="58"/>
  <c r="AK971" i="58"/>
  <c r="W969" i="58"/>
  <c r="AP969" i="58"/>
  <c r="W975" i="58"/>
  <c r="R686" i="58"/>
  <c r="X972" i="58"/>
  <c r="V969" i="58"/>
  <c r="AP975" i="58"/>
  <c r="X971" i="58"/>
  <c r="R685" i="58"/>
  <c r="Z975" i="58"/>
  <c r="AK975" i="58"/>
  <c r="X975" i="58"/>
  <c r="AD975" i="58"/>
  <c r="V975" i="58"/>
  <c r="AI893" i="57"/>
  <c r="AI896" i="57"/>
  <c r="AI901" i="57"/>
  <c r="AE749" i="54"/>
  <c r="AG749" i="54"/>
  <c r="AF749" i="54"/>
  <c r="AH749" i="54"/>
  <c r="AI899" i="57"/>
  <c r="AB685" i="54"/>
  <c r="AC685" i="54"/>
  <c r="AI898" i="57"/>
  <c r="AB684" i="54"/>
  <c r="AC684" i="54"/>
  <c r="AI897" i="57"/>
  <c r="AE753" i="54"/>
  <c r="AG753" i="54"/>
  <c r="AF753" i="54"/>
  <c r="AH753" i="54"/>
  <c r="AG967" i="57"/>
  <c r="AH967" i="57"/>
  <c r="AG965" i="57"/>
  <c r="AH965" i="57"/>
  <c r="AI891" i="57"/>
  <c r="AI894" i="57"/>
  <c r="AB680" i="54"/>
  <c r="AC680" i="54"/>
  <c r="AG969" i="57"/>
  <c r="AH969" i="57"/>
  <c r="AV892" i="57"/>
  <c r="AV896" i="58" s="1"/>
  <c r="AI895" i="57"/>
  <c r="AB681" i="54"/>
  <c r="AC681" i="54"/>
  <c r="AE747" i="54"/>
  <c r="AF747" i="54"/>
  <c r="AG747" i="54"/>
  <c r="AH747" i="54"/>
  <c r="AE751" i="54"/>
  <c r="AF751" i="54"/>
  <c r="AG751" i="54"/>
  <c r="AH751" i="54"/>
  <c r="AG971" i="57"/>
  <c r="AH971" i="57"/>
  <c r="U662" i="58"/>
  <c r="X669" i="58"/>
  <c r="V669" i="58"/>
  <c r="AO663" i="58"/>
  <c r="U663" i="58"/>
  <c r="W662" i="58"/>
  <c r="V662" i="58"/>
  <c r="U669" i="58"/>
  <c r="AP663" i="58"/>
  <c r="AO662" i="58"/>
  <c r="AP662" i="58"/>
  <c r="AO669" i="58"/>
  <c r="V663" i="58"/>
  <c r="X662" i="58"/>
  <c r="Z662" i="58" s="1"/>
  <c r="AB662" i="58" s="1"/>
  <c r="W669" i="58"/>
  <c r="AP669" i="58"/>
  <c r="W663" i="58"/>
  <c r="X663" i="58"/>
  <c r="R704" i="57"/>
  <c r="AD695" i="57"/>
  <c r="P703" i="57"/>
  <c r="AF703" i="57" s="1"/>
  <c r="AF694" i="57"/>
  <c r="R716" i="57"/>
  <c r="R717" i="57"/>
  <c r="AD712" i="57"/>
  <c r="V774" i="57" s="1"/>
  <c r="R707" i="57"/>
  <c r="AD697" i="57"/>
  <c r="V769" i="57" s="1"/>
  <c r="AN882" i="57"/>
  <c r="Q567" i="54"/>
  <c r="P742" i="58"/>
  <c r="N775" i="58"/>
  <c r="N774" i="58"/>
  <c r="G111" i="54"/>
  <c r="G96" i="54"/>
  <c r="G108" i="54"/>
  <c r="G89" i="57"/>
  <c r="G104" i="57"/>
  <c r="G146" i="57"/>
  <c r="F72" i="54"/>
  <c r="G83" i="57"/>
  <c r="G105" i="54"/>
  <c r="G116" i="54"/>
  <c r="G138" i="57"/>
  <c r="G103" i="54"/>
  <c r="G130" i="57"/>
  <c r="G136" i="54"/>
  <c r="AT886" i="57"/>
  <c r="AV886" i="57"/>
  <c r="G90" i="54"/>
  <c r="AM972" i="58"/>
  <c r="AN972" i="58"/>
  <c r="AO972" i="58"/>
  <c r="AL972" i="58"/>
  <c r="G86" i="57"/>
  <c r="G86" i="54"/>
  <c r="G133" i="57"/>
  <c r="G112" i="57"/>
  <c r="G102" i="57"/>
  <c r="G92" i="54"/>
  <c r="G140" i="54"/>
  <c r="G109" i="57"/>
  <c r="G105" i="57"/>
  <c r="G90" i="57"/>
  <c r="G115" i="54"/>
  <c r="G88" i="54"/>
  <c r="G112" i="54"/>
  <c r="G91" i="57"/>
  <c r="G93" i="54"/>
  <c r="G93" i="57"/>
  <c r="G142" i="57"/>
  <c r="G108" i="57"/>
  <c r="G100" i="57"/>
  <c r="F70" i="57"/>
  <c r="G133" i="54"/>
  <c r="G113" i="57"/>
  <c r="F69" i="57"/>
  <c r="AM973" i="58"/>
  <c r="AF973" i="58"/>
  <c r="AE973" i="58"/>
  <c r="AH973" i="58"/>
  <c r="AL973" i="58"/>
  <c r="AN973" i="58"/>
  <c r="AG973" i="58"/>
  <c r="AO973" i="58"/>
  <c r="N778" i="58"/>
  <c r="N776" i="58"/>
  <c r="N782" i="58"/>
  <c r="P778" i="58"/>
  <c r="N779" i="58"/>
  <c r="L777" i="58"/>
  <c r="P781" i="58"/>
  <c r="L779" i="58"/>
  <c r="L780" i="58"/>
  <c r="P780" i="58"/>
  <c r="B235" i="58"/>
  <c r="B236" i="58"/>
  <c r="B237" i="58"/>
  <c r="L781" i="58"/>
  <c r="L778" i="58"/>
  <c r="P776" i="58"/>
  <c r="P777" i="58"/>
  <c r="N781" i="58"/>
  <c r="L782" i="58"/>
  <c r="L776" i="58"/>
  <c r="P779" i="58"/>
  <c r="N777" i="58"/>
  <c r="N780" i="58"/>
  <c r="P782" i="58"/>
  <c r="L775" i="58"/>
  <c r="P775" i="58"/>
  <c r="AV882" i="57"/>
  <c r="AV880" i="57"/>
  <c r="AE557" i="54"/>
  <c r="AF526" i="54"/>
  <c r="AE556" i="54"/>
  <c r="I729" i="54"/>
  <c r="I947" i="57" s="1"/>
  <c r="AZ947" i="57" s="1"/>
  <c r="F526" i="54"/>
  <c r="AI968" i="57"/>
  <c r="AI966" i="57"/>
  <c r="AC966" i="57"/>
  <c r="AI972" i="57"/>
  <c r="AI970" i="57"/>
  <c r="AI969" i="57"/>
  <c r="AI971" i="57"/>
  <c r="AI965" i="57"/>
  <c r="C965" i="57"/>
  <c r="C969" i="58" s="1"/>
  <c r="C857" i="57"/>
  <c r="C868" i="57" s="1"/>
  <c r="AI900" i="57"/>
  <c r="AO969" i="57"/>
  <c r="AM969" i="57"/>
  <c r="AL969" i="57"/>
  <c r="AN969" i="57"/>
  <c r="AC969" i="57"/>
  <c r="AN970" i="57"/>
  <c r="AO970" i="57"/>
  <c r="AM970" i="57"/>
  <c r="AL970" i="57"/>
  <c r="AO966" i="57"/>
  <c r="AN966" i="57"/>
  <c r="AL966" i="57"/>
  <c r="AM966" i="57"/>
  <c r="C966" i="57"/>
  <c r="C970" i="58" s="1"/>
  <c r="C858" i="57"/>
  <c r="AO971" i="57"/>
  <c r="AL971" i="57"/>
  <c r="AM971" i="57"/>
  <c r="AN971" i="57"/>
  <c r="AN972" i="57"/>
  <c r="AM972" i="57"/>
  <c r="AL972" i="57"/>
  <c r="AO972" i="57"/>
  <c r="AC971" i="57"/>
  <c r="AC970" i="57"/>
  <c r="AO968" i="57"/>
  <c r="AM968" i="57"/>
  <c r="AL968" i="57"/>
  <c r="AN968" i="57"/>
  <c r="AC965" i="57"/>
  <c r="C968" i="57"/>
  <c r="C972" i="58" s="1"/>
  <c r="C860" i="57"/>
  <c r="C967" i="57"/>
  <c r="C971" i="58" s="1"/>
  <c r="C859" i="57"/>
  <c r="AI967" i="57"/>
  <c r="AN967" i="57"/>
  <c r="AM967" i="57"/>
  <c r="AO967" i="57"/>
  <c r="AL967" i="57"/>
  <c r="AC967" i="57"/>
  <c r="AC968" i="57"/>
  <c r="AL965" i="57"/>
  <c r="AO965" i="57"/>
  <c r="AN965" i="57"/>
  <c r="AM965" i="57"/>
  <c r="AC972" i="57"/>
  <c r="AN902" i="57"/>
  <c r="AT902" i="57"/>
  <c r="AT882" i="57"/>
  <c r="AN880" i="57"/>
  <c r="AF527" i="54"/>
  <c r="R524" i="54"/>
  <c r="S527" i="54"/>
  <c r="AT884" i="57"/>
  <c r="AV884" i="57"/>
  <c r="N742" i="58"/>
  <c r="R786" i="54"/>
  <c r="R782" i="54"/>
  <c r="R784" i="54"/>
  <c r="R785" i="54"/>
  <c r="R787" i="54"/>
  <c r="R783" i="54"/>
  <c r="D817" i="54"/>
  <c r="G781" i="54"/>
  <c r="BV781" i="54" s="1"/>
  <c r="AT890" i="58"/>
  <c r="K936" i="57"/>
  <c r="K940" i="58" s="1"/>
  <c r="F683" i="54"/>
  <c r="F897" i="57" s="1"/>
  <c r="F901" i="58" s="1"/>
  <c r="C754" i="54"/>
  <c r="AO753" i="54"/>
  <c r="AL753" i="54"/>
  <c r="AM753" i="54"/>
  <c r="AN753" i="54"/>
  <c r="AL747" i="54"/>
  <c r="AO747" i="54"/>
  <c r="AM747" i="54"/>
  <c r="AN747" i="54"/>
  <c r="AL751" i="54"/>
  <c r="AO751" i="54"/>
  <c r="AN751" i="54"/>
  <c r="AM751" i="54"/>
  <c r="Z752" i="54"/>
  <c r="Z751" i="54"/>
  <c r="X750" i="54"/>
  <c r="V747" i="54"/>
  <c r="X747" i="54"/>
  <c r="V748" i="54"/>
  <c r="X748" i="54"/>
  <c r="W754" i="54"/>
  <c r="AI754" i="54" s="1"/>
  <c r="W749" i="54"/>
  <c r="AI749" i="54" s="1"/>
  <c r="Z749" i="54"/>
  <c r="V749" i="54"/>
  <c r="V752" i="54"/>
  <c r="X751" i="54"/>
  <c r="W753" i="54"/>
  <c r="AI753" i="54" s="1"/>
  <c r="X753" i="54"/>
  <c r="Z747" i="54"/>
  <c r="Z748" i="54"/>
  <c r="V754" i="54"/>
  <c r="X752" i="54"/>
  <c r="V751" i="54"/>
  <c r="V750" i="54"/>
  <c r="V753" i="54"/>
  <c r="Z754" i="54"/>
  <c r="X749" i="54"/>
  <c r="W752" i="54"/>
  <c r="AI752" i="54" s="1"/>
  <c r="W751" i="54"/>
  <c r="AI751" i="54" s="1"/>
  <c r="W750" i="54"/>
  <c r="AI750" i="54" s="1"/>
  <c r="Z750" i="54"/>
  <c r="Z753" i="54"/>
  <c r="W747" i="54"/>
  <c r="AI747" i="54" s="1"/>
  <c r="W748" i="54"/>
  <c r="AI748" i="54" s="1"/>
  <c r="X754" i="54"/>
  <c r="AL749" i="54"/>
  <c r="AM749" i="54"/>
  <c r="AN749" i="54"/>
  <c r="AO749" i="54"/>
  <c r="F681" i="54"/>
  <c r="F895" i="57" s="1"/>
  <c r="F899" i="58" s="1"/>
  <c r="C753" i="54"/>
  <c r="F687" i="54"/>
  <c r="F901" i="57" s="1"/>
  <c r="F905" i="58" s="1"/>
  <c r="C752" i="54"/>
  <c r="F685" i="54"/>
  <c r="F899" i="57" s="1"/>
  <c r="F903" i="58" s="1"/>
  <c r="C751" i="54"/>
  <c r="AM752" i="54"/>
  <c r="AO752" i="54"/>
  <c r="AL752" i="54"/>
  <c r="AN752" i="54"/>
  <c r="AO748" i="54"/>
  <c r="AL748" i="54"/>
  <c r="AM748" i="54"/>
  <c r="AN748" i="54"/>
  <c r="AO750" i="54"/>
  <c r="AM750" i="54"/>
  <c r="AL750" i="54"/>
  <c r="AN750" i="54"/>
  <c r="AO754" i="54"/>
  <c r="AN754" i="54"/>
  <c r="AM754" i="54"/>
  <c r="AL754" i="54"/>
  <c r="F661" i="54"/>
  <c r="F663" i="54"/>
  <c r="F678" i="54"/>
  <c r="F892" i="57" s="1"/>
  <c r="F896" i="58" s="1"/>
  <c r="F668" i="54"/>
  <c r="I707" i="54"/>
  <c r="I662" i="54"/>
  <c r="AK662" i="54" s="1"/>
  <c r="I672" i="54"/>
  <c r="I711" i="54"/>
  <c r="Z711" i="54" s="1"/>
  <c r="I657" i="54"/>
  <c r="C710" i="54"/>
  <c r="C928" i="57" s="1"/>
  <c r="C932" i="58" s="1"/>
  <c r="F656" i="54"/>
  <c r="F670" i="54"/>
  <c r="F658" i="54"/>
  <c r="F676" i="54"/>
  <c r="F890" i="57" s="1"/>
  <c r="F894" i="58" s="1"/>
  <c r="F666" i="54"/>
  <c r="I676" i="54"/>
  <c r="I666" i="54"/>
  <c r="U666" i="54" s="1"/>
  <c r="F684" i="54"/>
  <c r="F898" i="57" s="1"/>
  <c r="F902" i="58" s="1"/>
  <c r="F680" i="54"/>
  <c r="F894" i="57" s="1"/>
  <c r="F898" i="58" s="1"/>
  <c r="C636" i="54"/>
  <c r="F673" i="54"/>
  <c r="I706" i="54"/>
  <c r="I660" i="54"/>
  <c r="AK660" i="54" s="1"/>
  <c r="F662" i="54"/>
  <c r="F672" i="54"/>
  <c r="R523" i="54"/>
  <c r="S526" i="54"/>
  <c r="I714" i="54"/>
  <c r="Z714" i="54" s="1"/>
  <c r="I665" i="54"/>
  <c r="AK665" i="54" s="1"/>
  <c r="G772" i="54"/>
  <c r="W677" i="54"/>
  <c r="W891" i="57" s="1"/>
  <c r="W895" i="58" s="1"/>
  <c r="V682" i="54"/>
  <c r="W680" i="54"/>
  <c r="W894" i="57" s="1"/>
  <c r="W898" i="58" s="1"/>
  <c r="V687" i="54"/>
  <c r="W679" i="54"/>
  <c r="W893" i="57" s="1"/>
  <c r="W897" i="58" s="1"/>
  <c r="V680" i="54"/>
  <c r="W686" i="54"/>
  <c r="W900" i="57" s="1"/>
  <c r="W904" i="58" s="1"/>
  <c r="V684" i="54"/>
  <c r="W683" i="54"/>
  <c r="W897" i="57" s="1"/>
  <c r="W901" i="58" s="1"/>
  <c r="V677" i="54"/>
  <c r="W681" i="54"/>
  <c r="W895" i="57" s="1"/>
  <c r="W899" i="58" s="1"/>
  <c r="W682" i="54"/>
  <c r="W896" i="57" s="1"/>
  <c r="W900" i="58" s="1"/>
  <c r="W685" i="54"/>
  <c r="W899" i="57" s="1"/>
  <c r="W903" i="58" s="1"/>
  <c r="V685" i="54"/>
  <c r="V899" i="57" s="1"/>
  <c r="V903" i="58" s="1"/>
  <c r="W687" i="54"/>
  <c r="W901" i="57" s="1"/>
  <c r="W905" i="58" s="1"/>
  <c r="V686" i="54"/>
  <c r="W684" i="54"/>
  <c r="W898" i="57" s="1"/>
  <c r="W902" i="58" s="1"/>
  <c r="V683" i="54"/>
  <c r="V681" i="54"/>
  <c r="V679" i="54"/>
  <c r="F679" i="54"/>
  <c r="F893" i="57" s="1"/>
  <c r="F897" i="58" s="1"/>
  <c r="F686" i="54"/>
  <c r="F900" i="57" s="1"/>
  <c r="F904" i="58" s="1"/>
  <c r="F682" i="54"/>
  <c r="F896" i="57" s="1"/>
  <c r="F900" i="58" s="1"/>
  <c r="F677" i="54"/>
  <c r="F891" i="57" s="1"/>
  <c r="F895" i="58" s="1"/>
  <c r="I664" i="54"/>
  <c r="AK664" i="54" s="1"/>
  <c r="I710" i="54"/>
  <c r="Z710" i="54" s="1"/>
  <c r="I656" i="54"/>
  <c r="AK656" i="54" s="1"/>
  <c r="I670" i="54"/>
  <c r="I658" i="54"/>
  <c r="AK658" i="54" s="1"/>
  <c r="I678" i="54"/>
  <c r="I668" i="54"/>
  <c r="W668" i="54" s="1"/>
  <c r="I713" i="54"/>
  <c r="I659" i="54"/>
  <c r="AK659" i="54" s="1"/>
  <c r="I712" i="54"/>
  <c r="I661" i="54"/>
  <c r="AK661" i="54" s="1"/>
  <c r="I663" i="54"/>
  <c r="U683" i="54"/>
  <c r="U897" i="57" s="1"/>
  <c r="U901" i="58" s="1"/>
  <c r="U681" i="54"/>
  <c r="U895" i="57" s="1"/>
  <c r="U899" i="58" s="1"/>
  <c r="U687" i="54"/>
  <c r="U901" i="57" s="1"/>
  <c r="U905" i="58" s="1"/>
  <c r="U685" i="54"/>
  <c r="U899" i="57" s="1"/>
  <c r="U903" i="58" s="1"/>
  <c r="U686" i="54"/>
  <c r="U900" i="57" s="1"/>
  <c r="U904" i="58" s="1"/>
  <c r="U684" i="54"/>
  <c r="U898" i="57" s="1"/>
  <c r="U902" i="58" s="1"/>
  <c r="U677" i="54"/>
  <c r="U891" i="57" s="1"/>
  <c r="U895" i="58" s="1"/>
  <c r="U682" i="54"/>
  <c r="U896" i="57" s="1"/>
  <c r="U900" i="58" s="1"/>
  <c r="U680" i="54"/>
  <c r="U894" i="57" s="1"/>
  <c r="U898" i="58" s="1"/>
  <c r="U679" i="54"/>
  <c r="U893" i="57" s="1"/>
  <c r="U897" i="58" s="1"/>
  <c r="AE561" i="54"/>
  <c r="I649" i="54"/>
  <c r="I732" i="54"/>
  <c r="Z732" i="54" s="1"/>
  <c r="H627" i="54"/>
  <c r="Y627" i="54" s="1"/>
  <c r="Z627" i="54" s="1"/>
  <c r="I740" i="54"/>
  <c r="H851" i="57" s="1"/>
  <c r="Y851" i="57" s="1"/>
  <c r="H636" i="54"/>
  <c r="P636" i="54" s="1"/>
  <c r="I742" i="54"/>
  <c r="I960" i="57" s="1"/>
  <c r="AZ960" i="57" s="1"/>
  <c r="H638" i="54"/>
  <c r="AB638" i="54" s="1"/>
  <c r="C633" i="54"/>
  <c r="C634" i="54"/>
  <c r="C736" i="54"/>
  <c r="C954" i="57" s="1"/>
  <c r="C958" i="58" s="1"/>
  <c r="C631" i="54"/>
  <c r="F553" i="54"/>
  <c r="D748" i="54" s="1"/>
  <c r="C643" i="54"/>
  <c r="AE554" i="54"/>
  <c r="I644" i="54"/>
  <c r="W644" i="54" s="1"/>
  <c r="I737" i="54"/>
  <c r="H848" i="57" s="1"/>
  <c r="Y848" i="57" s="1"/>
  <c r="H632" i="54"/>
  <c r="AB632" i="54" s="1"/>
  <c r="I741" i="54"/>
  <c r="I959" i="57" s="1"/>
  <c r="AZ959" i="57" s="1"/>
  <c r="H637" i="54"/>
  <c r="X637" i="54" s="1"/>
  <c r="C737" i="54"/>
  <c r="C848" i="57" s="1"/>
  <c r="C632" i="54"/>
  <c r="C734" i="54"/>
  <c r="C845" i="57" s="1"/>
  <c r="C629" i="54"/>
  <c r="F560" i="54"/>
  <c r="C648" i="54"/>
  <c r="F559" i="54"/>
  <c r="C647" i="54"/>
  <c r="F558" i="54"/>
  <c r="C646" i="54"/>
  <c r="AE555" i="54"/>
  <c r="I645" i="54"/>
  <c r="AE559" i="54"/>
  <c r="I647" i="54"/>
  <c r="I731" i="54"/>
  <c r="Z731" i="54" s="1"/>
  <c r="H626" i="54"/>
  <c r="AB626" i="54" s="1"/>
  <c r="H633" i="54"/>
  <c r="AB633" i="54" s="1"/>
  <c r="H634" i="54"/>
  <c r="C741" i="54"/>
  <c r="C852" i="57" s="1"/>
  <c r="C637" i="54"/>
  <c r="C733" i="54"/>
  <c r="C951" i="57" s="1"/>
  <c r="C955" i="58" s="1"/>
  <c r="C628" i="54"/>
  <c r="F694" i="54"/>
  <c r="C630" i="54"/>
  <c r="G633" i="54"/>
  <c r="G634" i="54"/>
  <c r="F555" i="54"/>
  <c r="D750" i="54" s="1"/>
  <c r="C645" i="54"/>
  <c r="F554" i="54"/>
  <c r="D749" i="54" s="1"/>
  <c r="C644" i="54"/>
  <c r="AE558" i="54"/>
  <c r="I646" i="54"/>
  <c r="AE553" i="54"/>
  <c r="I643" i="54"/>
  <c r="I733" i="54"/>
  <c r="Z733" i="54" s="1"/>
  <c r="H628" i="54"/>
  <c r="I736" i="54"/>
  <c r="H631" i="54"/>
  <c r="Y631" i="54" s="1"/>
  <c r="Z631" i="54" s="1"/>
  <c r="C742" i="54"/>
  <c r="C960" i="57" s="1"/>
  <c r="C964" i="58" s="1"/>
  <c r="C638" i="54"/>
  <c r="F550" i="54"/>
  <c r="D641" i="54" s="1"/>
  <c r="C641" i="54"/>
  <c r="C732" i="54"/>
  <c r="C950" i="57" s="1"/>
  <c r="C954" i="58" s="1"/>
  <c r="C627" i="54"/>
  <c r="I734" i="54"/>
  <c r="Z734" i="54" s="1"/>
  <c r="H629" i="54"/>
  <c r="AB629" i="54" s="1"/>
  <c r="H641" i="54"/>
  <c r="X641" i="54" s="1"/>
  <c r="F552" i="54"/>
  <c r="D747" i="54" s="1"/>
  <c r="C642" i="54"/>
  <c r="F561" i="54"/>
  <c r="C649" i="54"/>
  <c r="AE552" i="54"/>
  <c r="I642" i="54"/>
  <c r="W642" i="54" s="1"/>
  <c r="AE560" i="54"/>
  <c r="I648" i="54"/>
  <c r="M569" i="54"/>
  <c r="P569" i="54"/>
  <c r="K569" i="54"/>
  <c r="T569" i="54" s="1"/>
  <c r="C570" i="54"/>
  <c r="E570" i="54"/>
  <c r="AK555" i="54"/>
  <c r="AJ555" i="54"/>
  <c r="AK559" i="54"/>
  <c r="AJ559" i="54"/>
  <c r="AK554" i="54"/>
  <c r="AJ554" i="54"/>
  <c r="AK558" i="54"/>
  <c r="AJ558" i="54"/>
  <c r="N568" i="54"/>
  <c r="I568" i="54"/>
  <c r="E568" i="54"/>
  <c r="C568" i="54"/>
  <c r="K568" i="54"/>
  <c r="T568" i="54" s="1"/>
  <c r="O568" i="54"/>
  <c r="P568" i="54"/>
  <c r="M568" i="54"/>
  <c r="R568" i="54"/>
  <c r="Y568" i="54"/>
  <c r="D568" i="54"/>
  <c r="Q568" i="54"/>
  <c r="D569" i="54"/>
  <c r="I569" i="54"/>
  <c r="C569" i="54"/>
  <c r="D570" i="54"/>
  <c r="Y570" i="54"/>
  <c r="I570" i="54"/>
  <c r="AK557" i="54"/>
  <c r="AJ557" i="54"/>
  <c r="AK556" i="54"/>
  <c r="AJ556" i="54"/>
  <c r="AK552" i="54"/>
  <c r="AJ552" i="54"/>
  <c r="R512" i="54"/>
  <c r="O567" i="54"/>
  <c r="N567" i="54"/>
  <c r="I567" i="54"/>
  <c r="Y567" i="54"/>
  <c r="R567" i="54"/>
  <c r="M567" i="54"/>
  <c r="K567" i="54"/>
  <c r="T567" i="54" s="1"/>
  <c r="E567" i="54"/>
  <c r="C567" i="54"/>
  <c r="P567" i="54"/>
  <c r="D567" i="54"/>
  <c r="Q570" i="54"/>
  <c r="S569" i="54"/>
  <c r="Y569" i="54"/>
  <c r="E569" i="54"/>
  <c r="O570" i="54"/>
  <c r="S570" i="54"/>
  <c r="R570" i="54"/>
  <c r="AK553" i="54"/>
  <c r="AJ553" i="54"/>
  <c r="AK560" i="54"/>
  <c r="AJ560" i="54"/>
  <c r="R522" i="54"/>
  <c r="S525" i="54"/>
  <c r="N569" i="54"/>
  <c r="R569" i="54"/>
  <c r="O569" i="54"/>
  <c r="K570" i="54"/>
  <c r="T570" i="54" s="1"/>
  <c r="N570" i="54"/>
  <c r="M570" i="54"/>
  <c r="P570" i="54"/>
  <c r="AK561" i="54"/>
  <c r="AJ561" i="54"/>
  <c r="Q569" i="54"/>
  <c r="C720" i="54"/>
  <c r="C938" i="57" s="1"/>
  <c r="C942" i="58" s="1"/>
  <c r="G85" i="57"/>
  <c r="G107" i="54"/>
  <c r="G145" i="54"/>
  <c r="G87" i="57"/>
  <c r="G110" i="54"/>
  <c r="F71" i="57"/>
  <c r="F63" i="57"/>
  <c r="G110" i="57"/>
  <c r="G131" i="54"/>
  <c r="G100" i="54"/>
  <c r="G111" i="57"/>
  <c r="F75" i="54"/>
  <c r="G107" i="57"/>
  <c r="G118" i="57"/>
  <c r="G141" i="57"/>
  <c r="G114" i="54"/>
  <c r="F67" i="57"/>
  <c r="G91" i="54"/>
  <c r="F72" i="57"/>
  <c r="G84" i="57"/>
  <c r="G130" i="54"/>
  <c r="F66" i="54"/>
  <c r="G121" i="54"/>
  <c r="G138" i="54"/>
  <c r="G113" i="54"/>
  <c r="G87" i="54"/>
  <c r="G127" i="57"/>
  <c r="F70" i="54"/>
  <c r="G97" i="57"/>
  <c r="I720" i="54"/>
  <c r="Z720" i="54" s="1"/>
  <c r="N769" i="57"/>
  <c r="P770" i="57"/>
  <c r="N770" i="57"/>
  <c r="Y770" i="57"/>
  <c r="D774" i="57"/>
  <c r="C719" i="54"/>
  <c r="C770" i="57"/>
  <c r="E770" i="57"/>
  <c r="O774" i="57"/>
  <c r="S770" i="57"/>
  <c r="G773" i="57"/>
  <c r="M773" i="57"/>
  <c r="Q774" i="57"/>
  <c r="I780" i="54"/>
  <c r="B776" i="57"/>
  <c r="G94" i="54"/>
  <c r="G89" i="54"/>
  <c r="F74" i="54"/>
  <c r="G88" i="57"/>
  <c r="F73" i="54"/>
  <c r="G137" i="57"/>
  <c r="E773" i="57"/>
  <c r="R769" i="57"/>
  <c r="K774" i="57"/>
  <c r="AN881" i="58"/>
  <c r="AV880" i="58"/>
  <c r="AN880" i="58"/>
  <c r="B239" i="58"/>
  <c r="B233" i="58"/>
  <c r="B231" i="58"/>
  <c r="B242" i="58"/>
  <c r="B238" i="58"/>
  <c r="B240" i="58"/>
  <c r="B234" i="58"/>
  <c r="B230" i="58"/>
  <c r="B232" i="58"/>
  <c r="G114" i="57"/>
  <c r="G114" i="58"/>
  <c r="G109" i="54"/>
  <c r="G106" i="58"/>
  <c r="F71" i="54"/>
  <c r="F68" i="58"/>
  <c r="G104" i="54"/>
  <c r="G101" i="58"/>
  <c r="G97" i="54"/>
  <c r="G94" i="58"/>
  <c r="G81" i="57"/>
  <c r="G81" i="58"/>
  <c r="G79" i="57"/>
  <c r="G79" i="58"/>
  <c r="G95" i="54"/>
  <c r="G92" i="58"/>
  <c r="F69" i="54"/>
  <c r="F66" i="58"/>
  <c r="G76" i="57"/>
  <c r="G76" i="58"/>
  <c r="G102" i="54"/>
  <c r="G99" i="58"/>
  <c r="G101" i="54"/>
  <c r="G98" i="58"/>
  <c r="F68" i="54"/>
  <c r="F65" i="58"/>
  <c r="G98" i="54"/>
  <c r="G95" i="58"/>
  <c r="G77" i="57"/>
  <c r="G77" i="58"/>
  <c r="F67" i="54"/>
  <c r="F64" i="58"/>
  <c r="G99" i="54"/>
  <c r="G96" i="58"/>
  <c r="G78" i="57"/>
  <c r="G78" i="58"/>
  <c r="G106" i="54"/>
  <c r="G103" i="58"/>
  <c r="G82" i="57"/>
  <c r="G82" i="58"/>
  <c r="AO696" i="58"/>
  <c r="U696" i="58"/>
  <c r="AO694" i="58"/>
  <c r="AP694" i="58"/>
  <c r="V690" i="58"/>
  <c r="W690" i="58"/>
  <c r="V692" i="58"/>
  <c r="X696" i="58"/>
  <c r="AP696" i="58"/>
  <c r="X694" i="58"/>
  <c r="AO690" i="58"/>
  <c r="U690" i="58"/>
  <c r="AP692" i="58"/>
  <c r="V696" i="58"/>
  <c r="W694" i="58"/>
  <c r="X690" i="58"/>
  <c r="AO692" i="58"/>
  <c r="W692" i="58"/>
  <c r="W696" i="58"/>
  <c r="V694" i="58"/>
  <c r="U694" i="58"/>
  <c r="AP690" i="58"/>
  <c r="X692" i="58"/>
  <c r="U692" i="58"/>
  <c r="G80" i="57"/>
  <c r="G80" i="58"/>
  <c r="Y771" i="57"/>
  <c r="X770" i="57"/>
  <c r="X769" i="57"/>
  <c r="E771" i="57"/>
  <c r="F773" i="57"/>
  <c r="C771" i="57"/>
  <c r="F770" i="57"/>
  <c r="D772" i="57"/>
  <c r="M771" i="57"/>
  <c r="S773" i="57"/>
  <c r="P769" i="57"/>
  <c r="O772" i="57"/>
  <c r="Q770" i="57"/>
  <c r="N774" i="57"/>
  <c r="R774" i="57"/>
  <c r="K770" i="57"/>
  <c r="E772" i="57"/>
  <c r="C773" i="57"/>
  <c r="D769" i="57"/>
  <c r="E769" i="57"/>
  <c r="E774" i="57"/>
  <c r="M770" i="57"/>
  <c r="S769" i="57"/>
  <c r="O771" i="57"/>
  <c r="R771" i="57"/>
  <c r="N772" i="57"/>
  <c r="R770" i="57"/>
  <c r="S774" i="57"/>
  <c r="Y769" i="57"/>
  <c r="C772" i="57"/>
  <c r="G770" i="57"/>
  <c r="D771" i="57"/>
  <c r="F774" i="57"/>
  <c r="F771" i="57"/>
  <c r="M774" i="57"/>
  <c r="M769" i="57"/>
  <c r="P771" i="57"/>
  <c r="S772" i="57"/>
  <c r="O770" i="57"/>
  <c r="S771" i="57"/>
  <c r="N771" i="57"/>
  <c r="X774" i="57"/>
  <c r="G144" i="54"/>
  <c r="G141" i="54"/>
  <c r="G149" i="54"/>
  <c r="G140" i="57"/>
  <c r="G143" i="57"/>
  <c r="G147" i="54"/>
  <c r="G144" i="58"/>
  <c r="G148" i="54"/>
  <c r="G145" i="58"/>
  <c r="G139" i="57"/>
  <c r="G139" i="58"/>
  <c r="G143" i="54"/>
  <c r="G146" i="54"/>
  <c r="G135" i="57"/>
  <c r="G128" i="57"/>
  <c r="G134" i="54"/>
  <c r="G131" i="58"/>
  <c r="G135" i="54"/>
  <c r="G132" i="58"/>
  <c r="G129" i="57"/>
  <c r="G129" i="58"/>
  <c r="G137" i="54"/>
  <c r="G134" i="58"/>
  <c r="G139" i="54"/>
  <c r="G136" i="58"/>
  <c r="G127" i="54"/>
  <c r="G124" i="58"/>
  <c r="G125" i="57"/>
  <c r="G125" i="58"/>
  <c r="G122" i="57"/>
  <c r="G122" i="58"/>
  <c r="G120" i="57"/>
  <c r="G120" i="58"/>
  <c r="G121" i="57"/>
  <c r="G121" i="58"/>
  <c r="G119" i="57"/>
  <c r="G119" i="58"/>
  <c r="AP704" i="58" s="1"/>
  <c r="G126" i="57"/>
  <c r="G126" i="58"/>
  <c r="G123" i="57"/>
  <c r="G123" i="58"/>
  <c r="U702" i="58"/>
  <c r="AO702" i="58"/>
  <c r="V699" i="58"/>
  <c r="W699" i="58"/>
  <c r="AP702" i="58"/>
  <c r="V702" i="58"/>
  <c r="X699" i="58"/>
  <c r="W702" i="58"/>
  <c r="U699" i="58"/>
  <c r="X702" i="58"/>
  <c r="AO699" i="58"/>
  <c r="AP699" i="58"/>
  <c r="X706" i="58"/>
  <c r="AO707" i="58"/>
  <c r="W707" i="58"/>
  <c r="U700" i="58"/>
  <c r="AP706" i="58"/>
  <c r="V707" i="58"/>
  <c r="V700" i="58"/>
  <c r="AO706" i="58"/>
  <c r="W706" i="58"/>
  <c r="U707" i="58"/>
  <c r="V706" i="58"/>
  <c r="U706" i="58"/>
  <c r="X707" i="58"/>
  <c r="AP707" i="58"/>
  <c r="X700" i="58"/>
  <c r="W700" i="58"/>
  <c r="AO700" i="58"/>
  <c r="AP700" i="58"/>
  <c r="K769" i="57"/>
  <c r="G769" i="57"/>
  <c r="D770" i="57"/>
  <c r="F769" i="57"/>
  <c r="C769" i="57"/>
  <c r="D773" i="57"/>
  <c r="G771" i="57"/>
  <c r="C774" i="57"/>
  <c r="G772" i="57"/>
  <c r="F772" i="57"/>
  <c r="M772" i="57"/>
  <c r="R773" i="57"/>
  <c r="P774" i="57"/>
  <c r="R772" i="57"/>
  <c r="O773" i="57"/>
  <c r="O769" i="57"/>
  <c r="Y774" i="57"/>
  <c r="N773" i="57"/>
  <c r="N759" i="58"/>
  <c r="L753" i="58"/>
  <c r="L750" i="58"/>
  <c r="P751" i="58"/>
  <c r="AN906" i="58"/>
  <c r="P747" i="58"/>
  <c r="K928" i="57"/>
  <c r="K932" i="58" s="1"/>
  <c r="J932" i="58"/>
  <c r="L748" i="58" s="1"/>
  <c r="K924" i="57"/>
  <c r="K928" i="58" s="1"/>
  <c r="J928" i="58"/>
  <c r="L744" i="58" s="1"/>
  <c r="K945" i="57"/>
  <c r="K949" i="58" s="1"/>
  <c r="J949" i="58"/>
  <c r="L759" i="58" s="1"/>
  <c r="K925" i="57"/>
  <c r="K929" i="58" s="1"/>
  <c r="J929" i="58"/>
  <c r="L745" i="58" s="1"/>
  <c r="K931" i="57"/>
  <c r="K935" i="58" s="1"/>
  <c r="J935" i="58"/>
  <c r="K926" i="57"/>
  <c r="K930" i="58" s="1"/>
  <c r="J930" i="58"/>
  <c r="L755" i="58"/>
  <c r="L751" i="58"/>
  <c r="N750" i="58"/>
  <c r="N758" i="58"/>
  <c r="P744" i="58"/>
  <c r="N744" i="58"/>
  <c r="L754" i="58"/>
  <c r="AV906" i="58"/>
  <c r="N757" i="58"/>
  <c r="AV890" i="58"/>
  <c r="N755" i="58"/>
  <c r="N753" i="58"/>
  <c r="N751" i="58"/>
  <c r="P750" i="58"/>
  <c r="L758" i="58"/>
  <c r="N747" i="58"/>
  <c r="AT906" i="58"/>
  <c r="AV886" i="58"/>
  <c r="AT886" i="58"/>
  <c r="E888" i="58"/>
  <c r="AN886" i="58"/>
  <c r="AT881" i="58"/>
  <c r="AV881" i="58"/>
  <c r="L757" i="58"/>
  <c r="AV887" i="58"/>
  <c r="AN887" i="58"/>
  <c r="P745" i="58"/>
  <c r="N745" i="58"/>
  <c r="L752" i="58"/>
  <c r="N752" i="58"/>
  <c r="P752" i="58"/>
  <c r="K922" i="57"/>
  <c r="K926" i="58" s="1"/>
  <c r="J926" i="58"/>
  <c r="L783" i="58" s="1"/>
  <c r="K929" i="57"/>
  <c r="K933" i="58" s="1"/>
  <c r="J933" i="58"/>
  <c r="AT883" i="58"/>
  <c r="AV883" i="58"/>
  <c r="AN883" i="58"/>
  <c r="N783" i="58"/>
  <c r="P784" i="58"/>
  <c r="L784" i="58"/>
  <c r="P786" i="58"/>
  <c r="L766" i="58"/>
  <c r="P772" i="58"/>
  <c r="P773" i="58"/>
  <c r="N769" i="58"/>
  <c r="P769" i="58"/>
  <c r="N771" i="58"/>
  <c r="L771" i="58"/>
  <c r="P763" i="58"/>
  <c r="AT893" i="58"/>
  <c r="AN909" i="58"/>
  <c r="AT907" i="58"/>
  <c r="AN910" i="58"/>
  <c r="AV911" i="58"/>
  <c r="AT912" i="58"/>
  <c r="AV914" i="58"/>
  <c r="AN915" i="58"/>
  <c r="AN916" i="58"/>
  <c r="AN917" i="58"/>
  <c r="AN918" i="58"/>
  <c r="N749" i="58"/>
  <c r="AT887" i="58"/>
  <c r="AT880" i="58"/>
  <c r="AT882" i="58"/>
  <c r="P785" i="58"/>
  <c r="N786" i="58"/>
  <c r="AN882" i="58"/>
  <c r="L768" i="58"/>
  <c r="L769" i="58"/>
  <c r="P770" i="58"/>
  <c r="L774" i="58"/>
  <c r="N763" i="58"/>
  <c r="L767" i="58"/>
  <c r="N767" i="58"/>
  <c r="N765" i="58"/>
  <c r="AT908" i="58"/>
  <c r="AT909" i="58"/>
  <c r="AN891" i="58"/>
  <c r="AN893" i="58"/>
  <c r="AT910" i="58"/>
  <c r="AT911" i="58"/>
  <c r="AV913" i="58"/>
  <c r="AN914" i="58"/>
  <c r="AV916" i="58"/>
  <c r="AT917" i="58"/>
  <c r="AV919" i="58"/>
  <c r="AN885" i="58"/>
  <c r="P749" i="58"/>
  <c r="N760" i="58"/>
  <c r="AN889" i="58"/>
  <c r="N756" i="58"/>
  <c r="AV882" i="58"/>
  <c r="L786" i="58"/>
  <c r="N784" i="58"/>
  <c r="L772" i="58"/>
  <c r="N773" i="58"/>
  <c r="L773" i="58"/>
  <c r="P768" i="58"/>
  <c r="N768" i="58"/>
  <c r="P771" i="58"/>
  <c r="L763" i="58"/>
  <c r="N764" i="58"/>
  <c r="L765" i="58"/>
  <c r="AV907" i="58"/>
  <c r="AV893" i="58"/>
  <c r="AT891" i="58"/>
  <c r="AV910" i="58"/>
  <c r="AN912" i="58"/>
  <c r="AT913" i="58"/>
  <c r="AV915" i="58"/>
  <c r="AT916" i="58"/>
  <c r="AV918" i="58"/>
  <c r="AT919" i="58"/>
  <c r="AV889" i="58"/>
  <c r="L749" i="58"/>
  <c r="L760" i="58"/>
  <c r="AT889" i="58"/>
  <c r="P783" i="58"/>
  <c r="N785" i="58"/>
  <c r="L785" i="58"/>
  <c r="P774" i="58"/>
  <c r="N770" i="58"/>
  <c r="N766" i="58"/>
  <c r="N772" i="58"/>
  <c r="L770" i="58"/>
  <c r="L764" i="58"/>
  <c r="P764" i="58"/>
  <c r="P767" i="58"/>
  <c r="AT892" i="58"/>
  <c r="AV891" i="58"/>
  <c r="AV909" i="58"/>
  <c r="AN907" i="58"/>
  <c r="AN911" i="58"/>
  <c r="AV912" i="58"/>
  <c r="AN913" i="58"/>
  <c r="AT914" i="58"/>
  <c r="AT915" i="58"/>
  <c r="AV917" i="58"/>
  <c r="AT918" i="58"/>
  <c r="AN919" i="58"/>
  <c r="AT885" i="58"/>
  <c r="L747" i="58"/>
  <c r="AN884" i="58"/>
  <c r="AV884" i="58"/>
  <c r="AT884" i="58"/>
  <c r="N754" i="58"/>
  <c r="AN890" i="58"/>
  <c r="P748" i="58"/>
  <c r="N748" i="58"/>
  <c r="AV885" i="58"/>
  <c r="V768" i="57"/>
  <c r="G768" i="57"/>
  <c r="S768" i="57"/>
  <c r="G129" i="54"/>
  <c r="F68" i="57"/>
  <c r="G99" i="57"/>
  <c r="G106" i="57"/>
  <c r="G94" i="57"/>
  <c r="G128" i="54"/>
  <c r="G125" i="54"/>
  <c r="G123" i="54"/>
  <c r="G124" i="54"/>
  <c r="G144" i="57"/>
  <c r="G131" i="57"/>
  <c r="G124" i="57"/>
  <c r="G880" i="57"/>
  <c r="AR879" i="57"/>
  <c r="L768" i="57"/>
  <c r="X768" i="57"/>
  <c r="K768" i="57"/>
  <c r="T768" i="57" s="1"/>
  <c r="F768" i="57"/>
  <c r="Y768" i="57"/>
  <c r="U768" i="57"/>
  <c r="Q769" i="57"/>
  <c r="R768" i="57"/>
  <c r="Q768" i="57"/>
  <c r="M768" i="57"/>
  <c r="P768" i="57"/>
  <c r="E768" i="57"/>
  <c r="C768" i="57"/>
  <c r="L888" i="57" s="1"/>
  <c r="D768" i="57"/>
  <c r="N768" i="57"/>
  <c r="O768" i="57"/>
  <c r="B775" i="57"/>
  <c r="C939" i="57"/>
  <c r="C943" i="58" s="1"/>
  <c r="C934" i="57"/>
  <c r="C938" i="58" s="1"/>
  <c r="C944" i="57"/>
  <c r="C948" i="58" s="1"/>
  <c r="Y939" i="57"/>
  <c r="Y943" i="58" s="1"/>
  <c r="P753" i="58" s="1"/>
  <c r="C940" i="57"/>
  <c r="C944" i="58" s="1"/>
  <c r="C941" i="57"/>
  <c r="C945" i="58" s="1"/>
  <c r="C933" i="57"/>
  <c r="C937" i="58" s="1"/>
  <c r="C927" i="57"/>
  <c r="C931" i="58" s="1"/>
  <c r="C942" i="57"/>
  <c r="C946" i="58" s="1"/>
  <c r="C943" i="57"/>
  <c r="C947" i="58" s="1"/>
  <c r="C926" i="57"/>
  <c r="C930" i="58" s="1"/>
  <c r="C746" i="58" s="1"/>
  <c r="C946" i="57"/>
  <c r="C950" i="58" s="1"/>
  <c r="I962" i="57"/>
  <c r="AZ962" i="57" s="1"/>
  <c r="H855" i="57"/>
  <c r="Y855" i="57" s="1"/>
  <c r="K771" i="57"/>
  <c r="X771" i="57"/>
  <c r="BU780" i="54"/>
  <c r="U780" i="54" s="1"/>
  <c r="BV780" i="54"/>
  <c r="AJ914" i="57"/>
  <c r="AJ913" i="57"/>
  <c r="AJ907" i="57"/>
  <c r="AJ904" i="57"/>
  <c r="AJ908" i="57"/>
  <c r="AJ876" i="57"/>
  <c r="AJ911" i="57"/>
  <c r="AJ915" i="57"/>
  <c r="AJ880" i="57"/>
  <c r="AJ906" i="57"/>
  <c r="AJ909" i="57"/>
  <c r="AJ910" i="57"/>
  <c r="AJ905" i="57"/>
  <c r="AJ902" i="57"/>
  <c r="AJ903" i="57"/>
  <c r="AJ885" i="57"/>
  <c r="AJ877" i="57"/>
  <c r="AJ881" i="57"/>
  <c r="AJ879" i="57"/>
  <c r="AJ912" i="57"/>
  <c r="AJ878" i="57"/>
  <c r="AJ884" i="57"/>
  <c r="B193" i="54"/>
  <c r="B248" i="54" s="1"/>
  <c r="B190" i="57"/>
  <c r="B241" i="57" s="1"/>
  <c r="G78" i="54"/>
  <c r="G75" i="57"/>
  <c r="G120" i="54"/>
  <c r="G117" i="57"/>
  <c r="F510" i="54"/>
  <c r="C718" i="54"/>
  <c r="F511" i="54"/>
  <c r="C717" i="54"/>
  <c r="AF510" i="54"/>
  <c r="AF511" i="54"/>
  <c r="U744" i="54"/>
  <c r="AK744" i="54"/>
  <c r="AD744" i="54"/>
  <c r="X744" i="54"/>
  <c r="Z744" i="54"/>
  <c r="W744" i="54"/>
  <c r="AP744" i="54"/>
  <c r="V770" i="57"/>
  <c r="D305" i="54"/>
  <c r="AA342" i="54" s="1"/>
  <c r="AA347" i="54" s="1"/>
  <c r="F695" i="54"/>
  <c r="C744" i="54"/>
  <c r="AJ549" i="54"/>
  <c r="AK549" i="54"/>
  <c r="AE549" i="54"/>
  <c r="BV775" i="54"/>
  <c r="BV777" i="54"/>
  <c r="W852" i="54"/>
  <c r="AD868" i="54" s="1"/>
  <c r="AH852" i="54"/>
  <c r="AL868" i="54" s="1"/>
  <c r="Y852" i="54"/>
  <c r="AF868" i="54" s="1"/>
  <c r="AF852" i="54"/>
  <c r="AJ868" i="54" s="1"/>
  <c r="F759" i="54"/>
  <c r="I766" i="54" s="1"/>
  <c r="I288" i="54" s="1"/>
  <c r="I298" i="54" s="1"/>
  <c r="Y758" i="54"/>
  <c r="D815" i="54"/>
  <c r="BU778" i="54"/>
  <c r="V778" i="54" s="1"/>
  <c r="G779" i="54"/>
  <c r="BV778" i="54"/>
  <c r="D816" i="54"/>
  <c r="F549" i="54"/>
  <c r="D640" i="54" s="1"/>
  <c r="I778" i="54"/>
  <c r="G758" i="54"/>
  <c r="I267" i="54"/>
  <c r="J282" i="54"/>
  <c r="I266" i="54"/>
  <c r="J277" i="54"/>
  <c r="E615" i="54"/>
  <c r="C265" i="54"/>
  <c r="E272" i="54" s="1"/>
  <c r="E277" i="54" s="1"/>
  <c r="E282" i="54" s="1"/>
  <c r="D814" i="54"/>
  <c r="I265" i="54"/>
  <c r="J272" i="54"/>
  <c r="I743" i="54"/>
  <c r="I693" i="54"/>
  <c r="I735" i="54"/>
  <c r="I694" i="54"/>
  <c r="H608" i="54"/>
  <c r="J616" i="54"/>
  <c r="E607" i="54"/>
  <c r="G615" i="54"/>
  <c r="H607" i="54"/>
  <c r="J615" i="54"/>
  <c r="H609" i="54"/>
  <c r="J617" i="54"/>
  <c r="D607" i="54"/>
  <c r="F615" i="54"/>
  <c r="D608" i="54"/>
  <c r="F616" i="54"/>
  <c r="BV790" i="54"/>
  <c r="D835" i="54"/>
  <c r="D597" i="54"/>
  <c r="D589" i="54"/>
  <c r="D609" i="54" s="1"/>
  <c r="D596" i="54"/>
  <c r="AH850" i="54"/>
  <c r="Y850" i="54"/>
  <c r="W850" i="54"/>
  <c r="I715" i="54"/>
  <c r="I722" i="54"/>
  <c r="Y941" i="57"/>
  <c r="I728" i="54"/>
  <c r="I704" i="54"/>
  <c r="I718" i="54"/>
  <c r="I723" i="54"/>
  <c r="R668" i="58"/>
  <c r="I726" i="54"/>
  <c r="I705" i="54"/>
  <c r="I717" i="54"/>
  <c r="I719" i="54"/>
  <c r="I721" i="54"/>
  <c r="R696" i="57"/>
  <c r="AC696" i="57" s="1"/>
  <c r="Y942" i="57"/>
  <c r="Y946" i="58" s="1"/>
  <c r="P756" i="58" s="1"/>
  <c r="I727" i="54"/>
  <c r="I738" i="54"/>
  <c r="I697" i="54"/>
  <c r="I716" i="54"/>
  <c r="I724" i="54"/>
  <c r="Y945" i="57"/>
  <c r="Y949" i="58" s="1"/>
  <c r="P759" i="58" s="1"/>
  <c r="I725" i="54"/>
  <c r="I689" i="54"/>
  <c r="I739" i="54"/>
  <c r="R776" i="54"/>
  <c r="R780" i="54"/>
  <c r="I790" i="54"/>
  <c r="BU790" i="54"/>
  <c r="R790" i="54"/>
  <c r="U776" i="54"/>
  <c r="V776" i="54"/>
  <c r="I791" i="54"/>
  <c r="R791" i="54"/>
  <c r="BU791" i="54"/>
  <c r="I777" i="54"/>
  <c r="BU777" i="54"/>
  <c r="R777" i="54"/>
  <c r="R774" i="54"/>
  <c r="R778" i="54"/>
  <c r="I775" i="54"/>
  <c r="BU775" i="54"/>
  <c r="R775" i="54"/>
  <c r="U774" i="54"/>
  <c r="V774" i="54"/>
  <c r="B759" i="54"/>
  <c r="E766" i="54" s="1"/>
  <c r="E288" i="54" s="1"/>
  <c r="E298" i="54" s="1"/>
  <c r="E765" i="54"/>
  <c r="E287" i="54" s="1"/>
  <c r="E293" i="54" s="1"/>
  <c r="E596" i="54"/>
  <c r="G789" i="54"/>
  <c r="G788" i="54"/>
  <c r="N758" i="54"/>
  <c r="F247" i="54"/>
  <c r="U695" i="54" s="1"/>
  <c r="G794" i="54"/>
  <c r="G793" i="54"/>
  <c r="C727" i="54"/>
  <c r="C739" i="54"/>
  <c r="AF536" i="54"/>
  <c r="C743" i="54"/>
  <c r="F693" i="54"/>
  <c r="C735" i="54"/>
  <c r="F688" i="54"/>
  <c r="F692" i="54"/>
  <c r="F689" i="54"/>
  <c r="C871" i="58"/>
  <c r="C872" i="58" s="1"/>
  <c r="C873" i="58" s="1"/>
  <c r="F697" i="54"/>
  <c r="C713" i="54"/>
  <c r="F690" i="54"/>
  <c r="F696" i="54"/>
  <c r="C740" i="54"/>
  <c r="F691" i="54"/>
  <c r="AF503" i="54"/>
  <c r="AF502" i="54"/>
  <c r="AF501" i="54"/>
  <c r="I692" i="54"/>
  <c r="I688" i="54"/>
  <c r="I696" i="54"/>
  <c r="I691" i="54"/>
  <c r="AF500" i="54"/>
  <c r="F503" i="54"/>
  <c r="G665" i="54" s="1"/>
  <c r="C714" i="54"/>
  <c r="F501" i="54"/>
  <c r="G674" i="54" s="1"/>
  <c r="AR674" i="54" s="1"/>
  <c r="C712" i="54"/>
  <c r="C711" i="54"/>
  <c r="B514" i="54"/>
  <c r="B513" i="54"/>
  <c r="F524" i="54"/>
  <c r="F502" i="54"/>
  <c r="G659" i="54" s="1"/>
  <c r="F496" i="54"/>
  <c r="F495" i="54"/>
  <c r="AI495" i="54" s="1"/>
  <c r="F521" i="54"/>
  <c r="D724" i="54" s="1"/>
  <c r="F522" i="54"/>
  <c r="C738" i="54"/>
  <c r="F507" i="54"/>
  <c r="F486" i="54"/>
  <c r="C704" i="54"/>
  <c r="F500" i="54"/>
  <c r="F519" i="54"/>
  <c r="D722" i="54" s="1"/>
  <c r="F506" i="54"/>
  <c r="F494" i="54"/>
  <c r="AI494" i="54" s="1"/>
  <c r="F488" i="54"/>
  <c r="C706" i="54"/>
  <c r="F525" i="54"/>
  <c r="D728" i="54" s="1"/>
  <c r="F504" i="54"/>
  <c r="D715" i="54" s="1"/>
  <c r="F518" i="54"/>
  <c r="D721" i="54" s="1"/>
  <c r="F505" i="54"/>
  <c r="AI505" i="54" s="1"/>
  <c r="F520" i="54"/>
  <c r="D723" i="54" s="1"/>
  <c r="F489" i="54"/>
  <c r="C707" i="54"/>
  <c r="F487" i="54"/>
  <c r="D705" i="54" s="1"/>
  <c r="C705" i="54"/>
  <c r="F523" i="54"/>
  <c r="D726" i="54" s="1"/>
  <c r="C731" i="54"/>
  <c r="K661" i="54"/>
  <c r="F543" i="54"/>
  <c r="AI543" i="54" s="1"/>
  <c r="F538" i="54"/>
  <c r="D631" i="54" s="1"/>
  <c r="F545" i="54"/>
  <c r="F539" i="54"/>
  <c r="D632" i="54" s="1"/>
  <c r="F536" i="54"/>
  <c r="F548" i="54"/>
  <c r="F529" i="54"/>
  <c r="D626" i="54" s="1"/>
  <c r="F546" i="54"/>
  <c r="D637" i="54" s="1"/>
  <c r="F531" i="54"/>
  <c r="F537" i="54"/>
  <c r="F532" i="54"/>
  <c r="F544" i="54"/>
  <c r="D635" i="54" s="1"/>
  <c r="F547" i="54"/>
  <c r="F530" i="54"/>
  <c r="C596" i="54"/>
  <c r="C607" i="54"/>
  <c r="G596" i="54"/>
  <c r="G607" i="54"/>
  <c r="G598" i="54"/>
  <c r="G609" i="54"/>
  <c r="J824" i="57" s="1"/>
  <c r="J416" i="57" s="1"/>
  <c r="G597" i="54"/>
  <c r="G608" i="54"/>
  <c r="H597" i="54"/>
  <c r="I597" i="54" s="1"/>
  <c r="H598" i="54"/>
  <c r="I598" i="54" s="1"/>
  <c r="H596" i="54"/>
  <c r="I806" i="57" s="1"/>
  <c r="I383" i="57" s="1"/>
  <c r="J396" i="57" s="1"/>
  <c r="P396" i="57" s="1"/>
  <c r="C588" i="54"/>
  <c r="C266" i="54" s="1"/>
  <c r="B512" i="54"/>
  <c r="B515" i="54"/>
  <c r="F514" i="54"/>
  <c r="G514" i="54" s="1"/>
  <c r="F542" i="54"/>
  <c r="F497" i="54"/>
  <c r="F568" i="54" s="1"/>
  <c r="F498" i="54"/>
  <c r="G498" i="54" s="1"/>
  <c r="G569" i="54" s="1"/>
  <c r="F512" i="54"/>
  <c r="G512" i="54" s="1"/>
  <c r="F533" i="54"/>
  <c r="F535" i="54"/>
  <c r="F541" i="54"/>
  <c r="F509" i="54"/>
  <c r="F508" i="54"/>
  <c r="F570" i="54" s="1"/>
  <c r="F534" i="54"/>
  <c r="F490" i="54"/>
  <c r="F567" i="54" s="1"/>
  <c r="F513" i="54"/>
  <c r="F540" i="54"/>
  <c r="G671" i="54" s="1"/>
  <c r="AF532" i="54"/>
  <c r="AF531" i="54"/>
  <c r="AF544" i="54"/>
  <c r="AF538" i="54"/>
  <c r="AF543" i="54"/>
  <c r="AF545" i="54"/>
  <c r="AF541" i="54"/>
  <c r="AF547" i="54"/>
  <c r="AF535" i="54"/>
  <c r="AF539" i="54"/>
  <c r="AF537" i="54"/>
  <c r="AF546" i="54"/>
  <c r="AF550" i="54"/>
  <c r="AF533" i="54"/>
  <c r="AF542" i="54"/>
  <c r="AF540" i="54"/>
  <c r="AF548" i="54"/>
  <c r="AF530" i="54"/>
  <c r="AF529" i="54"/>
  <c r="G492" i="54"/>
  <c r="AI492" i="54"/>
  <c r="G515" i="54"/>
  <c r="AI515" i="54"/>
  <c r="G491" i="54"/>
  <c r="AI491" i="54"/>
  <c r="G499" i="54"/>
  <c r="AI499" i="54"/>
  <c r="G493" i="54"/>
  <c r="AI493" i="54"/>
  <c r="AF515" i="54"/>
  <c r="AF514" i="54"/>
  <c r="AF513" i="54"/>
  <c r="AF512" i="54"/>
  <c r="F517" i="54"/>
  <c r="F516" i="54"/>
  <c r="AF523" i="54"/>
  <c r="AF525" i="54"/>
  <c r="AF524" i="54"/>
  <c r="AF522" i="54"/>
  <c r="AF488" i="54"/>
  <c r="AF496" i="54"/>
  <c r="AF507" i="54"/>
  <c r="AF521" i="54"/>
  <c r="AF490" i="54"/>
  <c r="AF487" i="54"/>
  <c r="AF486" i="54"/>
  <c r="AF492" i="54"/>
  <c r="AF499" i="54"/>
  <c r="AF504" i="54"/>
  <c r="AF520" i="54"/>
  <c r="AF498" i="54"/>
  <c r="AF506" i="54"/>
  <c r="AF509" i="54"/>
  <c r="AF519" i="54"/>
  <c r="AF516" i="54"/>
  <c r="AF491" i="54"/>
  <c r="AF493" i="54"/>
  <c r="AF495" i="54"/>
  <c r="AF489" i="54"/>
  <c r="AF494" i="54"/>
  <c r="AF497" i="54"/>
  <c r="AF505" i="54"/>
  <c r="AF508" i="54"/>
  <c r="AF518" i="54"/>
  <c r="AF517" i="54"/>
  <c r="F61" i="4"/>
  <c r="F60" i="58" s="1"/>
  <c r="F55" i="4"/>
  <c r="F54" i="58" s="1"/>
  <c r="F54" i="4"/>
  <c r="F53" i="58" s="1"/>
  <c r="B55" i="4"/>
  <c r="B54" i="58" s="1"/>
  <c r="B56" i="4"/>
  <c r="B55" i="58" s="1"/>
  <c r="B57" i="4"/>
  <c r="B56" i="58" s="1"/>
  <c r="B58" i="4"/>
  <c r="B57" i="58" s="1"/>
  <c r="B59" i="4"/>
  <c r="B58" i="58" s="1"/>
  <c r="B60" i="4"/>
  <c r="B59" i="58" s="1"/>
  <c r="B61" i="4"/>
  <c r="B60" i="58" s="1"/>
  <c r="B54" i="4"/>
  <c r="B53" i="58" s="1"/>
  <c r="I29" i="4"/>
  <c r="I28" i="4"/>
  <c r="I27" i="4"/>
  <c r="AD686" i="58" l="1"/>
  <c r="W724" i="58" s="1"/>
  <c r="AC686" i="58"/>
  <c r="V724" i="58" s="1"/>
  <c r="AD668" i="58"/>
  <c r="AC668" i="58"/>
  <c r="AD667" i="58"/>
  <c r="AC667" i="58"/>
  <c r="AD685" i="58"/>
  <c r="AC685" i="58"/>
  <c r="AA695" i="54"/>
  <c r="AV744" i="54"/>
  <c r="J826" i="58"/>
  <c r="J304" i="58" s="1"/>
  <c r="I310" i="58" s="1"/>
  <c r="W695" i="54"/>
  <c r="AK695" i="54"/>
  <c r="AJ695" i="54" s="1"/>
  <c r="AI695" i="54"/>
  <c r="AB695" i="54" s="1"/>
  <c r="V695" i="54"/>
  <c r="T695" i="54"/>
  <c r="O815" i="54"/>
  <c r="I815" i="54"/>
  <c r="J815" i="54"/>
  <c r="O814" i="54"/>
  <c r="J814" i="54"/>
  <c r="I814" i="54"/>
  <c r="J835" i="54"/>
  <c r="I835" i="54"/>
  <c r="O816" i="54"/>
  <c r="I816" i="54"/>
  <c r="J816" i="54"/>
  <c r="O817" i="54"/>
  <c r="I817" i="54"/>
  <c r="J817" i="54"/>
  <c r="J806" i="57"/>
  <c r="J383" i="57" s="1"/>
  <c r="O396" i="57" s="1"/>
  <c r="I792" i="58"/>
  <c r="L742" i="58"/>
  <c r="M742" i="58" s="1"/>
  <c r="AP551" i="54"/>
  <c r="AG971" i="58"/>
  <c r="AM976" i="58"/>
  <c r="AN975" i="58"/>
  <c r="AH969" i="58"/>
  <c r="AL974" i="58"/>
  <c r="S798" i="58"/>
  <c r="T798" i="58"/>
  <c r="AD717" i="57"/>
  <c r="V776" i="57" s="1"/>
  <c r="AC717" i="57"/>
  <c r="U776" i="57" s="1"/>
  <c r="AD716" i="57"/>
  <c r="AC716" i="57"/>
  <c r="U775" i="57" s="1"/>
  <c r="AD704" i="57"/>
  <c r="AC704" i="57"/>
  <c r="P766" i="58"/>
  <c r="AD707" i="57"/>
  <c r="AC707" i="57"/>
  <c r="U771" i="57" s="1"/>
  <c r="Y945" i="58"/>
  <c r="AN888" i="57"/>
  <c r="AV888" i="57"/>
  <c r="AV904" i="57"/>
  <c r="AN904" i="57"/>
  <c r="AM674" i="54"/>
  <c r="S809" i="57"/>
  <c r="S386" i="57" s="1"/>
  <c r="AB405" i="57" s="1"/>
  <c r="AU746" i="54"/>
  <c r="D964" i="57"/>
  <c r="D968" i="58" s="1"/>
  <c r="AO741" i="57"/>
  <c r="AO740" i="57"/>
  <c r="AP741" i="57"/>
  <c r="AP740" i="57"/>
  <c r="Z741" i="57"/>
  <c r="AB741" i="57" s="1"/>
  <c r="U721" i="57"/>
  <c r="X721" i="57"/>
  <c r="V721" i="57"/>
  <c r="AP721" i="57"/>
  <c r="W721" i="57"/>
  <c r="AO721" i="57"/>
  <c r="S811" i="57"/>
  <c r="S388" i="57" s="1"/>
  <c r="AB409" i="57" s="1"/>
  <c r="T811" i="57"/>
  <c r="T388" i="57" s="1"/>
  <c r="AD409" i="57" s="1"/>
  <c r="S812" i="57"/>
  <c r="S389" i="57" s="1"/>
  <c r="AA409" i="57" s="1"/>
  <c r="T812" i="57"/>
  <c r="T389" i="57" s="1"/>
  <c r="AC409" i="57" s="1"/>
  <c r="U738" i="57"/>
  <c r="AP738" i="57"/>
  <c r="X738" i="57"/>
  <c r="V738" i="57"/>
  <c r="AO738" i="57"/>
  <c r="W738" i="57"/>
  <c r="AO711" i="57"/>
  <c r="AP711" i="57"/>
  <c r="R868" i="57"/>
  <c r="Q868" i="57"/>
  <c r="S868" i="57"/>
  <c r="T868" i="57"/>
  <c r="P848" i="57"/>
  <c r="P851" i="57"/>
  <c r="P855" i="57"/>
  <c r="AO739" i="57"/>
  <c r="U711" i="57"/>
  <c r="AP739" i="57"/>
  <c r="W711" i="57"/>
  <c r="Z711" i="57" s="1"/>
  <c r="AB711" i="57" s="1"/>
  <c r="V711" i="57"/>
  <c r="T809" i="57"/>
  <c r="T386" i="57" s="1"/>
  <c r="AD405" i="57" s="1"/>
  <c r="S810" i="57"/>
  <c r="S387" i="57" s="1"/>
  <c r="AA405" i="57" s="1"/>
  <c r="T810" i="57"/>
  <c r="T387" i="57" s="1"/>
  <c r="AC405" i="57" s="1"/>
  <c r="BV772" i="54"/>
  <c r="O835" i="54"/>
  <c r="D838" i="54"/>
  <c r="AE675" i="54"/>
  <c r="Y729" i="54"/>
  <c r="Y947" i="57" s="1"/>
  <c r="Y951" i="58" s="1"/>
  <c r="P761" i="58" s="1"/>
  <c r="Y730" i="54"/>
  <c r="Y948" i="57" s="1"/>
  <c r="Y952" i="58" s="1"/>
  <c r="P762" i="58" s="1"/>
  <c r="R525" i="54"/>
  <c r="Y728" i="54"/>
  <c r="Y946" i="57" s="1"/>
  <c r="Y950" i="58" s="1"/>
  <c r="P760" i="58" s="1"/>
  <c r="AC746" i="54"/>
  <c r="H675" i="54"/>
  <c r="E746" i="54"/>
  <c r="E964" i="57" s="1"/>
  <c r="E968" i="58" s="1"/>
  <c r="Z675" i="54"/>
  <c r="Z674" i="54"/>
  <c r="AD674" i="54"/>
  <c r="AE674" i="54"/>
  <c r="W551" i="54"/>
  <c r="X551" i="54"/>
  <c r="AO551" i="54"/>
  <c r="V551" i="54"/>
  <c r="U551" i="54"/>
  <c r="V829" i="58"/>
  <c r="U829" i="58"/>
  <c r="W829" i="58"/>
  <c r="X829" i="58"/>
  <c r="AI527" i="54"/>
  <c r="D948" i="57"/>
  <c r="AU948" i="57" s="1"/>
  <c r="AV730" i="54"/>
  <c r="P775" i="57"/>
  <c r="I775" i="57"/>
  <c r="P776" i="57"/>
  <c r="I776" i="57"/>
  <c r="AI669" i="54"/>
  <c r="AA669" i="54"/>
  <c r="AD669" i="54" s="1"/>
  <c r="AA667" i="54"/>
  <c r="AD667" i="54" s="1"/>
  <c r="W669" i="54"/>
  <c r="U669" i="54"/>
  <c r="V667" i="54"/>
  <c r="T669" i="54"/>
  <c r="AL667" i="54"/>
  <c r="T667" i="54"/>
  <c r="AL669" i="54"/>
  <c r="U667" i="54"/>
  <c r="AK667" i="54"/>
  <c r="AJ667" i="54" s="1"/>
  <c r="AV745" i="54"/>
  <c r="I926" i="57"/>
  <c r="AW730" i="54"/>
  <c r="AV708" i="54"/>
  <c r="AW709" i="54"/>
  <c r="I927" i="57"/>
  <c r="G697" i="54"/>
  <c r="AR697" i="54" s="1"/>
  <c r="Z709" i="54"/>
  <c r="AD730" i="54"/>
  <c r="AV667" i="54"/>
  <c r="AV669" i="54"/>
  <c r="AW667" i="54"/>
  <c r="AK730" i="54"/>
  <c r="U730" i="54"/>
  <c r="V730" i="54"/>
  <c r="AQ730" i="54"/>
  <c r="Z708" i="54"/>
  <c r="AK673" i="54"/>
  <c r="D818" i="54"/>
  <c r="D820" i="54"/>
  <c r="AP730" i="54"/>
  <c r="W730" i="54"/>
  <c r="AK671" i="54"/>
  <c r="V669" i="54"/>
  <c r="AK669" i="54"/>
  <c r="AJ669" i="54" s="1"/>
  <c r="AI667" i="54"/>
  <c r="D819" i="54"/>
  <c r="Z730" i="54"/>
  <c r="X730" i="54"/>
  <c r="X948" i="57"/>
  <c r="I952" i="58"/>
  <c r="V948" i="57"/>
  <c r="AQ948" i="57"/>
  <c r="AD948" i="57"/>
  <c r="W948" i="57"/>
  <c r="AX948" i="57"/>
  <c r="U948" i="57"/>
  <c r="Z948" i="57"/>
  <c r="AP948" i="57"/>
  <c r="AW948" i="57"/>
  <c r="AK948" i="57"/>
  <c r="AR948" i="57" s="1"/>
  <c r="M761" i="58"/>
  <c r="V947" i="57"/>
  <c r="Z947" i="57"/>
  <c r="AK947" i="57"/>
  <c r="AX947" i="57"/>
  <c r="X947" i="57"/>
  <c r="AQ947" i="57"/>
  <c r="I951" i="58"/>
  <c r="W947" i="57"/>
  <c r="U947" i="57"/>
  <c r="AD947" i="57"/>
  <c r="AW947" i="57"/>
  <c r="AP947" i="57"/>
  <c r="M762" i="58"/>
  <c r="Z669" i="58"/>
  <c r="AB669" i="58" s="1"/>
  <c r="L771" i="57"/>
  <c r="T771" i="57"/>
  <c r="L770" i="57"/>
  <c r="T770" i="57"/>
  <c r="L769" i="57"/>
  <c r="T769" i="57"/>
  <c r="L774" i="57"/>
  <c r="T774" i="57"/>
  <c r="AM974" i="58"/>
  <c r="AN974" i="58"/>
  <c r="AO974" i="58"/>
  <c r="AR974" i="58"/>
  <c r="AI970" i="58"/>
  <c r="AR973" i="58"/>
  <c r="AC974" i="58"/>
  <c r="AC976" i="58"/>
  <c r="AC973" i="58"/>
  <c r="AI974" i="58"/>
  <c r="AR972" i="58"/>
  <c r="AC970" i="58"/>
  <c r="AO976" i="58"/>
  <c r="AI976" i="58"/>
  <c r="AR970" i="58"/>
  <c r="H853" i="57"/>
  <c r="Y853" i="57" s="1"/>
  <c r="I870" i="58"/>
  <c r="AI973" i="58"/>
  <c r="AO970" i="58"/>
  <c r="AR976" i="58"/>
  <c r="Z741" i="54"/>
  <c r="AK666" i="54"/>
  <c r="AJ666" i="54" s="1"/>
  <c r="AL970" i="58"/>
  <c r="AC972" i="58"/>
  <c r="AN976" i="58"/>
  <c r="Y870" i="58"/>
  <c r="Z870" i="58" s="1"/>
  <c r="AL976" i="58"/>
  <c r="AO971" i="58"/>
  <c r="AN970" i="58"/>
  <c r="AM970" i="58"/>
  <c r="H843" i="57"/>
  <c r="Y843" i="57" s="1"/>
  <c r="Z742" i="54"/>
  <c r="AL666" i="54"/>
  <c r="C952" i="57"/>
  <c r="C956" i="58" s="1"/>
  <c r="AM969" i="58"/>
  <c r="AI972" i="58"/>
  <c r="I958" i="57"/>
  <c r="AR971" i="58"/>
  <c r="AI666" i="54"/>
  <c r="C955" i="57"/>
  <c r="C959" i="58" s="1"/>
  <c r="AE971" i="58"/>
  <c r="AF971" i="58"/>
  <c r="Z737" i="54"/>
  <c r="AA668" i="54"/>
  <c r="AD668" i="54" s="1"/>
  <c r="U668" i="54"/>
  <c r="T668" i="54"/>
  <c r="AA666" i="54"/>
  <c r="AD666" i="54" s="1"/>
  <c r="C844" i="57"/>
  <c r="I955" i="57"/>
  <c r="AN971" i="58"/>
  <c r="AI975" i="58"/>
  <c r="AC969" i="58"/>
  <c r="AI969" i="58"/>
  <c r="AG975" i="58"/>
  <c r="AO969" i="58"/>
  <c r="Z740" i="54"/>
  <c r="W666" i="54"/>
  <c r="AL668" i="54"/>
  <c r="C959" i="57"/>
  <c r="C963" i="58" s="1"/>
  <c r="I950" i="57"/>
  <c r="Q771" i="57"/>
  <c r="AL969" i="58"/>
  <c r="AE969" i="58"/>
  <c r="AE975" i="58"/>
  <c r="AO975" i="58"/>
  <c r="AM975" i="58"/>
  <c r="AR969" i="58"/>
  <c r="AG969" i="58"/>
  <c r="AN969" i="58"/>
  <c r="AL975" i="58"/>
  <c r="AR975" i="58"/>
  <c r="AF975" i="58"/>
  <c r="V666" i="54"/>
  <c r="C853" i="57"/>
  <c r="AF969" i="58"/>
  <c r="AH975" i="58"/>
  <c r="AC971" i="58"/>
  <c r="AB870" i="58"/>
  <c r="AI971" i="58"/>
  <c r="AL971" i="58"/>
  <c r="AM971" i="58"/>
  <c r="X870" i="58"/>
  <c r="T870" i="58" s="1"/>
  <c r="AH971" i="58"/>
  <c r="AC975" i="58"/>
  <c r="AQ662" i="58"/>
  <c r="AW725" i="54"/>
  <c r="AV725" i="54"/>
  <c r="AV716" i="54"/>
  <c r="AW716" i="54"/>
  <c r="AV727" i="54"/>
  <c r="AW727" i="54"/>
  <c r="AW719" i="54"/>
  <c r="AV719" i="54"/>
  <c r="AV728" i="54"/>
  <c r="AW728" i="54"/>
  <c r="H861" i="58"/>
  <c r="X861" i="58" s="1"/>
  <c r="AV735" i="54"/>
  <c r="AK663" i="54"/>
  <c r="AV663" i="54"/>
  <c r="AW663" i="54"/>
  <c r="I931" i="57"/>
  <c r="AW713" i="54"/>
  <c r="AV713" i="54"/>
  <c r="AK670" i="54"/>
  <c r="AV670" i="54"/>
  <c r="AW670" i="54"/>
  <c r="I924" i="57"/>
  <c r="AV706" i="54"/>
  <c r="AW706" i="54"/>
  <c r="AV662" i="54"/>
  <c r="AW662" i="54"/>
  <c r="AW729" i="54"/>
  <c r="AV729" i="54"/>
  <c r="AI899" i="58"/>
  <c r="AC895" i="57"/>
  <c r="AC899" i="58" s="1"/>
  <c r="AB895" i="57"/>
  <c r="AB899" i="58" s="1"/>
  <c r="AI895" i="58"/>
  <c r="AK691" i="54"/>
  <c r="AV691" i="54"/>
  <c r="AK690" i="54"/>
  <c r="AV690" i="54"/>
  <c r="AK688" i="54"/>
  <c r="AV688" i="54"/>
  <c r="AV717" i="54"/>
  <c r="AW717" i="54"/>
  <c r="AV723" i="54"/>
  <c r="AW723" i="54"/>
  <c r="H860" i="58"/>
  <c r="X860" i="58" s="1"/>
  <c r="Q860" i="58" s="1"/>
  <c r="AV734" i="54"/>
  <c r="H862" i="58"/>
  <c r="Y862" i="58" s="1"/>
  <c r="Z862" i="58" s="1"/>
  <c r="AV736" i="54"/>
  <c r="H863" i="58"/>
  <c r="AB863" i="58" s="1"/>
  <c r="AV737" i="54"/>
  <c r="H866" i="58"/>
  <c r="Y866" i="58" s="1"/>
  <c r="Z866" i="58" s="1"/>
  <c r="AV740" i="54"/>
  <c r="AV661" i="54"/>
  <c r="AW661" i="54"/>
  <c r="AK668" i="54"/>
  <c r="AJ668" i="54" s="1"/>
  <c r="AV668" i="54"/>
  <c r="AW668" i="54"/>
  <c r="AV656" i="54"/>
  <c r="AW656" i="54"/>
  <c r="AV665" i="54"/>
  <c r="AW665" i="54"/>
  <c r="T666" i="54"/>
  <c r="AW666" i="54"/>
  <c r="AV666" i="54"/>
  <c r="AK657" i="54"/>
  <c r="AV657" i="54"/>
  <c r="AW657" i="54"/>
  <c r="I925" i="57"/>
  <c r="AW707" i="54"/>
  <c r="AV707" i="54"/>
  <c r="AI898" i="58"/>
  <c r="AB894" i="57"/>
  <c r="AB898" i="58" s="1"/>
  <c r="AC894" i="57"/>
  <c r="AC898" i="58" s="1"/>
  <c r="AI903" i="58"/>
  <c r="AC899" i="57"/>
  <c r="AC903" i="58" s="1"/>
  <c r="AB899" i="57"/>
  <c r="AB903" i="58" s="1"/>
  <c r="AI897" i="58"/>
  <c r="AK696" i="54"/>
  <c r="AV696" i="54"/>
  <c r="AK692" i="54"/>
  <c r="AV692" i="54"/>
  <c r="H865" i="58"/>
  <c r="X865" i="58" s="1"/>
  <c r="AV739" i="54"/>
  <c r="AK697" i="54"/>
  <c r="AV697" i="54"/>
  <c r="AW705" i="54"/>
  <c r="AV705" i="54"/>
  <c r="AV718" i="54"/>
  <c r="AW718" i="54"/>
  <c r="AV722" i="54"/>
  <c r="AW722" i="54"/>
  <c r="AK693" i="54"/>
  <c r="AV693" i="54"/>
  <c r="I963" i="58"/>
  <c r="AP963" i="58" s="1"/>
  <c r="AW959" i="57"/>
  <c r="I930" i="57"/>
  <c r="AV712" i="54"/>
  <c r="AW712" i="54"/>
  <c r="I892" i="57"/>
  <c r="AV678" i="54"/>
  <c r="AW678" i="54"/>
  <c r="I928" i="57"/>
  <c r="AV710" i="54"/>
  <c r="AW710" i="54"/>
  <c r="I932" i="57"/>
  <c r="AV714" i="54"/>
  <c r="AW714" i="54"/>
  <c r="I890" i="57"/>
  <c r="AV676" i="54"/>
  <c r="AW676" i="54"/>
  <c r="I929" i="57"/>
  <c r="AV711" i="54"/>
  <c r="AW711" i="54"/>
  <c r="AI904" i="58"/>
  <c r="AI902" i="58"/>
  <c r="AB898" i="57"/>
  <c r="AB902" i="58" s="1"/>
  <c r="AC898" i="57"/>
  <c r="AC902" i="58" s="1"/>
  <c r="AI900" i="58"/>
  <c r="L567" i="54"/>
  <c r="AK689" i="54"/>
  <c r="AV689" i="54"/>
  <c r="AV724" i="54"/>
  <c r="AW724" i="54"/>
  <c r="H864" i="58"/>
  <c r="I864" i="58" s="1"/>
  <c r="AV738" i="54"/>
  <c r="AW721" i="54"/>
  <c r="AV721" i="54"/>
  <c r="AV726" i="54"/>
  <c r="AW726" i="54"/>
  <c r="I922" i="57"/>
  <c r="AZ922" i="57" s="1"/>
  <c r="AW704" i="54"/>
  <c r="AV704" i="54"/>
  <c r="AW715" i="54"/>
  <c r="AV715" i="54"/>
  <c r="AV694" i="54"/>
  <c r="H869" i="58"/>
  <c r="X869" i="58" s="1"/>
  <c r="AV743" i="54"/>
  <c r="AE744" i="54"/>
  <c r="AG744" i="54"/>
  <c r="AH744" i="54"/>
  <c r="AF744" i="54"/>
  <c r="I966" i="58"/>
  <c r="U966" i="58" s="1"/>
  <c r="AW962" i="57"/>
  <c r="I964" i="58"/>
  <c r="AD964" i="58" s="1"/>
  <c r="AW960" i="57"/>
  <c r="I938" i="57"/>
  <c r="AV720" i="54"/>
  <c r="AW720" i="54"/>
  <c r="H859" i="58"/>
  <c r="X859" i="58" s="1"/>
  <c r="T859" i="58" s="1"/>
  <c r="AV733" i="54"/>
  <c r="H857" i="58"/>
  <c r="Y857" i="58" s="1"/>
  <c r="Z857" i="58" s="1"/>
  <c r="AV731" i="54"/>
  <c r="H867" i="58"/>
  <c r="P867" i="58" s="1"/>
  <c r="AV741" i="54"/>
  <c r="H868" i="58"/>
  <c r="AB868" i="58" s="1"/>
  <c r="AV742" i="54"/>
  <c r="H858" i="58"/>
  <c r="AB858" i="58" s="1"/>
  <c r="AV732" i="54"/>
  <c r="AV659" i="54"/>
  <c r="AW659" i="54"/>
  <c r="AV658" i="54"/>
  <c r="AW658" i="54"/>
  <c r="AV664" i="54"/>
  <c r="AW664" i="54"/>
  <c r="AV660" i="54"/>
  <c r="AW660" i="54"/>
  <c r="AK672" i="54"/>
  <c r="AV672" i="54"/>
  <c r="AW672" i="54"/>
  <c r="AI901" i="58"/>
  <c r="AI905" i="58"/>
  <c r="R781" i="54"/>
  <c r="Y669" i="58"/>
  <c r="AA669" i="58" s="1"/>
  <c r="AI668" i="54"/>
  <c r="V668" i="54"/>
  <c r="H842" i="57"/>
  <c r="Y842" i="57" s="1"/>
  <c r="I951" i="57"/>
  <c r="C847" i="57"/>
  <c r="I949" i="57"/>
  <c r="H852" i="57"/>
  <c r="Y852" i="57" s="1"/>
  <c r="H844" i="57"/>
  <c r="Y844" i="57" s="1"/>
  <c r="I772" i="54"/>
  <c r="R772" i="54"/>
  <c r="BU781" i="54"/>
  <c r="U781" i="54" s="1"/>
  <c r="AQ663" i="58"/>
  <c r="U664" i="58"/>
  <c r="V671" i="58"/>
  <c r="Z663" i="58"/>
  <c r="AB663" i="58" s="1"/>
  <c r="U673" i="58"/>
  <c r="V665" i="58"/>
  <c r="AO675" i="58"/>
  <c r="X671" i="58"/>
  <c r="U667" i="58"/>
  <c r="W668" i="58"/>
  <c r="AP666" i="58"/>
  <c r="X665" i="58"/>
  <c r="U674" i="58"/>
  <c r="V667" i="58"/>
  <c r="X668" i="58"/>
  <c r="W666" i="58"/>
  <c r="U665" i="58"/>
  <c r="AP664" i="58"/>
  <c r="X667" i="58"/>
  <c r="V673" i="58"/>
  <c r="AO666" i="58"/>
  <c r="AO665" i="58"/>
  <c r="X675" i="58"/>
  <c r="U672" i="58"/>
  <c r="AO676" i="58"/>
  <c r="AO670" i="58"/>
  <c r="V664" i="58"/>
  <c r="U671" i="58"/>
  <c r="AO667" i="58"/>
  <c r="W673" i="58"/>
  <c r="W670" i="58"/>
  <c r="X674" i="58"/>
  <c r="W667" i="58"/>
  <c r="X673" i="58"/>
  <c r="X670" i="58"/>
  <c r="W674" i="58"/>
  <c r="Y663" i="58"/>
  <c r="AA663" i="58" s="1"/>
  <c r="AP673" i="58"/>
  <c r="Y662" i="58"/>
  <c r="AA662" i="58" s="1"/>
  <c r="W665" i="58"/>
  <c r="V675" i="58"/>
  <c r="AO674" i="58"/>
  <c r="V672" i="58"/>
  <c r="AO668" i="58"/>
  <c r="AP676" i="58"/>
  <c r="V670" i="58"/>
  <c r="V674" i="58"/>
  <c r="AO672" i="58"/>
  <c r="AQ669" i="58"/>
  <c r="W675" i="58"/>
  <c r="W671" i="58"/>
  <c r="U675" i="58"/>
  <c r="AP671" i="58"/>
  <c r="W676" i="58"/>
  <c r="U670" i="58"/>
  <c r="AO664" i="58"/>
  <c r="AO671" i="58"/>
  <c r="AP667" i="58"/>
  <c r="AO673" i="58"/>
  <c r="X666" i="58"/>
  <c r="AP665" i="58"/>
  <c r="AP675" i="58"/>
  <c r="AP674" i="58"/>
  <c r="W672" i="58"/>
  <c r="V668" i="58"/>
  <c r="U666" i="58"/>
  <c r="V676" i="58"/>
  <c r="X664" i="58"/>
  <c r="X672" i="58"/>
  <c r="U668" i="58"/>
  <c r="V666" i="58"/>
  <c r="X676" i="58"/>
  <c r="W664" i="58"/>
  <c r="AP672" i="58"/>
  <c r="AP668" i="58"/>
  <c r="U676" i="58"/>
  <c r="AP670" i="58"/>
  <c r="R699" i="57"/>
  <c r="AC699" i="57" s="1"/>
  <c r="R698" i="57"/>
  <c r="AC698" i="57" s="1"/>
  <c r="R705" i="57"/>
  <c r="AD696" i="57"/>
  <c r="U694" i="57"/>
  <c r="V694" i="57"/>
  <c r="U695" i="57"/>
  <c r="AP695" i="57"/>
  <c r="AO693" i="57"/>
  <c r="U693" i="57"/>
  <c r="W694" i="57"/>
  <c r="AP694" i="57"/>
  <c r="W695" i="57"/>
  <c r="AO695" i="57"/>
  <c r="W693" i="57"/>
  <c r="AO694" i="57"/>
  <c r="V695" i="57"/>
  <c r="X693" i="57"/>
  <c r="X694" i="57"/>
  <c r="X695" i="57"/>
  <c r="V693" i="57"/>
  <c r="AP693" i="57"/>
  <c r="X715" i="57"/>
  <c r="AP715" i="57"/>
  <c r="V708" i="57"/>
  <c r="AO706" i="57"/>
  <c r="U706" i="57"/>
  <c r="W696" i="57"/>
  <c r="X698" i="57"/>
  <c r="AO698" i="57"/>
  <c r="X705" i="57"/>
  <c r="X703" i="57"/>
  <c r="AO699" i="57"/>
  <c r="W699" i="57"/>
  <c r="X709" i="57"/>
  <c r="V709" i="57"/>
  <c r="W712" i="57"/>
  <c r="AP712" i="57"/>
  <c r="AO713" i="57"/>
  <c r="V710" i="57"/>
  <c r="X710" i="57"/>
  <c r="U701" i="57"/>
  <c r="AO701" i="57"/>
  <c r="AO702" i="57"/>
  <c r="X704" i="57"/>
  <c r="U716" i="57"/>
  <c r="AO714" i="57"/>
  <c r="V700" i="57"/>
  <c r="AO707" i="57"/>
  <c r="AP707" i="57"/>
  <c r="X697" i="57"/>
  <c r="W715" i="57"/>
  <c r="U715" i="57"/>
  <c r="AO708" i="57"/>
  <c r="V706" i="57"/>
  <c r="AP706" i="57"/>
  <c r="V696" i="57"/>
  <c r="U698" i="57"/>
  <c r="V698" i="57"/>
  <c r="W705" i="57"/>
  <c r="AP705" i="57"/>
  <c r="V703" i="57"/>
  <c r="AP703" i="57"/>
  <c r="X699" i="57"/>
  <c r="AO709" i="57"/>
  <c r="AP709" i="57"/>
  <c r="AO712" i="57"/>
  <c r="V712" i="57"/>
  <c r="AP713" i="57"/>
  <c r="AP710" i="57"/>
  <c r="AO710" i="57"/>
  <c r="V701" i="57"/>
  <c r="AP701" i="57"/>
  <c r="U702" i="57"/>
  <c r="AP704" i="57"/>
  <c r="X716" i="57"/>
  <c r="U714" i="57"/>
  <c r="V714" i="57"/>
  <c r="U700" i="57"/>
  <c r="V707" i="57"/>
  <c r="AO697" i="57"/>
  <c r="U697" i="57"/>
  <c r="V715" i="57"/>
  <c r="U708" i="57"/>
  <c r="W706" i="57"/>
  <c r="X696" i="57"/>
  <c r="AO703" i="57"/>
  <c r="U699" i="57"/>
  <c r="U712" i="57"/>
  <c r="W713" i="57"/>
  <c r="W701" i="57"/>
  <c r="V702" i="57"/>
  <c r="U704" i="57"/>
  <c r="AP716" i="57"/>
  <c r="AP714" i="57"/>
  <c r="AP700" i="57"/>
  <c r="W697" i="57"/>
  <c r="AO715" i="57"/>
  <c r="W708" i="57"/>
  <c r="AP708" i="57"/>
  <c r="X706" i="57"/>
  <c r="U696" i="57"/>
  <c r="AP696" i="57"/>
  <c r="W698" i="57"/>
  <c r="V705" i="57"/>
  <c r="AO705" i="57"/>
  <c r="U703" i="57"/>
  <c r="W703" i="57"/>
  <c r="AP699" i="57"/>
  <c r="W709" i="57"/>
  <c r="X712" i="57"/>
  <c r="U713" i="57"/>
  <c r="V713" i="57"/>
  <c r="W710" i="57"/>
  <c r="X701" i="57"/>
  <c r="X702" i="57"/>
  <c r="W702" i="57"/>
  <c r="W704" i="57"/>
  <c r="V704" i="57"/>
  <c r="V716" i="57"/>
  <c r="AO716" i="57"/>
  <c r="X714" i="57"/>
  <c r="W714" i="57"/>
  <c r="W700" i="57"/>
  <c r="X700" i="57"/>
  <c r="U707" i="57"/>
  <c r="V697" i="57"/>
  <c r="AP697" i="57"/>
  <c r="X708" i="57"/>
  <c r="AO696" i="57"/>
  <c r="AP698" i="57"/>
  <c r="U705" i="57"/>
  <c r="V699" i="57"/>
  <c r="U709" i="57"/>
  <c r="X713" i="57"/>
  <c r="U710" i="57"/>
  <c r="Y710" i="57" s="1"/>
  <c r="AA710" i="57" s="1"/>
  <c r="AP702" i="57"/>
  <c r="AO704" i="57"/>
  <c r="W716" i="57"/>
  <c r="AO700" i="57"/>
  <c r="X707" i="57"/>
  <c r="W707" i="57"/>
  <c r="V719" i="57"/>
  <c r="W719" i="57"/>
  <c r="AO718" i="57"/>
  <c r="AO727" i="57"/>
  <c r="W726" i="57"/>
  <c r="V726" i="57"/>
  <c r="AP720" i="57"/>
  <c r="X720" i="57"/>
  <c r="V723" i="57"/>
  <c r="AO723" i="57"/>
  <c r="U724" i="57"/>
  <c r="W724" i="57"/>
  <c r="AP717" i="57"/>
  <c r="U717" i="57"/>
  <c r="W725" i="57"/>
  <c r="U728" i="57"/>
  <c r="X722" i="57"/>
  <c r="AO722" i="57"/>
  <c r="U729" i="57"/>
  <c r="X729" i="57"/>
  <c r="X719" i="57"/>
  <c r="U719" i="57"/>
  <c r="AP718" i="57"/>
  <c r="X727" i="57"/>
  <c r="AP727" i="57"/>
  <c r="U726" i="57"/>
  <c r="V720" i="57"/>
  <c r="W723" i="57"/>
  <c r="AP724" i="57"/>
  <c r="X717" i="57"/>
  <c r="X725" i="57"/>
  <c r="AP725" i="57"/>
  <c r="X728" i="57"/>
  <c r="W728" i="57"/>
  <c r="V722" i="57"/>
  <c r="W729" i="57"/>
  <c r="AO719" i="57"/>
  <c r="W718" i="57"/>
  <c r="U718" i="57"/>
  <c r="V727" i="57"/>
  <c r="U727" i="57"/>
  <c r="X726" i="57"/>
  <c r="U720" i="57"/>
  <c r="Y720" i="57" s="1"/>
  <c r="AA720" i="57" s="1"/>
  <c r="U723" i="57"/>
  <c r="V724" i="57"/>
  <c r="V717" i="57"/>
  <c r="V725" i="57"/>
  <c r="AO725" i="57"/>
  <c r="AP728" i="57"/>
  <c r="AO728" i="57"/>
  <c r="AP722" i="57"/>
  <c r="V729" i="57"/>
  <c r="AP719" i="57"/>
  <c r="X718" i="57"/>
  <c r="V718" i="57"/>
  <c r="W727" i="57"/>
  <c r="AO726" i="57"/>
  <c r="AP726" i="57"/>
  <c r="W720" i="57"/>
  <c r="AO720" i="57"/>
  <c r="X723" i="57"/>
  <c r="AP723" i="57"/>
  <c r="AO724" i="57"/>
  <c r="X724" i="57"/>
  <c r="W717" i="57"/>
  <c r="AO717" i="57"/>
  <c r="U725" i="57"/>
  <c r="V728" i="57"/>
  <c r="U722" i="57"/>
  <c r="W722" i="57"/>
  <c r="AP729" i="57"/>
  <c r="AO729" i="57"/>
  <c r="M888" i="57"/>
  <c r="AM888" i="57"/>
  <c r="I781" i="54"/>
  <c r="Z706" i="54"/>
  <c r="BU772" i="54"/>
  <c r="U772" i="54" s="1"/>
  <c r="D801" i="54"/>
  <c r="Z713" i="54"/>
  <c r="G773" i="54"/>
  <c r="V526" i="54"/>
  <c r="D720" i="54"/>
  <c r="AU720" i="54" s="1"/>
  <c r="T617" i="54"/>
  <c r="P617" i="54"/>
  <c r="J381" i="58"/>
  <c r="K391" i="58" s="1"/>
  <c r="I609" i="54"/>
  <c r="T615" i="54"/>
  <c r="P615" i="54"/>
  <c r="P616" i="54"/>
  <c r="T616" i="54"/>
  <c r="I596" i="54"/>
  <c r="I607" i="54"/>
  <c r="V607" i="54" s="1"/>
  <c r="I608" i="54"/>
  <c r="M750" i="58"/>
  <c r="M753" i="58"/>
  <c r="M775" i="58"/>
  <c r="AJ526" i="54"/>
  <c r="M776" i="58"/>
  <c r="M779" i="58"/>
  <c r="M782" i="58"/>
  <c r="M778" i="58"/>
  <c r="M781" i="58"/>
  <c r="M777" i="58"/>
  <c r="M780" i="58"/>
  <c r="AO486" i="54"/>
  <c r="L568" i="54"/>
  <c r="L569" i="54"/>
  <c r="I626" i="54"/>
  <c r="I627" i="54"/>
  <c r="I641" i="54"/>
  <c r="I637" i="54"/>
  <c r="I630" i="54"/>
  <c r="I632" i="54"/>
  <c r="I639" i="54"/>
  <c r="L570" i="54"/>
  <c r="I629" i="54"/>
  <c r="I638" i="54"/>
  <c r="I636" i="54"/>
  <c r="I631" i="54"/>
  <c r="I635" i="54"/>
  <c r="I628" i="54"/>
  <c r="AI526" i="54"/>
  <c r="D729" i="54"/>
  <c r="U729" i="54"/>
  <c r="AP729" i="54"/>
  <c r="AK729" i="54"/>
  <c r="AD729" i="54"/>
  <c r="AQ729" i="54"/>
  <c r="X729" i="54"/>
  <c r="W729" i="54"/>
  <c r="Z729" i="54"/>
  <c r="V729" i="54"/>
  <c r="Z712" i="54"/>
  <c r="Z707" i="54"/>
  <c r="H845" i="57"/>
  <c r="Y845" i="57" s="1"/>
  <c r="Z736" i="54"/>
  <c r="I952" i="57"/>
  <c r="I954" i="57"/>
  <c r="H847" i="57"/>
  <c r="Y847" i="57" s="1"/>
  <c r="AE685" i="54"/>
  <c r="AE899" i="57" s="1"/>
  <c r="AE903" i="58" s="1"/>
  <c r="AD685" i="54"/>
  <c r="AD899" i="57" s="1"/>
  <c r="AD903" i="58" s="1"/>
  <c r="AU747" i="54"/>
  <c r="D965" i="57"/>
  <c r="D857" i="57"/>
  <c r="AU749" i="54"/>
  <c r="D967" i="57"/>
  <c r="D859" i="57"/>
  <c r="AU748" i="54"/>
  <c r="D858" i="57"/>
  <c r="D966" i="57"/>
  <c r="AE681" i="54"/>
  <c r="AE895" i="57" s="1"/>
  <c r="AE899" i="58" s="1"/>
  <c r="V895" i="57"/>
  <c r="V899" i="58" s="1"/>
  <c r="C970" i="57"/>
  <c r="C974" i="58" s="1"/>
  <c r="C862" i="57"/>
  <c r="AE683" i="54"/>
  <c r="V897" i="57"/>
  <c r="V901" i="58" s="1"/>
  <c r="AE677" i="54"/>
  <c r="V891" i="57"/>
  <c r="V895" i="58" s="1"/>
  <c r="AE680" i="54"/>
  <c r="AE894" i="57" s="1"/>
  <c r="AE898" i="58" s="1"/>
  <c r="V894" i="57"/>
  <c r="V898" i="58" s="1"/>
  <c r="AE682" i="54"/>
  <c r="V896" i="57"/>
  <c r="V900" i="58" s="1"/>
  <c r="AU750" i="54"/>
  <c r="D968" i="57"/>
  <c r="D860" i="57"/>
  <c r="C861" i="57"/>
  <c r="C969" i="57"/>
  <c r="C973" i="58" s="1"/>
  <c r="C863" i="57"/>
  <c r="C971" i="57"/>
  <c r="C975" i="58" s="1"/>
  <c r="AE679" i="54"/>
  <c r="V893" i="57"/>
  <c r="V897" i="58" s="1"/>
  <c r="AE686" i="54"/>
  <c r="V900" i="57"/>
  <c r="V904" i="58" s="1"/>
  <c r="AD684" i="54"/>
  <c r="AD898" i="57" s="1"/>
  <c r="AD902" i="58" s="1"/>
  <c r="V898" i="57"/>
  <c r="V902" i="58" s="1"/>
  <c r="AD687" i="54"/>
  <c r="AD901" i="57" s="1"/>
  <c r="AD905" i="58" s="1"/>
  <c r="V901" i="57"/>
  <c r="V905" i="58" s="1"/>
  <c r="C864" i="57"/>
  <c r="C865" i="57" s="1"/>
  <c r="C866" i="57" s="1"/>
  <c r="C972" i="57"/>
  <c r="C976" i="58" s="1"/>
  <c r="AO732" i="57"/>
  <c r="AP732" i="57"/>
  <c r="AP736" i="57"/>
  <c r="V736" i="57"/>
  <c r="AP733" i="57"/>
  <c r="W734" i="57"/>
  <c r="X734" i="57"/>
  <c r="U735" i="57"/>
  <c r="AO730" i="57"/>
  <c r="AP730" i="57"/>
  <c r="AO731" i="57"/>
  <c r="X731" i="57"/>
  <c r="AP737" i="57"/>
  <c r="X732" i="57"/>
  <c r="X736" i="57"/>
  <c r="W733" i="57"/>
  <c r="U733" i="57"/>
  <c r="V734" i="57"/>
  <c r="W735" i="57"/>
  <c r="X735" i="57"/>
  <c r="X730" i="57"/>
  <c r="V731" i="57"/>
  <c r="W737" i="57"/>
  <c r="U737" i="57"/>
  <c r="W732" i="57"/>
  <c r="AO736" i="57"/>
  <c r="AO733" i="57"/>
  <c r="X733" i="57"/>
  <c r="AP734" i="57"/>
  <c r="AO735" i="57"/>
  <c r="AP735" i="57"/>
  <c r="W730" i="57"/>
  <c r="AP731" i="57"/>
  <c r="AO737" i="57"/>
  <c r="X737" i="57"/>
  <c r="U732" i="57"/>
  <c r="V732" i="57"/>
  <c r="U736" i="57"/>
  <c r="W736" i="57"/>
  <c r="V733" i="57"/>
  <c r="U734" i="57"/>
  <c r="AO734" i="57"/>
  <c r="V735" i="57"/>
  <c r="U730" i="57"/>
  <c r="V730" i="57"/>
  <c r="W731" i="57"/>
  <c r="U731" i="57"/>
  <c r="V737" i="57"/>
  <c r="Q860" i="57"/>
  <c r="T858" i="57"/>
  <c r="T862" i="57"/>
  <c r="R861" i="57"/>
  <c r="R863" i="57"/>
  <c r="Q863" i="57"/>
  <c r="S864" i="57"/>
  <c r="T859" i="57"/>
  <c r="R858" i="57"/>
  <c r="R864" i="57"/>
  <c r="Q862" i="57"/>
  <c r="R857" i="57"/>
  <c r="R859" i="57"/>
  <c r="T864" i="57"/>
  <c r="S863" i="57"/>
  <c r="S861" i="57"/>
  <c r="S866" i="57"/>
  <c r="S859" i="57"/>
  <c r="Q858" i="57"/>
  <c r="Q864" i="57"/>
  <c r="S862" i="57"/>
  <c r="Q857" i="57"/>
  <c r="Q861" i="57"/>
  <c r="T863" i="57"/>
  <c r="S857" i="57"/>
  <c r="S860" i="57"/>
  <c r="R860" i="57"/>
  <c r="S858" i="57"/>
  <c r="R862" i="57"/>
  <c r="T857" i="57"/>
  <c r="T861" i="57"/>
  <c r="T860" i="57"/>
  <c r="Q859" i="57"/>
  <c r="R866" i="57"/>
  <c r="Q866" i="57"/>
  <c r="S865" i="57"/>
  <c r="Q865" i="57"/>
  <c r="R865" i="57"/>
  <c r="T866" i="57"/>
  <c r="T865" i="57"/>
  <c r="R869" i="57"/>
  <c r="R867" i="57"/>
  <c r="S869" i="57"/>
  <c r="S867" i="57"/>
  <c r="T869" i="57"/>
  <c r="T867" i="57"/>
  <c r="Q869" i="57"/>
  <c r="Q867" i="57"/>
  <c r="AP746" i="57"/>
  <c r="AP745" i="57"/>
  <c r="AO743" i="57"/>
  <c r="AO742" i="57"/>
  <c r="AO749" i="57"/>
  <c r="AO747" i="57"/>
  <c r="AO750" i="57"/>
  <c r="AP743" i="57"/>
  <c r="AP742" i="57"/>
  <c r="AP749" i="57"/>
  <c r="AP747" i="57"/>
  <c r="U750" i="57"/>
  <c r="AP744" i="57"/>
  <c r="AP748" i="57"/>
  <c r="AO746" i="57"/>
  <c r="AO745" i="57"/>
  <c r="AP750" i="57"/>
  <c r="AO744" i="57"/>
  <c r="AO748" i="57"/>
  <c r="W759" i="57"/>
  <c r="V759" i="57"/>
  <c r="AO752" i="57"/>
  <c r="W756" i="57"/>
  <c r="AP756" i="57"/>
  <c r="X753" i="57"/>
  <c r="W758" i="57"/>
  <c r="AP758" i="57"/>
  <c r="X761" i="57"/>
  <c r="W754" i="57"/>
  <c r="AP754" i="57"/>
  <c r="X757" i="57"/>
  <c r="W755" i="57"/>
  <c r="V755" i="57"/>
  <c r="X751" i="57"/>
  <c r="W760" i="57"/>
  <c r="AP760" i="57"/>
  <c r="AP759" i="57"/>
  <c r="AO759" i="57"/>
  <c r="U752" i="57"/>
  <c r="X756" i="57"/>
  <c r="V756" i="57"/>
  <c r="U753" i="57"/>
  <c r="X758" i="57"/>
  <c r="V758" i="57"/>
  <c r="U761" i="57"/>
  <c r="X754" i="57"/>
  <c r="V754" i="57"/>
  <c r="U757" i="57"/>
  <c r="AP755" i="57"/>
  <c r="AO755" i="57"/>
  <c r="U751" i="57"/>
  <c r="X760" i="57"/>
  <c r="V760" i="57"/>
  <c r="X759" i="57"/>
  <c r="W752" i="57"/>
  <c r="AP752" i="57"/>
  <c r="AO756" i="57"/>
  <c r="W753" i="57"/>
  <c r="V753" i="57"/>
  <c r="AO758" i="57"/>
  <c r="W761" i="57"/>
  <c r="V761" i="57"/>
  <c r="AO754" i="57"/>
  <c r="W757" i="57"/>
  <c r="V757" i="57"/>
  <c r="X755" i="57"/>
  <c r="W751" i="57"/>
  <c r="V751" i="57"/>
  <c r="AO760" i="57"/>
  <c r="U759" i="57"/>
  <c r="X752" i="57"/>
  <c r="V752" i="57"/>
  <c r="U756" i="57"/>
  <c r="AP753" i="57"/>
  <c r="AO753" i="57"/>
  <c r="U758" i="57"/>
  <c r="Y758" i="57" s="1"/>
  <c r="AP761" i="57"/>
  <c r="AO761" i="57"/>
  <c r="U754" i="57"/>
  <c r="Y754" i="57" s="1"/>
  <c r="AP757" i="57"/>
  <c r="AO757" i="57"/>
  <c r="U755" i="57"/>
  <c r="AP751" i="57"/>
  <c r="AO751" i="57"/>
  <c r="U760" i="57"/>
  <c r="Y760" i="57" s="1"/>
  <c r="V746" i="57"/>
  <c r="W742" i="57"/>
  <c r="V749" i="57"/>
  <c r="W745" i="57"/>
  <c r="V748" i="57"/>
  <c r="W750" i="57"/>
  <c r="V744" i="57"/>
  <c r="W743" i="57"/>
  <c r="V747" i="57"/>
  <c r="X748" i="57"/>
  <c r="X744" i="57"/>
  <c r="X747" i="57"/>
  <c r="U746" i="57"/>
  <c r="X746" i="57"/>
  <c r="U749" i="57"/>
  <c r="X749" i="57"/>
  <c r="U748" i="57"/>
  <c r="W746" i="57"/>
  <c r="V742" i="57"/>
  <c r="W749" i="57"/>
  <c r="V745" i="57"/>
  <c r="W748" i="57"/>
  <c r="V750" i="57"/>
  <c r="W744" i="57"/>
  <c r="V743" i="57"/>
  <c r="W747" i="57"/>
  <c r="U747" i="57"/>
  <c r="U742" i="57"/>
  <c r="X742" i="57"/>
  <c r="U745" i="57"/>
  <c r="X745" i="57"/>
  <c r="X750" i="57"/>
  <c r="U743" i="57"/>
  <c r="X743" i="57"/>
  <c r="U744" i="57"/>
  <c r="B235" i="57"/>
  <c r="B236" i="57"/>
  <c r="B237" i="57"/>
  <c r="AJ527" i="54"/>
  <c r="AK527" i="54"/>
  <c r="U527" i="54"/>
  <c r="AP527" i="54"/>
  <c r="AO527" i="54"/>
  <c r="W527" i="54"/>
  <c r="X527" i="54"/>
  <c r="V527" i="54"/>
  <c r="AP526" i="54"/>
  <c r="AO526" i="54"/>
  <c r="X526" i="54"/>
  <c r="U526" i="54"/>
  <c r="W526" i="54"/>
  <c r="AD683" i="54"/>
  <c r="AD897" i="57" s="1"/>
  <c r="AD901" i="58" s="1"/>
  <c r="AD677" i="54"/>
  <c r="AD891" i="57" s="1"/>
  <c r="AD895" i="58" s="1"/>
  <c r="Z687" i="54"/>
  <c r="Z901" i="57" s="1"/>
  <c r="Z905" i="58" s="1"/>
  <c r="AC748" i="54"/>
  <c r="D704" i="54"/>
  <c r="BV794" i="54"/>
  <c r="BV789" i="54"/>
  <c r="Z680" i="54"/>
  <c r="Z894" i="57" s="1"/>
  <c r="Z898" i="58" s="1"/>
  <c r="Z686" i="54"/>
  <c r="Z900" i="57" s="1"/>
  <c r="Z904" i="58" s="1"/>
  <c r="AC750" i="54"/>
  <c r="Z677" i="54"/>
  <c r="Z891" i="57" s="1"/>
  <c r="Z895" i="58" s="1"/>
  <c r="Z683" i="54"/>
  <c r="Z897" i="57" s="1"/>
  <c r="Z901" i="58" s="1"/>
  <c r="AD679" i="54"/>
  <c r="AD893" i="57" s="1"/>
  <c r="AD897" i="58" s="1"/>
  <c r="AC754" i="54"/>
  <c r="AC751" i="54"/>
  <c r="Z682" i="54"/>
  <c r="Z896" i="57" s="1"/>
  <c r="Z900" i="58" s="1"/>
  <c r="Z685" i="54"/>
  <c r="Z899" i="57" s="1"/>
  <c r="Z903" i="58" s="1"/>
  <c r="AD686" i="54"/>
  <c r="AD900" i="57" s="1"/>
  <c r="AD904" i="58" s="1"/>
  <c r="AE684" i="54"/>
  <c r="AE898" i="57" s="1"/>
  <c r="AE902" i="58" s="1"/>
  <c r="AC747" i="54"/>
  <c r="AC753" i="54"/>
  <c r="AC749" i="54"/>
  <c r="AC752" i="54"/>
  <c r="C857" i="58"/>
  <c r="C864" i="58"/>
  <c r="C861" i="58"/>
  <c r="C937" i="57"/>
  <c r="C941" i="58" s="1"/>
  <c r="C859" i="58"/>
  <c r="G685" i="54"/>
  <c r="D751" i="54"/>
  <c r="G681" i="54"/>
  <c r="D753" i="54"/>
  <c r="C863" i="58"/>
  <c r="Z679" i="54"/>
  <c r="Z893" i="57" s="1"/>
  <c r="Z897" i="58" s="1"/>
  <c r="Z684" i="54"/>
  <c r="Z898" i="57" s="1"/>
  <c r="Z902" i="58" s="1"/>
  <c r="C869" i="58"/>
  <c r="C870" i="58"/>
  <c r="G683" i="54"/>
  <c r="D754" i="54"/>
  <c r="C858" i="58"/>
  <c r="C868" i="58"/>
  <c r="C867" i="58"/>
  <c r="G687" i="54"/>
  <c r="D752" i="54"/>
  <c r="C860" i="58"/>
  <c r="C862" i="58"/>
  <c r="C866" i="58"/>
  <c r="C865" i="58"/>
  <c r="Z681" i="54"/>
  <c r="Z895" i="57" s="1"/>
  <c r="Z899" i="58" s="1"/>
  <c r="AE687" i="54"/>
  <c r="G667" i="54"/>
  <c r="AR667" i="54" s="1"/>
  <c r="G684" i="54"/>
  <c r="G680" i="54"/>
  <c r="G679" i="54"/>
  <c r="G682" i="54"/>
  <c r="G686" i="54"/>
  <c r="G677" i="54"/>
  <c r="V678" i="54"/>
  <c r="V892" i="57" s="1"/>
  <c r="V896" i="58" s="1"/>
  <c r="T678" i="54"/>
  <c r="T892" i="57" s="1"/>
  <c r="T896" i="58" s="1"/>
  <c r="AL678" i="54"/>
  <c r="AL892" i="57" s="1"/>
  <c r="AL896" i="58" s="1"/>
  <c r="AA678" i="54"/>
  <c r="AA892" i="57" s="1"/>
  <c r="AA896" i="58" s="1"/>
  <c r="U678" i="54"/>
  <c r="U892" i="57" s="1"/>
  <c r="U896" i="58" s="1"/>
  <c r="W678" i="54"/>
  <c r="W892" i="57" s="1"/>
  <c r="W896" i="58" s="1"/>
  <c r="AI678" i="54"/>
  <c r="AD682" i="54"/>
  <c r="AD896" i="57" s="1"/>
  <c r="AD900" i="58" s="1"/>
  <c r="AI488" i="54"/>
  <c r="G660" i="54"/>
  <c r="AR660" i="54" s="1"/>
  <c r="G676" i="54"/>
  <c r="G666" i="54"/>
  <c r="AR666" i="54" s="1"/>
  <c r="G656" i="54"/>
  <c r="G670" i="54"/>
  <c r="AR670" i="54" s="1"/>
  <c r="G658" i="54"/>
  <c r="AR658" i="54" s="1"/>
  <c r="G661" i="54"/>
  <c r="AR661" i="54" s="1"/>
  <c r="G663" i="54"/>
  <c r="AR663" i="54" s="1"/>
  <c r="AD680" i="54"/>
  <c r="AD894" i="57" s="1"/>
  <c r="AD898" i="58" s="1"/>
  <c r="G672" i="54"/>
  <c r="AR672" i="54" s="1"/>
  <c r="G662" i="54"/>
  <c r="AR662" i="54" s="1"/>
  <c r="G664" i="54"/>
  <c r="AR664" i="54" s="1"/>
  <c r="G657" i="54"/>
  <c r="AR657" i="54" s="1"/>
  <c r="D636" i="54"/>
  <c r="G673" i="54"/>
  <c r="AR673" i="54" s="1"/>
  <c r="G678" i="54"/>
  <c r="G668" i="54"/>
  <c r="AR668" i="54" s="1"/>
  <c r="G669" i="54"/>
  <c r="AR669" i="54" s="1"/>
  <c r="AD681" i="54"/>
  <c r="AD895" i="57" s="1"/>
  <c r="AD899" i="58" s="1"/>
  <c r="AI676" i="54"/>
  <c r="U676" i="54"/>
  <c r="U890" i="57" s="1"/>
  <c r="U894" i="58" s="1"/>
  <c r="V676" i="54"/>
  <c r="V890" i="57" s="1"/>
  <c r="V894" i="58" s="1"/>
  <c r="AL676" i="54"/>
  <c r="AL890" i="57" s="1"/>
  <c r="AL894" i="58" s="1"/>
  <c r="AA676" i="54"/>
  <c r="AA890" i="57" s="1"/>
  <c r="AA894" i="58" s="1"/>
  <c r="W676" i="54"/>
  <c r="W890" i="57" s="1"/>
  <c r="W894" i="58" s="1"/>
  <c r="T676" i="54"/>
  <c r="T890" i="57" s="1"/>
  <c r="T894" i="58" s="1"/>
  <c r="C843" i="57"/>
  <c r="T640" i="54"/>
  <c r="R640" i="54"/>
  <c r="S637" i="54"/>
  <c r="T637" i="54"/>
  <c r="Q637" i="54"/>
  <c r="R637" i="54"/>
  <c r="Q640" i="54"/>
  <c r="S641" i="54"/>
  <c r="T641" i="54"/>
  <c r="Q641" i="54"/>
  <c r="R641" i="54"/>
  <c r="AP534" i="54"/>
  <c r="Q646" i="54"/>
  <c r="S643" i="54"/>
  <c r="S645" i="54"/>
  <c r="Q642" i="54"/>
  <c r="Q649" i="54"/>
  <c r="S648" i="54"/>
  <c r="S647" i="54"/>
  <c r="S644" i="54"/>
  <c r="R646" i="54"/>
  <c r="T643" i="54"/>
  <c r="R645" i="54"/>
  <c r="S642" i="54"/>
  <c r="R649" i="54"/>
  <c r="Q648" i="54"/>
  <c r="T647" i="54"/>
  <c r="Q644" i="54"/>
  <c r="S646" i="54"/>
  <c r="Q643" i="54"/>
  <c r="T645" i="54"/>
  <c r="R642" i="54"/>
  <c r="T649" i="54"/>
  <c r="T648" i="54"/>
  <c r="Q647" i="54"/>
  <c r="T644" i="54"/>
  <c r="T646" i="54"/>
  <c r="R643" i="54"/>
  <c r="Q645" i="54"/>
  <c r="T642" i="54"/>
  <c r="S649" i="54"/>
  <c r="R648" i="54"/>
  <c r="R647" i="54"/>
  <c r="R644" i="54"/>
  <c r="AI561" i="54"/>
  <c r="D649" i="54"/>
  <c r="S640" i="54"/>
  <c r="I633" i="54"/>
  <c r="I634" i="54"/>
  <c r="G547" i="54"/>
  <c r="E638" i="54" s="1"/>
  <c r="D638" i="54"/>
  <c r="AI531" i="54"/>
  <c r="D628" i="54"/>
  <c r="AI552" i="54"/>
  <c r="D642" i="54"/>
  <c r="AI554" i="54"/>
  <c r="D644" i="54"/>
  <c r="AI558" i="54"/>
  <c r="D646" i="54"/>
  <c r="AI560" i="54"/>
  <c r="D648" i="54"/>
  <c r="AI553" i="54"/>
  <c r="D643" i="54"/>
  <c r="G530" i="54"/>
  <c r="E627" i="54" s="1"/>
  <c r="D627" i="54"/>
  <c r="G532" i="54"/>
  <c r="E629" i="54" s="1"/>
  <c r="D629" i="54"/>
  <c r="D633" i="54"/>
  <c r="D634" i="54"/>
  <c r="G694" i="54"/>
  <c r="AR694" i="54" s="1"/>
  <c r="D630" i="54"/>
  <c r="G693" i="54"/>
  <c r="AR693" i="54" s="1"/>
  <c r="D639" i="54"/>
  <c r="AI555" i="54"/>
  <c r="D645" i="54"/>
  <c r="AI559" i="54"/>
  <c r="D647" i="54"/>
  <c r="U540" i="54"/>
  <c r="AO540" i="54"/>
  <c r="V540" i="54"/>
  <c r="AP540" i="54"/>
  <c r="W540" i="54"/>
  <c r="X540" i="54"/>
  <c r="U533" i="54"/>
  <c r="V533" i="54"/>
  <c r="W533" i="54"/>
  <c r="AO533" i="54"/>
  <c r="X533" i="54"/>
  <c r="AP533" i="54"/>
  <c r="AP549" i="54"/>
  <c r="V549" i="54"/>
  <c r="U547" i="54"/>
  <c r="V547" i="54"/>
  <c r="W547" i="54"/>
  <c r="AO547" i="54"/>
  <c r="X547" i="54"/>
  <c r="AP547" i="54"/>
  <c r="U543" i="54"/>
  <c r="V543" i="54"/>
  <c r="W543" i="54"/>
  <c r="AO543" i="54"/>
  <c r="X543" i="54"/>
  <c r="AP543" i="54"/>
  <c r="U530" i="54"/>
  <c r="AO530" i="54"/>
  <c r="V530" i="54"/>
  <c r="AP530" i="54"/>
  <c r="W530" i="54"/>
  <c r="X530" i="54"/>
  <c r="U542" i="54"/>
  <c r="AO542" i="54"/>
  <c r="V542" i="54"/>
  <c r="AP542" i="54"/>
  <c r="W542" i="54"/>
  <c r="X542" i="54"/>
  <c r="U548" i="54"/>
  <c r="AO548" i="54"/>
  <c r="V548" i="54"/>
  <c r="AP548" i="54"/>
  <c r="W548" i="54"/>
  <c r="X548" i="54"/>
  <c r="U546" i="54"/>
  <c r="AO546" i="54"/>
  <c r="V546" i="54"/>
  <c r="AP546" i="54"/>
  <c r="W546" i="54"/>
  <c r="X546" i="54"/>
  <c r="U537" i="54"/>
  <c r="V537" i="54"/>
  <c r="W537" i="54"/>
  <c r="AO537" i="54"/>
  <c r="X537" i="54"/>
  <c r="AP537" i="54"/>
  <c r="U539" i="54"/>
  <c r="V539" i="54"/>
  <c r="W539" i="54"/>
  <c r="AO539" i="54"/>
  <c r="X539" i="54"/>
  <c r="AP539" i="54"/>
  <c r="U535" i="54"/>
  <c r="V535" i="54"/>
  <c r="W535" i="54"/>
  <c r="AO535" i="54"/>
  <c r="X535" i="54"/>
  <c r="AP535" i="54"/>
  <c r="L573" i="54"/>
  <c r="U553" i="54"/>
  <c r="W553" i="54"/>
  <c r="V557" i="54"/>
  <c r="U559" i="54"/>
  <c r="W559" i="54"/>
  <c r="V561" i="54"/>
  <c r="U558" i="54"/>
  <c r="X558" i="54"/>
  <c r="W552" i="54"/>
  <c r="U556" i="54"/>
  <c r="X556" i="54"/>
  <c r="V555" i="54"/>
  <c r="U560" i="54"/>
  <c r="X560" i="54"/>
  <c r="AO553" i="54"/>
  <c r="X553" i="54"/>
  <c r="AP557" i="54"/>
  <c r="AO559" i="54"/>
  <c r="X559" i="54"/>
  <c r="AP561" i="54"/>
  <c r="V558" i="54"/>
  <c r="AP558" i="54"/>
  <c r="AO552" i="54"/>
  <c r="V556" i="54"/>
  <c r="AP556" i="54"/>
  <c r="AP555" i="54"/>
  <c r="V560" i="54"/>
  <c r="AP560" i="54"/>
  <c r="AO554" i="54"/>
  <c r="X554" i="54"/>
  <c r="V553" i="54"/>
  <c r="U557" i="54"/>
  <c r="W557" i="54"/>
  <c r="V559" i="54"/>
  <c r="U561" i="54"/>
  <c r="W561" i="54"/>
  <c r="W558" i="54"/>
  <c r="U552" i="54"/>
  <c r="X552" i="54"/>
  <c r="W556" i="54"/>
  <c r="U555" i="54"/>
  <c r="W555" i="54"/>
  <c r="W560" i="54"/>
  <c r="U554" i="54"/>
  <c r="AP553" i="54"/>
  <c r="AO557" i="54"/>
  <c r="X557" i="54"/>
  <c r="AP559" i="54"/>
  <c r="AO561" i="54"/>
  <c r="X561" i="54"/>
  <c r="AO558" i="54"/>
  <c r="V552" i="54"/>
  <c r="AP552" i="54"/>
  <c r="AO556" i="54"/>
  <c r="AO555" i="54"/>
  <c r="X555" i="54"/>
  <c r="AO560" i="54"/>
  <c r="V554" i="54"/>
  <c r="AP554" i="54"/>
  <c r="W554" i="54"/>
  <c r="X549" i="54"/>
  <c r="U549" i="54"/>
  <c r="V534" i="54"/>
  <c r="U541" i="54"/>
  <c r="V541" i="54"/>
  <c r="W541" i="54"/>
  <c r="AO541" i="54"/>
  <c r="X541" i="54"/>
  <c r="AP541" i="54"/>
  <c r="U538" i="54"/>
  <c r="AO538" i="54"/>
  <c r="V538" i="54"/>
  <c r="AP538" i="54"/>
  <c r="W538" i="54"/>
  <c r="X538" i="54"/>
  <c r="U531" i="54"/>
  <c r="V531" i="54"/>
  <c r="W531" i="54"/>
  <c r="AO531" i="54"/>
  <c r="X531" i="54"/>
  <c r="AP531" i="54"/>
  <c r="X529" i="54"/>
  <c r="W529" i="54"/>
  <c r="V529" i="54"/>
  <c r="AP529" i="54"/>
  <c r="U529" i="54"/>
  <c r="AO529" i="54"/>
  <c r="U550" i="54"/>
  <c r="AO550" i="54"/>
  <c r="V550" i="54"/>
  <c r="AP550" i="54"/>
  <c r="W550" i="54"/>
  <c r="X550" i="54"/>
  <c r="U532" i="54"/>
  <c r="AO532" i="54"/>
  <c r="V532" i="54"/>
  <c r="AP532" i="54"/>
  <c r="W532" i="54"/>
  <c r="X532" i="54"/>
  <c r="U536" i="54"/>
  <c r="AO536" i="54"/>
  <c r="V536" i="54"/>
  <c r="AP536" i="54"/>
  <c r="W536" i="54"/>
  <c r="X536" i="54"/>
  <c r="AO549" i="54"/>
  <c r="X534" i="54"/>
  <c r="AO534" i="54"/>
  <c r="U545" i="54"/>
  <c r="V545" i="54"/>
  <c r="W545" i="54"/>
  <c r="AO545" i="54"/>
  <c r="X545" i="54"/>
  <c r="AP545" i="54"/>
  <c r="U544" i="54"/>
  <c r="AO544" i="54"/>
  <c r="V544" i="54"/>
  <c r="AP544" i="54"/>
  <c r="W544" i="54"/>
  <c r="X544" i="54"/>
  <c r="W549" i="54"/>
  <c r="W534" i="54"/>
  <c r="U534" i="54"/>
  <c r="Y572" i="54"/>
  <c r="O572" i="54"/>
  <c r="I572" i="54"/>
  <c r="N573" i="54"/>
  <c r="R573" i="54"/>
  <c r="O573" i="54"/>
  <c r="R572" i="54"/>
  <c r="P572" i="54"/>
  <c r="K572" i="54"/>
  <c r="T572" i="54" s="1"/>
  <c r="S572" i="54"/>
  <c r="M573" i="54"/>
  <c r="P573" i="54"/>
  <c r="K573" i="54"/>
  <c r="T573" i="54" s="1"/>
  <c r="M572" i="54"/>
  <c r="L572" i="54"/>
  <c r="C572" i="54"/>
  <c r="N572" i="54"/>
  <c r="F569" i="54"/>
  <c r="D573" i="54"/>
  <c r="I573" i="54"/>
  <c r="C573" i="54"/>
  <c r="B571" i="54"/>
  <c r="Q573" i="54"/>
  <c r="D572" i="54"/>
  <c r="F572" i="54"/>
  <c r="E572" i="54"/>
  <c r="S573" i="54"/>
  <c r="Y573" i="54"/>
  <c r="F573" i="54"/>
  <c r="E573" i="54"/>
  <c r="Q572" i="54"/>
  <c r="D719" i="54"/>
  <c r="AU719" i="54" s="1"/>
  <c r="D598" i="54"/>
  <c r="B243" i="54"/>
  <c r="B244" i="54"/>
  <c r="B242" i="54"/>
  <c r="U705" i="58"/>
  <c r="W705" i="58"/>
  <c r="W704" i="58"/>
  <c r="AQ692" i="58"/>
  <c r="T872" i="58"/>
  <c r="Q873" i="58"/>
  <c r="X705" i="58"/>
  <c r="AP705" i="58"/>
  <c r="V708" i="58"/>
  <c r="Z694" i="58"/>
  <c r="AB694" i="58" s="1"/>
  <c r="X697" i="58"/>
  <c r="W691" i="58"/>
  <c r="Y692" i="58"/>
  <c r="AA692" i="58" s="1"/>
  <c r="V695" i="58"/>
  <c r="W697" i="58"/>
  <c r="S872" i="58"/>
  <c r="R872" i="58"/>
  <c r="X704" i="58"/>
  <c r="AO708" i="58"/>
  <c r="V704" i="58"/>
  <c r="AP708" i="58"/>
  <c r="X708" i="58"/>
  <c r="AP703" i="58"/>
  <c r="V687" i="58"/>
  <c r="AP681" i="58"/>
  <c r="X693" i="58"/>
  <c r="W695" i="58"/>
  <c r="V705" i="58"/>
  <c r="Q872" i="58"/>
  <c r="AO705" i="58"/>
  <c r="U704" i="58"/>
  <c r="AO704" i="58"/>
  <c r="AQ704" i="58" s="1"/>
  <c r="Z696" i="58"/>
  <c r="AB696" i="58" s="1"/>
  <c r="U701" i="58"/>
  <c r="X701" i="58"/>
  <c r="AO689" i="58"/>
  <c r="V691" i="58"/>
  <c r="U693" i="58"/>
  <c r="AO682" i="58"/>
  <c r="V693" i="58"/>
  <c r="U697" i="58"/>
  <c r="W693" i="58"/>
  <c r="V697" i="58"/>
  <c r="AO688" i="58"/>
  <c r="U686" i="58"/>
  <c r="AP691" i="58"/>
  <c r="AO695" i="58"/>
  <c r="AP683" i="58"/>
  <c r="Y694" i="58"/>
  <c r="AA694" i="58" s="1"/>
  <c r="V681" i="58"/>
  <c r="V685" i="58"/>
  <c r="AO685" i="58"/>
  <c r="AO684" i="58"/>
  <c r="X682" i="58"/>
  <c r="AP677" i="58"/>
  <c r="AP688" i="58"/>
  <c r="AO691" i="58"/>
  <c r="AP695" i="58"/>
  <c r="AP684" i="58"/>
  <c r="U687" i="58"/>
  <c r="V688" i="58"/>
  <c r="AP697" i="58"/>
  <c r="V677" i="58"/>
  <c r="U691" i="58"/>
  <c r="AP678" i="58"/>
  <c r="X691" i="58"/>
  <c r="U695" i="58"/>
  <c r="AQ696" i="58"/>
  <c r="X679" i="58"/>
  <c r="AP693" i="58"/>
  <c r="X678" i="58"/>
  <c r="U681" i="58"/>
  <c r="AO693" i="58"/>
  <c r="X695" i="58"/>
  <c r="V689" i="58"/>
  <c r="W685" i="58"/>
  <c r="AO697" i="58"/>
  <c r="J1009" i="58"/>
  <c r="M1009" i="58"/>
  <c r="L1009" i="58"/>
  <c r="K1009" i="58"/>
  <c r="Q880" i="58"/>
  <c r="Q886" i="58"/>
  <c r="P880" i="58"/>
  <c r="S884" i="58"/>
  <c r="R882" i="58"/>
  <c r="Q888" i="58"/>
  <c r="R886" i="58"/>
  <c r="P884" i="58"/>
  <c r="R880" i="58"/>
  <c r="R884" i="58"/>
  <c r="R888" i="58"/>
  <c r="Q882" i="58"/>
  <c r="S880" i="58"/>
  <c r="P882" i="58"/>
  <c r="S888" i="58"/>
  <c r="P886" i="58"/>
  <c r="P888" i="58"/>
  <c r="Q884" i="58"/>
  <c r="S882" i="58"/>
  <c r="S886" i="58"/>
  <c r="Q986" i="58"/>
  <c r="T1003" i="58"/>
  <c r="T984" i="58"/>
  <c r="R988" i="58"/>
  <c r="S986" i="58"/>
  <c r="Q988" i="58"/>
  <c r="R1003" i="58"/>
  <c r="R982" i="58"/>
  <c r="S984" i="58"/>
  <c r="T988" i="58"/>
  <c r="T986" i="58"/>
  <c r="R977" i="58"/>
  <c r="R984" i="58"/>
  <c r="Q1003" i="58"/>
  <c r="T982" i="58"/>
  <c r="S988" i="58"/>
  <c r="T977" i="58"/>
  <c r="Q982" i="58"/>
  <c r="Q977" i="58"/>
  <c r="S1003" i="58"/>
  <c r="R986" i="58"/>
  <c r="S982" i="58"/>
  <c r="Q984" i="58"/>
  <c r="S977" i="58"/>
  <c r="R1004" i="58"/>
  <c r="AQ690" i="58"/>
  <c r="AO687" i="58"/>
  <c r="X689" i="58"/>
  <c r="V678" i="58"/>
  <c r="U684" i="58"/>
  <c r="V683" i="58"/>
  <c r="U683" i="58"/>
  <c r="T1004" i="58"/>
  <c r="S873" i="58"/>
  <c r="U709" i="58"/>
  <c r="U703" i="58"/>
  <c r="Y707" i="58"/>
  <c r="AA707" i="58" s="1"/>
  <c r="W709" i="58"/>
  <c r="V703" i="58"/>
  <c r="W701" i="58"/>
  <c r="W703" i="58"/>
  <c r="AO679" i="58"/>
  <c r="U677" i="58"/>
  <c r="U689" i="58"/>
  <c r="U685" i="58"/>
  <c r="AP679" i="58"/>
  <c r="AO677" i="58"/>
  <c r="AP689" i="58"/>
  <c r="AP685" i="58"/>
  <c r="U679" i="58"/>
  <c r="AQ694" i="58"/>
  <c r="W689" i="58"/>
  <c r="W678" i="58"/>
  <c r="U682" i="58"/>
  <c r="AO683" i="58"/>
  <c r="X683" i="58"/>
  <c r="I28" i="57"/>
  <c r="AC851" i="57" s="1"/>
  <c r="I28" i="58"/>
  <c r="Y759" i="54"/>
  <c r="V780" i="54"/>
  <c r="S1004" i="58"/>
  <c r="T873" i="58"/>
  <c r="R873" i="58"/>
  <c r="AO709" i="58"/>
  <c r="X709" i="58"/>
  <c r="V701" i="58"/>
  <c r="AO703" i="58"/>
  <c r="AO701" i="58"/>
  <c r="AO686" i="58"/>
  <c r="W679" i="58"/>
  <c r="V686" i="58"/>
  <c r="W687" i="58"/>
  <c r="Z692" i="58"/>
  <c r="AB692" i="58" s="1"/>
  <c r="V679" i="58"/>
  <c r="X677" i="58"/>
  <c r="W684" i="58"/>
  <c r="X687" i="58"/>
  <c r="X681" i="58"/>
  <c r="X684" i="58"/>
  <c r="W686" i="58"/>
  <c r="X686" i="58"/>
  <c r="AO681" i="58"/>
  <c r="X688" i="58"/>
  <c r="AP682" i="58"/>
  <c r="W683" i="58"/>
  <c r="I27" i="57"/>
  <c r="I27" i="58"/>
  <c r="AL908" i="58" s="1"/>
  <c r="AM908" i="58" s="1"/>
  <c r="P908" i="58" s="1"/>
  <c r="I29" i="57"/>
  <c r="AX962" i="57" s="1"/>
  <c r="I29" i="58"/>
  <c r="Q1004" i="58"/>
  <c r="U708" i="58"/>
  <c r="AQ706" i="58"/>
  <c r="W708" i="58"/>
  <c r="AP709" i="58"/>
  <c r="V709" i="58"/>
  <c r="AO678" i="58"/>
  <c r="V682" i="58"/>
  <c r="AP687" i="58"/>
  <c r="Y690" i="58"/>
  <c r="AA690" i="58" s="1"/>
  <c r="W681" i="58"/>
  <c r="W688" i="58"/>
  <c r="U678" i="58"/>
  <c r="W682" i="58"/>
  <c r="AP686" i="58"/>
  <c r="Z690" i="58"/>
  <c r="AB690" i="58" s="1"/>
  <c r="W677" i="58"/>
  <c r="U688" i="58"/>
  <c r="Y696" i="58"/>
  <c r="AA696" i="58" s="1"/>
  <c r="X685" i="58"/>
  <c r="V684" i="58"/>
  <c r="Z706" i="58"/>
  <c r="AB706" i="58" s="1"/>
  <c r="X703" i="58"/>
  <c r="Z700" i="58"/>
  <c r="AB700" i="58" s="1"/>
  <c r="Y706" i="58"/>
  <c r="AA706" i="58" s="1"/>
  <c r="AP701" i="58"/>
  <c r="I808" i="57"/>
  <c r="I385" i="57" s="1"/>
  <c r="J400" i="57" s="1"/>
  <c r="P400" i="57" s="1"/>
  <c r="F826" i="57"/>
  <c r="F418" i="57" s="1"/>
  <c r="E381" i="58"/>
  <c r="J826" i="57"/>
  <c r="J418" i="57" s="1"/>
  <c r="I381" i="58"/>
  <c r="E822" i="57"/>
  <c r="E414" i="57" s="1"/>
  <c r="F822" i="57"/>
  <c r="F823" i="57"/>
  <c r="F415" i="57" s="1"/>
  <c r="G822" i="57"/>
  <c r="G414" i="57" s="1"/>
  <c r="I807" i="57"/>
  <c r="I384" i="57" s="1"/>
  <c r="J823" i="57"/>
  <c r="J415" i="57" s="1"/>
  <c r="J822" i="57"/>
  <c r="J414" i="57" s="1"/>
  <c r="AQ700" i="58"/>
  <c r="AQ702" i="58"/>
  <c r="Y699" i="58"/>
  <c r="AA699" i="58" s="1"/>
  <c r="Y700" i="58"/>
  <c r="AA700" i="58" s="1"/>
  <c r="Z702" i="58"/>
  <c r="AB702" i="58" s="1"/>
  <c r="Z699" i="58"/>
  <c r="AB699" i="58" s="1"/>
  <c r="Z707" i="58"/>
  <c r="AB707" i="58" s="1"/>
  <c r="AQ699" i="58"/>
  <c r="AQ707" i="58"/>
  <c r="Y702" i="58"/>
  <c r="AA702" i="58" s="1"/>
  <c r="Y871" i="58"/>
  <c r="Z871" i="58" s="1"/>
  <c r="AB871" i="58"/>
  <c r="P871" i="58"/>
  <c r="X871" i="58"/>
  <c r="I871" i="58"/>
  <c r="R678" i="58"/>
  <c r="R679" i="58"/>
  <c r="R677" i="58"/>
  <c r="AC677" i="58" s="1"/>
  <c r="C760" i="58"/>
  <c r="C756" i="58"/>
  <c r="C748" i="58"/>
  <c r="C753" i="58"/>
  <c r="M748" i="58"/>
  <c r="M764" i="58"/>
  <c r="M760" i="58"/>
  <c r="M763" i="58"/>
  <c r="M773" i="58"/>
  <c r="M768" i="58"/>
  <c r="M745" i="58"/>
  <c r="C749" i="58"/>
  <c r="C758" i="58"/>
  <c r="M747" i="58"/>
  <c r="M770" i="58"/>
  <c r="M749" i="58"/>
  <c r="M786" i="58"/>
  <c r="M774" i="58"/>
  <c r="M766" i="58"/>
  <c r="N746" i="58"/>
  <c r="L746" i="58"/>
  <c r="P746" i="58"/>
  <c r="M752" i="58"/>
  <c r="M759" i="58"/>
  <c r="M744" i="58"/>
  <c r="C747" i="58"/>
  <c r="C755" i="58"/>
  <c r="C754" i="58"/>
  <c r="M785" i="58"/>
  <c r="M756" i="58"/>
  <c r="M765" i="58"/>
  <c r="M767" i="58"/>
  <c r="M757" i="58"/>
  <c r="AT888" i="58"/>
  <c r="AN888" i="58"/>
  <c r="AV888" i="58"/>
  <c r="M751" i="58"/>
  <c r="C757" i="58"/>
  <c r="C750" i="58"/>
  <c r="M772" i="58"/>
  <c r="M783" i="58"/>
  <c r="M769" i="58"/>
  <c r="M771" i="58"/>
  <c r="M784" i="58"/>
  <c r="M758" i="58"/>
  <c r="M754" i="58"/>
  <c r="M755" i="58"/>
  <c r="G600" i="54"/>
  <c r="H810" i="57" s="1"/>
  <c r="H387" i="57" s="1"/>
  <c r="H807" i="57"/>
  <c r="H384" i="57" s="1"/>
  <c r="G599" i="54"/>
  <c r="H809" i="57" s="1"/>
  <c r="H386" i="57" s="1"/>
  <c r="H806" i="57"/>
  <c r="H383" i="57" s="1"/>
  <c r="I396" i="57" s="1"/>
  <c r="E599" i="54"/>
  <c r="F809" i="57" s="1"/>
  <c r="F386" i="57" s="1"/>
  <c r="F806" i="57"/>
  <c r="F383" i="57" s="1"/>
  <c r="G396" i="57" s="1"/>
  <c r="D599" i="54"/>
  <c r="E806" i="57"/>
  <c r="E383" i="57" s="1"/>
  <c r="F396" i="57" s="1"/>
  <c r="AA607" i="54"/>
  <c r="K822" i="57"/>
  <c r="AA608" i="54"/>
  <c r="K823" i="57"/>
  <c r="K415" i="57" s="1"/>
  <c r="G601" i="54"/>
  <c r="H808" i="57"/>
  <c r="H385" i="57" s="1"/>
  <c r="C599" i="54"/>
  <c r="D809" i="57" s="1"/>
  <c r="D386" i="57" s="1"/>
  <c r="E405" i="57" s="1"/>
  <c r="D806" i="57"/>
  <c r="D383" i="57" s="1"/>
  <c r="E396" i="57" s="1"/>
  <c r="D600" i="54"/>
  <c r="E807" i="57"/>
  <c r="E384" i="57" s="1"/>
  <c r="AA609" i="54"/>
  <c r="K826" i="57"/>
  <c r="K418" i="57" s="1"/>
  <c r="G881" i="57"/>
  <c r="AR880" i="57"/>
  <c r="O777" i="57"/>
  <c r="R777" i="57"/>
  <c r="Q777" i="57"/>
  <c r="X776" i="57"/>
  <c r="K776" i="57"/>
  <c r="Y776" i="57"/>
  <c r="E776" i="57"/>
  <c r="C776" i="57"/>
  <c r="N776" i="57"/>
  <c r="O776" i="57"/>
  <c r="S776" i="57"/>
  <c r="R776" i="57"/>
  <c r="Q776" i="57"/>
  <c r="M776" i="57"/>
  <c r="D776" i="57"/>
  <c r="F776" i="57"/>
  <c r="P777" i="57"/>
  <c r="K777" i="57"/>
  <c r="X777" i="57"/>
  <c r="Y777" i="57"/>
  <c r="V777" i="57"/>
  <c r="S777" i="57"/>
  <c r="C777" i="57"/>
  <c r="E777" i="57"/>
  <c r="M777" i="57"/>
  <c r="D777" i="57"/>
  <c r="F777" i="57"/>
  <c r="N777" i="57"/>
  <c r="C842" i="57"/>
  <c r="C949" i="57"/>
  <c r="C953" i="58" s="1"/>
  <c r="C925" i="57"/>
  <c r="C929" i="58" s="1"/>
  <c r="AU721" i="54"/>
  <c r="D939" i="57"/>
  <c r="AU722" i="54"/>
  <c r="D940" i="57"/>
  <c r="C958" i="57"/>
  <c r="C962" i="58" s="1"/>
  <c r="C851" i="57"/>
  <c r="C931" i="57"/>
  <c r="C935" i="58" s="1"/>
  <c r="AU705" i="54"/>
  <c r="D923" i="57"/>
  <c r="AU728" i="54"/>
  <c r="D946" i="57"/>
  <c r="C930" i="57"/>
  <c r="C934" i="58" s="1"/>
  <c r="Y940" i="57"/>
  <c r="Y944" i="58" s="1"/>
  <c r="P754" i="58" s="1"/>
  <c r="AD724" i="54"/>
  <c r="I942" i="57"/>
  <c r="AZ942" i="57" s="1"/>
  <c r="Z738" i="54"/>
  <c r="I956" i="57"/>
  <c r="AZ956" i="57" s="1"/>
  <c r="H849" i="57"/>
  <c r="Y849" i="57" s="1"/>
  <c r="Y943" i="57"/>
  <c r="Y947" i="58" s="1"/>
  <c r="P757" i="58" s="1"/>
  <c r="Z717" i="54"/>
  <c r="I935" i="57"/>
  <c r="AZ935" i="57" s="1"/>
  <c r="V728" i="54"/>
  <c r="I946" i="57"/>
  <c r="AZ946" i="57" s="1"/>
  <c r="Z715" i="54"/>
  <c r="I933" i="57"/>
  <c r="AZ933" i="57" s="1"/>
  <c r="C962" i="57"/>
  <c r="C966" i="58" s="1"/>
  <c r="C855" i="57"/>
  <c r="C935" i="57"/>
  <c r="C939" i="58" s="1"/>
  <c r="C936" i="57"/>
  <c r="C940" i="58" s="1"/>
  <c r="AP962" i="57"/>
  <c r="AK962" i="57"/>
  <c r="U962" i="57"/>
  <c r="AD962" i="57"/>
  <c r="V962" i="57"/>
  <c r="X962" i="57"/>
  <c r="W962" i="57"/>
  <c r="Z962" i="57"/>
  <c r="I848" i="57"/>
  <c r="Z848" i="57"/>
  <c r="AB848" i="57"/>
  <c r="X848" i="57"/>
  <c r="AK960" i="57"/>
  <c r="AD960" i="57"/>
  <c r="U960" i="57"/>
  <c r="AP960" i="57"/>
  <c r="Z960" i="57"/>
  <c r="W960" i="57"/>
  <c r="V960" i="57"/>
  <c r="X960" i="57"/>
  <c r="C961" i="57"/>
  <c r="C965" i="58" s="1"/>
  <c r="C854" i="57"/>
  <c r="Z739" i="54"/>
  <c r="I957" i="57"/>
  <c r="AZ957" i="57" s="1"/>
  <c r="H850" i="57"/>
  <c r="Y850" i="57" s="1"/>
  <c r="Z716" i="54"/>
  <c r="I934" i="57"/>
  <c r="AZ934" i="57" s="1"/>
  <c r="W727" i="54"/>
  <c r="I945" i="57"/>
  <c r="AZ945" i="57" s="1"/>
  <c r="V705" i="54"/>
  <c r="I923" i="57"/>
  <c r="AZ923" i="57" s="1"/>
  <c r="Z723" i="54"/>
  <c r="I941" i="57"/>
  <c r="AZ941" i="57" s="1"/>
  <c r="Z743" i="54"/>
  <c r="H854" i="57"/>
  <c r="Y854" i="57" s="1"/>
  <c r="I961" i="57"/>
  <c r="AZ961" i="57" s="1"/>
  <c r="AU726" i="54"/>
  <c r="D944" i="57"/>
  <c r="AU715" i="54"/>
  <c r="D933" i="57"/>
  <c r="C956" i="57"/>
  <c r="C960" i="58" s="1"/>
  <c r="C849" i="57"/>
  <c r="C932" i="57"/>
  <c r="C936" i="58" s="1"/>
  <c r="C957" i="57"/>
  <c r="C961" i="58" s="1"/>
  <c r="C850" i="57"/>
  <c r="Z745" i="54"/>
  <c r="H856" i="57"/>
  <c r="Y856" i="57" s="1"/>
  <c r="I963" i="57"/>
  <c r="AZ963" i="57" s="1"/>
  <c r="Z721" i="54"/>
  <c r="I939" i="57"/>
  <c r="AZ939" i="57" s="1"/>
  <c r="Z726" i="54"/>
  <c r="I944" i="57"/>
  <c r="AZ944" i="57" s="1"/>
  <c r="V718" i="54"/>
  <c r="I936" i="57"/>
  <c r="AZ936" i="57" s="1"/>
  <c r="H846" i="57"/>
  <c r="Y846" i="57" s="1"/>
  <c r="I953" i="57"/>
  <c r="AZ953" i="57" s="1"/>
  <c r="U959" i="57"/>
  <c r="AD959" i="57"/>
  <c r="AK959" i="57"/>
  <c r="AP959" i="57"/>
  <c r="V959" i="57"/>
  <c r="X959" i="57"/>
  <c r="W959" i="57"/>
  <c r="Z959" i="57"/>
  <c r="I851" i="57"/>
  <c r="Z851" i="57"/>
  <c r="AB851" i="57"/>
  <c r="X851" i="57"/>
  <c r="C924" i="57"/>
  <c r="C928" i="58" s="1"/>
  <c r="C923" i="57"/>
  <c r="C927" i="58" s="1"/>
  <c r="AU723" i="54"/>
  <c r="D941" i="57"/>
  <c r="C922" i="57"/>
  <c r="C926" i="58" s="1"/>
  <c r="AU724" i="54"/>
  <c r="D942" i="57"/>
  <c r="C929" i="57"/>
  <c r="C933" i="58" s="1"/>
  <c r="C963" i="57"/>
  <c r="C967" i="58" s="1"/>
  <c r="C869" i="57"/>
  <c r="C846" i="57"/>
  <c r="C953" i="57"/>
  <c r="C957" i="58" s="1"/>
  <c r="C945" i="57"/>
  <c r="C949" i="58" s="1"/>
  <c r="Z725" i="54"/>
  <c r="I943" i="57"/>
  <c r="AZ943" i="57" s="1"/>
  <c r="W719" i="54"/>
  <c r="I937" i="57"/>
  <c r="AZ937" i="57" s="1"/>
  <c r="Y944" i="57"/>
  <c r="Y948" i="58" s="1"/>
  <c r="P758" i="58" s="1"/>
  <c r="V722" i="54"/>
  <c r="I940" i="57"/>
  <c r="AZ940" i="57" s="1"/>
  <c r="X855" i="57"/>
  <c r="AB855" i="57"/>
  <c r="I855" i="57"/>
  <c r="Z855" i="57"/>
  <c r="B56" i="54"/>
  <c r="B53" i="57"/>
  <c r="B60" i="54"/>
  <c r="B57" i="57"/>
  <c r="F56" i="54"/>
  <c r="F53" i="57"/>
  <c r="B246" i="54"/>
  <c r="B245" i="54"/>
  <c r="B249" i="54"/>
  <c r="B240" i="54"/>
  <c r="B238" i="54"/>
  <c r="B239" i="54"/>
  <c r="B247" i="54"/>
  <c r="B237" i="54"/>
  <c r="B241" i="54"/>
  <c r="B57" i="54"/>
  <c r="B54" i="57"/>
  <c r="B63" i="54"/>
  <c r="B60" i="57"/>
  <c r="B59" i="54"/>
  <c r="B56" i="57"/>
  <c r="B62" i="54"/>
  <c r="B59" i="57"/>
  <c r="B58" i="54"/>
  <c r="B55" i="57"/>
  <c r="B61" i="54"/>
  <c r="B58" i="57"/>
  <c r="B242" i="57"/>
  <c r="B232" i="57"/>
  <c r="B239" i="57"/>
  <c r="B233" i="57"/>
  <c r="B240" i="57"/>
  <c r="B230" i="57"/>
  <c r="B234" i="57"/>
  <c r="B231" i="57"/>
  <c r="B238" i="57"/>
  <c r="AI511" i="54"/>
  <c r="F57" i="54"/>
  <c r="F54" i="57"/>
  <c r="F63" i="54"/>
  <c r="F60" i="57"/>
  <c r="AI510" i="54"/>
  <c r="AE505" i="54"/>
  <c r="AE504" i="54"/>
  <c r="AE487" i="54"/>
  <c r="AC512" i="54"/>
  <c r="AE494" i="54"/>
  <c r="AE486" i="54"/>
  <c r="AC490" i="54"/>
  <c r="AI506" i="54"/>
  <c r="AE511" i="54"/>
  <c r="W510" i="54"/>
  <c r="V510" i="54"/>
  <c r="AO510" i="54"/>
  <c r="U510" i="54"/>
  <c r="AP510" i="54"/>
  <c r="X510" i="54"/>
  <c r="U511" i="54"/>
  <c r="W511" i="54"/>
  <c r="V511" i="54"/>
  <c r="X511" i="54"/>
  <c r="AP511" i="54"/>
  <c r="AO511" i="54"/>
  <c r="AE510" i="54"/>
  <c r="AK511" i="54"/>
  <c r="AJ511" i="54"/>
  <c r="AJ510" i="54"/>
  <c r="AK510" i="54"/>
  <c r="G695" i="54"/>
  <c r="AR695" i="54" s="1"/>
  <c r="D744" i="54"/>
  <c r="D870" i="58" s="1"/>
  <c r="V744" i="54"/>
  <c r="AC744" i="54" s="1"/>
  <c r="X772" i="57"/>
  <c r="Y772" i="57"/>
  <c r="K772" i="57"/>
  <c r="AN744" i="54"/>
  <c r="AI744" i="54"/>
  <c r="AL744" i="54"/>
  <c r="AO744" i="54"/>
  <c r="AM744" i="54"/>
  <c r="AJ489" i="54"/>
  <c r="AK489" i="54"/>
  <c r="AJ548" i="54"/>
  <c r="AK548" i="54"/>
  <c r="AJ542" i="54"/>
  <c r="AK542" i="54"/>
  <c r="AE550" i="54"/>
  <c r="AJ541" i="54"/>
  <c r="AK541" i="54"/>
  <c r="AJ545" i="54"/>
  <c r="AK545" i="54"/>
  <c r="AJ538" i="54"/>
  <c r="AK538" i="54"/>
  <c r="AJ531" i="54"/>
  <c r="AK531" i="54"/>
  <c r="AE532" i="54"/>
  <c r="AE534" i="54"/>
  <c r="AE503" i="54"/>
  <c r="AJ500" i="54"/>
  <c r="AK500" i="54"/>
  <c r="AJ536" i="54"/>
  <c r="AK536" i="54"/>
  <c r="AE517" i="54"/>
  <c r="AJ493" i="54"/>
  <c r="AK493" i="54"/>
  <c r="AJ515" i="54"/>
  <c r="AK515" i="54"/>
  <c r="AJ550" i="54"/>
  <c r="AK550" i="54"/>
  <c r="AE537" i="54"/>
  <c r="AJ547" i="54"/>
  <c r="AK547" i="54"/>
  <c r="AE498" i="54"/>
  <c r="AC498" i="54"/>
  <c r="U569" i="54" s="1"/>
  <c r="AD498" i="54"/>
  <c r="V569" i="54" s="1"/>
  <c r="AE512" i="54"/>
  <c r="AE516" i="54"/>
  <c r="AC516" i="54"/>
  <c r="U572" i="54" s="1"/>
  <c r="AD516" i="54"/>
  <c r="V572" i="54" s="1"/>
  <c r="AJ492" i="54"/>
  <c r="AK492" i="54"/>
  <c r="AJ522" i="54"/>
  <c r="AK522" i="54"/>
  <c r="AJ498" i="54"/>
  <c r="AK498" i="54"/>
  <c r="AJ524" i="54"/>
  <c r="AK524" i="54"/>
  <c r="AJ499" i="54"/>
  <c r="AK499" i="54"/>
  <c r="AE497" i="54"/>
  <c r="AC497" i="54"/>
  <c r="U568" i="54" s="1"/>
  <c r="AD497" i="54"/>
  <c r="V568" i="54" s="1"/>
  <c r="AE493" i="54"/>
  <c r="AC493" i="54"/>
  <c r="AD493" i="54"/>
  <c r="AE496" i="54"/>
  <c r="AE515" i="54"/>
  <c r="AJ496" i="54"/>
  <c r="AK496" i="54"/>
  <c r="AJ523" i="54"/>
  <c r="AK523" i="54"/>
  <c r="AE530" i="54"/>
  <c r="AE540" i="54"/>
  <c r="AE542" i="54"/>
  <c r="AE533" i="54"/>
  <c r="AJ539" i="54"/>
  <c r="AK539" i="54"/>
  <c r="AJ530" i="54"/>
  <c r="AK530" i="54"/>
  <c r="AE547" i="54"/>
  <c r="AE541" i="54"/>
  <c r="AE545" i="54"/>
  <c r="AE543" i="54"/>
  <c r="AE538" i="54"/>
  <c r="AE544" i="54"/>
  <c r="AE531" i="54"/>
  <c r="AJ501" i="54"/>
  <c r="AK501" i="54"/>
  <c r="AJ503" i="54"/>
  <c r="AK503" i="54"/>
  <c r="AE500" i="54"/>
  <c r="AD515" i="54"/>
  <c r="AC517" i="54"/>
  <c r="U573" i="54" s="1"/>
  <c r="AE495" i="54"/>
  <c r="AE491" i="54"/>
  <c r="AD491" i="54"/>
  <c r="AC491" i="54"/>
  <c r="AE506" i="54"/>
  <c r="AE488" i="54"/>
  <c r="AJ507" i="54"/>
  <c r="AK507" i="54"/>
  <c r="AK486" i="54"/>
  <c r="AJ486" i="54"/>
  <c r="AJ516" i="54"/>
  <c r="AK516" i="54"/>
  <c r="AJ529" i="54"/>
  <c r="AK529" i="54"/>
  <c r="AE539" i="54"/>
  <c r="AE509" i="54"/>
  <c r="AC509" i="54"/>
  <c r="AD509" i="54"/>
  <c r="AE514" i="54"/>
  <c r="AJ525" i="54"/>
  <c r="AK525" i="54"/>
  <c r="AJ505" i="54"/>
  <c r="AK505" i="54"/>
  <c r="AJ495" i="54"/>
  <c r="AK495" i="54"/>
  <c r="AJ508" i="54"/>
  <c r="AK508" i="54"/>
  <c r="AJ490" i="54"/>
  <c r="AK490" i="54"/>
  <c r="AJ509" i="54"/>
  <c r="AK509" i="54"/>
  <c r="AE508" i="54"/>
  <c r="AD508" i="54"/>
  <c r="V570" i="54" s="1"/>
  <c r="AC508" i="54"/>
  <c r="U570" i="54" s="1"/>
  <c r="AE489" i="54"/>
  <c r="AE492" i="54"/>
  <c r="AD492" i="54"/>
  <c r="AC492" i="54"/>
  <c r="AJ520" i="54"/>
  <c r="AK520" i="54"/>
  <c r="AJ491" i="54"/>
  <c r="AK491" i="54"/>
  <c r="AE529" i="54"/>
  <c r="AE499" i="54"/>
  <c r="AD499" i="54"/>
  <c r="AC499" i="54"/>
  <c r="AE490" i="54"/>
  <c r="AE507" i="54"/>
  <c r="AE513" i="54"/>
  <c r="AJ514" i="54"/>
  <c r="AK514" i="54"/>
  <c r="AJ517" i="54"/>
  <c r="AK517" i="54"/>
  <c r="AJ521" i="54"/>
  <c r="AK521" i="54"/>
  <c r="AJ497" i="54"/>
  <c r="AK497" i="54"/>
  <c r="AJ488" i="54"/>
  <c r="AK488" i="54"/>
  <c r="AJ512" i="54"/>
  <c r="AK512" i="54"/>
  <c r="AJ518" i="54"/>
  <c r="AK518" i="54"/>
  <c r="AJ506" i="54"/>
  <c r="AK506" i="54"/>
  <c r="AJ487" i="54"/>
  <c r="AK487" i="54"/>
  <c r="AJ513" i="54"/>
  <c r="AK513" i="54"/>
  <c r="AJ519" i="54"/>
  <c r="AK519" i="54"/>
  <c r="AJ504" i="54"/>
  <c r="AK504" i="54"/>
  <c r="AJ494" i="54"/>
  <c r="AK494" i="54"/>
  <c r="AJ546" i="54"/>
  <c r="AK546" i="54"/>
  <c r="AJ537" i="54"/>
  <c r="AK537" i="54"/>
  <c r="AJ535" i="54"/>
  <c r="AK535" i="54"/>
  <c r="AJ532" i="54"/>
  <c r="AK532" i="54"/>
  <c r="AE548" i="54"/>
  <c r="AE501" i="54"/>
  <c r="AJ502" i="54"/>
  <c r="AK502" i="54"/>
  <c r="AE536" i="54"/>
  <c r="AC515" i="54"/>
  <c r="AD517" i="54"/>
  <c r="V573" i="54" s="1"/>
  <c r="AJ540" i="54"/>
  <c r="AK540" i="54"/>
  <c r="AJ533" i="54"/>
  <c r="AK533" i="54"/>
  <c r="AE546" i="54"/>
  <c r="AE535" i="54"/>
  <c r="AJ543" i="54"/>
  <c r="AK543" i="54"/>
  <c r="AJ544" i="54"/>
  <c r="AK544" i="54"/>
  <c r="AJ534" i="54"/>
  <c r="AK534" i="54"/>
  <c r="AE502" i="54"/>
  <c r="AD512" i="54"/>
  <c r="AD490" i="54"/>
  <c r="Z704" i="54"/>
  <c r="AD514" i="54"/>
  <c r="AC514" i="54"/>
  <c r="AD513" i="54"/>
  <c r="AC513" i="54"/>
  <c r="BV779" i="54"/>
  <c r="G759" i="54"/>
  <c r="R779" i="54"/>
  <c r="BU779" i="54"/>
  <c r="V779" i="54" s="1"/>
  <c r="N759" i="54"/>
  <c r="I779" i="54"/>
  <c r="U500" i="54"/>
  <c r="V500" i="54"/>
  <c r="X500" i="54"/>
  <c r="W500" i="54"/>
  <c r="X499" i="54"/>
  <c r="U499" i="54"/>
  <c r="V499" i="54"/>
  <c r="W499" i="54"/>
  <c r="U490" i="54"/>
  <c r="V490" i="54"/>
  <c r="W490" i="54"/>
  <c r="X490" i="54"/>
  <c r="U494" i="54"/>
  <c r="V494" i="54"/>
  <c r="W494" i="54"/>
  <c r="X494" i="54"/>
  <c r="X491" i="54"/>
  <c r="U491" i="54"/>
  <c r="V491" i="54"/>
  <c r="W491" i="54"/>
  <c r="U492" i="54"/>
  <c r="W492" i="54"/>
  <c r="V492" i="54"/>
  <c r="X492" i="54"/>
  <c r="X521" i="54"/>
  <c r="U521" i="54"/>
  <c r="V521" i="54"/>
  <c r="W521" i="54"/>
  <c r="V522" i="54"/>
  <c r="X522" i="54"/>
  <c r="U522" i="54"/>
  <c r="W522" i="54"/>
  <c r="U516" i="54"/>
  <c r="V516" i="54"/>
  <c r="W516" i="54"/>
  <c r="X516" i="54"/>
  <c r="U498" i="54"/>
  <c r="X498" i="54"/>
  <c r="V498" i="54"/>
  <c r="W498" i="54"/>
  <c r="W513" i="54"/>
  <c r="U513" i="54"/>
  <c r="V513" i="54"/>
  <c r="X513" i="54"/>
  <c r="U503" i="54"/>
  <c r="V503" i="54"/>
  <c r="X503" i="54"/>
  <c r="W503" i="54"/>
  <c r="W519" i="54"/>
  <c r="U519" i="54"/>
  <c r="V519" i="54"/>
  <c r="X519" i="54"/>
  <c r="U520" i="54"/>
  <c r="V520" i="54"/>
  <c r="W520" i="54"/>
  <c r="X520" i="54"/>
  <c r="U486" i="54"/>
  <c r="W486" i="54"/>
  <c r="X486" i="54"/>
  <c r="U507" i="54"/>
  <c r="V507" i="54"/>
  <c r="W507" i="54"/>
  <c r="X507" i="54"/>
  <c r="U512" i="54"/>
  <c r="W512" i="54"/>
  <c r="V512" i="54"/>
  <c r="X512" i="54"/>
  <c r="V514" i="54"/>
  <c r="W514" i="54"/>
  <c r="U514" i="54"/>
  <c r="X514" i="54"/>
  <c r="V518" i="54"/>
  <c r="X518" i="54"/>
  <c r="U518" i="54"/>
  <c r="W518" i="54"/>
  <c r="U505" i="54"/>
  <c r="V505" i="54"/>
  <c r="X505" i="54"/>
  <c r="W505" i="54"/>
  <c r="X495" i="54"/>
  <c r="U495" i="54"/>
  <c r="V495" i="54"/>
  <c r="W495" i="54"/>
  <c r="U496" i="54"/>
  <c r="V496" i="54"/>
  <c r="X496" i="54"/>
  <c r="W496" i="54"/>
  <c r="U501" i="54"/>
  <c r="V501" i="54"/>
  <c r="X501" i="54"/>
  <c r="W501" i="54"/>
  <c r="U509" i="54"/>
  <c r="V509" i="54"/>
  <c r="X509" i="54"/>
  <c r="W509" i="54"/>
  <c r="U504" i="54"/>
  <c r="V504" i="54"/>
  <c r="X504" i="54"/>
  <c r="W504" i="54"/>
  <c r="X487" i="54"/>
  <c r="U487" i="54"/>
  <c r="V487" i="54"/>
  <c r="W487" i="54"/>
  <c r="X525" i="54"/>
  <c r="U525" i="54"/>
  <c r="V525" i="54"/>
  <c r="W525" i="54"/>
  <c r="U517" i="54"/>
  <c r="V517" i="54"/>
  <c r="W517" i="54"/>
  <c r="X517" i="54"/>
  <c r="V508" i="54"/>
  <c r="U508" i="54"/>
  <c r="W508" i="54"/>
  <c r="X508" i="54"/>
  <c r="W497" i="54"/>
  <c r="U497" i="54"/>
  <c r="V497" i="54"/>
  <c r="X497" i="54"/>
  <c r="W489" i="54"/>
  <c r="U489" i="54"/>
  <c r="V489" i="54"/>
  <c r="X489" i="54"/>
  <c r="W493" i="54"/>
  <c r="U493" i="54"/>
  <c r="V493" i="54"/>
  <c r="X493" i="54"/>
  <c r="U506" i="54"/>
  <c r="V506" i="54"/>
  <c r="W506" i="54"/>
  <c r="X506" i="54"/>
  <c r="U488" i="54"/>
  <c r="V488" i="54"/>
  <c r="X488" i="54"/>
  <c r="W488" i="54"/>
  <c r="X524" i="54"/>
  <c r="V524" i="54"/>
  <c r="W524" i="54"/>
  <c r="U524" i="54"/>
  <c r="W523" i="54"/>
  <c r="U523" i="54"/>
  <c r="V523" i="54"/>
  <c r="X523" i="54"/>
  <c r="X515" i="54"/>
  <c r="U515" i="54"/>
  <c r="V515" i="54"/>
  <c r="W515" i="54"/>
  <c r="V502" i="54"/>
  <c r="U502" i="54"/>
  <c r="X502" i="54"/>
  <c r="W502" i="54"/>
  <c r="Z735" i="54"/>
  <c r="X735" i="54"/>
  <c r="V717" i="54"/>
  <c r="U715" i="54"/>
  <c r="AP715" i="54"/>
  <c r="AK728" i="54"/>
  <c r="AD717" i="54"/>
  <c r="X715" i="54"/>
  <c r="AD715" i="54"/>
  <c r="U778" i="54"/>
  <c r="AK715" i="54"/>
  <c r="X728" i="54"/>
  <c r="W715" i="54"/>
  <c r="AQ715" i="54"/>
  <c r="AP728" i="54"/>
  <c r="V715" i="54"/>
  <c r="AI549" i="54"/>
  <c r="G549" i="54"/>
  <c r="E640" i="54" s="1"/>
  <c r="F617" i="54"/>
  <c r="D267" i="54"/>
  <c r="F282" i="54" s="1"/>
  <c r="AD716" i="54"/>
  <c r="Z695" i="54"/>
  <c r="W694" i="54"/>
  <c r="AI694" i="54"/>
  <c r="U694" i="54"/>
  <c r="V694" i="54"/>
  <c r="AA694" i="54"/>
  <c r="T694" i="54"/>
  <c r="AK694" i="54"/>
  <c r="AJ694" i="54" s="1"/>
  <c r="AK704" i="54"/>
  <c r="V719" i="54"/>
  <c r="I30" i="54"/>
  <c r="AW694" i="54" s="1"/>
  <c r="Q373" i="4"/>
  <c r="I31" i="54"/>
  <c r="AW691" i="54" s="1"/>
  <c r="Q374" i="4"/>
  <c r="I32" i="54"/>
  <c r="AW693" i="54" s="1"/>
  <c r="Q375" i="4"/>
  <c r="AO489" i="54"/>
  <c r="AP489" i="54"/>
  <c r="AO524" i="54"/>
  <c r="AP524" i="54"/>
  <c r="AO508" i="54"/>
  <c r="AP508" i="54"/>
  <c r="AO493" i="54"/>
  <c r="AP493" i="54"/>
  <c r="AO488" i="54"/>
  <c r="AP488" i="54"/>
  <c r="AO523" i="54"/>
  <c r="AP523" i="54"/>
  <c r="AO515" i="54"/>
  <c r="AP515" i="54"/>
  <c r="AO500" i="54"/>
  <c r="AP500" i="54"/>
  <c r="AO499" i="54"/>
  <c r="AP499" i="54"/>
  <c r="AO490" i="54"/>
  <c r="AP490" i="54"/>
  <c r="AO514" i="54"/>
  <c r="AP514" i="54"/>
  <c r="AO517" i="54"/>
  <c r="AP517" i="54"/>
  <c r="AO497" i="54"/>
  <c r="AP497" i="54"/>
  <c r="AO506" i="54"/>
  <c r="AP506" i="54"/>
  <c r="AO519" i="54"/>
  <c r="AP519" i="54"/>
  <c r="AO520" i="54"/>
  <c r="AP520" i="54"/>
  <c r="AP486" i="54"/>
  <c r="AO507" i="54"/>
  <c r="AP507" i="54"/>
  <c r="AO512" i="54"/>
  <c r="AP512" i="54"/>
  <c r="AO518" i="54"/>
  <c r="AP518" i="54"/>
  <c r="AO505" i="54"/>
  <c r="AP505" i="54"/>
  <c r="AO494" i="54"/>
  <c r="AP494" i="54"/>
  <c r="AO495" i="54"/>
  <c r="AP495" i="54"/>
  <c r="AO491" i="54"/>
  <c r="AP491" i="54"/>
  <c r="AO492" i="54"/>
  <c r="AP492" i="54"/>
  <c r="AO521" i="54"/>
  <c r="AP521" i="54"/>
  <c r="AO496" i="54"/>
  <c r="AP496" i="54"/>
  <c r="AO522" i="54"/>
  <c r="AP522" i="54"/>
  <c r="AO501" i="54"/>
  <c r="AP501" i="54"/>
  <c r="AO502" i="54"/>
  <c r="AP502" i="54"/>
  <c r="AO516" i="54"/>
  <c r="AP516" i="54"/>
  <c r="AO509" i="54"/>
  <c r="AP509" i="54"/>
  <c r="AO498" i="54"/>
  <c r="AP498" i="54"/>
  <c r="AO504" i="54"/>
  <c r="AP504" i="54"/>
  <c r="AO487" i="54"/>
  <c r="AP487" i="54"/>
  <c r="AO525" i="54"/>
  <c r="AP525" i="54"/>
  <c r="AO513" i="54"/>
  <c r="AP513" i="54"/>
  <c r="AO503" i="54"/>
  <c r="AP503" i="54"/>
  <c r="C608" i="54"/>
  <c r="E616" i="54"/>
  <c r="X704" i="54"/>
  <c r="W726" i="54"/>
  <c r="BV788" i="54"/>
  <c r="D831" i="54"/>
  <c r="D837" i="54"/>
  <c r="O838" i="54"/>
  <c r="D836" i="54"/>
  <c r="BV793" i="54"/>
  <c r="D840" i="54"/>
  <c r="W717" i="54"/>
  <c r="X726" i="54"/>
  <c r="X721" i="54"/>
  <c r="Y641" i="54"/>
  <c r="Z641" i="54" s="1"/>
  <c r="AD726" i="54"/>
  <c r="W721" i="54"/>
  <c r="T697" i="54"/>
  <c r="AQ721" i="54"/>
  <c r="AK721" i="54"/>
  <c r="AK726" i="54"/>
  <c r="U726" i="54"/>
  <c r="AP726" i="54"/>
  <c r="V721" i="54"/>
  <c r="AD721" i="54"/>
  <c r="AQ726" i="54"/>
  <c r="V726" i="54"/>
  <c r="X718" i="54"/>
  <c r="U721" i="54"/>
  <c r="AP721" i="54"/>
  <c r="AK725" i="54"/>
  <c r="AP725" i="54"/>
  <c r="V725" i="54"/>
  <c r="BD858" i="54"/>
  <c r="AJ866" i="54"/>
  <c r="AD727" i="54"/>
  <c r="AU858" i="54"/>
  <c r="AD866" i="54"/>
  <c r="BF858" i="54"/>
  <c r="AL866" i="54"/>
  <c r="AQ723" i="54"/>
  <c r="AW858" i="54"/>
  <c r="AF866" i="54"/>
  <c r="V723" i="54"/>
  <c r="AK705" i="54"/>
  <c r="U723" i="54"/>
  <c r="AD723" i="54"/>
  <c r="T689" i="54"/>
  <c r="AQ727" i="54"/>
  <c r="X723" i="54"/>
  <c r="AP723" i="54"/>
  <c r="AK723" i="54"/>
  <c r="W723" i="54"/>
  <c r="X705" i="54"/>
  <c r="AA689" i="54"/>
  <c r="W716" i="54"/>
  <c r="AI689" i="54"/>
  <c r="AK716" i="54"/>
  <c r="U689" i="54"/>
  <c r="V697" i="54"/>
  <c r="U725" i="54"/>
  <c r="U697" i="54"/>
  <c r="W725" i="54"/>
  <c r="AA697" i="54"/>
  <c r="AQ725" i="54"/>
  <c r="AD725" i="54"/>
  <c r="W689" i="54"/>
  <c r="AI525" i="54"/>
  <c r="AI486" i="54"/>
  <c r="AQ719" i="54"/>
  <c r="AQ704" i="54"/>
  <c r="V704" i="54"/>
  <c r="U724" i="54"/>
  <c r="AQ717" i="54"/>
  <c r="W704" i="54"/>
  <c r="AD704" i="54"/>
  <c r="U716" i="54"/>
  <c r="U717" i="54"/>
  <c r="AP717" i="54"/>
  <c r="X722" i="54"/>
  <c r="AK717" i="54"/>
  <c r="U704" i="54"/>
  <c r="AP704" i="54"/>
  <c r="V716" i="54"/>
  <c r="X717" i="54"/>
  <c r="G525" i="54"/>
  <c r="E728" i="54" s="1"/>
  <c r="E946" i="57" s="1"/>
  <c r="E950" i="58" s="1"/>
  <c r="E760" i="58" s="1"/>
  <c r="G486" i="54"/>
  <c r="P641" i="54"/>
  <c r="AQ724" i="54"/>
  <c r="AK722" i="54"/>
  <c r="AK718" i="54"/>
  <c r="W718" i="54"/>
  <c r="AD718" i="54"/>
  <c r="U727" i="54"/>
  <c r="V727" i="54"/>
  <c r="U719" i="54"/>
  <c r="AP719" i="54"/>
  <c r="U705" i="54"/>
  <c r="AD705" i="54"/>
  <c r="W728" i="54"/>
  <c r="W722" i="54"/>
  <c r="AD722" i="54"/>
  <c r="X724" i="54"/>
  <c r="V724" i="54"/>
  <c r="Z724" i="54"/>
  <c r="Z727" i="54"/>
  <c r="Z719" i="54"/>
  <c r="Z705" i="54"/>
  <c r="Z718" i="54"/>
  <c r="Z728" i="54"/>
  <c r="Z722" i="54"/>
  <c r="AB641" i="54"/>
  <c r="AK724" i="54"/>
  <c r="AQ722" i="54"/>
  <c r="AQ718" i="54"/>
  <c r="U718" i="54"/>
  <c r="AP718" i="54"/>
  <c r="X727" i="54"/>
  <c r="AP727" i="54"/>
  <c r="X719" i="54"/>
  <c r="AD719" i="54"/>
  <c r="W705" i="54"/>
  <c r="AP705" i="54"/>
  <c r="U728" i="54"/>
  <c r="U722" i="54"/>
  <c r="AP722" i="54"/>
  <c r="W724" i="54"/>
  <c r="AP724" i="54"/>
  <c r="AI697" i="54"/>
  <c r="W697" i="54"/>
  <c r="V689" i="54"/>
  <c r="AK727" i="54"/>
  <c r="AK719" i="54"/>
  <c r="AQ705" i="54"/>
  <c r="AQ728" i="54"/>
  <c r="AQ716" i="54"/>
  <c r="X725" i="54"/>
  <c r="X716" i="54"/>
  <c r="AP716" i="54"/>
  <c r="AD728" i="54"/>
  <c r="I794" i="54"/>
  <c r="BU794" i="54"/>
  <c r="R794" i="54"/>
  <c r="V775" i="54"/>
  <c r="U775" i="54"/>
  <c r="I788" i="54"/>
  <c r="BU788" i="54"/>
  <c r="R788" i="54"/>
  <c r="V777" i="54"/>
  <c r="U777" i="54"/>
  <c r="I789" i="54"/>
  <c r="BU789" i="54"/>
  <c r="R789" i="54"/>
  <c r="I793" i="54"/>
  <c r="BU793" i="54"/>
  <c r="R793" i="54"/>
  <c r="G689" i="54"/>
  <c r="AR689" i="54" s="1"/>
  <c r="D739" i="54"/>
  <c r="D865" i="58" s="1"/>
  <c r="AP735" i="54"/>
  <c r="AD735" i="54"/>
  <c r="V735" i="54"/>
  <c r="U735" i="54"/>
  <c r="W735" i="54"/>
  <c r="AP742" i="54"/>
  <c r="V742" i="54"/>
  <c r="AD742" i="54"/>
  <c r="W742" i="54"/>
  <c r="X742" i="54"/>
  <c r="U742" i="54"/>
  <c r="AP732" i="54"/>
  <c r="AD732" i="54"/>
  <c r="X732" i="54"/>
  <c r="V732" i="54"/>
  <c r="U732" i="54"/>
  <c r="W732" i="54"/>
  <c r="AP709" i="54"/>
  <c r="AD709" i="54"/>
  <c r="X709" i="54"/>
  <c r="U709" i="54"/>
  <c r="V709" i="54"/>
  <c r="W709" i="54"/>
  <c r="AP710" i="54"/>
  <c r="AD710" i="54"/>
  <c r="V710" i="54"/>
  <c r="W710" i="54"/>
  <c r="X710" i="54"/>
  <c r="U710" i="54"/>
  <c r="AP738" i="54"/>
  <c r="AD738" i="54"/>
  <c r="W738" i="54"/>
  <c r="X738" i="54"/>
  <c r="U738" i="54"/>
  <c r="V738" i="54"/>
  <c r="AP736" i="54"/>
  <c r="V736" i="54"/>
  <c r="AD736" i="54"/>
  <c r="W736" i="54"/>
  <c r="X736" i="54"/>
  <c r="U736" i="54"/>
  <c r="AP733" i="54"/>
  <c r="AD733" i="54"/>
  <c r="V733" i="54"/>
  <c r="W733" i="54"/>
  <c r="X733" i="54"/>
  <c r="U733" i="54"/>
  <c r="AP714" i="54"/>
  <c r="AD714" i="54"/>
  <c r="X714" i="54"/>
  <c r="V714" i="54"/>
  <c r="U714" i="54"/>
  <c r="W714" i="54"/>
  <c r="AP713" i="54"/>
  <c r="AD713" i="54"/>
  <c r="W713" i="54"/>
  <c r="X713" i="54"/>
  <c r="U713" i="54"/>
  <c r="V713" i="54"/>
  <c r="AP706" i="54"/>
  <c r="AD706" i="54"/>
  <c r="V706" i="54"/>
  <c r="W706" i="54"/>
  <c r="U706" i="54"/>
  <c r="X706" i="54"/>
  <c r="AP745" i="54"/>
  <c r="AD745" i="54"/>
  <c r="W745" i="54"/>
  <c r="X745" i="54"/>
  <c r="U745" i="54"/>
  <c r="V745" i="54"/>
  <c r="AP741" i="54"/>
  <c r="AD741" i="54"/>
  <c r="X741" i="54"/>
  <c r="V741" i="54"/>
  <c r="U741" i="54"/>
  <c r="W741" i="54"/>
  <c r="AP737" i="54"/>
  <c r="V737" i="54"/>
  <c r="U737" i="54"/>
  <c r="W737" i="54"/>
  <c r="X737" i="54"/>
  <c r="AD737" i="54"/>
  <c r="AP740" i="54"/>
  <c r="AD740" i="54"/>
  <c r="W740" i="54"/>
  <c r="X740" i="54"/>
  <c r="U740" i="54"/>
  <c r="V740" i="54"/>
  <c r="AD708" i="54"/>
  <c r="W708" i="54"/>
  <c r="AP708" i="54"/>
  <c r="X708" i="54"/>
  <c r="U708" i="54"/>
  <c r="V708" i="54"/>
  <c r="AD720" i="54"/>
  <c r="AP720" i="54"/>
  <c r="V720" i="54"/>
  <c r="U720" i="54"/>
  <c r="W720" i="54"/>
  <c r="X720" i="54"/>
  <c r="AD707" i="54"/>
  <c r="AP707" i="54"/>
  <c r="V707" i="54"/>
  <c r="W707" i="54"/>
  <c r="X707" i="54"/>
  <c r="U707" i="54"/>
  <c r="AP731" i="54"/>
  <c r="AD731" i="54"/>
  <c r="W731" i="54"/>
  <c r="X731" i="54"/>
  <c r="U731" i="54"/>
  <c r="V731" i="54"/>
  <c r="AP734" i="54"/>
  <c r="V734" i="54"/>
  <c r="U734" i="54"/>
  <c r="AD734" i="54"/>
  <c r="W734" i="54"/>
  <c r="X734" i="54"/>
  <c r="AP739" i="54"/>
  <c r="AD739" i="54"/>
  <c r="V739" i="54"/>
  <c r="W739" i="54"/>
  <c r="X739" i="54"/>
  <c r="U739" i="54"/>
  <c r="AD712" i="54"/>
  <c r="AP712" i="54"/>
  <c r="X712" i="54"/>
  <c r="U712" i="54"/>
  <c r="V712" i="54"/>
  <c r="W712" i="54"/>
  <c r="AD711" i="54"/>
  <c r="AP711" i="54"/>
  <c r="W711" i="54"/>
  <c r="X711" i="54"/>
  <c r="V711" i="54"/>
  <c r="U711" i="54"/>
  <c r="AP743" i="54"/>
  <c r="V743" i="54"/>
  <c r="U743" i="54"/>
  <c r="W743" i="54"/>
  <c r="X743" i="54"/>
  <c r="AD743" i="54"/>
  <c r="AK740" i="54"/>
  <c r="AK708" i="54"/>
  <c r="AQ708" i="54"/>
  <c r="AQ707" i="54"/>
  <c r="AK707" i="54"/>
  <c r="AK731" i="54"/>
  <c r="AK734" i="54"/>
  <c r="AK739" i="54"/>
  <c r="AK712" i="54"/>
  <c r="AQ712" i="54"/>
  <c r="AQ711" i="54"/>
  <c r="AK711" i="54"/>
  <c r="AK743" i="54"/>
  <c r="AK737" i="54"/>
  <c r="AK735" i="54"/>
  <c r="AK742" i="54"/>
  <c r="AK732" i="54"/>
  <c r="AK709" i="54"/>
  <c r="AQ709" i="54"/>
  <c r="AQ710" i="54"/>
  <c r="AK710" i="54"/>
  <c r="AK741" i="54"/>
  <c r="AK720" i="54"/>
  <c r="AQ720" i="54"/>
  <c r="AK738" i="54"/>
  <c r="AK736" i="54"/>
  <c r="AK733" i="54"/>
  <c r="AQ714" i="54"/>
  <c r="AK714" i="54"/>
  <c r="AK713" i="54"/>
  <c r="AQ713" i="54"/>
  <c r="AQ706" i="54"/>
  <c r="AK706" i="54"/>
  <c r="AK745" i="54"/>
  <c r="AL670" i="54"/>
  <c r="V670" i="54"/>
  <c r="T670" i="54"/>
  <c r="W670" i="54"/>
  <c r="U670" i="54"/>
  <c r="W673" i="54"/>
  <c r="U673" i="54"/>
  <c r="V673" i="54"/>
  <c r="T673" i="54"/>
  <c r="W690" i="54"/>
  <c r="U690" i="54"/>
  <c r="V690" i="54"/>
  <c r="T690" i="54"/>
  <c r="V693" i="54"/>
  <c r="T693" i="54"/>
  <c r="W693" i="54"/>
  <c r="U693" i="54"/>
  <c r="AL664" i="54"/>
  <c r="W664" i="54"/>
  <c r="U664" i="54"/>
  <c r="V664" i="54"/>
  <c r="T664" i="54"/>
  <c r="AL658" i="54"/>
  <c r="V658" i="54"/>
  <c r="T658" i="54"/>
  <c r="W658" i="54"/>
  <c r="U658" i="54"/>
  <c r="AL661" i="54"/>
  <c r="W661" i="54"/>
  <c r="U661" i="54"/>
  <c r="V661" i="54"/>
  <c r="T661" i="54"/>
  <c r="W696" i="54"/>
  <c r="U696" i="54"/>
  <c r="V696" i="54"/>
  <c r="T696" i="54"/>
  <c r="V688" i="54"/>
  <c r="T688" i="54"/>
  <c r="W688" i="54"/>
  <c r="U688" i="54"/>
  <c r="AL659" i="54"/>
  <c r="V659" i="54"/>
  <c r="T659" i="54"/>
  <c r="W659" i="54"/>
  <c r="U659" i="54"/>
  <c r="AL665" i="54"/>
  <c r="W665" i="54"/>
  <c r="U665" i="54"/>
  <c r="V665" i="54"/>
  <c r="T665" i="54"/>
  <c r="AL657" i="54"/>
  <c r="W657" i="54"/>
  <c r="U657" i="54"/>
  <c r="V657" i="54"/>
  <c r="T657" i="54"/>
  <c r="V656" i="54"/>
  <c r="T656" i="54"/>
  <c r="W656" i="54"/>
  <c r="U656" i="54"/>
  <c r="AL663" i="54"/>
  <c r="V663" i="54"/>
  <c r="T663" i="54"/>
  <c r="W663" i="54"/>
  <c r="U663" i="54"/>
  <c r="AL660" i="54"/>
  <c r="W660" i="54"/>
  <c r="U660" i="54"/>
  <c r="V660" i="54"/>
  <c r="T660" i="54"/>
  <c r="AL662" i="54"/>
  <c r="V662" i="54"/>
  <c r="T662" i="54"/>
  <c r="W662" i="54"/>
  <c r="U662" i="54"/>
  <c r="V692" i="54"/>
  <c r="T692" i="54"/>
  <c r="W692" i="54"/>
  <c r="U692" i="54"/>
  <c r="W691" i="54"/>
  <c r="U691" i="54"/>
  <c r="V691" i="54"/>
  <c r="T691" i="54"/>
  <c r="V671" i="54"/>
  <c r="T671" i="54"/>
  <c r="W671" i="54"/>
  <c r="U671" i="54"/>
  <c r="AL672" i="54"/>
  <c r="W672" i="54"/>
  <c r="U672" i="54"/>
  <c r="V672" i="54"/>
  <c r="T672" i="54"/>
  <c r="AL656" i="54"/>
  <c r="AI500" i="54"/>
  <c r="AA670" i="54"/>
  <c r="AI670" i="54"/>
  <c r="AA673" i="54"/>
  <c r="AI673" i="54"/>
  <c r="AA690" i="54"/>
  <c r="AI690" i="54"/>
  <c r="AA693" i="54"/>
  <c r="AI693" i="54"/>
  <c r="AA664" i="54"/>
  <c r="AI664" i="54"/>
  <c r="AA658" i="54"/>
  <c r="AI658" i="54"/>
  <c r="AA661" i="54"/>
  <c r="AI661" i="54"/>
  <c r="AA696" i="54"/>
  <c r="AI696" i="54"/>
  <c r="AA688" i="54"/>
  <c r="AI688" i="54"/>
  <c r="AA659" i="54"/>
  <c r="AI659" i="54"/>
  <c r="AA665" i="54"/>
  <c r="AI665" i="54"/>
  <c r="AA657" i="54"/>
  <c r="AI657" i="54"/>
  <c r="AA656" i="54"/>
  <c r="AI656" i="54"/>
  <c r="AA663" i="54"/>
  <c r="AI663" i="54"/>
  <c r="AA660" i="54"/>
  <c r="AI660" i="54"/>
  <c r="AA662" i="54"/>
  <c r="AI662" i="54"/>
  <c r="AA692" i="54"/>
  <c r="AI692" i="54"/>
  <c r="AA691" i="54"/>
  <c r="AI691" i="54"/>
  <c r="AA671" i="54"/>
  <c r="AI671" i="54"/>
  <c r="AA672" i="54"/>
  <c r="AI672" i="54"/>
  <c r="AI520" i="54"/>
  <c r="G520" i="54"/>
  <c r="E723" i="54" s="1"/>
  <c r="E941" i="57" s="1"/>
  <c r="E945" i="58" s="1"/>
  <c r="E755" i="58" s="1"/>
  <c r="AR671" i="54"/>
  <c r="G690" i="54"/>
  <c r="AR690" i="54" s="1"/>
  <c r="G696" i="54"/>
  <c r="AR696" i="54" s="1"/>
  <c r="AI545" i="54"/>
  <c r="G691" i="54"/>
  <c r="AR691" i="54" s="1"/>
  <c r="D706" i="54"/>
  <c r="AI501" i="54"/>
  <c r="D707" i="54"/>
  <c r="AI502" i="54"/>
  <c r="AR659" i="54"/>
  <c r="G692" i="54"/>
  <c r="AR692" i="54" s="1"/>
  <c r="G688" i="54"/>
  <c r="AR688" i="54" s="1"/>
  <c r="AI503" i="54"/>
  <c r="AR665" i="54"/>
  <c r="AI496" i="54"/>
  <c r="P632" i="54"/>
  <c r="X635" i="54"/>
  <c r="AI519" i="54"/>
  <c r="G496" i="54"/>
  <c r="G494" i="54"/>
  <c r="E708" i="54" s="1"/>
  <c r="E926" i="57" s="1"/>
  <c r="E930" i="58" s="1"/>
  <c r="E746" i="58" s="1"/>
  <c r="AI521" i="54"/>
  <c r="G518" i="54"/>
  <c r="E721" i="54" s="1"/>
  <c r="E939" i="57" s="1"/>
  <c r="E943" i="58" s="1"/>
  <c r="E753" i="58" s="1"/>
  <c r="G489" i="54"/>
  <c r="G523" i="54"/>
  <c r="E726" i="54" s="1"/>
  <c r="E944" i="57" s="1"/>
  <c r="E948" i="58" s="1"/>
  <c r="E758" i="58" s="1"/>
  <c r="AI518" i="54"/>
  <c r="Y636" i="54"/>
  <c r="Z636" i="54" s="1"/>
  <c r="AB636" i="54"/>
  <c r="G521" i="54"/>
  <c r="E724" i="54" s="1"/>
  <c r="E942" i="57" s="1"/>
  <c r="E946" i="58" s="1"/>
  <c r="E756" i="58" s="1"/>
  <c r="AI523" i="54"/>
  <c r="AI489" i="54"/>
  <c r="X632" i="54"/>
  <c r="Y632" i="54"/>
  <c r="Z632" i="54" s="1"/>
  <c r="G519" i="54"/>
  <c r="E722" i="54" s="1"/>
  <c r="E940" i="57" s="1"/>
  <c r="E944" i="58" s="1"/>
  <c r="E754" i="58" s="1"/>
  <c r="P638" i="54"/>
  <c r="AB635" i="54"/>
  <c r="P629" i="54"/>
  <c r="Y629" i="54"/>
  <c r="Z629" i="54" s="1"/>
  <c r="AI504" i="54"/>
  <c r="X629" i="54"/>
  <c r="D718" i="54"/>
  <c r="D710" i="54"/>
  <c r="D716" i="54"/>
  <c r="G522" i="54"/>
  <c r="E725" i="54" s="1"/>
  <c r="E943" i="57" s="1"/>
  <c r="E947" i="58" s="1"/>
  <c r="E757" i="58" s="1"/>
  <c r="D725" i="54"/>
  <c r="G501" i="54"/>
  <c r="H674" i="54" s="1"/>
  <c r="D712" i="54"/>
  <c r="G502" i="54"/>
  <c r="H659" i="54" s="1"/>
  <c r="D713" i="54"/>
  <c r="D717" i="54"/>
  <c r="G524" i="54"/>
  <c r="E727" i="54" s="1"/>
  <c r="E945" i="57" s="1"/>
  <c r="E949" i="58" s="1"/>
  <c r="E759" i="58" s="1"/>
  <c r="D727" i="54"/>
  <c r="G503" i="54"/>
  <c r="H665" i="54" s="1"/>
  <c r="D714" i="54"/>
  <c r="Y634" i="54"/>
  <c r="Z634" i="54" s="1"/>
  <c r="P637" i="54"/>
  <c r="X636" i="54"/>
  <c r="P635" i="54"/>
  <c r="AB627" i="54"/>
  <c r="D709" i="54"/>
  <c r="G488" i="54"/>
  <c r="H660" i="54" s="1"/>
  <c r="AI524" i="54"/>
  <c r="AI522" i="54"/>
  <c r="G543" i="54"/>
  <c r="Y637" i="54"/>
  <c r="Z637" i="54" s="1"/>
  <c r="AB637" i="54"/>
  <c r="AI507" i="54"/>
  <c r="AI487" i="54"/>
  <c r="P630" i="54"/>
  <c r="X626" i="54"/>
  <c r="G495" i="54"/>
  <c r="E709" i="54" s="1"/>
  <c r="E927" i="57" s="1"/>
  <c r="E931" i="58" s="1"/>
  <c r="E747" i="58" s="1"/>
  <c r="G487" i="54"/>
  <c r="G545" i="54"/>
  <c r="AB631" i="54"/>
  <c r="X627" i="54"/>
  <c r="P631" i="54"/>
  <c r="X628" i="54"/>
  <c r="Y628" i="54"/>
  <c r="Z628" i="54" s="1"/>
  <c r="AB630" i="54"/>
  <c r="Y638" i="54"/>
  <c r="Z638" i="54" s="1"/>
  <c r="G500" i="54"/>
  <c r="H657" i="54" s="1"/>
  <c r="X630" i="54"/>
  <c r="X638" i="54"/>
  <c r="P627" i="54"/>
  <c r="X631" i="54"/>
  <c r="P628" i="54"/>
  <c r="AB628" i="54"/>
  <c r="D708" i="54"/>
  <c r="Y626" i="54"/>
  <c r="Z626" i="54" s="1"/>
  <c r="D731" i="54"/>
  <c r="D857" i="58" s="1"/>
  <c r="D711" i="54"/>
  <c r="D732" i="54"/>
  <c r="D858" i="58" s="1"/>
  <c r="D742" i="54"/>
  <c r="D868" i="58" s="1"/>
  <c r="D734" i="54"/>
  <c r="D860" i="58" s="1"/>
  <c r="D733" i="54"/>
  <c r="D859" i="58" s="1"/>
  <c r="D740" i="54"/>
  <c r="D866" i="58" s="1"/>
  <c r="G531" i="54"/>
  <c r="E628" i="54" s="1"/>
  <c r="AI529" i="54"/>
  <c r="AI536" i="54"/>
  <c r="D743" i="54"/>
  <c r="D869" i="58" s="1"/>
  <c r="D737" i="54"/>
  <c r="D863" i="58" s="1"/>
  <c r="X633" i="54"/>
  <c r="P626" i="54"/>
  <c r="Y633" i="54"/>
  <c r="Z633" i="54" s="1"/>
  <c r="D738" i="54"/>
  <c r="D864" i="58" s="1"/>
  <c r="G529" i="54"/>
  <c r="E626" i="54" s="1"/>
  <c r="D745" i="54"/>
  <c r="D735" i="54"/>
  <c r="D861" i="58" s="1"/>
  <c r="D741" i="54"/>
  <c r="D867" i="58" s="1"/>
  <c r="D736" i="54"/>
  <c r="D862" i="58" s="1"/>
  <c r="P633" i="54"/>
  <c r="G539" i="54"/>
  <c r="E632" i="54" s="1"/>
  <c r="AI539" i="54"/>
  <c r="AI508" i="54"/>
  <c r="X570" i="54" s="1"/>
  <c r="G548" i="54"/>
  <c r="AI548" i="54"/>
  <c r="G537" i="54"/>
  <c r="G546" i="54"/>
  <c r="E637" i="54" s="1"/>
  <c r="AI544" i="54"/>
  <c r="AI537" i="54"/>
  <c r="AI546" i="54"/>
  <c r="G538" i="54"/>
  <c r="E631" i="54" s="1"/>
  <c r="AB639" i="54"/>
  <c r="Y639" i="54"/>
  <c r="Z639" i="54" s="1"/>
  <c r="P639" i="54"/>
  <c r="X639" i="54"/>
  <c r="AI550" i="54"/>
  <c r="AI497" i="54"/>
  <c r="X568" i="54" s="1"/>
  <c r="G544" i="54"/>
  <c r="E635" i="54" s="1"/>
  <c r="AI532" i="54"/>
  <c r="AI547" i="54"/>
  <c r="AI530" i="54"/>
  <c r="G550" i="54"/>
  <c r="AI538" i="54"/>
  <c r="AI540" i="54"/>
  <c r="AI533" i="54"/>
  <c r="AI542" i="54"/>
  <c r="AI541" i="54"/>
  <c r="G536" i="54"/>
  <c r="G534" i="54"/>
  <c r="AI535" i="54"/>
  <c r="AI513" i="54"/>
  <c r="G497" i="54"/>
  <c r="G568" i="54" s="1"/>
  <c r="G540" i="54"/>
  <c r="H671" i="54" s="1"/>
  <c r="H599" i="54"/>
  <c r="I599" i="54" s="1"/>
  <c r="Z596" i="54"/>
  <c r="R596" i="54" s="1"/>
  <c r="H601" i="54"/>
  <c r="I601" i="54" s="1"/>
  <c r="Z598" i="54"/>
  <c r="G533" i="54"/>
  <c r="H600" i="54"/>
  <c r="Z597" i="54"/>
  <c r="AI490" i="54"/>
  <c r="X567" i="54" s="1"/>
  <c r="AI514" i="54"/>
  <c r="G490" i="54"/>
  <c r="G567" i="54" s="1"/>
  <c r="C589" i="54"/>
  <c r="C597" i="54"/>
  <c r="G542" i="54"/>
  <c r="AI534" i="54"/>
  <c r="G535" i="54"/>
  <c r="G513" i="54"/>
  <c r="AI512" i="54"/>
  <c r="AI498" i="54"/>
  <c r="X569" i="54" s="1"/>
  <c r="AI509" i="54"/>
  <c r="G541" i="54"/>
  <c r="AI516" i="54"/>
  <c r="X572" i="54" s="1"/>
  <c r="AI517" i="54"/>
  <c r="X573" i="54" s="1"/>
  <c r="V486" i="54"/>
  <c r="F62" i="4"/>
  <c r="F61" i="58" s="1"/>
  <c r="F63" i="4"/>
  <c r="F62" i="58" s="1"/>
  <c r="F56" i="4"/>
  <c r="F55" i="58" s="1"/>
  <c r="F60" i="4"/>
  <c r="F59" i="58" s="1"/>
  <c r="F57" i="4"/>
  <c r="F56" i="58" s="1"/>
  <c r="F58" i="4"/>
  <c r="F57" i="58" s="1"/>
  <c r="F59" i="4"/>
  <c r="F58" i="58" s="1"/>
  <c r="I803" i="58" l="1"/>
  <c r="AE803" i="58" s="1"/>
  <c r="AE792" i="58"/>
  <c r="K414" i="57"/>
  <c r="J423" i="57" s="1"/>
  <c r="F414" i="57"/>
  <c r="F423" i="57" s="1"/>
  <c r="J428" i="57"/>
  <c r="G423" i="57"/>
  <c r="G428" i="57" s="1"/>
  <c r="I423" i="57"/>
  <c r="I428" i="57" s="1"/>
  <c r="I433" i="57" s="1"/>
  <c r="E423" i="57"/>
  <c r="E428" i="57" s="1"/>
  <c r="F428" i="57"/>
  <c r="F792" i="58"/>
  <c r="F803" i="58" s="1"/>
  <c r="F809" i="58" s="1"/>
  <c r="F815" i="58" s="1"/>
  <c r="AD678" i="58"/>
  <c r="AC678" i="58"/>
  <c r="AD679" i="58"/>
  <c r="AC679" i="58"/>
  <c r="V721" i="58" s="1"/>
  <c r="F824" i="58"/>
  <c r="B822" i="57"/>
  <c r="B414" i="57" s="1"/>
  <c r="B826" i="57"/>
  <c r="B418" i="57" s="1"/>
  <c r="E792" i="58"/>
  <c r="E803" i="58" s="1"/>
  <c r="B806" i="57"/>
  <c r="B383" i="57" s="1"/>
  <c r="AC695" i="54"/>
  <c r="AD695" i="54"/>
  <c r="AE695" i="54"/>
  <c r="H795" i="58"/>
  <c r="H796" i="58"/>
  <c r="AR724" i="54"/>
  <c r="O820" i="54"/>
  <c r="I820" i="54"/>
  <c r="J820" i="54"/>
  <c r="O837" i="54"/>
  <c r="I837" i="54"/>
  <c r="J837" i="54"/>
  <c r="O819" i="54"/>
  <c r="J819" i="54"/>
  <c r="I819" i="54"/>
  <c r="O818" i="54"/>
  <c r="J818" i="54"/>
  <c r="I818" i="54"/>
  <c r="O831" i="54"/>
  <c r="I831" i="54"/>
  <c r="J831" i="54"/>
  <c r="I838" i="54"/>
  <c r="J838" i="54"/>
  <c r="O840" i="54"/>
  <c r="J840" i="54"/>
  <c r="I840" i="54"/>
  <c r="J801" i="54"/>
  <c r="I801" i="54"/>
  <c r="O836" i="54"/>
  <c r="I836" i="54"/>
  <c r="J836" i="54"/>
  <c r="AM659" i="54"/>
  <c r="AM678" i="54"/>
  <c r="AM892" i="57" s="1"/>
  <c r="AM896" i="58" s="1"/>
  <c r="Y501" i="54"/>
  <c r="Z481" i="54" s="1"/>
  <c r="Y496" i="54"/>
  <c r="U798" i="58"/>
  <c r="Y491" i="54"/>
  <c r="AA491" i="54" s="1"/>
  <c r="G824" i="57"/>
  <c r="G416" i="57" s="1"/>
  <c r="F795" i="58"/>
  <c r="G824" i="58"/>
  <c r="F379" i="58" s="1"/>
  <c r="H386" i="58" s="1"/>
  <c r="H391" i="58" s="1"/>
  <c r="F828" i="58"/>
  <c r="E793" i="58"/>
  <c r="D355" i="58" s="1"/>
  <c r="L822" i="57"/>
  <c r="K824" i="58"/>
  <c r="AD824" i="58" s="1"/>
  <c r="J825" i="58"/>
  <c r="I380" i="58" s="1"/>
  <c r="Y499" i="54"/>
  <c r="L826" i="57"/>
  <c r="L418" i="57" s="1"/>
  <c r="K828" i="58"/>
  <c r="AD828" i="58" s="1"/>
  <c r="U828" i="58" s="1"/>
  <c r="D792" i="58"/>
  <c r="L823" i="57"/>
  <c r="L415" i="57" s="1"/>
  <c r="K825" i="58"/>
  <c r="J380" i="58" s="1"/>
  <c r="H792" i="58"/>
  <c r="J824" i="58"/>
  <c r="I379" i="58" s="1"/>
  <c r="J386" i="58" s="1"/>
  <c r="J391" i="58" s="1"/>
  <c r="F825" i="58"/>
  <c r="F833" i="58" s="1"/>
  <c r="J808" i="57"/>
  <c r="J385" i="57" s="1"/>
  <c r="M400" i="57" s="1"/>
  <c r="I794" i="58"/>
  <c r="J807" i="57"/>
  <c r="J384" i="57" s="1"/>
  <c r="I793" i="58"/>
  <c r="AE793" i="58" s="1"/>
  <c r="E824" i="58"/>
  <c r="E829" i="58" s="1"/>
  <c r="Y488" i="54"/>
  <c r="AA488" i="54" s="1"/>
  <c r="E824" i="57"/>
  <c r="E416" i="57" s="1"/>
  <c r="D795" i="58"/>
  <c r="J828" i="58"/>
  <c r="H794" i="58"/>
  <c r="H793" i="58"/>
  <c r="J792" i="58"/>
  <c r="I354" i="58" s="1"/>
  <c r="T363" i="58" s="1"/>
  <c r="T367" i="58" s="1"/>
  <c r="R981" i="58"/>
  <c r="Q981" i="58"/>
  <c r="S981" i="58"/>
  <c r="T981" i="58"/>
  <c r="T998" i="58"/>
  <c r="S998" i="58"/>
  <c r="Q968" i="58"/>
  <c r="R998" i="58"/>
  <c r="Q998" i="58"/>
  <c r="T968" i="58"/>
  <c r="S968" i="58"/>
  <c r="AU968" i="58"/>
  <c r="R968" i="58"/>
  <c r="AR725" i="54"/>
  <c r="S725" i="54" s="1"/>
  <c r="AR947" i="57"/>
  <c r="AR727" i="54"/>
  <c r="R727" i="54" s="1"/>
  <c r="P755" i="58"/>
  <c r="AV892" i="58"/>
  <c r="AN892" i="58"/>
  <c r="AV908" i="58"/>
  <c r="P765" i="58"/>
  <c r="AN908" i="58"/>
  <c r="AD705" i="57"/>
  <c r="AC705" i="57"/>
  <c r="AR723" i="54"/>
  <c r="AR720" i="54"/>
  <c r="AR713" i="54"/>
  <c r="AR709" i="54"/>
  <c r="Q709" i="54" s="1"/>
  <c r="AR708" i="54"/>
  <c r="AR719" i="54"/>
  <c r="AR717" i="54"/>
  <c r="AR705" i="54"/>
  <c r="AR726" i="54"/>
  <c r="AR711" i="54"/>
  <c r="AR728" i="54"/>
  <c r="AR730" i="54"/>
  <c r="AR721" i="54"/>
  <c r="R721" i="54" s="1"/>
  <c r="AR704" i="54"/>
  <c r="AF959" i="57"/>
  <c r="AR718" i="54"/>
  <c r="AF962" i="57"/>
  <c r="AR706" i="54"/>
  <c r="AR714" i="54"/>
  <c r="AR710" i="54"/>
  <c r="Q710" i="54" s="1"/>
  <c r="AR712" i="54"/>
  <c r="AR707" i="54"/>
  <c r="R707" i="54" s="1"/>
  <c r="AR722" i="54"/>
  <c r="AR716" i="54"/>
  <c r="AR715" i="54"/>
  <c r="AE960" i="57"/>
  <c r="AR729" i="54"/>
  <c r="AE959" i="57"/>
  <c r="AE962" i="57"/>
  <c r="AM672" i="54"/>
  <c r="P672" i="54" s="1"/>
  <c r="AM657" i="54"/>
  <c r="AM658" i="54"/>
  <c r="P658" i="54" s="1"/>
  <c r="AD951" i="57"/>
  <c r="AZ951" i="57"/>
  <c r="AD928" i="57"/>
  <c r="AZ928" i="57"/>
  <c r="Z925" i="57"/>
  <c r="AZ925" i="57"/>
  <c r="X924" i="57"/>
  <c r="AZ924" i="57"/>
  <c r="V932" i="57"/>
  <c r="AZ932" i="57"/>
  <c r="V954" i="57"/>
  <c r="AZ954" i="57"/>
  <c r="W949" i="57"/>
  <c r="AZ949" i="57"/>
  <c r="AK930" i="57"/>
  <c r="AZ930" i="57"/>
  <c r="U931" i="57"/>
  <c r="AZ931" i="57"/>
  <c r="AW955" i="57"/>
  <c r="AZ955" i="57"/>
  <c r="AD958" i="57"/>
  <c r="AZ958" i="57"/>
  <c r="V927" i="57"/>
  <c r="AZ927" i="57"/>
  <c r="W926" i="57"/>
  <c r="AZ926" i="57"/>
  <c r="AF960" i="57"/>
  <c r="U952" i="57"/>
  <c r="AZ952" i="57"/>
  <c r="AQ938" i="57"/>
  <c r="AZ938" i="57"/>
  <c r="Z929" i="57"/>
  <c r="AZ929" i="57"/>
  <c r="I954" i="58"/>
  <c r="U954" i="58" s="1"/>
  <c r="AZ950" i="57"/>
  <c r="AM662" i="54"/>
  <c r="P662" i="54" s="1"/>
  <c r="AM667" i="54"/>
  <c r="AM676" i="54"/>
  <c r="AM890" i="57" s="1"/>
  <c r="AM894" i="58" s="1"/>
  <c r="AM660" i="54"/>
  <c r="P660" i="54" s="1"/>
  <c r="AM656" i="54"/>
  <c r="Q656" i="54" s="1"/>
  <c r="AM665" i="54"/>
  <c r="AM661" i="54"/>
  <c r="AM664" i="54"/>
  <c r="AM670" i="54"/>
  <c r="R670" i="54" s="1"/>
  <c r="Z721" i="57"/>
  <c r="AB721" i="57" s="1"/>
  <c r="AM668" i="54"/>
  <c r="P730" i="54"/>
  <c r="AM663" i="54"/>
  <c r="AE666" i="54"/>
  <c r="AM666" i="54"/>
  <c r="AE669" i="54"/>
  <c r="AM669" i="54"/>
  <c r="W922" i="57"/>
  <c r="U922" i="57"/>
  <c r="V922" i="57"/>
  <c r="AU964" i="57"/>
  <c r="Y741" i="57"/>
  <c r="AA741" i="57" s="1"/>
  <c r="AQ740" i="57"/>
  <c r="Z740" i="57"/>
  <c r="AB740" i="57" s="1"/>
  <c r="AQ721" i="57"/>
  <c r="Y740" i="57"/>
  <c r="AA740" i="57" s="1"/>
  <c r="AQ741" i="57"/>
  <c r="Y721" i="57"/>
  <c r="AA721" i="57" s="1"/>
  <c r="U811" i="57"/>
  <c r="U388" i="57" s="1"/>
  <c r="AF409" i="57" s="1"/>
  <c r="U812" i="57"/>
  <c r="U389" i="57" s="1"/>
  <c r="AQ711" i="57"/>
  <c r="U868" i="57"/>
  <c r="V868" i="57"/>
  <c r="AC869" i="57"/>
  <c r="AC867" i="57"/>
  <c r="P853" i="57"/>
  <c r="AC853" i="57"/>
  <c r="P850" i="57"/>
  <c r="AC850" i="57"/>
  <c r="P849" i="57"/>
  <c r="AC849" i="57"/>
  <c r="P846" i="57"/>
  <c r="AC846" i="57"/>
  <c r="P856" i="57"/>
  <c r="AC856" i="57"/>
  <c r="P854" i="57"/>
  <c r="AC854" i="57"/>
  <c r="X844" i="57"/>
  <c r="S844" i="57" s="1"/>
  <c r="P844" i="57"/>
  <c r="AC844" i="57"/>
  <c r="X843" i="57"/>
  <c r="Q843" i="57" s="1"/>
  <c r="P843" i="57"/>
  <c r="AC843" i="57"/>
  <c r="AC855" i="57"/>
  <c r="AC848" i="57"/>
  <c r="X847" i="57"/>
  <c r="T847" i="57" s="1"/>
  <c r="P847" i="57"/>
  <c r="AC847" i="57"/>
  <c r="P845" i="57"/>
  <c r="AC845" i="57"/>
  <c r="P852" i="57"/>
  <c r="AC852" i="57"/>
  <c r="AB842" i="57"/>
  <c r="P842" i="57"/>
  <c r="AC842" i="57"/>
  <c r="U809" i="57"/>
  <c r="U386" i="57" s="1"/>
  <c r="Y711" i="57"/>
  <c r="AA711" i="57" s="1"/>
  <c r="U810" i="57"/>
  <c r="U387" i="57" s="1"/>
  <c r="U567" i="54"/>
  <c r="V567" i="54"/>
  <c r="Y502" i="54"/>
  <c r="AA502" i="54" s="1"/>
  <c r="Y493" i="54"/>
  <c r="AA493" i="54" s="1"/>
  <c r="Y489" i="54"/>
  <c r="AA489" i="54" s="1"/>
  <c r="Y497" i="54"/>
  <c r="AA497" i="54" s="1"/>
  <c r="Y487" i="54"/>
  <c r="Y495" i="54"/>
  <c r="AA495" i="54" s="1"/>
  <c r="Y498" i="54"/>
  <c r="AA498" i="54" s="1"/>
  <c r="Y492" i="54"/>
  <c r="AA492" i="54" s="1"/>
  <c r="Y494" i="54"/>
  <c r="AA494" i="54" s="1"/>
  <c r="Y490" i="54"/>
  <c r="AA490" i="54" s="1"/>
  <c r="Y500" i="54"/>
  <c r="AA500" i="54" s="1"/>
  <c r="Y551" i="54"/>
  <c r="AA551" i="54" s="1"/>
  <c r="Z551" i="54"/>
  <c r="AB551" i="54" s="1"/>
  <c r="Q906" i="58"/>
  <c r="AQ551" i="54"/>
  <c r="N746" i="54"/>
  <c r="S906" i="58"/>
  <c r="Q908" i="58"/>
  <c r="AB908" i="58" s="1"/>
  <c r="AF908" i="58" s="1"/>
  <c r="R906" i="58"/>
  <c r="S908" i="58"/>
  <c r="P906" i="58"/>
  <c r="R908" i="58"/>
  <c r="AL904" i="57"/>
  <c r="AM904" i="57" s="1"/>
  <c r="P904" i="57" s="1"/>
  <c r="AX904" i="57"/>
  <c r="U858" i="57"/>
  <c r="W851" i="57"/>
  <c r="V858" i="57"/>
  <c r="U833" i="58"/>
  <c r="X833" i="58"/>
  <c r="X835" i="58"/>
  <c r="W831" i="58"/>
  <c r="V833" i="58"/>
  <c r="W835" i="58"/>
  <c r="X831" i="58"/>
  <c r="V831" i="58"/>
  <c r="V835" i="58"/>
  <c r="U835" i="58"/>
  <c r="W833" i="58"/>
  <c r="U831" i="58"/>
  <c r="Y743" i="57"/>
  <c r="AA743" i="57" s="1"/>
  <c r="Y756" i="57"/>
  <c r="AA756" i="57" s="1"/>
  <c r="D952" i="58"/>
  <c r="AU952" i="58" s="1"/>
  <c r="X927" i="57"/>
  <c r="Z748" i="57"/>
  <c r="AB748" i="57" s="1"/>
  <c r="Z674" i="58"/>
  <c r="AB674" i="58" s="1"/>
  <c r="Y746" i="57"/>
  <c r="AA746" i="57" s="1"/>
  <c r="Y744" i="57"/>
  <c r="AA744" i="57" s="1"/>
  <c r="AQ700" i="57"/>
  <c r="Z703" i="57"/>
  <c r="AB703" i="57" s="1"/>
  <c r="U861" i="57"/>
  <c r="AA875" i="58"/>
  <c r="Y534" i="54"/>
  <c r="AA534" i="54" s="1"/>
  <c r="Z746" i="57"/>
  <c r="AB746" i="57" s="1"/>
  <c r="Z665" i="58"/>
  <c r="AB665" i="58" s="1"/>
  <c r="AD807" i="57"/>
  <c r="AA806" i="57"/>
  <c r="S806" i="57" s="1"/>
  <c r="S383" i="57" s="1"/>
  <c r="AB396" i="57" s="1"/>
  <c r="AD806" i="57"/>
  <c r="AA808" i="57"/>
  <c r="T808" i="57" s="1"/>
  <c r="T385" i="57" s="1"/>
  <c r="AD400" i="57" s="1"/>
  <c r="AD808" i="57"/>
  <c r="Z667" i="54"/>
  <c r="Z669" i="54"/>
  <c r="AD926" i="57"/>
  <c r="I931" i="58"/>
  <c r="I747" i="58" s="1"/>
  <c r="AQ927" i="57"/>
  <c r="V642" i="54"/>
  <c r="D802" i="54"/>
  <c r="AW926" i="57"/>
  <c r="AQ926" i="57"/>
  <c r="U926" i="57"/>
  <c r="AX926" i="57"/>
  <c r="AP926" i="57"/>
  <c r="I773" i="54"/>
  <c r="I930" i="58"/>
  <c r="AQ930" i="58" s="1"/>
  <c r="AK926" i="57"/>
  <c r="V926" i="57"/>
  <c r="X926" i="57"/>
  <c r="Z926" i="57"/>
  <c r="AD927" i="57"/>
  <c r="AK927" i="57"/>
  <c r="AE667" i="54"/>
  <c r="AX927" i="57"/>
  <c r="E742" i="54"/>
  <c r="E868" i="58" s="1"/>
  <c r="W927" i="57"/>
  <c r="AP927" i="57"/>
  <c r="AW927" i="57"/>
  <c r="U927" i="57"/>
  <c r="Z927" i="57"/>
  <c r="W931" i="57"/>
  <c r="E734" i="54"/>
  <c r="E860" i="58" s="1"/>
  <c r="O730" i="54"/>
  <c r="V772" i="54"/>
  <c r="V781" i="54"/>
  <c r="AI730" i="54"/>
  <c r="AC730" i="54"/>
  <c r="AD826" i="58"/>
  <c r="D922" i="57"/>
  <c r="AL906" i="57"/>
  <c r="AM906" i="57" s="1"/>
  <c r="S906" i="57" s="1"/>
  <c r="AC947" i="57"/>
  <c r="W855" i="57"/>
  <c r="R773" i="54"/>
  <c r="I761" i="58"/>
  <c r="U951" i="58"/>
  <c r="AD951" i="58"/>
  <c r="AP951" i="58"/>
  <c r="AK951" i="58"/>
  <c r="X951" i="58"/>
  <c r="V951" i="58"/>
  <c r="Z951" i="58"/>
  <c r="W951" i="58"/>
  <c r="AQ951" i="58"/>
  <c r="O947" i="57"/>
  <c r="P947" i="57"/>
  <c r="AI947" i="57"/>
  <c r="AU729" i="54"/>
  <c r="D947" i="57"/>
  <c r="I762" i="58"/>
  <c r="AP952" i="58"/>
  <c r="AK952" i="58"/>
  <c r="AD952" i="58"/>
  <c r="U952" i="58"/>
  <c r="Z952" i="58"/>
  <c r="W952" i="58"/>
  <c r="X952" i="58"/>
  <c r="V952" i="58"/>
  <c r="AQ952" i="58"/>
  <c r="AL910" i="57"/>
  <c r="AM910" i="57" s="1"/>
  <c r="AC948" i="57"/>
  <c r="O948" i="57"/>
  <c r="AI948" i="57"/>
  <c r="P948" i="57"/>
  <c r="AQ664" i="58"/>
  <c r="AQ675" i="58"/>
  <c r="AQ666" i="58"/>
  <c r="L776" i="57"/>
  <c r="T776" i="57"/>
  <c r="L777" i="57"/>
  <c r="T777" i="57"/>
  <c r="L772" i="57"/>
  <c r="T772" i="57"/>
  <c r="AQ703" i="57"/>
  <c r="AB857" i="58"/>
  <c r="Q870" i="58"/>
  <c r="AQ671" i="58"/>
  <c r="X857" i="58"/>
  <c r="Q857" i="58" s="1"/>
  <c r="Y865" i="58"/>
  <c r="Z865" i="58" s="1"/>
  <c r="R860" i="58"/>
  <c r="I853" i="57"/>
  <c r="P861" i="58"/>
  <c r="Z931" i="57"/>
  <c r="AP955" i="57"/>
  <c r="V958" i="57"/>
  <c r="AP951" i="57"/>
  <c r="I843" i="57"/>
  <c r="AD932" i="57"/>
  <c r="W955" i="57"/>
  <c r="AP964" i="58"/>
  <c r="Z966" i="58"/>
  <c r="X864" i="58"/>
  <c r="Q864" i="58" s="1"/>
  <c r="P860" i="58"/>
  <c r="U958" i="57"/>
  <c r="Y863" i="58"/>
  <c r="Z863" i="58" s="1"/>
  <c r="U929" i="57"/>
  <c r="X853" i="57"/>
  <c r="Q853" i="57" s="1"/>
  <c r="Z853" i="57"/>
  <c r="AK950" i="57"/>
  <c r="AB843" i="57"/>
  <c r="U955" i="57"/>
  <c r="AP958" i="57"/>
  <c r="I959" i="58"/>
  <c r="X959" i="58" s="1"/>
  <c r="AW958" i="57"/>
  <c r="V955" i="57"/>
  <c r="W958" i="57"/>
  <c r="Z843" i="57"/>
  <c r="AD955" i="57"/>
  <c r="Z955" i="57"/>
  <c r="X958" i="57"/>
  <c r="AK958" i="57"/>
  <c r="X964" i="58"/>
  <c r="AP966" i="58"/>
  <c r="I869" i="58"/>
  <c r="AD929" i="57"/>
  <c r="Z924" i="57"/>
  <c r="I962" i="58"/>
  <c r="X962" i="58" s="1"/>
  <c r="AK955" i="57"/>
  <c r="X955" i="57"/>
  <c r="X922" i="57"/>
  <c r="Z958" i="57"/>
  <c r="P864" i="58"/>
  <c r="AX955" i="57"/>
  <c r="AQ964" i="58"/>
  <c r="X866" i="58"/>
  <c r="S866" i="58" s="1"/>
  <c r="I862" i="58"/>
  <c r="AQ932" i="57"/>
  <c r="AQ924" i="57"/>
  <c r="AB853" i="57"/>
  <c r="I844" i="57"/>
  <c r="X949" i="57"/>
  <c r="Z842" i="57"/>
  <c r="W950" i="57"/>
  <c r="X963" i="58"/>
  <c r="V950" i="57"/>
  <c r="AB844" i="57"/>
  <c r="U949" i="57"/>
  <c r="S870" i="58"/>
  <c r="V870" i="58" s="1"/>
  <c r="AK928" i="57"/>
  <c r="Z668" i="54"/>
  <c r="U950" i="57"/>
  <c r="Z963" i="58"/>
  <c r="P859" i="58"/>
  <c r="I857" i="58"/>
  <c r="I868" i="58"/>
  <c r="V930" i="57"/>
  <c r="P869" i="58"/>
  <c r="Y869" i="58"/>
  <c r="Z869" i="58" s="1"/>
  <c r="Y864" i="58"/>
  <c r="Z864" i="58" s="1"/>
  <c r="AB862" i="58"/>
  <c r="X862" i="58"/>
  <c r="R862" i="58" s="1"/>
  <c r="P866" i="58"/>
  <c r="X932" i="57"/>
  <c r="AP932" i="57"/>
  <c r="X931" i="57"/>
  <c r="AD931" i="57"/>
  <c r="V931" i="57"/>
  <c r="AB869" i="58"/>
  <c r="AB864" i="58"/>
  <c r="P862" i="58"/>
  <c r="AB866" i="58"/>
  <c r="U938" i="57"/>
  <c r="W932" i="57"/>
  <c r="AK932" i="57"/>
  <c r="AK931" i="57"/>
  <c r="AQ931" i="57"/>
  <c r="X852" i="57"/>
  <c r="R852" i="57" s="1"/>
  <c r="Z666" i="54"/>
  <c r="AD938" i="57"/>
  <c r="I866" i="58"/>
  <c r="Z932" i="57"/>
  <c r="AP931" i="57"/>
  <c r="AP950" i="57"/>
  <c r="AD950" i="57"/>
  <c r="V963" i="58"/>
  <c r="Y861" i="58"/>
  <c r="Z861" i="58" s="1"/>
  <c r="R870" i="58"/>
  <c r="U925" i="57"/>
  <c r="AP930" i="57"/>
  <c r="W951" i="57"/>
  <c r="X950" i="57"/>
  <c r="Z950" i="57"/>
  <c r="AD963" i="58"/>
  <c r="I861" i="58"/>
  <c r="AQ930" i="57"/>
  <c r="X930" i="57"/>
  <c r="U930" i="57"/>
  <c r="Z930" i="57"/>
  <c r="AW950" i="57"/>
  <c r="X842" i="57"/>
  <c r="R842" i="57" s="1"/>
  <c r="I842" i="57"/>
  <c r="W963" i="58"/>
  <c r="U963" i="58"/>
  <c r="AB861" i="58"/>
  <c r="P857" i="58"/>
  <c r="Y868" i="58"/>
  <c r="Z868" i="58" s="1"/>
  <c r="AQ928" i="57"/>
  <c r="V925" i="57"/>
  <c r="V928" i="57"/>
  <c r="AD930" i="57"/>
  <c r="P868" i="58"/>
  <c r="W925" i="57"/>
  <c r="AK925" i="57"/>
  <c r="U928" i="57"/>
  <c r="AK963" i="58"/>
  <c r="Q859" i="58"/>
  <c r="I859" i="58"/>
  <c r="AP928" i="57"/>
  <c r="AD925" i="57"/>
  <c r="X868" i="58"/>
  <c r="T868" i="58" s="1"/>
  <c r="Z928" i="57"/>
  <c r="X925" i="57"/>
  <c r="W928" i="57"/>
  <c r="X951" i="57"/>
  <c r="Z951" i="57"/>
  <c r="W952" i="57"/>
  <c r="AD922" i="57"/>
  <c r="AB852" i="57"/>
  <c r="W964" i="58"/>
  <c r="U964" i="58"/>
  <c r="W966" i="58"/>
  <c r="AK966" i="58"/>
  <c r="S860" i="58"/>
  <c r="AB865" i="58"/>
  <c r="AQ966" i="58"/>
  <c r="AK938" i="57"/>
  <c r="W938" i="57"/>
  <c r="V938" i="57"/>
  <c r="AB860" i="58"/>
  <c r="P863" i="58"/>
  <c r="AP929" i="57"/>
  <c r="AQ929" i="57"/>
  <c r="AQ922" i="57"/>
  <c r="Z852" i="57"/>
  <c r="I852" i="57"/>
  <c r="V964" i="58"/>
  <c r="AK964" i="58"/>
  <c r="V966" i="58"/>
  <c r="AD966" i="58"/>
  <c r="T860" i="58"/>
  <c r="P865" i="58"/>
  <c r="AP938" i="57"/>
  <c r="X938" i="57"/>
  <c r="I863" i="58"/>
  <c r="I860" i="58"/>
  <c r="AK929" i="57"/>
  <c r="Z938" i="57"/>
  <c r="AP924" i="57"/>
  <c r="V924" i="57"/>
  <c r="W929" i="57"/>
  <c r="W924" i="57"/>
  <c r="U924" i="57"/>
  <c r="V951" i="57"/>
  <c r="U951" i="57"/>
  <c r="AP922" i="57"/>
  <c r="Z922" i="57"/>
  <c r="AQ951" i="57"/>
  <c r="AK951" i="57"/>
  <c r="AK922" i="57"/>
  <c r="Z964" i="58"/>
  <c r="X966" i="58"/>
  <c r="I865" i="58"/>
  <c r="X863" i="58"/>
  <c r="R863" i="58" s="1"/>
  <c r="Y860" i="58"/>
  <c r="Z860" i="58" s="1"/>
  <c r="X929" i="57"/>
  <c r="V929" i="57"/>
  <c r="AK924" i="57"/>
  <c r="AD924" i="57"/>
  <c r="Y671" i="58"/>
  <c r="AA671" i="58" s="1"/>
  <c r="V949" i="57"/>
  <c r="AD949" i="57"/>
  <c r="R859" i="58"/>
  <c r="X867" i="58"/>
  <c r="R867" i="58" s="1"/>
  <c r="AB867" i="58"/>
  <c r="Y858" i="58"/>
  <c r="Z858" i="58" s="1"/>
  <c r="Z847" i="57"/>
  <c r="Z949" i="57"/>
  <c r="AP949" i="57"/>
  <c r="S859" i="58"/>
  <c r="AB859" i="58"/>
  <c r="Y859" i="58"/>
  <c r="Z859" i="58" s="1"/>
  <c r="I867" i="58"/>
  <c r="Y867" i="58"/>
  <c r="Z867" i="58" s="1"/>
  <c r="AK949" i="57"/>
  <c r="I858" i="58"/>
  <c r="X858" i="58"/>
  <c r="Q858" i="58" s="1"/>
  <c r="P858" i="58"/>
  <c r="AB692" i="54"/>
  <c r="AC692" i="54"/>
  <c r="AB688" i="54"/>
  <c r="AC688" i="54"/>
  <c r="P706" i="54"/>
  <c r="AE743" i="54"/>
  <c r="AF743" i="54"/>
  <c r="AG743" i="54"/>
  <c r="AH743" i="54"/>
  <c r="P707" i="54"/>
  <c r="P718" i="54"/>
  <c r="P704" i="54"/>
  <c r="I927" i="58"/>
  <c r="AP927" i="58" s="1"/>
  <c r="AW923" i="57"/>
  <c r="AX923" i="57"/>
  <c r="I950" i="58"/>
  <c r="I760" i="58" s="1"/>
  <c r="AX946" i="57"/>
  <c r="AW946" i="57"/>
  <c r="AQ960" i="57"/>
  <c r="AR960" i="57" s="1"/>
  <c r="AX905" i="57"/>
  <c r="AX907" i="57"/>
  <c r="AE897" i="57"/>
  <c r="I956" i="58"/>
  <c r="V956" i="58" s="1"/>
  <c r="AX952" i="57"/>
  <c r="AW952" i="57"/>
  <c r="I955" i="58"/>
  <c r="AQ955" i="58" s="1"/>
  <c r="AW951" i="57"/>
  <c r="AX951" i="57"/>
  <c r="AW732" i="54"/>
  <c r="AW733" i="54"/>
  <c r="AW738" i="54"/>
  <c r="I894" i="58"/>
  <c r="AX890" i="57"/>
  <c r="AW890" i="57"/>
  <c r="I934" i="58"/>
  <c r="AX930" i="57"/>
  <c r="AW930" i="57"/>
  <c r="W930" i="57"/>
  <c r="AW692" i="54"/>
  <c r="AW737" i="54"/>
  <c r="AW688" i="54"/>
  <c r="P714" i="54"/>
  <c r="P710" i="54"/>
  <c r="P723" i="54"/>
  <c r="P721" i="54"/>
  <c r="AG962" i="57"/>
  <c r="AH962" i="57"/>
  <c r="I946" i="58"/>
  <c r="I756" i="58" s="1"/>
  <c r="AX942" i="57"/>
  <c r="AW942" i="57"/>
  <c r="P711" i="54"/>
  <c r="AE739" i="54"/>
  <c r="AF739" i="54"/>
  <c r="AG739" i="54"/>
  <c r="AH739" i="54"/>
  <c r="P722" i="54"/>
  <c r="P725" i="54"/>
  <c r="I947" i="58"/>
  <c r="AK947" i="58" s="1"/>
  <c r="AW943" i="57"/>
  <c r="AX943" i="57"/>
  <c r="AW953" i="57"/>
  <c r="AX953" i="57"/>
  <c r="I948" i="58"/>
  <c r="AQ948" i="58" s="1"/>
  <c r="AX944" i="57"/>
  <c r="AW944" i="57"/>
  <c r="AW963" i="57"/>
  <c r="AX963" i="57"/>
  <c r="AX911" i="57"/>
  <c r="AX909" i="57"/>
  <c r="AX913" i="57"/>
  <c r="AX915" i="57"/>
  <c r="AE893" i="57"/>
  <c r="I953" i="58"/>
  <c r="AQ953" i="58" s="1"/>
  <c r="AW949" i="57"/>
  <c r="AX949" i="57"/>
  <c r="I942" i="58"/>
  <c r="AX938" i="57"/>
  <c r="AW938" i="57"/>
  <c r="AW689" i="54"/>
  <c r="I933" i="58"/>
  <c r="AW929" i="57"/>
  <c r="AX929" i="57"/>
  <c r="I896" i="58"/>
  <c r="AX892" i="57"/>
  <c r="AW892" i="57"/>
  <c r="AX959" i="57"/>
  <c r="I929" i="58"/>
  <c r="AW925" i="57"/>
  <c r="AX925" i="57"/>
  <c r="AP925" i="57"/>
  <c r="AQ925" i="57"/>
  <c r="AW740" i="54"/>
  <c r="I935" i="58"/>
  <c r="AW931" i="57"/>
  <c r="AX931" i="57"/>
  <c r="AE732" i="54"/>
  <c r="AG732" i="54"/>
  <c r="AH732" i="54"/>
  <c r="AF732" i="54"/>
  <c r="P712" i="54"/>
  <c r="AQ741" i="54"/>
  <c r="AR741" i="54" s="1"/>
  <c r="AW673" i="54"/>
  <c r="I938" i="58"/>
  <c r="AP938" i="58" s="1"/>
  <c r="AX934" i="57"/>
  <c r="AW934" i="57"/>
  <c r="AC693" i="54"/>
  <c r="AB693" i="54"/>
  <c r="AE733" i="54"/>
  <c r="AH733" i="54"/>
  <c r="AG733" i="54"/>
  <c r="AF733" i="54"/>
  <c r="P720" i="54"/>
  <c r="AE735" i="54"/>
  <c r="AF735" i="54"/>
  <c r="AG735" i="54"/>
  <c r="AH735" i="54"/>
  <c r="AE734" i="54"/>
  <c r="AH734" i="54"/>
  <c r="AF734" i="54"/>
  <c r="AG734" i="54"/>
  <c r="P719" i="54"/>
  <c r="P724" i="54"/>
  <c r="P716" i="54"/>
  <c r="AC640" i="54"/>
  <c r="AW695" i="54"/>
  <c r="AW745" i="54"/>
  <c r="AW744" i="54"/>
  <c r="AQ735" i="54"/>
  <c r="AR735" i="54" s="1"/>
  <c r="AW671" i="54"/>
  <c r="AB694" i="54"/>
  <c r="AC694" i="54"/>
  <c r="AI715" i="54"/>
  <c r="I945" i="58"/>
  <c r="AD945" i="58" s="1"/>
  <c r="AW941" i="57"/>
  <c r="AX941" i="57"/>
  <c r="I949" i="58"/>
  <c r="AD949" i="58" s="1"/>
  <c r="AW945" i="57"/>
  <c r="AX945" i="57"/>
  <c r="I937" i="58"/>
  <c r="AK937" i="58" s="1"/>
  <c r="AW933" i="57"/>
  <c r="AX933" i="57"/>
  <c r="I939" i="58"/>
  <c r="I751" i="58" s="1"/>
  <c r="AW935" i="57"/>
  <c r="AX935" i="57"/>
  <c r="AX956" i="57"/>
  <c r="AW956" i="57"/>
  <c r="AI890" i="57"/>
  <c r="AE901" i="57"/>
  <c r="AE896" i="57"/>
  <c r="AE891" i="57"/>
  <c r="AW731" i="54"/>
  <c r="AX960" i="57"/>
  <c r="AW743" i="54"/>
  <c r="I932" i="58"/>
  <c r="AX928" i="57"/>
  <c r="AW928" i="57"/>
  <c r="X928" i="57"/>
  <c r="AW697" i="54"/>
  <c r="AW739" i="54"/>
  <c r="AW734" i="54"/>
  <c r="AW690" i="54"/>
  <c r="AX958" i="57"/>
  <c r="P713" i="54"/>
  <c r="AE741" i="54"/>
  <c r="AH741" i="54"/>
  <c r="AG741" i="54"/>
  <c r="AF741" i="54"/>
  <c r="P709" i="54"/>
  <c r="AE731" i="54"/>
  <c r="AF731" i="54"/>
  <c r="AG731" i="54"/>
  <c r="AH731" i="54"/>
  <c r="P708" i="54"/>
  <c r="P727" i="54"/>
  <c r="P717" i="54"/>
  <c r="AC689" i="54"/>
  <c r="AB689" i="54"/>
  <c r="P705" i="54"/>
  <c r="P726" i="54"/>
  <c r="I944" i="58"/>
  <c r="AD944" i="58" s="1"/>
  <c r="AX940" i="57"/>
  <c r="AW940" i="57"/>
  <c r="I941" i="58"/>
  <c r="AD941" i="58" s="1"/>
  <c r="AW937" i="57"/>
  <c r="AX937" i="57"/>
  <c r="AG959" i="57"/>
  <c r="AH959" i="57"/>
  <c r="I940" i="58"/>
  <c r="AP940" i="58" s="1"/>
  <c r="AX936" i="57"/>
  <c r="AW936" i="57"/>
  <c r="I943" i="58"/>
  <c r="AQ943" i="58" s="1"/>
  <c r="AW939" i="57"/>
  <c r="AX939" i="57"/>
  <c r="AW961" i="57"/>
  <c r="AX961" i="57"/>
  <c r="AW957" i="57"/>
  <c r="AX957" i="57"/>
  <c r="AQ998" i="57"/>
  <c r="AR998" i="57" s="1"/>
  <c r="AX903" i="57"/>
  <c r="AX912" i="57"/>
  <c r="AX910" i="57"/>
  <c r="AX908" i="57"/>
  <c r="AX906" i="57"/>
  <c r="AX914" i="57"/>
  <c r="AX998" i="57"/>
  <c r="AX997" i="57"/>
  <c r="AE900" i="57"/>
  <c r="I958" i="58"/>
  <c r="U958" i="58" s="1"/>
  <c r="AX954" i="57"/>
  <c r="AW954" i="57"/>
  <c r="AW742" i="54"/>
  <c r="AW741" i="54"/>
  <c r="AX950" i="57"/>
  <c r="I926" i="58"/>
  <c r="AW922" i="57"/>
  <c r="AX922" i="57"/>
  <c r="I936" i="58"/>
  <c r="AX932" i="57"/>
  <c r="AW932" i="57"/>
  <c r="U932" i="57"/>
  <c r="AW696" i="54"/>
  <c r="AW736" i="54"/>
  <c r="I928" i="58"/>
  <c r="AX924" i="57"/>
  <c r="AW924" i="57"/>
  <c r="AW735" i="54"/>
  <c r="AE668" i="54"/>
  <c r="Z844" i="57"/>
  <c r="AP954" i="57"/>
  <c r="Y676" i="58"/>
  <c r="AA676" i="58" s="1"/>
  <c r="AQ706" i="57"/>
  <c r="AQ697" i="57"/>
  <c r="Z698" i="57"/>
  <c r="AB698" i="57" s="1"/>
  <c r="Y708" i="57"/>
  <c r="AA708" i="57" s="1"/>
  <c r="Z704" i="57"/>
  <c r="AB704" i="57" s="1"/>
  <c r="Z710" i="57"/>
  <c r="AB710" i="57" s="1"/>
  <c r="AQ705" i="57"/>
  <c r="AQ720" i="57"/>
  <c r="V571" i="54"/>
  <c r="U571" i="54"/>
  <c r="AQ704" i="57"/>
  <c r="Z709" i="57"/>
  <c r="AB709" i="57" s="1"/>
  <c r="Z708" i="57"/>
  <c r="AB708" i="57" s="1"/>
  <c r="Z697" i="57"/>
  <c r="AB697" i="57" s="1"/>
  <c r="Y695" i="57"/>
  <c r="AA695" i="57" s="1"/>
  <c r="AQ717" i="57"/>
  <c r="Y666" i="58"/>
  <c r="AA666" i="58" s="1"/>
  <c r="Y675" i="58"/>
  <c r="AA675" i="58" s="1"/>
  <c r="AQ667" i="58"/>
  <c r="Y664" i="58"/>
  <c r="AA664" i="58" s="1"/>
  <c r="Z672" i="58"/>
  <c r="AB672" i="58" s="1"/>
  <c r="Y672" i="58"/>
  <c r="AA672" i="58" s="1"/>
  <c r="AQ674" i="58"/>
  <c r="AQ670" i="58"/>
  <c r="AQ665" i="58"/>
  <c r="Z668" i="58"/>
  <c r="AB668" i="58" s="1"/>
  <c r="AQ693" i="58"/>
  <c r="Z664" i="58"/>
  <c r="AB664" i="58" s="1"/>
  <c r="Y668" i="58"/>
  <c r="AA668" i="58" s="1"/>
  <c r="AQ676" i="58"/>
  <c r="Y665" i="58"/>
  <c r="AA665" i="58" s="1"/>
  <c r="Y674" i="58"/>
  <c r="AA674" i="58" s="1"/>
  <c r="Y667" i="58"/>
  <c r="AA667" i="58" s="1"/>
  <c r="Y673" i="58"/>
  <c r="AA673" i="58" s="1"/>
  <c r="AQ672" i="58"/>
  <c r="Z666" i="58"/>
  <c r="AB666" i="58" s="1"/>
  <c r="AQ668" i="58"/>
  <c r="AQ673" i="58"/>
  <c r="Z671" i="58"/>
  <c r="AB671" i="58" s="1"/>
  <c r="Z675" i="58"/>
  <c r="AB675" i="58" s="1"/>
  <c r="Z667" i="58"/>
  <c r="AB667" i="58" s="1"/>
  <c r="Z676" i="58"/>
  <c r="AB676" i="58" s="1"/>
  <c r="Z673" i="58"/>
  <c r="AB673" i="58" s="1"/>
  <c r="AD677" i="58"/>
  <c r="R720" i="58"/>
  <c r="R723" i="58"/>
  <c r="R724" i="58"/>
  <c r="R721" i="58"/>
  <c r="R722" i="58"/>
  <c r="R725" i="58"/>
  <c r="R729" i="58"/>
  <c r="R726" i="58"/>
  <c r="R727" i="58"/>
  <c r="R728" i="58"/>
  <c r="R708" i="57"/>
  <c r="AD698" i="57"/>
  <c r="R710" i="57"/>
  <c r="R709" i="57"/>
  <c r="AD699" i="57"/>
  <c r="Y719" i="57"/>
  <c r="AA719" i="57" s="1"/>
  <c r="Y705" i="57"/>
  <c r="AA705" i="57" s="1"/>
  <c r="Z715" i="57"/>
  <c r="AB715" i="57" s="1"/>
  <c r="Z707" i="57"/>
  <c r="AB707" i="57" s="1"/>
  <c r="AQ693" i="57"/>
  <c r="Y694" i="57"/>
  <c r="AA694" i="57" s="1"/>
  <c r="AQ716" i="57"/>
  <c r="Z717" i="57"/>
  <c r="AB717" i="57" s="1"/>
  <c r="Z716" i="57"/>
  <c r="AB716" i="57" s="1"/>
  <c r="Y709" i="57"/>
  <c r="AA709" i="57" s="1"/>
  <c r="Y707" i="57"/>
  <c r="AA707" i="57" s="1"/>
  <c r="Y698" i="57"/>
  <c r="AA698" i="57" s="1"/>
  <c r="AQ695" i="57"/>
  <c r="Z700" i="57"/>
  <c r="AB700" i="57" s="1"/>
  <c r="Y712" i="57"/>
  <c r="AA712" i="57" s="1"/>
  <c r="AQ694" i="57"/>
  <c r="AQ710" i="57"/>
  <c r="Z693" i="57"/>
  <c r="AB693" i="57" s="1"/>
  <c r="Z694" i="57"/>
  <c r="AB694" i="57" s="1"/>
  <c r="Y693" i="57"/>
  <c r="AA693" i="57" s="1"/>
  <c r="AQ709" i="57"/>
  <c r="AQ707" i="57"/>
  <c r="Z695" i="57"/>
  <c r="AB695" i="57" s="1"/>
  <c r="Y703" i="57"/>
  <c r="AA703" i="57" s="1"/>
  <c r="Y713" i="57"/>
  <c r="AA713" i="57" s="1"/>
  <c r="AQ696" i="57"/>
  <c r="Y697" i="57"/>
  <c r="AA697" i="57" s="1"/>
  <c r="Y696" i="57"/>
  <c r="AA696" i="57" s="1"/>
  <c r="Y715" i="57"/>
  <c r="AA715" i="57" s="1"/>
  <c r="AQ714" i="57"/>
  <c r="AQ701" i="57"/>
  <c r="AQ713" i="57"/>
  <c r="Z712" i="57"/>
  <c r="AB712" i="57" s="1"/>
  <c r="Z699" i="57"/>
  <c r="AB699" i="57" s="1"/>
  <c r="AQ698" i="57"/>
  <c r="Z714" i="57"/>
  <c r="AB714" i="57" s="1"/>
  <c r="Z701" i="57"/>
  <c r="AB701" i="57" s="1"/>
  <c r="Z706" i="57"/>
  <c r="AB706" i="57" s="1"/>
  <c r="Y702" i="57"/>
  <c r="AA702" i="57" s="1"/>
  <c r="Y700" i="57"/>
  <c r="AA700" i="57" s="1"/>
  <c r="Y716" i="57"/>
  <c r="AA716" i="57" s="1"/>
  <c r="Y701" i="57"/>
  <c r="AA701" i="57" s="1"/>
  <c r="AQ699" i="57"/>
  <c r="Z713" i="57"/>
  <c r="AB713" i="57" s="1"/>
  <c r="Y699" i="57"/>
  <c r="AA699" i="57" s="1"/>
  <c r="Y714" i="57"/>
  <c r="AA714" i="57" s="1"/>
  <c r="Z696" i="57"/>
  <c r="AB696" i="57" s="1"/>
  <c r="AQ715" i="57"/>
  <c r="Z702" i="57"/>
  <c r="AB702" i="57" s="1"/>
  <c r="Y704" i="57"/>
  <c r="AA704" i="57" s="1"/>
  <c r="AQ708" i="57"/>
  <c r="AQ702" i="57"/>
  <c r="AQ712" i="57"/>
  <c r="Z705" i="57"/>
  <c r="AB705" i="57" s="1"/>
  <c r="Y706" i="57"/>
  <c r="AA706" i="57" s="1"/>
  <c r="Z718" i="57"/>
  <c r="AB718" i="57" s="1"/>
  <c r="Z719" i="57"/>
  <c r="AB719" i="57" s="1"/>
  <c r="AQ719" i="57"/>
  <c r="Y717" i="57"/>
  <c r="AA717" i="57" s="1"/>
  <c r="Z720" i="57"/>
  <c r="AB720" i="57" s="1"/>
  <c r="Y718" i="57"/>
  <c r="AA718" i="57" s="1"/>
  <c r="AQ718" i="57"/>
  <c r="X954" i="57"/>
  <c r="U954" i="57"/>
  <c r="AU704" i="54"/>
  <c r="AK954" i="57"/>
  <c r="W954" i="57"/>
  <c r="AD954" i="57"/>
  <c r="Z954" i="57"/>
  <c r="O801" i="54"/>
  <c r="BU773" i="54"/>
  <c r="U773" i="54" s="1"/>
  <c r="D803" i="54"/>
  <c r="BV773" i="54"/>
  <c r="D938" i="57"/>
  <c r="D942" i="58" s="1"/>
  <c r="Y549" i="54"/>
  <c r="AA549" i="54" s="1"/>
  <c r="Z757" i="57"/>
  <c r="AB757" i="57" s="1"/>
  <c r="E732" i="54"/>
  <c r="E858" i="58" s="1"/>
  <c r="I847" i="57"/>
  <c r="AB845" i="57"/>
  <c r="AQ950" i="57"/>
  <c r="AQ955" i="57"/>
  <c r="AL912" i="57"/>
  <c r="AM912" i="57" s="1"/>
  <c r="AL908" i="57"/>
  <c r="AM908" i="57" s="1"/>
  <c r="R908" i="57" s="1"/>
  <c r="AL903" i="57"/>
  <c r="AM903" i="57" s="1"/>
  <c r="AB847" i="57"/>
  <c r="X845" i="57"/>
  <c r="S845" i="57" s="1"/>
  <c r="AQ954" i="57"/>
  <c r="AQ949" i="57"/>
  <c r="Z845" i="57"/>
  <c r="I845" i="57"/>
  <c r="AQ997" i="57"/>
  <c r="AR997" i="57" s="1"/>
  <c r="AL914" i="57"/>
  <c r="AM914" i="57" s="1"/>
  <c r="Z529" i="54"/>
  <c r="AB529" i="54" s="1"/>
  <c r="Z560" i="54"/>
  <c r="AB560" i="54" s="1"/>
  <c r="Y561" i="54"/>
  <c r="AA561" i="54" s="1"/>
  <c r="AA796" i="58"/>
  <c r="I600" i="54"/>
  <c r="N803" i="58"/>
  <c r="AA803" i="58"/>
  <c r="S803" i="58" s="1"/>
  <c r="J803" i="58"/>
  <c r="Y515" i="54"/>
  <c r="AA515" i="54" s="1"/>
  <c r="Y545" i="54"/>
  <c r="AA545" i="54" s="1"/>
  <c r="Z514" i="54"/>
  <c r="AB514" i="54" s="1"/>
  <c r="Z512" i="54"/>
  <c r="AB512" i="54" s="1"/>
  <c r="AQ534" i="54"/>
  <c r="Y536" i="54"/>
  <c r="AA536" i="54" s="1"/>
  <c r="Y550" i="54"/>
  <c r="AA550" i="54" s="1"/>
  <c r="Z554" i="54"/>
  <c r="AB554" i="54" s="1"/>
  <c r="Y554" i="54"/>
  <c r="AA554" i="54" s="1"/>
  <c r="Z561" i="54"/>
  <c r="AB561" i="54" s="1"/>
  <c r="Y559" i="54"/>
  <c r="AA559" i="54" s="1"/>
  <c r="Z535" i="54"/>
  <c r="AB535" i="54" s="1"/>
  <c r="Z537" i="54"/>
  <c r="AB537" i="54" s="1"/>
  <c r="Y546" i="54"/>
  <c r="AA546" i="54" s="1"/>
  <c r="Y542" i="54"/>
  <c r="AA542" i="54" s="1"/>
  <c r="Z547" i="54"/>
  <c r="AB547" i="54" s="1"/>
  <c r="Z533" i="54"/>
  <c r="AB533" i="54" s="1"/>
  <c r="Y540" i="54"/>
  <c r="AA540" i="54" s="1"/>
  <c r="AU965" i="57"/>
  <c r="D969" i="58"/>
  <c r="AU966" i="57"/>
  <c r="D970" i="58"/>
  <c r="AU967" i="57"/>
  <c r="D971" i="58"/>
  <c r="Q973" i="58"/>
  <c r="AU968" i="57"/>
  <c r="D972" i="58"/>
  <c r="T976" i="58"/>
  <c r="R976" i="58"/>
  <c r="S971" i="58"/>
  <c r="Q970" i="58"/>
  <c r="Q975" i="58"/>
  <c r="S972" i="58"/>
  <c r="R971" i="58"/>
  <c r="R975" i="58"/>
  <c r="T972" i="58"/>
  <c r="Q972" i="58"/>
  <c r="S975" i="58"/>
  <c r="T973" i="58"/>
  <c r="T974" i="58"/>
  <c r="T969" i="58"/>
  <c r="R972" i="58"/>
  <c r="R969" i="58"/>
  <c r="R974" i="58"/>
  <c r="S969" i="58"/>
  <c r="R973" i="58"/>
  <c r="Q974" i="58"/>
  <c r="T971" i="58"/>
  <c r="Q976" i="58"/>
  <c r="S970" i="58"/>
  <c r="R970" i="58"/>
  <c r="Q969" i="58"/>
  <c r="T975" i="58"/>
  <c r="S973" i="58"/>
  <c r="S974" i="58"/>
  <c r="T970" i="58"/>
  <c r="S976" i="58"/>
  <c r="Q971" i="58"/>
  <c r="AC865" i="58"/>
  <c r="AQ963" i="58"/>
  <c r="R1000" i="58"/>
  <c r="S999" i="58"/>
  <c r="S1000" i="58"/>
  <c r="Q1000" i="58"/>
  <c r="R999" i="58"/>
  <c r="T999" i="58"/>
  <c r="T1000" i="58"/>
  <c r="Q999" i="58"/>
  <c r="S997" i="58"/>
  <c r="Q993" i="58"/>
  <c r="Q991" i="58"/>
  <c r="R993" i="58"/>
  <c r="R991" i="58"/>
  <c r="S993" i="58"/>
  <c r="S991" i="58"/>
  <c r="T993" i="58"/>
  <c r="T991" i="58"/>
  <c r="Q996" i="58"/>
  <c r="Q994" i="58"/>
  <c r="R996" i="58"/>
  <c r="R994" i="58"/>
  <c r="T996" i="58"/>
  <c r="T994" i="58"/>
  <c r="S996" i="58"/>
  <c r="S994" i="58"/>
  <c r="AC869" i="58"/>
  <c r="Q992" i="58"/>
  <c r="Q990" i="58"/>
  <c r="R992" i="58"/>
  <c r="R990" i="58"/>
  <c r="S992" i="58"/>
  <c r="S990" i="58"/>
  <c r="T992" i="58"/>
  <c r="T990" i="58"/>
  <c r="R995" i="58"/>
  <c r="R997" i="58"/>
  <c r="Q995" i="58"/>
  <c r="Q997" i="58"/>
  <c r="T995" i="58"/>
  <c r="T997" i="58"/>
  <c r="S995" i="58"/>
  <c r="Y705" i="58"/>
  <c r="AA705" i="58" s="1"/>
  <c r="AQ705" i="58"/>
  <c r="Z705" i="58"/>
  <c r="AB705" i="58" s="1"/>
  <c r="Y755" i="57"/>
  <c r="AA755" i="57" s="1"/>
  <c r="Y759" i="57"/>
  <c r="AA759" i="57" s="1"/>
  <c r="Z753" i="57"/>
  <c r="AB753" i="57" s="1"/>
  <c r="Z751" i="57"/>
  <c r="AB751" i="57" s="1"/>
  <c r="Y742" i="57"/>
  <c r="AA742" i="57" s="1"/>
  <c r="Z744" i="57"/>
  <c r="AB744" i="57" s="1"/>
  <c r="Z761" i="57"/>
  <c r="AB761" i="57" s="1"/>
  <c r="Y753" i="57"/>
  <c r="AA753" i="57" s="1"/>
  <c r="Z758" i="57"/>
  <c r="AB758" i="57" s="1"/>
  <c r="Y747" i="57"/>
  <c r="AA747" i="57" s="1"/>
  <c r="Y749" i="57"/>
  <c r="AA749" i="57" s="1"/>
  <c r="Y757" i="57"/>
  <c r="AA757" i="57" s="1"/>
  <c r="Z755" i="57"/>
  <c r="AB755" i="57" s="1"/>
  <c r="Z759" i="57"/>
  <c r="AB759" i="57" s="1"/>
  <c r="Y750" i="57"/>
  <c r="AA750" i="57" s="1"/>
  <c r="Y745" i="57"/>
  <c r="AA745" i="57" s="1"/>
  <c r="Z747" i="57"/>
  <c r="AB747" i="57" s="1"/>
  <c r="Z750" i="57"/>
  <c r="AB750" i="57" s="1"/>
  <c r="Z742" i="57"/>
  <c r="AB742" i="57" s="1"/>
  <c r="Z752" i="57"/>
  <c r="AB752" i="57" s="1"/>
  <c r="Y751" i="57"/>
  <c r="AA751" i="57" s="1"/>
  <c r="Y752" i="57"/>
  <c r="AA752" i="57" s="1"/>
  <c r="Z760" i="57"/>
  <c r="AB760" i="57" s="1"/>
  <c r="Z756" i="57"/>
  <c r="AB756" i="57" s="1"/>
  <c r="Y748" i="57"/>
  <c r="AA748" i="57" s="1"/>
  <c r="Z749" i="57"/>
  <c r="AB749" i="57" s="1"/>
  <c r="Z743" i="57"/>
  <c r="AB743" i="57" s="1"/>
  <c r="Z745" i="57"/>
  <c r="AB745" i="57" s="1"/>
  <c r="Y761" i="57"/>
  <c r="AA761" i="57" s="1"/>
  <c r="Z754" i="57"/>
  <c r="AB754" i="57" s="1"/>
  <c r="Y555" i="54"/>
  <c r="AA555" i="54" s="1"/>
  <c r="Z558" i="54"/>
  <c r="AB558" i="54" s="1"/>
  <c r="Z544" i="54"/>
  <c r="AB544" i="54" s="1"/>
  <c r="Z515" i="54"/>
  <c r="AB515" i="54" s="1"/>
  <c r="Z487" i="54"/>
  <c r="AB487" i="54" s="1"/>
  <c r="Z495" i="54"/>
  <c r="AB495" i="54" s="1"/>
  <c r="Z516" i="54"/>
  <c r="AB516" i="54" s="1"/>
  <c r="Z494" i="54"/>
  <c r="AB494" i="54" s="1"/>
  <c r="Z490" i="54"/>
  <c r="AB490" i="54" s="1"/>
  <c r="Z506" i="54"/>
  <c r="AB506" i="54" s="1"/>
  <c r="Z508" i="54"/>
  <c r="AB508" i="54" s="1"/>
  <c r="Z517" i="54"/>
  <c r="AB517" i="54" s="1"/>
  <c r="Y514" i="54"/>
  <c r="AA514" i="54" s="1"/>
  <c r="Z507" i="54"/>
  <c r="AB507" i="54" s="1"/>
  <c r="Z486" i="54"/>
  <c r="AB486" i="54" s="1"/>
  <c r="Y513" i="54"/>
  <c r="AA513" i="54" s="1"/>
  <c r="Z492" i="54"/>
  <c r="AB492" i="54" s="1"/>
  <c r="AA499" i="54"/>
  <c r="Y511" i="54"/>
  <c r="AA511" i="54" s="1"/>
  <c r="Y508" i="54"/>
  <c r="AA508" i="54" s="1"/>
  <c r="Z513" i="54"/>
  <c r="AB513" i="54" s="1"/>
  <c r="Z511" i="54"/>
  <c r="AB511" i="54" s="1"/>
  <c r="Y510" i="54"/>
  <c r="AA510" i="54" s="1"/>
  <c r="Z550" i="54"/>
  <c r="AB550" i="54" s="1"/>
  <c r="Y531" i="54"/>
  <c r="AA531" i="54" s="1"/>
  <c r="Y558" i="54"/>
  <c r="AA558" i="54" s="1"/>
  <c r="Y506" i="54"/>
  <c r="AA506" i="54" s="1"/>
  <c r="Z493" i="54"/>
  <c r="AB493" i="54" s="1"/>
  <c r="Z489" i="54"/>
  <c r="AB489" i="54" s="1"/>
  <c r="Z497" i="54"/>
  <c r="AB497" i="54" s="1"/>
  <c r="Y517" i="54"/>
  <c r="AA517" i="54" s="1"/>
  <c r="Y504" i="54"/>
  <c r="AA504" i="54" s="1"/>
  <c r="Y509" i="54"/>
  <c r="AA509" i="54" s="1"/>
  <c r="AA501" i="54"/>
  <c r="AA496" i="54"/>
  <c r="Y505" i="54"/>
  <c r="AA505" i="54" s="1"/>
  <c r="Y512" i="54"/>
  <c r="AA512" i="54" s="1"/>
  <c r="Y507" i="54"/>
  <c r="AA507" i="54" s="1"/>
  <c r="Z503" i="54"/>
  <c r="AB503" i="54" s="1"/>
  <c r="Z498" i="54"/>
  <c r="AB498" i="54" s="1"/>
  <c r="Z491" i="54"/>
  <c r="AB491" i="54" s="1"/>
  <c r="Z499" i="54"/>
  <c r="AB499" i="54" s="1"/>
  <c r="Z500" i="54"/>
  <c r="AB500" i="54" s="1"/>
  <c r="Z510" i="54"/>
  <c r="AB510" i="54" s="1"/>
  <c r="Z534" i="54"/>
  <c r="AB534" i="54" s="1"/>
  <c r="Z532" i="54"/>
  <c r="AB532" i="54" s="1"/>
  <c r="Y532" i="54"/>
  <c r="AA532" i="54" s="1"/>
  <c r="Y529" i="54"/>
  <c r="AA529" i="54" s="1"/>
  <c r="Z531" i="54"/>
  <c r="AB531" i="54" s="1"/>
  <c r="Z538" i="54"/>
  <c r="AB538" i="54" s="1"/>
  <c r="Y538" i="54"/>
  <c r="AA538" i="54" s="1"/>
  <c r="Z541" i="54"/>
  <c r="AB541" i="54" s="1"/>
  <c r="Y535" i="54"/>
  <c r="AA535" i="54" s="1"/>
  <c r="Z539" i="54"/>
  <c r="AB539" i="54" s="1"/>
  <c r="Y537" i="54"/>
  <c r="AA537" i="54" s="1"/>
  <c r="Z548" i="54"/>
  <c r="AB548" i="54" s="1"/>
  <c r="Y548" i="54"/>
  <c r="AA548" i="54" s="1"/>
  <c r="Z530" i="54"/>
  <c r="AB530" i="54" s="1"/>
  <c r="Y530" i="54"/>
  <c r="AA530" i="54" s="1"/>
  <c r="Z543" i="54"/>
  <c r="AB543" i="54" s="1"/>
  <c r="Y547" i="54"/>
  <c r="AA547" i="54" s="1"/>
  <c r="Y533" i="54"/>
  <c r="AA533" i="54" s="1"/>
  <c r="Z502" i="54"/>
  <c r="AB502" i="54" s="1"/>
  <c r="Z488" i="54"/>
  <c r="AB488" i="54" s="1"/>
  <c r="Z504" i="54"/>
  <c r="AB504" i="54" s="1"/>
  <c r="Z509" i="54"/>
  <c r="AB509" i="54" s="1"/>
  <c r="Z501" i="54"/>
  <c r="AB501" i="54" s="1"/>
  <c r="Z496" i="54"/>
  <c r="AB496" i="54" s="1"/>
  <c r="Z505" i="54"/>
  <c r="AB505" i="54" s="1"/>
  <c r="Z536" i="54"/>
  <c r="AB536" i="54" s="1"/>
  <c r="Y541" i="54"/>
  <c r="AA541" i="54" s="1"/>
  <c r="Y539" i="54"/>
  <c r="AA539" i="54" s="1"/>
  <c r="Z546" i="54"/>
  <c r="AB546" i="54" s="1"/>
  <c r="Z542" i="54"/>
  <c r="AB542" i="54" s="1"/>
  <c r="Y543" i="54"/>
  <c r="AA543" i="54" s="1"/>
  <c r="Z540" i="54"/>
  <c r="AB540" i="54" s="1"/>
  <c r="AA487" i="54"/>
  <c r="Y486" i="54"/>
  <c r="AA486" i="54" s="1"/>
  <c r="Y503" i="54"/>
  <c r="AA503" i="54" s="1"/>
  <c r="Y516" i="54"/>
  <c r="AA516" i="54" s="1"/>
  <c r="Y544" i="54"/>
  <c r="AA544" i="54" s="1"/>
  <c r="Z545" i="54"/>
  <c r="AB545" i="54" s="1"/>
  <c r="Z556" i="54"/>
  <c r="AB556" i="54" s="1"/>
  <c r="Y557" i="54"/>
  <c r="AA557" i="54" s="1"/>
  <c r="Z555" i="54"/>
  <c r="AB555" i="54" s="1"/>
  <c r="Y552" i="54"/>
  <c r="AA552" i="54" s="1"/>
  <c r="Y556" i="54"/>
  <c r="AA556" i="54" s="1"/>
  <c r="Z553" i="54"/>
  <c r="AB553" i="54" s="1"/>
  <c r="Z549" i="54"/>
  <c r="AB549" i="54" s="1"/>
  <c r="Z557" i="54"/>
  <c r="AB557" i="54" s="1"/>
  <c r="Y560" i="54"/>
  <c r="AA560" i="54" s="1"/>
  <c r="Z552" i="54"/>
  <c r="AB552" i="54" s="1"/>
  <c r="Z559" i="54"/>
  <c r="AB559" i="54" s="1"/>
  <c r="Y553" i="54"/>
  <c r="AA553" i="54" s="1"/>
  <c r="E808" i="57"/>
  <c r="E385" i="57" s="1"/>
  <c r="F400" i="57" s="1"/>
  <c r="AC729" i="54"/>
  <c r="D601" i="54"/>
  <c r="E815" i="57" s="1"/>
  <c r="E392" i="57" s="1"/>
  <c r="AI729" i="54"/>
  <c r="O729" i="54"/>
  <c r="P729" i="54"/>
  <c r="AQ756" i="57"/>
  <c r="V952" i="57"/>
  <c r="Z952" i="57"/>
  <c r="AQ952" i="57"/>
  <c r="AK952" i="57"/>
  <c r="X952" i="57"/>
  <c r="AP952" i="57"/>
  <c r="AD952" i="57"/>
  <c r="Y681" i="58"/>
  <c r="AA681" i="58" s="1"/>
  <c r="AQ681" i="58"/>
  <c r="Y687" i="58"/>
  <c r="AA687" i="58" s="1"/>
  <c r="Z678" i="58"/>
  <c r="AB678" i="58" s="1"/>
  <c r="D937" i="57"/>
  <c r="AU937" i="57" s="1"/>
  <c r="AQ549" i="54"/>
  <c r="Y708" i="58"/>
  <c r="AA708" i="58" s="1"/>
  <c r="AQ701" i="58"/>
  <c r="Z704" i="58"/>
  <c r="AB704" i="58" s="1"/>
  <c r="N730" i="54"/>
  <c r="AN730" i="54" s="1"/>
  <c r="AQ703" i="58"/>
  <c r="Z701" i="58"/>
  <c r="AB701" i="58" s="1"/>
  <c r="AR678" i="54"/>
  <c r="AR892" i="57" s="1"/>
  <c r="AR896" i="58" s="1"/>
  <c r="G892" i="57"/>
  <c r="G896" i="58" s="1"/>
  <c r="AR679" i="54"/>
  <c r="AR893" i="57" s="1"/>
  <c r="AR897" i="58" s="1"/>
  <c r="G893" i="57"/>
  <c r="G897" i="58" s="1"/>
  <c r="AR683" i="54"/>
  <c r="AR897" i="57" s="1"/>
  <c r="AR901" i="58" s="1"/>
  <c r="G897" i="57"/>
  <c r="G901" i="58" s="1"/>
  <c r="AU751" i="54"/>
  <c r="D969" i="57"/>
  <c r="D861" i="57"/>
  <c r="N729" i="54"/>
  <c r="AR677" i="54"/>
  <c r="AR891" i="57" s="1"/>
  <c r="AR895" i="58" s="1"/>
  <c r="G891" i="57"/>
  <c r="G895" i="58" s="1"/>
  <c r="AR680" i="54"/>
  <c r="AR894" i="57" s="1"/>
  <c r="AR898" i="58" s="1"/>
  <c r="G894" i="57"/>
  <c r="G898" i="58" s="1"/>
  <c r="AR685" i="54"/>
  <c r="AR899" i="57" s="1"/>
  <c r="AR903" i="58" s="1"/>
  <c r="G899" i="57"/>
  <c r="G903" i="58" s="1"/>
  <c r="AR676" i="54"/>
  <c r="AR890" i="57" s="1"/>
  <c r="AR894" i="58" s="1"/>
  <c r="G890" i="57"/>
  <c r="G894" i="58" s="1"/>
  <c r="AI892" i="57"/>
  <c r="AR686" i="54"/>
  <c r="AR900" i="57" s="1"/>
  <c r="AR904" i="58" s="1"/>
  <c r="G900" i="57"/>
  <c r="G904" i="58" s="1"/>
  <c r="AR684" i="54"/>
  <c r="AR898" i="57" s="1"/>
  <c r="AR902" i="58" s="1"/>
  <c r="G898" i="57"/>
  <c r="G902" i="58" s="1"/>
  <c r="AU752" i="54"/>
  <c r="D862" i="57"/>
  <c r="D970" i="57"/>
  <c r="AU753" i="54"/>
  <c r="D971" i="57"/>
  <c r="D863" i="57"/>
  <c r="AR682" i="54"/>
  <c r="AR896" i="57" s="1"/>
  <c r="AR900" i="58" s="1"/>
  <c r="G896" i="57"/>
  <c r="G900" i="58" s="1"/>
  <c r="AR687" i="54"/>
  <c r="AR901" i="57" s="1"/>
  <c r="AR905" i="58" s="1"/>
  <c r="G901" i="57"/>
  <c r="G905" i="58" s="1"/>
  <c r="AU754" i="54"/>
  <c r="D972" i="57"/>
  <c r="D864" i="57"/>
  <c r="D865" i="57" s="1"/>
  <c r="D866" i="57" s="1"/>
  <c r="AR681" i="54"/>
  <c r="AR895" i="57" s="1"/>
  <c r="AR899" i="58" s="1"/>
  <c r="G895" i="57"/>
  <c r="G899" i="58" s="1"/>
  <c r="AQ744" i="57"/>
  <c r="S848" i="57"/>
  <c r="T848" i="57"/>
  <c r="Q848" i="57"/>
  <c r="R848" i="57"/>
  <c r="S855" i="57"/>
  <c r="T855" i="57"/>
  <c r="Q855" i="57"/>
  <c r="R855" i="57"/>
  <c r="S851" i="57"/>
  <c r="T851" i="57"/>
  <c r="Q851" i="57"/>
  <c r="R851" i="57"/>
  <c r="AQ750" i="57"/>
  <c r="AQ742" i="57"/>
  <c r="AQ748" i="57"/>
  <c r="AQ743" i="57"/>
  <c r="AQ745" i="57"/>
  <c r="AQ747" i="57"/>
  <c r="AQ746" i="57"/>
  <c r="AQ749" i="57"/>
  <c r="AQ958" i="57"/>
  <c r="P664" i="54"/>
  <c r="AQ554" i="54"/>
  <c r="E704" i="54"/>
  <c r="AQ559" i="54"/>
  <c r="N749" i="54"/>
  <c r="D871" i="58"/>
  <c r="D872" i="58" s="1"/>
  <c r="N748" i="54"/>
  <c r="N753" i="54"/>
  <c r="N745" i="54"/>
  <c r="N751" i="54"/>
  <c r="N704" i="54"/>
  <c r="N752" i="54"/>
  <c r="N747" i="54"/>
  <c r="N750" i="54"/>
  <c r="N754" i="54"/>
  <c r="H661" i="54"/>
  <c r="H663" i="54"/>
  <c r="E636" i="54"/>
  <c r="H673" i="54"/>
  <c r="Z678" i="54"/>
  <c r="Z892" i="57" s="1"/>
  <c r="Z896" i="58" s="1"/>
  <c r="AD678" i="54"/>
  <c r="AD892" i="57" s="1"/>
  <c r="AD896" i="58" s="1"/>
  <c r="H672" i="54"/>
  <c r="H662" i="54"/>
  <c r="H664" i="54"/>
  <c r="E710" i="54"/>
  <c r="E928" i="57" s="1"/>
  <c r="E932" i="58" s="1"/>
  <c r="E748" i="58" s="1"/>
  <c r="H656" i="54"/>
  <c r="H670" i="54"/>
  <c r="H658" i="54"/>
  <c r="AE678" i="54"/>
  <c r="AE892" i="57" s="1"/>
  <c r="AE896" i="58" s="1"/>
  <c r="AD676" i="54"/>
  <c r="AD890" i="57" s="1"/>
  <c r="AD894" i="58" s="1"/>
  <c r="Z676" i="54"/>
  <c r="Z890" i="57" s="1"/>
  <c r="Z894" i="58" s="1"/>
  <c r="AE676" i="54"/>
  <c r="AE890" i="57" s="1"/>
  <c r="AE894" i="58" s="1"/>
  <c r="U644" i="54"/>
  <c r="V644" i="54"/>
  <c r="Q630" i="54"/>
  <c r="R630" i="54"/>
  <c r="S630" i="54"/>
  <c r="T630" i="54"/>
  <c r="S635" i="54"/>
  <c r="T635" i="54"/>
  <c r="Q635" i="54"/>
  <c r="R635" i="54"/>
  <c r="S631" i="54"/>
  <c r="T631" i="54"/>
  <c r="Q631" i="54"/>
  <c r="R631" i="54"/>
  <c r="Q628" i="54"/>
  <c r="R628" i="54"/>
  <c r="S628" i="54"/>
  <c r="T628" i="54"/>
  <c r="Q636" i="54"/>
  <c r="R636" i="54"/>
  <c r="S636" i="54"/>
  <c r="T636" i="54"/>
  <c r="S639" i="54"/>
  <c r="T639" i="54"/>
  <c r="Q639" i="54"/>
  <c r="R639" i="54"/>
  <c r="S633" i="54"/>
  <c r="T633" i="54"/>
  <c r="Q633" i="54"/>
  <c r="R633" i="54"/>
  <c r="S629" i="54"/>
  <c r="T629" i="54"/>
  <c r="Q629" i="54"/>
  <c r="R629" i="54"/>
  <c r="Q632" i="54"/>
  <c r="R632" i="54"/>
  <c r="S632" i="54"/>
  <c r="T632" i="54"/>
  <c r="U642" i="54"/>
  <c r="Q638" i="54"/>
  <c r="R638" i="54"/>
  <c r="S638" i="54"/>
  <c r="T638" i="54"/>
  <c r="S627" i="54"/>
  <c r="T627" i="54"/>
  <c r="Q627" i="54"/>
  <c r="R627" i="54"/>
  <c r="AQ561" i="54"/>
  <c r="S626" i="54"/>
  <c r="R626" i="54"/>
  <c r="T626" i="54"/>
  <c r="Q626" i="54"/>
  <c r="H694" i="54"/>
  <c r="E630" i="54"/>
  <c r="H693" i="54"/>
  <c r="E639" i="54"/>
  <c r="E633" i="54"/>
  <c r="E634" i="54"/>
  <c r="H697" i="54"/>
  <c r="E641" i="54"/>
  <c r="AQ553" i="54"/>
  <c r="AQ560" i="54"/>
  <c r="AQ557" i="54"/>
  <c r="AQ556" i="54"/>
  <c r="AQ555" i="54"/>
  <c r="AQ558" i="54"/>
  <c r="AQ552" i="54"/>
  <c r="M571" i="54"/>
  <c r="R571" i="54"/>
  <c r="Y571" i="54"/>
  <c r="E571" i="54"/>
  <c r="N571" i="54"/>
  <c r="S571" i="54"/>
  <c r="F571" i="54"/>
  <c r="K571" i="54"/>
  <c r="T571" i="54" s="1"/>
  <c r="O571" i="54"/>
  <c r="I571" i="54"/>
  <c r="G571" i="54"/>
  <c r="L571" i="54"/>
  <c r="P571" i="54"/>
  <c r="X571" i="54"/>
  <c r="D571" i="54"/>
  <c r="C571" i="54"/>
  <c r="Q571" i="54"/>
  <c r="Y686" i="58"/>
  <c r="AA686" i="58" s="1"/>
  <c r="AQ678" i="58"/>
  <c r="Z709" i="58"/>
  <c r="AB709" i="58" s="1"/>
  <c r="AQ685" i="58"/>
  <c r="Y685" i="58"/>
  <c r="AA685" i="58" s="1"/>
  <c r="Z679" i="58"/>
  <c r="AB679" i="58" s="1"/>
  <c r="AQ689" i="58"/>
  <c r="Y683" i="58"/>
  <c r="AA683" i="58" s="1"/>
  <c r="AQ688" i="58"/>
  <c r="AQ757" i="57"/>
  <c r="AA807" i="57"/>
  <c r="S807" i="57" s="1"/>
  <c r="S384" i="57" s="1"/>
  <c r="AC864" i="58"/>
  <c r="Z685" i="58"/>
  <c r="AB685" i="58" s="1"/>
  <c r="Z708" i="58"/>
  <c r="AB708" i="58" s="1"/>
  <c r="AC861" i="58"/>
  <c r="AQ695" i="58"/>
  <c r="AC871" i="58"/>
  <c r="AQ682" i="58"/>
  <c r="Y701" i="58"/>
  <c r="AA701" i="58" s="1"/>
  <c r="Y677" i="58"/>
  <c r="AA677" i="58" s="1"/>
  <c r="Z677" i="58"/>
  <c r="AB677" i="58" s="1"/>
  <c r="AQ697" i="58"/>
  <c r="Y704" i="58"/>
  <c r="AA704" i="58" s="1"/>
  <c r="AL907" i="57"/>
  <c r="AM907" i="57" s="1"/>
  <c r="Q907" i="57" s="1"/>
  <c r="AQ959" i="57"/>
  <c r="AR959" i="57" s="1"/>
  <c r="AL905" i="57"/>
  <c r="AM905" i="57" s="1"/>
  <c r="P905" i="57" s="1"/>
  <c r="AL913" i="57"/>
  <c r="AM913" i="57" s="1"/>
  <c r="AL909" i="57"/>
  <c r="AM909" i="57" s="1"/>
  <c r="Q909" i="57" s="1"/>
  <c r="AL911" i="57"/>
  <c r="AM911" i="57" s="1"/>
  <c r="AQ962" i="57"/>
  <c r="AR962" i="57" s="1"/>
  <c r="AQ683" i="58"/>
  <c r="Y689" i="58"/>
  <c r="AA689" i="58" s="1"/>
  <c r="Z681" i="58"/>
  <c r="AB681" i="58" s="1"/>
  <c r="Z689" i="58"/>
  <c r="AB689" i="58" s="1"/>
  <c r="AL915" i="57"/>
  <c r="AM915" i="57" s="1"/>
  <c r="Z682" i="58"/>
  <c r="AB682" i="58" s="1"/>
  <c r="AQ708" i="58"/>
  <c r="AQ684" i="58"/>
  <c r="Y688" i="58"/>
  <c r="AA688" i="58" s="1"/>
  <c r="AB888" i="58"/>
  <c r="AQ691" i="58"/>
  <c r="Z703" i="58"/>
  <c r="AB703" i="58" s="1"/>
  <c r="Y678" i="58"/>
  <c r="AA678" i="58" s="1"/>
  <c r="AQ709" i="58"/>
  <c r="AQ677" i="58"/>
  <c r="AB882" i="58"/>
  <c r="Z688" i="58"/>
  <c r="AB688" i="58" s="1"/>
  <c r="Z683" i="58"/>
  <c r="AB683" i="58" s="1"/>
  <c r="Q1009" i="58"/>
  <c r="AC636" i="54"/>
  <c r="Y703" i="58"/>
  <c r="AA703" i="58" s="1"/>
  <c r="AC882" i="58"/>
  <c r="Z686" i="58"/>
  <c r="AB686" i="58" s="1"/>
  <c r="Q892" i="58"/>
  <c r="Q893" i="58"/>
  <c r="R891" i="58"/>
  <c r="S893" i="58"/>
  <c r="S890" i="58"/>
  <c r="S891" i="58"/>
  <c r="R890" i="58"/>
  <c r="R892" i="58"/>
  <c r="S892" i="58"/>
  <c r="Q891" i="58"/>
  <c r="R893" i="58"/>
  <c r="Q890" i="58"/>
  <c r="AL919" i="58"/>
  <c r="AM919" i="58" s="1"/>
  <c r="AL913" i="58"/>
  <c r="AM913" i="58" s="1"/>
  <c r="AL915" i="58"/>
  <c r="AM915" i="58" s="1"/>
  <c r="AL917" i="58"/>
  <c r="AM917" i="58" s="1"/>
  <c r="AC870" i="58"/>
  <c r="Q985" i="58"/>
  <c r="S983" i="58"/>
  <c r="R987" i="58"/>
  <c r="R978" i="58"/>
  <c r="R985" i="58"/>
  <c r="T978" i="58"/>
  <c r="Q983" i="58"/>
  <c r="T989" i="58"/>
  <c r="R980" i="58"/>
  <c r="S881" i="58"/>
  <c r="S883" i="58"/>
  <c r="R889" i="58"/>
  <c r="AC880" i="58"/>
  <c r="S887" i="58"/>
  <c r="P890" i="58"/>
  <c r="P887" i="58"/>
  <c r="P892" i="58"/>
  <c r="T1005" i="58"/>
  <c r="S1005" i="58"/>
  <c r="J1010" i="58"/>
  <c r="Z687" i="58"/>
  <c r="AB687" i="58" s="1"/>
  <c r="Y679" i="58"/>
  <c r="AA679" i="58" s="1"/>
  <c r="AQ679" i="58"/>
  <c r="R989" i="58"/>
  <c r="S980" i="58"/>
  <c r="Q979" i="58"/>
  <c r="T983" i="58"/>
  <c r="T985" i="58"/>
  <c r="R983" i="58"/>
  <c r="S979" i="58"/>
  <c r="S987" i="58"/>
  <c r="S978" i="58"/>
  <c r="Q989" i="58"/>
  <c r="Q887" i="58"/>
  <c r="P881" i="58"/>
  <c r="Q881" i="58"/>
  <c r="AC888" i="58"/>
  <c r="R885" i="58"/>
  <c r="AC886" i="58"/>
  <c r="AB886" i="58"/>
  <c r="P889" i="58"/>
  <c r="S1006" i="58"/>
  <c r="T1006" i="58"/>
  <c r="M1010" i="58"/>
  <c r="AC873" i="58"/>
  <c r="AC872" i="58"/>
  <c r="AL910" i="58"/>
  <c r="AM910" i="58" s="1"/>
  <c r="AL907" i="58"/>
  <c r="AM907" i="58" s="1"/>
  <c r="AL912" i="58"/>
  <c r="AM912" i="58" s="1"/>
  <c r="AL916" i="58"/>
  <c r="AM916" i="58" s="1"/>
  <c r="AL914" i="58"/>
  <c r="AM914" i="58" s="1"/>
  <c r="AL918" i="58"/>
  <c r="AM918" i="58" s="1"/>
  <c r="AQ1001" i="58"/>
  <c r="AR1001" i="58" s="1"/>
  <c r="AQ1002" i="58"/>
  <c r="AR1002" i="58" s="1"/>
  <c r="AC859" i="58"/>
  <c r="AC860" i="58"/>
  <c r="AC858" i="58"/>
  <c r="AC862" i="58"/>
  <c r="AC863" i="58"/>
  <c r="AC857" i="58"/>
  <c r="Y709" i="58"/>
  <c r="AA709" i="58" s="1"/>
  <c r="AQ687" i="58"/>
  <c r="S989" i="58"/>
  <c r="Q978" i="58"/>
  <c r="T979" i="58"/>
  <c r="Q980" i="58"/>
  <c r="P883" i="58"/>
  <c r="R883" i="58"/>
  <c r="Q883" i="58"/>
  <c r="AB884" i="58"/>
  <c r="S889" i="58"/>
  <c r="AC906" i="58"/>
  <c r="AG906" i="58" s="1"/>
  <c r="AB880" i="58"/>
  <c r="Q885" i="58"/>
  <c r="Q1005" i="58"/>
  <c r="R1005" i="58"/>
  <c r="L1010" i="58"/>
  <c r="AQ686" i="58"/>
  <c r="AL909" i="58"/>
  <c r="AM909" i="58" s="1"/>
  <c r="AL911" i="58"/>
  <c r="AM911" i="58" s="1"/>
  <c r="AC868" i="58"/>
  <c r="AC866" i="58"/>
  <c r="AC867" i="58"/>
  <c r="Y682" i="58"/>
  <c r="AA682" i="58" s="1"/>
  <c r="T987" i="58"/>
  <c r="R979" i="58"/>
  <c r="Q987" i="58"/>
  <c r="T980" i="58"/>
  <c r="S985" i="58"/>
  <c r="Q889" i="58"/>
  <c r="P885" i="58"/>
  <c r="P893" i="58"/>
  <c r="R887" i="58"/>
  <c r="AC884" i="58"/>
  <c r="R881" i="58"/>
  <c r="S885" i="58"/>
  <c r="P891" i="58"/>
  <c r="AB906" i="58"/>
  <c r="AF906" i="58" s="1"/>
  <c r="R1006" i="58"/>
  <c r="Q1006" i="58"/>
  <c r="K1010" i="58"/>
  <c r="P1009" i="58"/>
  <c r="AQ754" i="57"/>
  <c r="I815" i="57"/>
  <c r="I392" i="57" s="1"/>
  <c r="E823" i="57"/>
  <c r="E415" i="57" s="1"/>
  <c r="D813" i="57"/>
  <c r="D390" i="57" s="1"/>
  <c r="F813" i="57"/>
  <c r="F390" i="57" s="1"/>
  <c r="H813" i="57"/>
  <c r="H390" i="57" s="1"/>
  <c r="H354" i="58"/>
  <c r="K363" i="58" s="1"/>
  <c r="K367" i="58" s="1"/>
  <c r="AA792" i="58"/>
  <c r="S792" i="58" s="1"/>
  <c r="E379" i="58"/>
  <c r="G386" i="58" s="1"/>
  <c r="G391" i="58" s="1"/>
  <c r="F829" i="58"/>
  <c r="B829" i="58" s="1"/>
  <c r="B305" i="58" s="1"/>
  <c r="I813" i="57"/>
  <c r="I390" i="57" s="1"/>
  <c r="E814" i="57"/>
  <c r="E391" i="57" s="1"/>
  <c r="H815" i="57"/>
  <c r="H392" i="57" s="1"/>
  <c r="E813" i="57"/>
  <c r="E390" i="57" s="1"/>
  <c r="H814" i="57"/>
  <c r="H391" i="57" s="1"/>
  <c r="I400" i="57" s="1"/>
  <c r="I807" i="58"/>
  <c r="AE807" i="58" s="1"/>
  <c r="AA793" i="58"/>
  <c r="H355" i="58"/>
  <c r="W721" i="58"/>
  <c r="T869" i="58"/>
  <c r="S869" i="58"/>
  <c r="R869" i="58"/>
  <c r="Q869" i="58"/>
  <c r="T861" i="58"/>
  <c r="S861" i="58"/>
  <c r="R861" i="58"/>
  <c r="Q861" i="58"/>
  <c r="R865" i="58"/>
  <c r="S865" i="58"/>
  <c r="T865" i="58"/>
  <c r="Q865" i="58"/>
  <c r="Q871" i="58"/>
  <c r="T871" i="58"/>
  <c r="S871" i="58"/>
  <c r="R871" i="58"/>
  <c r="C743" i="58"/>
  <c r="AQ953" i="57"/>
  <c r="I957" i="58"/>
  <c r="AQ963" i="57"/>
  <c r="I967" i="58"/>
  <c r="AU933" i="57"/>
  <c r="D937" i="58"/>
  <c r="AQ961" i="57"/>
  <c r="I965" i="58"/>
  <c r="AQ957" i="57"/>
  <c r="I961" i="58"/>
  <c r="C751" i="58"/>
  <c r="AQ956" i="57"/>
  <c r="I960" i="58"/>
  <c r="AU940" i="57"/>
  <c r="D944" i="58"/>
  <c r="C745" i="58"/>
  <c r="C759" i="58"/>
  <c r="C742" i="58"/>
  <c r="C744" i="58"/>
  <c r="AU923" i="57"/>
  <c r="D927" i="58"/>
  <c r="M746" i="58"/>
  <c r="AU941" i="57"/>
  <c r="D945" i="58"/>
  <c r="AU944" i="57"/>
  <c r="D948" i="58"/>
  <c r="AU939" i="57"/>
  <c r="D943" i="58"/>
  <c r="AU942" i="57"/>
  <c r="D946" i="58"/>
  <c r="C752" i="58"/>
  <c r="AU946" i="57"/>
  <c r="D950" i="58"/>
  <c r="AQ752" i="57"/>
  <c r="AQ751" i="57"/>
  <c r="AQ759" i="57"/>
  <c r="AQ753" i="57"/>
  <c r="AQ761" i="57"/>
  <c r="AQ760" i="57"/>
  <c r="AQ758" i="57"/>
  <c r="AQ755" i="57"/>
  <c r="M758" i="54"/>
  <c r="Z600" i="54"/>
  <c r="R600" i="54" s="1"/>
  <c r="I814" i="57"/>
  <c r="I391" i="57" s="1"/>
  <c r="K758" i="54"/>
  <c r="L758" i="54"/>
  <c r="AD826" i="57"/>
  <c r="AD822" i="57"/>
  <c r="C600" i="54"/>
  <c r="D810" i="57" s="1"/>
  <c r="D387" i="57" s="1"/>
  <c r="D807" i="57"/>
  <c r="D384" i="57" s="1"/>
  <c r="J758" i="54"/>
  <c r="AD823" i="57"/>
  <c r="R984" i="57"/>
  <c r="Q973" i="57"/>
  <c r="Q978" i="57"/>
  <c r="R980" i="57"/>
  <c r="S978" i="57"/>
  <c r="S980" i="57"/>
  <c r="Q984" i="57"/>
  <c r="T980" i="57"/>
  <c r="R973" i="57"/>
  <c r="T984" i="57"/>
  <c r="R978" i="57"/>
  <c r="T973" i="57"/>
  <c r="S984" i="57"/>
  <c r="T978" i="57"/>
  <c r="S973" i="57"/>
  <c r="Q980" i="57"/>
  <c r="G882" i="57"/>
  <c r="AR881" i="57"/>
  <c r="AA758" i="57"/>
  <c r="P878" i="57"/>
  <c r="P884" i="57"/>
  <c r="P882" i="57"/>
  <c r="P876" i="57"/>
  <c r="P880" i="57"/>
  <c r="AA760" i="57"/>
  <c r="AI959" i="57"/>
  <c r="U852" i="57"/>
  <c r="AU736" i="54"/>
  <c r="D954" i="57"/>
  <c r="D958" i="58" s="1"/>
  <c r="D847" i="57"/>
  <c r="AU740" i="54"/>
  <c r="D851" i="57"/>
  <c r="D958" i="57"/>
  <c r="AU716" i="54"/>
  <c r="D934" i="57"/>
  <c r="D938" i="58" s="1"/>
  <c r="AU737" i="54"/>
  <c r="D955" i="57"/>
  <c r="D959" i="58" s="1"/>
  <c r="D848" i="57"/>
  <c r="AU714" i="54"/>
  <c r="D932" i="57"/>
  <c r="AU717" i="54"/>
  <c r="D935" i="57"/>
  <c r="AU710" i="54"/>
  <c r="D928" i="57"/>
  <c r="D932" i="58" s="1"/>
  <c r="AU744" i="54"/>
  <c r="D962" i="57"/>
  <c r="D855" i="57"/>
  <c r="X943" i="57"/>
  <c r="V943" i="57"/>
  <c r="W943" i="57"/>
  <c r="AP943" i="57"/>
  <c r="AD943" i="57"/>
  <c r="U943" i="57"/>
  <c r="AK943" i="57"/>
  <c r="Z943" i="57"/>
  <c r="AQ943" i="57"/>
  <c r="W953" i="57"/>
  <c r="AK953" i="57"/>
  <c r="X953" i="57"/>
  <c r="Z953" i="57"/>
  <c r="AP953" i="57"/>
  <c r="AD953" i="57"/>
  <c r="U953" i="57"/>
  <c r="V953" i="57"/>
  <c r="V944" i="57"/>
  <c r="X944" i="57"/>
  <c r="AP944" i="57"/>
  <c r="W944" i="57"/>
  <c r="AD944" i="57"/>
  <c r="U944" i="57"/>
  <c r="Z944" i="57"/>
  <c r="AK944" i="57"/>
  <c r="AQ944" i="57"/>
  <c r="AP963" i="57"/>
  <c r="U963" i="57"/>
  <c r="AD963" i="57"/>
  <c r="AK963" i="57"/>
  <c r="Z963" i="57"/>
  <c r="V963" i="57"/>
  <c r="W963" i="57"/>
  <c r="X963" i="57"/>
  <c r="AK961" i="57"/>
  <c r="U961" i="57"/>
  <c r="AP961" i="57"/>
  <c r="AD961" i="57"/>
  <c r="W961" i="57"/>
  <c r="V961" i="57"/>
  <c r="Z961" i="57"/>
  <c r="X961" i="57"/>
  <c r="AP957" i="57"/>
  <c r="AD957" i="57"/>
  <c r="U957" i="57"/>
  <c r="AK957" i="57"/>
  <c r="X957" i="57"/>
  <c r="W957" i="57"/>
  <c r="V957" i="57"/>
  <c r="Z957" i="57"/>
  <c r="U933" i="57"/>
  <c r="AD933" i="57"/>
  <c r="V933" i="57"/>
  <c r="X933" i="57"/>
  <c r="AK933" i="57"/>
  <c r="W933" i="57"/>
  <c r="AP933" i="57"/>
  <c r="Z933" i="57"/>
  <c r="AQ933" i="57"/>
  <c r="AP935" i="57"/>
  <c r="V935" i="57"/>
  <c r="U935" i="57"/>
  <c r="AK935" i="57"/>
  <c r="X935" i="57"/>
  <c r="Z935" i="57"/>
  <c r="W935" i="57"/>
  <c r="AD935" i="57"/>
  <c r="AQ935" i="57"/>
  <c r="I849" i="57"/>
  <c r="Z849" i="57"/>
  <c r="AB849" i="57"/>
  <c r="X849" i="57"/>
  <c r="AU738" i="54"/>
  <c r="D849" i="57"/>
  <c r="D956" i="57"/>
  <c r="AU734" i="54"/>
  <c r="D952" i="57"/>
  <c r="D956" i="58" s="1"/>
  <c r="D845" i="57"/>
  <c r="AU712" i="54"/>
  <c r="D930" i="57"/>
  <c r="AU741" i="54"/>
  <c r="D959" i="57"/>
  <c r="D963" i="58" s="1"/>
  <c r="D852" i="57"/>
  <c r="AU733" i="54"/>
  <c r="D951" i="57"/>
  <c r="D955" i="58" s="1"/>
  <c r="D844" i="57"/>
  <c r="AU742" i="54"/>
  <c r="D960" i="57"/>
  <c r="D964" i="58" s="1"/>
  <c r="D853" i="57"/>
  <c r="AU711" i="54"/>
  <c r="D929" i="57"/>
  <c r="AU713" i="54"/>
  <c r="D931" i="57"/>
  <c r="AU725" i="54"/>
  <c r="D943" i="57"/>
  <c r="D947" i="58" s="1"/>
  <c r="AU718" i="54"/>
  <c r="D936" i="57"/>
  <c r="V843" i="57"/>
  <c r="V853" i="57"/>
  <c r="Z940" i="57"/>
  <c r="AK940" i="57"/>
  <c r="V940" i="57"/>
  <c r="X940" i="57"/>
  <c r="AP940" i="57"/>
  <c r="W940" i="57"/>
  <c r="AD940" i="57"/>
  <c r="U940" i="57"/>
  <c r="AQ940" i="57"/>
  <c r="I846" i="57"/>
  <c r="Z846" i="57"/>
  <c r="AB846" i="57"/>
  <c r="X846" i="57"/>
  <c r="X856" i="57"/>
  <c r="AB856" i="57"/>
  <c r="I856" i="57"/>
  <c r="Z856" i="57"/>
  <c r="X854" i="57"/>
  <c r="I854" i="57"/>
  <c r="AB854" i="57"/>
  <c r="Z854" i="57"/>
  <c r="U923" i="57"/>
  <c r="AD923" i="57"/>
  <c r="AK923" i="57"/>
  <c r="Z923" i="57"/>
  <c r="X923" i="57"/>
  <c r="V923" i="57"/>
  <c r="W923" i="57"/>
  <c r="AP923" i="57"/>
  <c r="AQ923" i="57"/>
  <c r="AP934" i="57"/>
  <c r="V934" i="57"/>
  <c r="U934" i="57"/>
  <c r="AK934" i="57"/>
  <c r="W934" i="57"/>
  <c r="Z934" i="57"/>
  <c r="AD934" i="57"/>
  <c r="X934" i="57"/>
  <c r="AQ934" i="57"/>
  <c r="AC962" i="57"/>
  <c r="Z956" i="57"/>
  <c r="AD956" i="57"/>
  <c r="W956" i="57"/>
  <c r="V956" i="57"/>
  <c r="AP956" i="57"/>
  <c r="AK956" i="57"/>
  <c r="U956" i="57"/>
  <c r="X956" i="57"/>
  <c r="AU735" i="54"/>
  <c r="D953" i="57"/>
  <c r="D846" i="57"/>
  <c r="AU732" i="54"/>
  <c r="D950" i="57"/>
  <c r="D954" i="58" s="1"/>
  <c r="D843" i="57"/>
  <c r="AU706" i="54"/>
  <c r="D924" i="57"/>
  <c r="AU745" i="54"/>
  <c r="D963" i="57"/>
  <c r="D856" i="57"/>
  <c r="AU743" i="54"/>
  <c r="D961" i="57"/>
  <c r="D854" i="57"/>
  <c r="AU731" i="54"/>
  <c r="D949" i="57"/>
  <c r="D842" i="57"/>
  <c r="AU708" i="54"/>
  <c r="D926" i="57"/>
  <c r="D930" i="58" s="1"/>
  <c r="AU709" i="54"/>
  <c r="D927" i="57"/>
  <c r="D931" i="58" s="1"/>
  <c r="AU727" i="54"/>
  <c r="D945" i="57"/>
  <c r="AU707" i="54"/>
  <c r="D925" i="57"/>
  <c r="U937" i="57"/>
  <c r="AD937" i="57"/>
  <c r="AK937" i="57"/>
  <c r="V937" i="57"/>
  <c r="W937" i="57"/>
  <c r="Z937" i="57"/>
  <c r="AP937" i="57"/>
  <c r="X937" i="57"/>
  <c r="AQ937" i="57"/>
  <c r="AN959" i="57"/>
  <c r="AO959" i="57"/>
  <c r="AL959" i="57"/>
  <c r="AM959" i="57"/>
  <c r="AP936" i="57"/>
  <c r="X936" i="57"/>
  <c r="U936" i="57"/>
  <c r="AD936" i="57"/>
  <c r="W936" i="57"/>
  <c r="V936" i="57"/>
  <c r="Z936" i="57"/>
  <c r="AK936" i="57"/>
  <c r="AQ936" i="57"/>
  <c r="W939" i="57"/>
  <c r="AP939" i="57"/>
  <c r="AD939" i="57"/>
  <c r="U939" i="57"/>
  <c r="AK939" i="57"/>
  <c r="Z939" i="57"/>
  <c r="X939" i="57"/>
  <c r="V939" i="57"/>
  <c r="AQ939" i="57"/>
  <c r="AL960" i="57"/>
  <c r="AN960" i="57"/>
  <c r="AM960" i="57"/>
  <c r="AI960" i="57"/>
  <c r="AO960" i="57"/>
  <c r="AI962" i="57"/>
  <c r="AD946" i="57"/>
  <c r="U946" i="57"/>
  <c r="Z946" i="57"/>
  <c r="AK946" i="57"/>
  <c r="V946" i="57"/>
  <c r="X946" i="57"/>
  <c r="AP946" i="57"/>
  <c r="W946" i="57"/>
  <c r="AQ946" i="57"/>
  <c r="AU739" i="54"/>
  <c r="D957" i="57"/>
  <c r="D850" i="57"/>
  <c r="AC959" i="57"/>
  <c r="W941" i="57"/>
  <c r="AP941" i="57"/>
  <c r="AD941" i="57"/>
  <c r="U941" i="57"/>
  <c r="AK941" i="57"/>
  <c r="Z941" i="57"/>
  <c r="X941" i="57"/>
  <c r="V941" i="57"/>
  <c r="AQ941" i="57"/>
  <c r="AK945" i="57"/>
  <c r="Z945" i="57"/>
  <c r="X945" i="57"/>
  <c r="V945" i="57"/>
  <c r="W945" i="57"/>
  <c r="AP945" i="57"/>
  <c r="AD945" i="57"/>
  <c r="U945" i="57"/>
  <c r="AQ945" i="57"/>
  <c r="I850" i="57"/>
  <c r="X850" i="57"/>
  <c r="Z850" i="57"/>
  <c r="AB850" i="57"/>
  <c r="AC960" i="57"/>
  <c r="AO962" i="57"/>
  <c r="AM962" i="57"/>
  <c r="AL962" i="57"/>
  <c r="AN962" i="57"/>
  <c r="AD942" i="57"/>
  <c r="U942" i="57"/>
  <c r="Z942" i="57"/>
  <c r="AK942" i="57"/>
  <c r="V942" i="57"/>
  <c r="X942" i="57"/>
  <c r="AP942" i="57"/>
  <c r="W942" i="57"/>
  <c r="AQ942" i="57"/>
  <c r="V842" i="57"/>
  <c r="U867" i="57"/>
  <c r="V867" i="57"/>
  <c r="U843" i="57"/>
  <c r="AA754" i="57"/>
  <c r="W627" i="54"/>
  <c r="AC633" i="54"/>
  <c r="F59" i="54"/>
  <c r="F56" i="57"/>
  <c r="F64" i="54"/>
  <c r="F61" i="57"/>
  <c r="F62" i="54"/>
  <c r="F59" i="57"/>
  <c r="F61" i="54"/>
  <c r="F58" i="57"/>
  <c r="F58" i="54"/>
  <c r="J759" i="54" s="1"/>
  <c r="F55" i="57"/>
  <c r="F60" i="54"/>
  <c r="F57" i="57"/>
  <c r="F65" i="54"/>
  <c r="F62" i="57"/>
  <c r="M1002" i="57"/>
  <c r="K1002" i="57"/>
  <c r="L1002" i="57"/>
  <c r="J1002" i="57"/>
  <c r="Q882" i="57"/>
  <c r="Q880" i="57"/>
  <c r="R880" i="57"/>
  <c r="S876" i="57"/>
  <c r="R876" i="57"/>
  <c r="R882" i="57"/>
  <c r="Q876" i="57"/>
  <c r="S882" i="57"/>
  <c r="S880" i="57"/>
  <c r="Q884" i="57"/>
  <c r="S878" i="57"/>
  <c r="R878" i="57"/>
  <c r="S884" i="57"/>
  <c r="Q878" i="57"/>
  <c r="R884" i="57"/>
  <c r="AC632" i="54"/>
  <c r="AL688" i="54"/>
  <c r="AM688" i="54" s="1"/>
  <c r="AQ732" i="54"/>
  <c r="AR732" i="54" s="1"/>
  <c r="AL692" i="54"/>
  <c r="AM692" i="54" s="1"/>
  <c r="AC635" i="54"/>
  <c r="AQ738" i="54"/>
  <c r="AR738" i="54" s="1"/>
  <c r="AQ740" i="54"/>
  <c r="AR740" i="54" s="1"/>
  <c r="AC630" i="54"/>
  <c r="AL690" i="54"/>
  <c r="AM690" i="54" s="1"/>
  <c r="V771" i="57"/>
  <c r="AQ486" i="54"/>
  <c r="AQ503" i="54"/>
  <c r="AQ504" i="54"/>
  <c r="AQ509" i="54"/>
  <c r="AQ501" i="54"/>
  <c r="AQ496" i="54"/>
  <c r="AQ492" i="54"/>
  <c r="AQ490" i="54"/>
  <c r="AQ500" i="54"/>
  <c r="AQ532" i="54"/>
  <c r="AQ513" i="54"/>
  <c r="AQ487" i="54"/>
  <c r="AQ498" i="54"/>
  <c r="AQ516" i="54"/>
  <c r="AQ502" i="54"/>
  <c r="AQ514" i="54"/>
  <c r="AQ499" i="54"/>
  <c r="AQ489" i="54"/>
  <c r="AQ510" i="54"/>
  <c r="AQ536" i="54"/>
  <c r="AQ550" i="54"/>
  <c r="AQ539" i="54"/>
  <c r="AQ546" i="54"/>
  <c r="AQ495" i="54"/>
  <c r="AQ505" i="54"/>
  <c r="AQ512" i="54"/>
  <c r="AQ538" i="54"/>
  <c r="AQ540" i="54"/>
  <c r="AQ497" i="54"/>
  <c r="AQ545" i="54"/>
  <c r="AQ542" i="54"/>
  <c r="AQ493" i="54"/>
  <c r="AQ543" i="54"/>
  <c r="AQ530" i="54"/>
  <c r="AQ535" i="54"/>
  <c r="AQ537" i="54"/>
  <c r="AQ529" i="54"/>
  <c r="AQ491" i="54"/>
  <c r="AQ494" i="54"/>
  <c r="AQ548" i="54"/>
  <c r="AQ507" i="54"/>
  <c r="AQ531" i="54"/>
  <c r="AQ541" i="54"/>
  <c r="AQ506" i="54"/>
  <c r="AQ517" i="54"/>
  <c r="AQ544" i="54"/>
  <c r="AQ547" i="54"/>
  <c r="AQ515" i="54"/>
  <c r="AQ488" i="54"/>
  <c r="AQ508" i="54"/>
  <c r="AQ533" i="54"/>
  <c r="AQ511" i="54"/>
  <c r="W633" i="54"/>
  <c r="W637" i="54"/>
  <c r="N744" i="54"/>
  <c r="H695" i="54"/>
  <c r="E744" i="54"/>
  <c r="E870" i="58" s="1"/>
  <c r="AL695" i="54"/>
  <c r="AM695" i="54" s="1"/>
  <c r="AQ744" i="54"/>
  <c r="AR744" i="54" s="1"/>
  <c r="O715" i="54"/>
  <c r="P715" i="54"/>
  <c r="N743" i="54"/>
  <c r="O728" i="54"/>
  <c r="P728" i="54"/>
  <c r="U779" i="54"/>
  <c r="W626" i="54"/>
  <c r="AR656" i="54"/>
  <c r="AI716" i="54"/>
  <c r="AE671" i="54"/>
  <c r="AI717" i="54"/>
  <c r="O726" i="54"/>
  <c r="AC704" i="54"/>
  <c r="O721" i="54"/>
  <c r="AI728" i="54"/>
  <c r="AC715" i="54"/>
  <c r="AC638" i="54"/>
  <c r="AC637" i="54"/>
  <c r="AL673" i="54"/>
  <c r="AQ742" i="54"/>
  <c r="AR742" i="54" s="1"/>
  <c r="AQ739" i="54"/>
  <c r="AR739" i="54" s="1"/>
  <c r="O704" i="54"/>
  <c r="AL689" i="54"/>
  <c r="AM689" i="54" s="1"/>
  <c r="AL691" i="54"/>
  <c r="AM691" i="54" s="1"/>
  <c r="AI725" i="54"/>
  <c r="E617" i="54"/>
  <c r="C267" i="54"/>
  <c r="AC717" i="54"/>
  <c r="AC626" i="54"/>
  <c r="AC629" i="54"/>
  <c r="AC628" i="54"/>
  <c r="AL696" i="54"/>
  <c r="AM696" i="54" s="1"/>
  <c r="AQ745" i="54"/>
  <c r="AR745" i="54" s="1"/>
  <c r="AQ733" i="54"/>
  <c r="AR733" i="54" s="1"/>
  <c r="AQ737" i="54"/>
  <c r="AR737" i="54" s="1"/>
  <c r="AQ743" i="54"/>
  <c r="AR743" i="54" s="1"/>
  <c r="AQ734" i="54"/>
  <c r="AR734" i="54" s="1"/>
  <c r="AC639" i="54"/>
  <c r="AL697" i="54"/>
  <c r="AM697" i="54" s="1"/>
  <c r="AL671" i="54"/>
  <c r="AM671" i="54" s="1"/>
  <c r="AC641" i="54"/>
  <c r="AC631" i="54"/>
  <c r="AC627" i="54"/>
  <c r="AL693" i="54"/>
  <c r="AM693" i="54" s="1"/>
  <c r="AQ736" i="54"/>
  <c r="AR736" i="54" s="1"/>
  <c r="AQ731" i="54"/>
  <c r="AR731" i="54" s="1"/>
  <c r="AL694" i="54"/>
  <c r="AM694" i="54" s="1"/>
  <c r="Z694" i="54"/>
  <c r="AD694" i="54"/>
  <c r="AE694" i="54"/>
  <c r="N741" i="54"/>
  <c r="N733" i="54"/>
  <c r="N742" i="54"/>
  <c r="N711" i="54"/>
  <c r="AO711" i="54" s="1"/>
  <c r="N714" i="54"/>
  <c r="AO714" i="54" s="1"/>
  <c r="N731" i="54"/>
  <c r="N708" i="54"/>
  <c r="AN708" i="54" s="1"/>
  <c r="N709" i="54"/>
  <c r="AO709" i="54" s="1"/>
  <c r="N713" i="54"/>
  <c r="AO713" i="54" s="1"/>
  <c r="N725" i="54"/>
  <c r="N718" i="54"/>
  <c r="AO718" i="54" s="1"/>
  <c r="N736" i="54"/>
  <c r="N738" i="54"/>
  <c r="N740" i="54"/>
  <c r="N732" i="54"/>
  <c r="N735" i="54"/>
  <c r="N734" i="54"/>
  <c r="N717" i="54"/>
  <c r="N710" i="54"/>
  <c r="AO710" i="54" s="1"/>
  <c r="N727" i="54"/>
  <c r="N737" i="54"/>
  <c r="AI721" i="54"/>
  <c r="N712" i="54"/>
  <c r="AO712" i="54" s="1"/>
  <c r="N716" i="54"/>
  <c r="N705" i="54"/>
  <c r="AO705" i="54" s="1"/>
  <c r="N707" i="54"/>
  <c r="AO707" i="54" s="1"/>
  <c r="N706" i="54"/>
  <c r="AN706" i="54" s="1"/>
  <c r="N739" i="54"/>
  <c r="N728" i="54"/>
  <c r="AO728" i="54" s="1"/>
  <c r="N719" i="54"/>
  <c r="AO719" i="54" s="1"/>
  <c r="N726" i="54"/>
  <c r="N724" i="54"/>
  <c r="AO724" i="54" s="1"/>
  <c r="N715" i="54"/>
  <c r="N722" i="54"/>
  <c r="AO722" i="54" s="1"/>
  <c r="N720" i="54"/>
  <c r="AO720" i="54" s="1"/>
  <c r="N723" i="54"/>
  <c r="N721" i="54"/>
  <c r="D842" i="54"/>
  <c r="D843" i="54"/>
  <c r="D841" i="54"/>
  <c r="D833" i="54"/>
  <c r="D834" i="54"/>
  <c r="D832" i="54"/>
  <c r="AC725" i="54"/>
  <c r="AC723" i="54"/>
  <c r="AC721" i="54"/>
  <c r="O725" i="54"/>
  <c r="AC728" i="54"/>
  <c r="AI726" i="54"/>
  <c r="O716" i="54"/>
  <c r="AC726" i="54"/>
  <c r="AC722" i="54"/>
  <c r="Z697" i="54"/>
  <c r="O705" i="54"/>
  <c r="O723" i="54"/>
  <c r="AI705" i="54"/>
  <c r="AC719" i="54"/>
  <c r="AC718" i="54"/>
  <c r="AC724" i="54"/>
  <c r="AE697" i="54"/>
  <c r="AE689" i="54"/>
  <c r="R723" i="54"/>
  <c r="AI723" i="54"/>
  <c r="AC727" i="54"/>
  <c r="AC705" i="54"/>
  <c r="Z689" i="54"/>
  <c r="O713" i="54"/>
  <c r="O720" i="54"/>
  <c r="O727" i="54"/>
  <c r="O706" i="54"/>
  <c r="O714" i="54"/>
  <c r="O708" i="54"/>
  <c r="O722" i="54"/>
  <c r="O717" i="54"/>
  <c r="O709" i="54"/>
  <c r="O712" i="54"/>
  <c r="O707" i="54"/>
  <c r="O724" i="54"/>
  <c r="AC716" i="54"/>
  <c r="O710" i="54"/>
  <c r="O711" i="54"/>
  <c r="O719" i="54"/>
  <c r="O718" i="54"/>
  <c r="AI713" i="54"/>
  <c r="AO738" i="54"/>
  <c r="AN738" i="54"/>
  <c r="AM738" i="54"/>
  <c r="AL738" i="54"/>
  <c r="AI720" i="54"/>
  <c r="AI719" i="54"/>
  <c r="AI722" i="54"/>
  <c r="AI714" i="54"/>
  <c r="AM736" i="54"/>
  <c r="AL736" i="54"/>
  <c r="AO736" i="54"/>
  <c r="AN736" i="54"/>
  <c r="AL741" i="54"/>
  <c r="AO741" i="54"/>
  <c r="AN741" i="54"/>
  <c r="AM741" i="54"/>
  <c r="AO731" i="54"/>
  <c r="AN731" i="54"/>
  <c r="AM731" i="54"/>
  <c r="AL731" i="54"/>
  <c r="AI708" i="54"/>
  <c r="AI727" i="54"/>
  <c r="AI724" i="54"/>
  <c r="AI709" i="54"/>
  <c r="AM742" i="54"/>
  <c r="AL742" i="54"/>
  <c r="AO742" i="54"/>
  <c r="AN742" i="54"/>
  <c r="AI737" i="54"/>
  <c r="AN737" i="54"/>
  <c r="AM737" i="54"/>
  <c r="AL737" i="54"/>
  <c r="AO737" i="54"/>
  <c r="AN743" i="54"/>
  <c r="AM743" i="54"/>
  <c r="AL743" i="54"/>
  <c r="AO743" i="54"/>
  <c r="AI712" i="54"/>
  <c r="AI707" i="54"/>
  <c r="AI718" i="54"/>
  <c r="AO745" i="54"/>
  <c r="AN745" i="54"/>
  <c r="AM745" i="54"/>
  <c r="AL745" i="54"/>
  <c r="AM733" i="54"/>
  <c r="AL733" i="54"/>
  <c r="AO733" i="54"/>
  <c r="AN733" i="54"/>
  <c r="AI710" i="54"/>
  <c r="AL732" i="54"/>
  <c r="AO732" i="54"/>
  <c r="AN732" i="54"/>
  <c r="AM732" i="54"/>
  <c r="AL735" i="54"/>
  <c r="AO735" i="54"/>
  <c r="AN735" i="54"/>
  <c r="AM735" i="54"/>
  <c r="AI711" i="54"/>
  <c r="AM739" i="54"/>
  <c r="AL739" i="54"/>
  <c r="AO739" i="54"/>
  <c r="AN739" i="54"/>
  <c r="AN734" i="54"/>
  <c r="AM734" i="54"/>
  <c r="AL734" i="54"/>
  <c r="AO734" i="54"/>
  <c r="AO740" i="54"/>
  <c r="AN740" i="54"/>
  <c r="AM740" i="54"/>
  <c r="AL740" i="54"/>
  <c r="E705" i="54"/>
  <c r="AI742" i="54"/>
  <c r="Z658" i="54"/>
  <c r="AI732" i="54"/>
  <c r="AI735" i="54"/>
  <c r="H689" i="54"/>
  <c r="E739" i="54"/>
  <c r="E865" i="58" s="1"/>
  <c r="AI743" i="54"/>
  <c r="Z691" i="54"/>
  <c r="Z657" i="54"/>
  <c r="Z659" i="54"/>
  <c r="Z696" i="54"/>
  <c r="Z693" i="54"/>
  <c r="Z673" i="54"/>
  <c r="AI745" i="54"/>
  <c r="AI734" i="54"/>
  <c r="AI738" i="54"/>
  <c r="AC734" i="54"/>
  <c r="AI736" i="54"/>
  <c r="AI741" i="54"/>
  <c r="AI731" i="54"/>
  <c r="AI733" i="54"/>
  <c r="AI739" i="54"/>
  <c r="AI740" i="54"/>
  <c r="AC714" i="54"/>
  <c r="AC712" i="54"/>
  <c r="AC737" i="54"/>
  <c r="AC736" i="54"/>
  <c r="AC709" i="54"/>
  <c r="AC739" i="54"/>
  <c r="AC731" i="54"/>
  <c r="AC707" i="54"/>
  <c r="AC708" i="54"/>
  <c r="AC706" i="54"/>
  <c r="AC711" i="54"/>
  <c r="AC740" i="54"/>
  <c r="AC741" i="54"/>
  <c r="AC745" i="54"/>
  <c r="AC710" i="54"/>
  <c r="AC732" i="54"/>
  <c r="AC735" i="54"/>
  <c r="Z665" i="54"/>
  <c r="Z688" i="54"/>
  <c r="Z661" i="54"/>
  <c r="Z690" i="54"/>
  <c r="Z670" i="54"/>
  <c r="AC743" i="54"/>
  <c r="AC720" i="54"/>
  <c r="AC713" i="54"/>
  <c r="AC733" i="54"/>
  <c r="AC738" i="54"/>
  <c r="AC742" i="54"/>
  <c r="AI706" i="54"/>
  <c r="Z672" i="54"/>
  <c r="AI704" i="54"/>
  <c r="P634" i="54"/>
  <c r="Z692" i="54"/>
  <c r="Z671" i="54"/>
  <c r="Z660" i="54"/>
  <c r="AE660" i="54"/>
  <c r="AE663" i="54"/>
  <c r="AE657" i="54"/>
  <c r="AE696" i="54"/>
  <c r="Z656" i="54"/>
  <c r="AE672" i="54"/>
  <c r="AD663" i="54"/>
  <c r="Z663" i="54"/>
  <c r="AE664" i="54"/>
  <c r="AE693" i="54"/>
  <c r="AE662" i="54"/>
  <c r="AE656" i="54"/>
  <c r="AE688" i="54"/>
  <c r="AE673" i="54"/>
  <c r="AE670" i="54"/>
  <c r="AE691" i="54"/>
  <c r="AE692" i="54"/>
  <c r="AD662" i="54"/>
  <c r="Z662" i="54"/>
  <c r="AE665" i="54"/>
  <c r="AE659" i="54"/>
  <c r="AE661" i="54"/>
  <c r="AE658" i="54"/>
  <c r="AD664" i="54"/>
  <c r="Z664" i="54"/>
  <c r="AE690" i="54"/>
  <c r="E714" i="54"/>
  <c r="E932" i="57" s="1"/>
  <c r="E936" i="58" s="1"/>
  <c r="H690" i="54"/>
  <c r="H696" i="54"/>
  <c r="E740" i="54"/>
  <c r="E866" i="58" s="1"/>
  <c r="H691" i="54"/>
  <c r="E707" i="54"/>
  <c r="E925" i="57" s="1"/>
  <c r="E929" i="58" s="1"/>
  <c r="E745" i="58" s="1"/>
  <c r="H692" i="54"/>
  <c r="H688" i="54"/>
  <c r="E706" i="54"/>
  <c r="E924" i="57" s="1"/>
  <c r="E928" i="58" s="1"/>
  <c r="E744" i="58" s="1"/>
  <c r="E712" i="54"/>
  <c r="E930" i="57" s="1"/>
  <c r="E934" i="58" s="1"/>
  <c r="E713" i="54"/>
  <c r="E931" i="57" s="1"/>
  <c r="E935" i="58" s="1"/>
  <c r="AB634" i="54"/>
  <c r="AC634" i="54"/>
  <c r="X634" i="54"/>
  <c r="E711" i="54"/>
  <c r="E929" i="57" s="1"/>
  <c r="E933" i="58" s="1"/>
  <c r="E745" i="54"/>
  <c r="E871" i="58" s="1"/>
  <c r="E872" i="58" s="1"/>
  <c r="E873" i="58" s="1"/>
  <c r="E736" i="54"/>
  <c r="E862" i="58" s="1"/>
  <c r="E741" i="54"/>
  <c r="E867" i="58" s="1"/>
  <c r="E743" i="54"/>
  <c r="E869" i="58" s="1"/>
  <c r="E733" i="54"/>
  <c r="E859" i="58" s="1"/>
  <c r="E735" i="54"/>
  <c r="E861" i="58" s="1"/>
  <c r="E737" i="54"/>
  <c r="E863" i="58" s="1"/>
  <c r="E738" i="54"/>
  <c r="E864" i="58" s="1"/>
  <c r="E731" i="54"/>
  <c r="E857" i="58" s="1"/>
  <c r="V637" i="54"/>
  <c r="U637" i="54"/>
  <c r="W607" i="54"/>
  <c r="C598" i="54"/>
  <c r="C609" i="54"/>
  <c r="S596" i="54"/>
  <c r="T596" i="54" s="1"/>
  <c r="Z599" i="54"/>
  <c r="R599" i="54" s="1"/>
  <c r="Z601" i="54"/>
  <c r="S601" i="54" s="1"/>
  <c r="R597" i="54"/>
  <c r="S597" i="54"/>
  <c r="T597" i="54" s="1"/>
  <c r="R598" i="54"/>
  <c r="S598" i="54"/>
  <c r="T598" i="54" s="1"/>
  <c r="D6" i="4"/>
  <c r="D6" i="58" s="1"/>
  <c r="D245" i="4"/>
  <c r="E239" i="4"/>
  <c r="E240" i="4"/>
  <c r="D265" i="4"/>
  <c r="D264" i="4"/>
  <c r="D259" i="4"/>
  <c r="D258" i="4"/>
  <c r="D240" i="4"/>
  <c r="H356" i="58" l="1"/>
  <c r="K371" i="58" s="1"/>
  <c r="K375" i="58" s="1"/>
  <c r="AE794" i="58"/>
  <c r="D354" i="58"/>
  <c r="G363" i="58" s="1"/>
  <c r="G371" i="58" s="1"/>
  <c r="E354" i="58"/>
  <c r="H363" i="58" s="1"/>
  <c r="H371" i="58" s="1"/>
  <c r="AF405" i="57"/>
  <c r="AH405" i="57"/>
  <c r="AE409" i="57"/>
  <c r="AG409" i="57"/>
  <c r="L414" i="57"/>
  <c r="R423" i="57" s="1"/>
  <c r="I409" i="57"/>
  <c r="I405" i="57"/>
  <c r="E433" i="57"/>
  <c r="G433" i="57"/>
  <c r="I800" i="58"/>
  <c r="B808" i="57"/>
  <c r="B385" i="57" s="1"/>
  <c r="L828" i="58"/>
  <c r="R428" i="57"/>
  <c r="L825" i="58"/>
  <c r="K380" i="58" s="1"/>
  <c r="L824" i="58"/>
  <c r="Y824" i="58" s="1"/>
  <c r="B815" i="57"/>
  <c r="B392" i="57" s="1"/>
  <c r="B813" i="57"/>
  <c r="B390" i="57" s="1"/>
  <c r="E305" i="58"/>
  <c r="E314" i="58" s="1"/>
  <c r="I305" i="58"/>
  <c r="C314" i="58" s="1"/>
  <c r="M305" i="58"/>
  <c r="L314" i="58" s="1"/>
  <c r="Q305" i="58"/>
  <c r="Z314" i="58" s="1"/>
  <c r="U305" i="58"/>
  <c r="U314" i="58" s="1"/>
  <c r="AC305" i="58"/>
  <c r="F305" i="58"/>
  <c r="F314" i="58" s="1"/>
  <c r="N305" i="58"/>
  <c r="K314" i="58" s="1"/>
  <c r="R305" i="58"/>
  <c r="V305" i="58"/>
  <c r="V314" i="58" s="1"/>
  <c r="C305" i="58"/>
  <c r="B314" i="58" s="1"/>
  <c r="K305" i="58"/>
  <c r="J314" i="58" s="1"/>
  <c r="Y314" i="58" s="1"/>
  <c r="S305" i="58"/>
  <c r="O314" i="58" s="1"/>
  <c r="W305" i="58"/>
  <c r="W314" i="58" s="1"/>
  <c r="AA305" i="58"/>
  <c r="AA314" i="58" s="1"/>
  <c r="D305" i="58"/>
  <c r="D314" i="58" s="1"/>
  <c r="H305" i="58"/>
  <c r="H314" i="58" s="1"/>
  <c r="L305" i="58"/>
  <c r="R314" i="58" s="1"/>
  <c r="P305" i="58"/>
  <c r="Q314" i="58" s="1"/>
  <c r="X305" i="58"/>
  <c r="X314" i="58" s="1"/>
  <c r="AB305" i="58"/>
  <c r="AB314" i="58" s="1"/>
  <c r="E805" i="58"/>
  <c r="E813" i="58" s="1"/>
  <c r="E826" i="58"/>
  <c r="E304" i="58" s="1"/>
  <c r="E310" i="58" s="1"/>
  <c r="G826" i="58"/>
  <c r="G304" i="58" s="1"/>
  <c r="G310" i="58" s="1"/>
  <c r="D796" i="58"/>
  <c r="X954" i="58"/>
  <c r="D379" i="58"/>
  <c r="F386" i="58" s="1"/>
  <c r="F391" i="58" s="1"/>
  <c r="Z822" i="57"/>
  <c r="Y822" i="57"/>
  <c r="O834" i="54"/>
  <c r="J834" i="54"/>
  <c r="I834" i="54"/>
  <c r="O803" i="54"/>
  <c r="I803" i="54"/>
  <c r="J803" i="54"/>
  <c r="O832" i="54"/>
  <c r="J832" i="54"/>
  <c r="I832" i="54"/>
  <c r="O833" i="54"/>
  <c r="I833" i="54"/>
  <c r="J833" i="54"/>
  <c r="O841" i="54"/>
  <c r="I841" i="54"/>
  <c r="J841" i="54"/>
  <c r="O843" i="54"/>
  <c r="J843" i="54"/>
  <c r="I843" i="54"/>
  <c r="O802" i="54"/>
  <c r="I802" i="54"/>
  <c r="J802" i="54"/>
  <c r="O842" i="54"/>
  <c r="J842" i="54"/>
  <c r="I842" i="54"/>
  <c r="E380" i="58"/>
  <c r="J379" i="58"/>
  <c r="K386" i="58" s="1"/>
  <c r="V954" i="58"/>
  <c r="Q904" i="57"/>
  <c r="AB904" i="57" s="1"/>
  <c r="AF904" i="57" s="1"/>
  <c r="S904" i="57"/>
  <c r="AA794" i="58"/>
  <c r="T794" i="58" s="1"/>
  <c r="S356" i="58" s="1"/>
  <c r="V371" i="58" s="1"/>
  <c r="S847" i="57"/>
  <c r="G829" i="58"/>
  <c r="G842" i="58" s="1"/>
  <c r="V828" i="58"/>
  <c r="Y828" i="58" s="1"/>
  <c r="W828" i="58"/>
  <c r="X828" i="58"/>
  <c r="R844" i="57"/>
  <c r="AD825" i="58"/>
  <c r="X825" i="58" s="1"/>
  <c r="W380" i="58" s="1"/>
  <c r="E800" i="58"/>
  <c r="D799" i="58"/>
  <c r="H800" i="58"/>
  <c r="E825" i="58"/>
  <c r="D380" i="58" s="1"/>
  <c r="E794" i="58"/>
  <c r="B794" i="58" s="1"/>
  <c r="O285" i="58" s="1"/>
  <c r="G355" i="58"/>
  <c r="H804" i="58"/>
  <c r="H810" i="58" s="1"/>
  <c r="H816" i="58" s="1"/>
  <c r="J794" i="58"/>
  <c r="I356" i="58" s="1"/>
  <c r="T371" i="58" s="1"/>
  <c r="T375" i="58" s="1"/>
  <c r="E799" i="58"/>
  <c r="H799" i="58"/>
  <c r="J815" i="57"/>
  <c r="J392" i="57" s="1"/>
  <c r="I801" i="58"/>
  <c r="H803" i="58"/>
  <c r="H809" i="58" s="1"/>
  <c r="H815" i="58" s="1"/>
  <c r="G354" i="58"/>
  <c r="J363" i="58" s="1"/>
  <c r="J371" i="58" s="1"/>
  <c r="C354" i="58"/>
  <c r="F363" i="58" s="1"/>
  <c r="F371" i="58" s="1"/>
  <c r="D803" i="58"/>
  <c r="D809" i="58" s="1"/>
  <c r="D815" i="58" s="1"/>
  <c r="D793" i="58"/>
  <c r="H801" i="58"/>
  <c r="J813" i="57"/>
  <c r="J390" i="57" s="1"/>
  <c r="I799" i="58"/>
  <c r="F799" i="58"/>
  <c r="E801" i="58"/>
  <c r="H805" i="58"/>
  <c r="H811" i="58" s="1"/>
  <c r="H817" i="58" s="1"/>
  <c r="G356" i="58"/>
  <c r="J793" i="58"/>
  <c r="I355" i="58" s="1"/>
  <c r="AP954" i="58"/>
  <c r="AD954" i="58"/>
  <c r="W954" i="58"/>
  <c r="Z954" i="58"/>
  <c r="AQ954" i="58"/>
  <c r="AR938" i="57"/>
  <c r="Q938" i="57" s="1"/>
  <c r="AK954" i="58"/>
  <c r="AE954" i="58" s="1"/>
  <c r="N968" i="58"/>
  <c r="AG968" i="58" s="1"/>
  <c r="N981" i="58"/>
  <c r="AG981" i="58" s="1"/>
  <c r="AN966" i="58"/>
  <c r="AL964" i="58"/>
  <c r="AL963" i="58"/>
  <c r="N998" i="58"/>
  <c r="AG998" i="58" s="1"/>
  <c r="AR927" i="57"/>
  <c r="Q927" i="57" s="1"/>
  <c r="AR926" i="57"/>
  <c r="T926" i="57" s="1"/>
  <c r="AR931" i="57"/>
  <c r="S931" i="57" s="1"/>
  <c r="AD708" i="57"/>
  <c r="AC708" i="57"/>
  <c r="AD709" i="57"/>
  <c r="V772" i="57" s="1"/>
  <c r="AC709" i="57"/>
  <c r="U772" i="57" s="1"/>
  <c r="AD710" i="57"/>
  <c r="AC710" i="57"/>
  <c r="U773" i="57" s="1"/>
  <c r="AR932" i="57"/>
  <c r="Q932" i="57" s="1"/>
  <c r="R994" i="57"/>
  <c r="Q994" i="57"/>
  <c r="S994" i="57"/>
  <c r="T994" i="57"/>
  <c r="R964" i="57"/>
  <c r="AR952" i="57"/>
  <c r="S952" i="57" s="1"/>
  <c r="AR954" i="57"/>
  <c r="S954" i="57" s="1"/>
  <c r="AF957" i="57"/>
  <c r="AR957" i="57"/>
  <c r="R957" i="57" s="1"/>
  <c r="AE963" i="57"/>
  <c r="AR963" i="57"/>
  <c r="Q963" i="57" s="1"/>
  <c r="Q964" i="57"/>
  <c r="AR942" i="57"/>
  <c r="S942" i="57" s="1"/>
  <c r="AR946" i="57"/>
  <c r="Q946" i="57" s="1"/>
  <c r="AR936" i="57"/>
  <c r="R936" i="57" s="1"/>
  <c r="AF956" i="57"/>
  <c r="AR956" i="57"/>
  <c r="S956" i="57" s="1"/>
  <c r="AR934" i="57"/>
  <c r="AR940" i="57"/>
  <c r="S940" i="57" s="1"/>
  <c r="AR944" i="57"/>
  <c r="S944" i="57" s="1"/>
  <c r="AR949" i="57"/>
  <c r="S949" i="57" s="1"/>
  <c r="AR945" i="57"/>
  <c r="T945" i="57" s="1"/>
  <c r="AR924" i="57"/>
  <c r="Q924" i="57" s="1"/>
  <c r="AR922" i="57"/>
  <c r="S922" i="57" s="1"/>
  <c r="AR925" i="57"/>
  <c r="T925" i="57" s="1"/>
  <c r="AR928" i="57"/>
  <c r="R928" i="57" s="1"/>
  <c r="AR958" i="57"/>
  <c r="T958" i="57" s="1"/>
  <c r="AR950" i="57"/>
  <c r="S950" i="57" s="1"/>
  <c r="AR941" i="57"/>
  <c r="S941" i="57" s="1"/>
  <c r="AR939" i="57"/>
  <c r="T939" i="57" s="1"/>
  <c r="AR937" i="57"/>
  <c r="T937" i="57" s="1"/>
  <c r="AR923" i="57"/>
  <c r="AR935" i="57"/>
  <c r="R935" i="57" s="1"/>
  <c r="AR933" i="57"/>
  <c r="S933" i="57" s="1"/>
  <c r="AR961" i="57"/>
  <c r="R961" i="57" s="1"/>
  <c r="AF953" i="57"/>
  <c r="AR953" i="57"/>
  <c r="R953" i="57" s="1"/>
  <c r="AR943" i="57"/>
  <c r="AR951" i="57"/>
  <c r="T951" i="57" s="1"/>
  <c r="AR929" i="57"/>
  <c r="R929" i="57" s="1"/>
  <c r="AR955" i="57"/>
  <c r="Q955" i="57" s="1"/>
  <c r="O930" i="57"/>
  <c r="AR930" i="57"/>
  <c r="T930" i="57" s="1"/>
  <c r="AU922" i="57"/>
  <c r="AI930" i="57"/>
  <c r="AE955" i="57"/>
  <c r="AE950" i="57"/>
  <c r="AE957" i="57"/>
  <c r="AE953" i="57"/>
  <c r="AE958" i="57"/>
  <c r="AE949" i="57"/>
  <c r="AE951" i="57"/>
  <c r="AE956" i="57"/>
  <c r="AE961" i="57"/>
  <c r="AE952" i="57"/>
  <c r="AE954" i="57"/>
  <c r="P930" i="57"/>
  <c r="AF950" i="57"/>
  <c r="AF952" i="57"/>
  <c r="AF955" i="57"/>
  <c r="AF954" i="57"/>
  <c r="R843" i="57"/>
  <c r="AF963" i="57"/>
  <c r="S964" i="57"/>
  <c r="AF958" i="57"/>
  <c r="AF949" i="57"/>
  <c r="AF961" i="57"/>
  <c r="AF951" i="57"/>
  <c r="P929" i="57"/>
  <c r="AI938" i="57"/>
  <c r="AN955" i="57"/>
  <c r="R733" i="54"/>
  <c r="AL954" i="57"/>
  <c r="AI931" i="57"/>
  <c r="AI927" i="57"/>
  <c r="AM673" i="54"/>
  <c r="P673" i="54" s="1"/>
  <c r="R738" i="54"/>
  <c r="S997" i="57"/>
  <c r="O926" i="57"/>
  <c r="Q734" i="54"/>
  <c r="R739" i="54"/>
  <c r="R740" i="54"/>
  <c r="T964" i="57"/>
  <c r="Q743" i="54"/>
  <c r="O924" i="57"/>
  <c r="O922" i="57"/>
  <c r="O925" i="57"/>
  <c r="P928" i="57"/>
  <c r="AO958" i="57"/>
  <c r="AG950" i="57"/>
  <c r="Q735" i="54"/>
  <c r="R737" i="54"/>
  <c r="R745" i="54"/>
  <c r="Q977" i="57"/>
  <c r="S977" i="57"/>
  <c r="T977" i="57"/>
  <c r="R977" i="57"/>
  <c r="Q844" i="57"/>
  <c r="R847" i="57"/>
  <c r="T844" i="57"/>
  <c r="Q847" i="57"/>
  <c r="T843" i="57"/>
  <c r="S843" i="57"/>
  <c r="V824" i="57"/>
  <c r="V416" i="57" s="1"/>
  <c r="W824" i="57"/>
  <c r="W416" i="57" s="1"/>
  <c r="U824" i="57"/>
  <c r="U416" i="57" s="1"/>
  <c r="X824" i="57"/>
  <c r="X416" i="57" s="1"/>
  <c r="E853" i="57"/>
  <c r="AC908" i="58"/>
  <c r="AG908" i="58" s="1"/>
  <c r="R982" i="57"/>
  <c r="T982" i="57"/>
  <c r="S982" i="57"/>
  <c r="Q982" i="57"/>
  <c r="Q672" i="54"/>
  <c r="P675" i="54"/>
  <c r="P670" i="54"/>
  <c r="Q674" i="54"/>
  <c r="P674" i="54"/>
  <c r="AD814" i="57"/>
  <c r="J814" i="57"/>
  <c r="J391" i="57" s="1"/>
  <c r="O400" i="57" s="1"/>
  <c r="Q746" i="54"/>
  <c r="Q675" i="54"/>
  <c r="T746" i="54"/>
  <c r="S746" i="54"/>
  <c r="R746" i="54"/>
  <c r="R904" i="57"/>
  <c r="S902" i="57"/>
  <c r="R902" i="57"/>
  <c r="AO746" i="54"/>
  <c r="AN746" i="54"/>
  <c r="S674" i="54"/>
  <c r="R674" i="54"/>
  <c r="S675" i="54"/>
  <c r="R675" i="54"/>
  <c r="P902" i="57"/>
  <c r="P913" i="57"/>
  <c r="Q910" i="57"/>
  <c r="Q902" i="57"/>
  <c r="R915" i="57"/>
  <c r="P911" i="57"/>
  <c r="Q914" i="57"/>
  <c r="P903" i="57"/>
  <c r="S912" i="57"/>
  <c r="V851" i="57"/>
  <c r="U851" i="57"/>
  <c r="V826" i="58"/>
  <c r="U826" i="58"/>
  <c r="U304" i="58" s="1"/>
  <c r="U310" i="58" s="1"/>
  <c r="X826" i="58"/>
  <c r="W826" i="58"/>
  <c r="W304" i="58" s="1"/>
  <c r="W310" i="58" s="1"/>
  <c r="S808" i="57"/>
  <c r="S385" i="57" s="1"/>
  <c r="AB400" i="57" s="1"/>
  <c r="D762" i="58"/>
  <c r="P926" i="57"/>
  <c r="AD813" i="57"/>
  <c r="AA815" i="57"/>
  <c r="S815" i="57" s="1"/>
  <c r="S392" i="57" s="1"/>
  <c r="AA400" i="57" s="1"/>
  <c r="AD815" i="57"/>
  <c r="T806" i="57"/>
  <c r="T383" i="57" s="1"/>
  <c r="AD396" i="57" s="1"/>
  <c r="X931" i="58"/>
  <c r="AP931" i="58"/>
  <c r="AQ931" i="58"/>
  <c r="Z931" i="58"/>
  <c r="AK931" i="58"/>
  <c r="O931" i="58" s="1"/>
  <c r="W931" i="58"/>
  <c r="AD931" i="58"/>
  <c r="V931" i="58"/>
  <c r="U931" i="58"/>
  <c r="AI926" i="57"/>
  <c r="AC926" i="57"/>
  <c r="AG951" i="57"/>
  <c r="I746" i="58"/>
  <c r="R746" i="58" s="1"/>
  <c r="AD930" i="58"/>
  <c r="W930" i="58"/>
  <c r="V930" i="58"/>
  <c r="Z930" i="58"/>
  <c r="AP930" i="58"/>
  <c r="AK930" i="58"/>
  <c r="P930" i="58" s="1"/>
  <c r="U930" i="58"/>
  <c r="X930" i="58"/>
  <c r="O927" i="57"/>
  <c r="P927" i="57"/>
  <c r="AC927" i="57"/>
  <c r="E845" i="57"/>
  <c r="E960" i="57"/>
  <c r="E964" i="58" s="1"/>
  <c r="U870" i="58"/>
  <c r="W846" i="57"/>
  <c r="Q758" i="54"/>
  <c r="Q908" i="57"/>
  <c r="E952" i="57"/>
  <c r="E956" i="58" s="1"/>
  <c r="S914" i="57"/>
  <c r="R906" i="57"/>
  <c r="S600" i="54"/>
  <c r="T600" i="54" s="1"/>
  <c r="Q906" i="57"/>
  <c r="P906" i="57"/>
  <c r="S908" i="57"/>
  <c r="AC908" i="57" s="1"/>
  <c r="R910" i="57"/>
  <c r="P910" i="57"/>
  <c r="S910" i="57"/>
  <c r="P908" i="57"/>
  <c r="D926" i="58"/>
  <c r="Q732" i="54"/>
  <c r="E804" i="58"/>
  <c r="E812" i="58" s="1"/>
  <c r="V773" i="54"/>
  <c r="E811" i="58"/>
  <c r="P914" i="57"/>
  <c r="AC878" i="57"/>
  <c r="Q947" i="57"/>
  <c r="AR951" i="58"/>
  <c r="T951" i="58" s="1"/>
  <c r="AC876" i="57"/>
  <c r="AC952" i="58"/>
  <c r="O952" i="58"/>
  <c r="AI952" i="58"/>
  <c r="P952" i="58"/>
  <c r="O951" i="58"/>
  <c r="AI951" i="58"/>
  <c r="P951" i="58"/>
  <c r="Q761" i="58"/>
  <c r="R761" i="58"/>
  <c r="J761" i="58"/>
  <c r="W847" i="57"/>
  <c r="R948" i="57"/>
  <c r="T948" i="57"/>
  <c r="S948" i="57"/>
  <c r="Q948" i="57"/>
  <c r="AR952" i="58"/>
  <c r="R947" i="57"/>
  <c r="T947" i="57"/>
  <c r="S947" i="57"/>
  <c r="W854" i="57"/>
  <c r="J762" i="58"/>
  <c r="R762" i="58"/>
  <c r="Q762" i="58"/>
  <c r="D951" i="58"/>
  <c r="N951" i="58" s="1"/>
  <c r="AU947" i="57"/>
  <c r="AC951" i="58"/>
  <c r="N952" i="58"/>
  <c r="AC880" i="57"/>
  <c r="AK956" i="58"/>
  <c r="AG956" i="58" s="1"/>
  <c r="R857" i="58"/>
  <c r="S857" i="58"/>
  <c r="T857" i="58"/>
  <c r="S853" i="57"/>
  <c r="W861" i="58"/>
  <c r="AM958" i="57"/>
  <c r="Z946" i="58"/>
  <c r="T866" i="58"/>
  <c r="AC958" i="57"/>
  <c r="AO966" i="58"/>
  <c r="O928" i="57"/>
  <c r="S864" i="58"/>
  <c r="AN950" i="57"/>
  <c r="T864" i="58"/>
  <c r="Q866" i="58"/>
  <c r="AI958" i="57"/>
  <c r="AI955" i="57"/>
  <c r="R853" i="57"/>
  <c r="AK958" i="58"/>
  <c r="AM958" i="58" s="1"/>
  <c r="AO950" i="57"/>
  <c r="AH963" i="58"/>
  <c r="R864" i="58"/>
  <c r="T853" i="57"/>
  <c r="AC932" i="57"/>
  <c r="W862" i="58"/>
  <c r="AC955" i="57"/>
  <c r="AL958" i="57"/>
  <c r="AO955" i="57"/>
  <c r="AQ941" i="58"/>
  <c r="AQ959" i="58"/>
  <c r="AH950" i="57"/>
  <c r="Z959" i="58"/>
  <c r="AL950" i="57"/>
  <c r="R866" i="58"/>
  <c r="W959" i="58"/>
  <c r="AM950" i="57"/>
  <c r="AK962" i="58"/>
  <c r="AN958" i="57"/>
  <c r="T867" i="58"/>
  <c r="AM955" i="57"/>
  <c r="AK950" i="58"/>
  <c r="O950" i="58" s="1"/>
  <c r="U959" i="58"/>
  <c r="V959" i="58"/>
  <c r="AI922" i="57"/>
  <c r="AL955" i="57"/>
  <c r="AP946" i="58"/>
  <c r="P932" i="57"/>
  <c r="AC964" i="58"/>
  <c r="AP959" i="58"/>
  <c r="AD959" i="58"/>
  <c r="AK959" i="58"/>
  <c r="AN959" i="58" s="1"/>
  <c r="AP943" i="58"/>
  <c r="Z962" i="58"/>
  <c r="AD962" i="58"/>
  <c r="AP962" i="58"/>
  <c r="U962" i="58"/>
  <c r="AQ962" i="58"/>
  <c r="W962" i="58"/>
  <c r="V962" i="58"/>
  <c r="AN963" i="58"/>
  <c r="AL951" i="57"/>
  <c r="AQ949" i="58"/>
  <c r="AM966" i="58"/>
  <c r="AM963" i="58"/>
  <c r="AI929" i="57"/>
  <c r="X939" i="58"/>
  <c r="W941" i="58"/>
  <c r="AF963" i="58"/>
  <c r="W948" i="58"/>
  <c r="AI950" i="57"/>
  <c r="AQ945" i="58"/>
  <c r="U938" i="58"/>
  <c r="AQ944" i="58"/>
  <c r="AI928" i="57"/>
  <c r="U946" i="58"/>
  <c r="X946" i="58"/>
  <c r="W938" i="58"/>
  <c r="Q867" i="58"/>
  <c r="S867" i="58"/>
  <c r="AC930" i="57"/>
  <c r="AC950" i="57"/>
  <c r="U945" i="58"/>
  <c r="AQ947" i="58"/>
  <c r="AR947" i="58" s="1"/>
  <c r="R947" i="58" s="1"/>
  <c r="AD946" i="58"/>
  <c r="AQ950" i="58"/>
  <c r="T862" i="58"/>
  <c r="U939" i="58"/>
  <c r="AF966" i="58"/>
  <c r="Z938" i="58"/>
  <c r="U944" i="58"/>
  <c r="O929" i="57"/>
  <c r="R858" i="58"/>
  <c r="P925" i="57"/>
  <c r="AI966" i="58"/>
  <c r="AC963" i="58"/>
  <c r="AI951" i="57"/>
  <c r="AM951" i="57"/>
  <c r="AD939" i="58"/>
  <c r="W945" i="58"/>
  <c r="W946" i="58"/>
  <c r="V946" i="58"/>
  <c r="AE966" i="58"/>
  <c r="AH966" i="58"/>
  <c r="AK938" i="58"/>
  <c r="O938" i="58" s="1"/>
  <c r="U941" i="58"/>
  <c r="AK944" i="58"/>
  <c r="I754" i="58"/>
  <c r="Q754" i="58" s="1"/>
  <c r="O938" i="57"/>
  <c r="T852" i="57"/>
  <c r="P931" i="57"/>
  <c r="AH951" i="57"/>
  <c r="AI925" i="57"/>
  <c r="P938" i="57"/>
  <c r="AO951" i="57"/>
  <c r="AL966" i="58"/>
  <c r="I750" i="58"/>
  <c r="Q750" i="58" s="1"/>
  <c r="AQ956" i="58"/>
  <c r="AC951" i="57"/>
  <c r="AC931" i="57"/>
  <c r="AN951" i="57"/>
  <c r="AK939" i="58"/>
  <c r="AI939" i="58" s="1"/>
  <c r="V945" i="58"/>
  <c r="I755" i="58"/>
  <c r="R755" i="58" s="1"/>
  <c r="AK946" i="58"/>
  <c r="P946" i="58" s="1"/>
  <c r="AQ946" i="58"/>
  <c r="AG966" i="58"/>
  <c r="AO964" i="58"/>
  <c r="AD938" i="58"/>
  <c r="Z941" i="58"/>
  <c r="Z944" i="58"/>
  <c r="V633" i="54"/>
  <c r="S862" i="58"/>
  <c r="Z958" i="58"/>
  <c r="O931" i="57"/>
  <c r="O932" i="57"/>
  <c r="AU938" i="57"/>
  <c r="V949" i="58"/>
  <c r="I752" i="58"/>
  <c r="R752" i="58" s="1"/>
  <c r="Q852" i="57"/>
  <c r="AI932" i="57"/>
  <c r="X940" i="58"/>
  <c r="AP948" i="58"/>
  <c r="Q862" i="58"/>
  <c r="U862" i="58" s="1"/>
  <c r="S852" i="57"/>
  <c r="V940" i="58"/>
  <c r="U927" i="58"/>
  <c r="X945" i="58"/>
  <c r="AK945" i="58"/>
  <c r="V927" i="58"/>
  <c r="V941" i="58"/>
  <c r="AP941" i="58"/>
  <c r="AK941" i="58"/>
  <c r="O941" i="58" s="1"/>
  <c r="X948" i="58"/>
  <c r="S842" i="57"/>
  <c r="X958" i="58"/>
  <c r="X956" i="58"/>
  <c r="AC928" i="57"/>
  <c r="AR966" i="58"/>
  <c r="R966" i="58" s="1"/>
  <c r="AO949" i="57"/>
  <c r="E843" i="57"/>
  <c r="Z937" i="58"/>
  <c r="Z945" i="58"/>
  <c r="AP945" i="58"/>
  <c r="Z943" i="58"/>
  <c r="Z927" i="58"/>
  <c r="X941" i="58"/>
  <c r="AQ958" i="58"/>
  <c r="Q863" i="58"/>
  <c r="W958" i="58"/>
  <c r="AD958" i="58"/>
  <c r="V958" i="58"/>
  <c r="AC949" i="57"/>
  <c r="AC925" i="57"/>
  <c r="AL949" i="57"/>
  <c r="X949" i="58"/>
  <c r="AP949" i="58"/>
  <c r="AK949" i="58"/>
  <c r="O949" i="58" s="1"/>
  <c r="AD927" i="58"/>
  <c r="I743" i="58"/>
  <c r="R743" i="58" s="1"/>
  <c r="AC922" i="57"/>
  <c r="AI949" i="57"/>
  <c r="AM954" i="57"/>
  <c r="U937" i="58"/>
  <c r="W949" i="58"/>
  <c r="U949" i="58"/>
  <c r="I759" i="58"/>
  <c r="J759" i="58" s="1"/>
  <c r="I753" i="58"/>
  <c r="J753" i="58" s="1"/>
  <c r="AK940" i="58"/>
  <c r="O940" i="58" s="1"/>
  <c r="Z940" i="58"/>
  <c r="AR964" i="58"/>
  <c r="R964" i="58" s="1"/>
  <c r="AN964" i="58"/>
  <c r="X927" i="58"/>
  <c r="AK927" i="58"/>
  <c r="AI927" i="58" s="1"/>
  <c r="AE963" i="58"/>
  <c r="AG963" i="58"/>
  <c r="U948" i="58"/>
  <c r="AK948" i="58"/>
  <c r="AR948" i="58" s="1"/>
  <c r="R948" i="58" s="1"/>
  <c r="AI963" i="58"/>
  <c r="Q842" i="57"/>
  <c r="R868" i="58"/>
  <c r="AR963" i="58"/>
  <c r="T963" i="58" s="1"/>
  <c r="AI924" i="57"/>
  <c r="AG949" i="57"/>
  <c r="AC929" i="57"/>
  <c r="AC938" i="57"/>
  <c r="AC966" i="58"/>
  <c r="AD940" i="58"/>
  <c r="U940" i="58"/>
  <c r="AM964" i="58"/>
  <c r="W927" i="58"/>
  <c r="V948" i="58"/>
  <c r="AD948" i="58"/>
  <c r="I758" i="58"/>
  <c r="Q758" i="58" s="1"/>
  <c r="T842" i="57"/>
  <c r="S868" i="58"/>
  <c r="Q868" i="58"/>
  <c r="AH949" i="57"/>
  <c r="AC924" i="57"/>
  <c r="AM949" i="57"/>
  <c r="AN949" i="57"/>
  <c r="AN954" i="57"/>
  <c r="AI964" i="58"/>
  <c r="AQ937" i="58"/>
  <c r="AR937" i="58" s="1"/>
  <c r="R937" i="58" s="1"/>
  <c r="Z949" i="58"/>
  <c r="AP947" i="58"/>
  <c r="W940" i="58"/>
  <c r="AQ940" i="58"/>
  <c r="AQ927" i="58"/>
  <c r="AO963" i="58"/>
  <c r="Z948" i="58"/>
  <c r="Q845" i="57"/>
  <c r="W947" i="58"/>
  <c r="V950" i="58"/>
  <c r="W950" i="58"/>
  <c r="W937" i="58"/>
  <c r="I749" i="58"/>
  <c r="J749" i="58" s="1"/>
  <c r="AD947" i="58"/>
  <c r="V943" i="58"/>
  <c r="AK943" i="58"/>
  <c r="AI943" i="58" s="1"/>
  <c r="AO954" i="57"/>
  <c r="P922" i="57"/>
  <c r="V939" i="58"/>
  <c r="W939" i="58"/>
  <c r="AQ939" i="58"/>
  <c r="AP937" i="58"/>
  <c r="AD937" i="58"/>
  <c r="V947" i="58"/>
  <c r="U947" i="58"/>
  <c r="I757" i="58"/>
  <c r="R757" i="58" s="1"/>
  <c r="U943" i="58"/>
  <c r="AD943" i="58"/>
  <c r="AD950" i="58"/>
  <c r="X950" i="58"/>
  <c r="AP950" i="58"/>
  <c r="X938" i="58"/>
  <c r="AQ938" i="58"/>
  <c r="AP944" i="58"/>
  <c r="X944" i="58"/>
  <c r="Z956" i="58"/>
  <c r="AD956" i="58"/>
  <c r="W956" i="58"/>
  <c r="T858" i="58"/>
  <c r="P924" i="57"/>
  <c r="V937" i="58"/>
  <c r="Z947" i="58"/>
  <c r="Z939" i="58"/>
  <c r="AP939" i="58"/>
  <c r="X937" i="58"/>
  <c r="X947" i="58"/>
  <c r="X943" i="58"/>
  <c r="W943" i="58"/>
  <c r="U950" i="58"/>
  <c r="Z950" i="58"/>
  <c r="V938" i="58"/>
  <c r="W944" i="58"/>
  <c r="V944" i="58"/>
  <c r="T863" i="58"/>
  <c r="S863" i="58"/>
  <c r="S858" i="58"/>
  <c r="AP958" i="58"/>
  <c r="AB876" i="57"/>
  <c r="AI896" i="58"/>
  <c r="AI952" i="57"/>
  <c r="AG952" i="57"/>
  <c r="AH952" i="57"/>
  <c r="AD926" i="58"/>
  <c r="U926" i="58"/>
  <c r="X926" i="58"/>
  <c r="AP926" i="58"/>
  <c r="Z926" i="58"/>
  <c r="I742" i="58"/>
  <c r="AQ926" i="58"/>
  <c r="V926" i="58"/>
  <c r="AK926" i="58"/>
  <c r="W926" i="58"/>
  <c r="AK932" i="58"/>
  <c r="V932" i="58"/>
  <c r="X932" i="58"/>
  <c r="Z932" i="58"/>
  <c r="I748" i="58"/>
  <c r="AD932" i="58"/>
  <c r="W932" i="58"/>
  <c r="AQ932" i="58"/>
  <c r="U932" i="58"/>
  <c r="AP932" i="58"/>
  <c r="AD955" i="58"/>
  <c r="W955" i="58"/>
  <c r="AK955" i="58"/>
  <c r="Z955" i="58"/>
  <c r="AP955" i="58"/>
  <c r="X955" i="58"/>
  <c r="V955" i="58"/>
  <c r="U955" i="58"/>
  <c r="AC884" i="57"/>
  <c r="AC882" i="57"/>
  <c r="AG961" i="57"/>
  <c r="AH961" i="57"/>
  <c r="AG953" i="57"/>
  <c r="AH953" i="57"/>
  <c r="AB882" i="57"/>
  <c r="AB902" i="57"/>
  <c r="AF902" i="57" s="1"/>
  <c r="AQ936" i="58"/>
  <c r="U936" i="58"/>
  <c r="AP936" i="58"/>
  <c r="W936" i="58"/>
  <c r="AD936" i="58"/>
  <c r="Z936" i="58"/>
  <c r="X936" i="58"/>
  <c r="AK936" i="58"/>
  <c r="V936" i="58"/>
  <c r="AI894" i="58"/>
  <c r="AQ935" i="58"/>
  <c r="V935" i="58"/>
  <c r="AD935" i="58"/>
  <c r="X935" i="58"/>
  <c r="Z935" i="58"/>
  <c r="U935" i="58"/>
  <c r="W935" i="58"/>
  <c r="AK935" i="58"/>
  <c r="AP935" i="58"/>
  <c r="AP929" i="58"/>
  <c r="V929" i="58"/>
  <c r="W929" i="58"/>
  <c r="Z929" i="58"/>
  <c r="AQ929" i="58"/>
  <c r="AK929" i="58"/>
  <c r="AD929" i="58"/>
  <c r="U929" i="58"/>
  <c r="X929" i="58"/>
  <c r="I745" i="58"/>
  <c r="Q747" i="58"/>
  <c r="R747" i="58"/>
  <c r="J747" i="58"/>
  <c r="U953" i="58"/>
  <c r="V953" i="58"/>
  <c r="AK953" i="58"/>
  <c r="AP953" i="58"/>
  <c r="X953" i="58"/>
  <c r="AD953" i="58"/>
  <c r="W953" i="58"/>
  <c r="Z953" i="58"/>
  <c r="AE897" i="58"/>
  <c r="AC902" i="57"/>
  <c r="AG902" i="57" s="1"/>
  <c r="AG957" i="57"/>
  <c r="AH957" i="57"/>
  <c r="AB884" i="57"/>
  <c r="AE904" i="58"/>
  <c r="AE900" i="58"/>
  <c r="AE905" i="58"/>
  <c r="AQ933" i="58"/>
  <c r="W933" i="58"/>
  <c r="Z933" i="58"/>
  <c r="AK933" i="58"/>
  <c r="AD933" i="58"/>
  <c r="V933" i="58"/>
  <c r="U933" i="58"/>
  <c r="X933" i="58"/>
  <c r="AP933" i="58"/>
  <c r="AK942" i="58"/>
  <c r="X942" i="58"/>
  <c r="AD942" i="58"/>
  <c r="W942" i="58"/>
  <c r="AQ942" i="58"/>
  <c r="V942" i="58"/>
  <c r="U942" i="58"/>
  <c r="Z942" i="58"/>
  <c r="AP942" i="58"/>
  <c r="AE901" i="58"/>
  <c r="AB880" i="57"/>
  <c r="AB878" i="57"/>
  <c r="X928" i="58"/>
  <c r="AQ928" i="58"/>
  <c r="V928" i="58"/>
  <c r="W928" i="58"/>
  <c r="AK928" i="58"/>
  <c r="U928" i="58"/>
  <c r="I744" i="58"/>
  <c r="AP928" i="58"/>
  <c r="Z928" i="58"/>
  <c r="AD928" i="58"/>
  <c r="AE895" i="58"/>
  <c r="AP934" i="58"/>
  <c r="AQ934" i="58"/>
  <c r="AD934" i="58"/>
  <c r="AK934" i="58"/>
  <c r="W934" i="58"/>
  <c r="V934" i="58"/>
  <c r="U934" i="58"/>
  <c r="X934" i="58"/>
  <c r="Z934" i="58"/>
  <c r="AP956" i="58"/>
  <c r="U956" i="58"/>
  <c r="D804" i="54"/>
  <c r="E808" i="58"/>
  <c r="R912" i="57"/>
  <c r="S903" i="57"/>
  <c r="AO952" i="57"/>
  <c r="D941" i="58"/>
  <c r="AU941" i="58" s="1"/>
  <c r="H358" i="58"/>
  <c r="AB891" i="58"/>
  <c r="AB892" i="58"/>
  <c r="G664" i="58"/>
  <c r="G665" i="58"/>
  <c r="E1006" i="58" s="1"/>
  <c r="E786" i="58" s="1"/>
  <c r="W723" i="58"/>
  <c r="W722" i="58"/>
  <c r="W720" i="58"/>
  <c r="W725" i="58"/>
  <c r="W729" i="58"/>
  <c r="W728" i="58"/>
  <c r="W726" i="58"/>
  <c r="W727" i="58"/>
  <c r="S909" i="57"/>
  <c r="AL952" i="57"/>
  <c r="AM952" i="57"/>
  <c r="AI954" i="57"/>
  <c r="AC954" i="57"/>
  <c r="AN952" i="57"/>
  <c r="R997" i="57"/>
  <c r="Q912" i="57"/>
  <c r="R914" i="57"/>
  <c r="E950" i="57"/>
  <c r="E954" i="58" s="1"/>
  <c r="R903" i="57"/>
  <c r="P912" i="57"/>
  <c r="Q903" i="57"/>
  <c r="R845" i="57"/>
  <c r="T845" i="57"/>
  <c r="T803" i="58"/>
  <c r="R909" i="57"/>
  <c r="P909" i="57"/>
  <c r="AB909" i="57" s="1"/>
  <c r="AU971" i="57"/>
  <c r="D975" i="58"/>
  <c r="AU970" i="58"/>
  <c r="N970" i="58"/>
  <c r="AH970" i="58" s="1"/>
  <c r="AU972" i="57"/>
  <c r="D976" i="58"/>
  <c r="AU969" i="57"/>
  <c r="D973" i="58"/>
  <c r="AU970" i="57"/>
  <c r="D974" i="58"/>
  <c r="AU971" i="58"/>
  <c r="N971" i="58"/>
  <c r="AU969" i="58"/>
  <c r="N969" i="58"/>
  <c r="N1006" i="58"/>
  <c r="AH1006" i="58" s="1"/>
  <c r="N999" i="58"/>
  <c r="N991" i="58"/>
  <c r="AG991" i="58" s="1"/>
  <c r="N982" i="58"/>
  <c r="N983" i="58"/>
  <c r="AG983" i="58" s="1"/>
  <c r="N979" i="58"/>
  <c r="AG979" i="58" s="1"/>
  <c r="N1001" i="58"/>
  <c r="N997" i="58"/>
  <c r="AH997" i="58" s="1"/>
  <c r="N994" i="58"/>
  <c r="AG994" i="58" s="1"/>
  <c r="N990" i="58"/>
  <c r="AH990" i="58" s="1"/>
  <c r="N1003" i="58"/>
  <c r="N977" i="58"/>
  <c r="N984" i="58"/>
  <c r="N1005" i="58"/>
  <c r="AG1005" i="58" s="1"/>
  <c r="N985" i="58"/>
  <c r="AH985" i="58" s="1"/>
  <c r="N993" i="58"/>
  <c r="AG993" i="58" s="1"/>
  <c r="N996" i="58"/>
  <c r="AH996" i="58" s="1"/>
  <c r="N992" i="58"/>
  <c r="AG992" i="58" s="1"/>
  <c r="N986" i="58"/>
  <c r="N989" i="58"/>
  <c r="AG989" i="58" s="1"/>
  <c r="N1002" i="58"/>
  <c r="N980" i="58"/>
  <c r="AG980" i="58" s="1"/>
  <c r="N995" i="58"/>
  <c r="AH995" i="58" s="1"/>
  <c r="N1000" i="58"/>
  <c r="N978" i="58"/>
  <c r="AG978" i="58" s="1"/>
  <c r="N988" i="58"/>
  <c r="N1004" i="58"/>
  <c r="N987" i="58"/>
  <c r="AH987" i="58" s="1"/>
  <c r="AU972" i="58"/>
  <c r="N972" i="58"/>
  <c r="AH972" i="58" s="1"/>
  <c r="Q911" i="57"/>
  <c r="Q990" i="57"/>
  <c r="T991" i="57"/>
  <c r="S993" i="57"/>
  <c r="Q988" i="57"/>
  <c r="R992" i="57"/>
  <c r="S989" i="57"/>
  <c r="R990" i="57"/>
  <c r="Q993" i="57"/>
  <c r="Q992" i="57"/>
  <c r="T993" i="57"/>
  <c r="T988" i="57"/>
  <c r="S992" i="57"/>
  <c r="T989" i="57"/>
  <c r="S990" i="57"/>
  <c r="R987" i="57"/>
  <c r="S988" i="57"/>
  <c r="Q986" i="57"/>
  <c r="T992" i="57"/>
  <c r="R986" i="57"/>
  <c r="T990" i="57"/>
  <c r="S987" i="57"/>
  <c r="Q991" i="57"/>
  <c r="R991" i="57"/>
  <c r="S986" i="57"/>
  <c r="R988" i="57"/>
  <c r="Q987" i="57"/>
  <c r="T987" i="57"/>
  <c r="S991" i="57"/>
  <c r="R993" i="57"/>
  <c r="T986" i="57"/>
  <c r="Q989" i="57"/>
  <c r="R989" i="57"/>
  <c r="S915" i="57"/>
  <c r="AC952" i="57"/>
  <c r="L759" i="54"/>
  <c r="S730" i="54"/>
  <c r="R729" i="54"/>
  <c r="S729" i="54"/>
  <c r="T729" i="54"/>
  <c r="R730" i="54"/>
  <c r="Q729" i="54"/>
  <c r="T730" i="54"/>
  <c r="Q730" i="54"/>
  <c r="AO730" i="54"/>
  <c r="AO729" i="54"/>
  <c r="AN729" i="54"/>
  <c r="U855" i="57"/>
  <c r="V773" i="57"/>
  <c r="R995" i="57"/>
  <c r="P907" i="57"/>
  <c r="T995" i="57"/>
  <c r="R968" i="57"/>
  <c r="T996" i="57"/>
  <c r="R996" i="57"/>
  <c r="Q996" i="57"/>
  <c r="S995" i="57"/>
  <c r="S996" i="57"/>
  <c r="Q995" i="57"/>
  <c r="T965" i="57"/>
  <c r="S967" i="57"/>
  <c r="S968" i="57"/>
  <c r="S965" i="57"/>
  <c r="T967" i="57"/>
  <c r="T966" i="57"/>
  <c r="Q970" i="57"/>
  <c r="Q968" i="57"/>
  <c r="T968" i="57"/>
  <c r="T972" i="57"/>
  <c r="R969" i="57"/>
  <c r="R971" i="57"/>
  <c r="R965" i="57"/>
  <c r="T969" i="57"/>
  <c r="Q972" i="57"/>
  <c r="R972" i="57"/>
  <c r="T970" i="57"/>
  <c r="Q971" i="57"/>
  <c r="S966" i="57"/>
  <c r="S970" i="57"/>
  <c r="Q967" i="57"/>
  <c r="R967" i="57"/>
  <c r="R970" i="57"/>
  <c r="Q966" i="57"/>
  <c r="T971" i="57"/>
  <c r="R966" i="57"/>
  <c r="Q965" i="57"/>
  <c r="S972" i="57"/>
  <c r="S969" i="57"/>
  <c r="Q969" i="57"/>
  <c r="S971" i="57"/>
  <c r="S850" i="57"/>
  <c r="T850" i="57"/>
  <c r="Q850" i="57"/>
  <c r="R850" i="57"/>
  <c r="S854" i="57"/>
  <c r="T854" i="57"/>
  <c r="Q854" i="57"/>
  <c r="R854" i="57"/>
  <c r="S846" i="57"/>
  <c r="T846" i="57"/>
  <c r="Q846" i="57"/>
  <c r="R846" i="57"/>
  <c r="D867" i="57"/>
  <c r="S856" i="57"/>
  <c r="T856" i="57"/>
  <c r="Q856" i="57"/>
  <c r="R856" i="57"/>
  <c r="S849" i="57"/>
  <c r="T849" i="57"/>
  <c r="Q849" i="57"/>
  <c r="R849" i="57"/>
  <c r="Q913" i="57"/>
  <c r="R907" i="57"/>
  <c r="R905" i="57"/>
  <c r="P915" i="57"/>
  <c r="S907" i="57"/>
  <c r="Q915" i="57"/>
  <c r="Q905" i="57"/>
  <c r="AB905" i="57" s="1"/>
  <c r="S905" i="57"/>
  <c r="Q527" i="54"/>
  <c r="P682" i="54"/>
  <c r="P683" i="54"/>
  <c r="R695" i="54"/>
  <c r="Q692" i="54"/>
  <c r="P690" i="54"/>
  <c r="P671" i="54"/>
  <c r="P697" i="54"/>
  <c r="P689" i="54"/>
  <c r="Q688" i="54"/>
  <c r="E922" i="57"/>
  <c r="Q676" i="54"/>
  <c r="Q890" i="57" s="1"/>
  <c r="Q894" i="58" s="1"/>
  <c r="Q678" i="54"/>
  <c r="Q892" i="57" s="1"/>
  <c r="Q896" i="58" s="1"/>
  <c r="P678" i="54"/>
  <c r="Q670" i="54"/>
  <c r="P676" i="54"/>
  <c r="T754" i="54"/>
  <c r="S751" i="54"/>
  <c r="Q754" i="54"/>
  <c r="T751" i="54"/>
  <c r="Q748" i="54"/>
  <c r="R749" i="54"/>
  <c r="S747" i="54"/>
  <c r="R753" i="54"/>
  <c r="T752" i="54"/>
  <c r="T749" i="54"/>
  <c r="Q750" i="54"/>
  <c r="Q751" i="54"/>
  <c r="S748" i="54"/>
  <c r="Q747" i="54"/>
  <c r="S750" i="54"/>
  <c r="S753" i="54"/>
  <c r="R752" i="54"/>
  <c r="S754" i="54"/>
  <c r="R747" i="54"/>
  <c r="R754" i="54"/>
  <c r="Q752" i="54"/>
  <c r="R750" i="54"/>
  <c r="T747" i="54"/>
  <c r="S752" i="54"/>
  <c r="S749" i="54"/>
  <c r="T750" i="54"/>
  <c r="R748" i="54"/>
  <c r="Q749" i="54"/>
  <c r="R751" i="54"/>
  <c r="Q753" i="54"/>
  <c r="T753" i="54"/>
  <c r="T748" i="54"/>
  <c r="P665" i="54"/>
  <c r="P657" i="54"/>
  <c r="P661" i="54"/>
  <c r="P663" i="54"/>
  <c r="P659" i="54"/>
  <c r="R683" i="54"/>
  <c r="R680" i="54"/>
  <c r="S684" i="54"/>
  <c r="S898" i="57" s="1"/>
  <c r="S902" i="58" s="1"/>
  <c r="R682" i="54"/>
  <c r="P687" i="54"/>
  <c r="P684" i="54"/>
  <c r="Q679" i="54"/>
  <c r="Q893" i="57" s="1"/>
  <c r="Q897" i="58" s="1"/>
  <c r="S686" i="54"/>
  <c r="S900" i="57" s="1"/>
  <c r="S904" i="58" s="1"/>
  <c r="R687" i="54"/>
  <c r="P679" i="54"/>
  <c r="R676" i="54"/>
  <c r="P666" i="54"/>
  <c r="P680" i="54"/>
  <c r="S682" i="54"/>
  <c r="S896" i="57" s="1"/>
  <c r="S900" i="58" s="1"/>
  <c r="P667" i="54"/>
  <c r="R681" i="54"/>
  <c r="P686" i="54"/>
  <c r="Q682" i="54"/>
  <c r="Q896" i="57" s="1"/>
  <c r="Q900" i="58" s="1"/>
  <c r="Q687" i="54"/>
  <c r="Q901" i="57" s="1"/>
  <c r="Q905" i="58" s="1"/>
  <c r="Q681" i="54"/>
  <c r="Q895" i="57" s="1"/>
  <c r="Q899" i="58" s="1"/>
  <c r="Q685" i="54"/>
  <c r="Q686" i="54"/>
  <c r="Q900" i="57" s="1"/>
  <c r="Q904" i="58" s="1"/>
  <c r="Q680" i="54"/>
  <c r="Q894" i="57" s="1"/>
  <c r="Q898" i="58" s="1"/>
  <c r="S676" i="54"/>
  <c r="S890" i="57" s="1"/>
  <c r="S894" i="58" s="1"/>
  <c r="R684" i="54"/>
  <c r="R898" i="57" s="1"/>
  <c r="R902" i="58" s="1"/>
  <c r="S685" i="54"/>
  <c r="S899" i="57" s="1"/>
  <c r="S903" i="58" s="1"/>
  <c r="S678" i="54"/>
  <c r="S892" i="57" s="1"/>
  <c r="S896" i="58" s="1"/>
  <c r="R678" i="54"/>
  <c r="S677" i="54"/>
  <c r="S891" i="57" s="1"/>
  <c r="S895" i="58" s="1"/>
  <c r="Q684" i="54"/>
  <c r="Q898" i="57" s="1"/>
  <c r="Q902" i="58" s="1"/>
  <c r="P681" i="54"/>
  <c r="P895" i="57" s="1"/>
  <c r="P899" i="58" s="1"/>
  <c r="S681" i="54"/>
  <c r="S895" i="57" s="1"/>
  <c r="S899" i="58" s="1"/>
  <c r="P668" i="54"/>
  <c r="R679" i="54"/>
  <c r="P685" i="54"/>
  <c r="P899" i="57" s="1"/>
  <c r="P903" i="58" s="1"/>
  <c r="P677" i="54"/>
  <c r="S683" i="54"/>
  <c r="S897" i="57" s="1"/>
  <c r="S901" i="58" s="1"/>
  <c r="Q677" i="54"/>
  <c r="Q891" i="57" s="1"/>
  <c r="Q895" i="58" s="1"/>
  <c r="Q683" i="54"/>
  <c r="Q897" i="57" s="1"/>
  <c r="Q901" i="58" s="1"/>
  <c r="S679" i="54"/>
  <c r="S893" i="57" s="1"/>
  <c r="S897" i="58" s="1"/>
  <c r="R677" i="54"/>
  <c r="P669" i="54"/>
  <c r="R686" i="54"/>
  <c r="S687" i="54"/>
  <c r="S901" i="57" s="1"/>
  <c r="S905" i="58" s="1"/>
  <c r="S680" i="54"/>
  <c r="S894" i="57" s="1"/>
  <c r="S898" i="58" s="1"/>
  <c r="R685" i="54"/>
  <c r="R899" i="57" s="1"/>
  <c r="R903" i="58" s="1"/>
  <c r="V626" i="54"/>
  <c r="V627" i="54"/>
  <c r="Q524" i="54"/>
  <c r="Q525" i="54"/>
  <c r="Q526" i="54"/>
  <c r="V855" i="57"/>
  <c r="Q523" i="54"/>
  <c r="Q634" i="54"/>
  <c r="R634" i="54"/>
  <c r="S634" i="54"/>
  <c r="T634" i="54"/>
  <c r="R913" i="57"/>
  <c r="S913" i="57"/>
  <c r="T807" i="57"/>
  <c r="T384" i="57" s="1"/>
  <c r="S911" i="57"/>
  <c r="AA813" i="57"/>
  <c r="T813" i="57" s="1"/>
  <c r="T390" i="57" s="1"/>
  <c r="AC396" i="57" s="1"/>
  <c r="P758" i="54"/>
  <c r="Q772" i="57"/>
  <c r="R724" i="54"/>
  <c r="U609" i="54"/>
  <c r="AC890" i="58"/>
  <c r="AC887" i="58"/>
  <c r="AG886" i="58" s="1"/>
  <c r="AB890" i="58"/>
  <c r="AC893" i="58"/>
  <c r="AC881" i="58"/>
  <c r="AF881" i="58" s="1"/>
  <c r="Q1010" i="58"/>
  <c r="R911" i="57"/>
  <c r="R608" i="54"/>
  <c r="U608" i="54"/>
  <c r="R711" i="54"/>
  <c r="Q716" i="54"/>
  <c r="Q717" i="54"/>
  <c r="AC883" i="58"/>
  <c r="AF882" i="58" s="1"/>
  <c r="T609" i="54"/>
  <c r="Q713" i="54"/>
  <c r="Q708" i="54"/>
  <c r="K759" i="54"/>
  <c r="P759" i="54" s="1"/>
  <c r="R719" i="54"/>
  <c r="R609" i="54"/>
  <c r="T608" i="54"/>
  <c r="R741" i="54"/>
  <c r="M759" i="54"/>
  <c r="Q718" i="54"/>
  <c r="S609" i="54"/>
  <c r="S608" i="54"/>
  <c r="R722" i="54"/>
  <c r="S726" i="54"/>
  <c r="R731" i="54"/>
  <c r="R742" i="54"/>
  <c r="AC892" i="58"/>
  <c r="AB883" i="58"/>
  <c r="AB881" i="58"/>
  <c r="P914" i="58"/>
  <c r="R914" i="58"/>
  <c r="Q914" i="58"/>
  <c r="S914" i="58"/>
  <c r="P910" i="58"/>
  <c r="Q910" i="58"/>
  <c r="R910" i="58"/>
  <c r="S910" i="58"/>
  <c r="AB887" i="58"/>
  <c r="P917" i="58"/>
  <c r="R917" i="58"/>
  <c r="Q917" i="58"/>
  <c r="S917" i="58"/>
  <c r="Q911" i="58"/>
  <c r="R911" i="58"/>
  <c r="P911" i="58"/>
  <c r="S911" i="58"/>
  <c r="R1002" i="58"/>
  <c r="T1002" i="58"/>
  <c r="S1002" i="58"/>
  <c r="Q1002" i="58"/>
  <c r="Q916" i="58"/>
  <c r="P916" i="58"/>
  <c r="R916" i="58"/>
  <c r="S916" i="58"/>
  <c r="AC885" i="58"/>
  <c r="AF884" i="58" s="1"/>
  <c r="S915" i="58"/>
  <c r="R915" i="58"/>
  <c r="Q915" i="58"/>
  <c r="P915" i="58"/>
  <c r="AC891" i="58"/>
  <c r="Q909" i="58"/>
  <c r="R909" i="58"/>
  <c r="S909" i="58"/>
  <c r="P909" i="58"/>
  <c r="Q1001" i="58"/>
  <c r="R1001" i="58"/>
  <c r="T1001" i="58"/>
  <c r="S1001" i="58"/>
  <c r="Q912" i="58"/>
  <c r="S912" i="58"/>
  <c r="R912" i="58"/>
  <c r="P912" i="58"/>
  <c r="AB889" i="58"/>
  <c r="P1010" i="58"/>
  <c r="AC889" i="58"/>
  <c r="AG888" i="58" s="1"/>
  <c r="P913" i="58"/>
  <c r="Q913" i="58"/>
  <c r="S913" i="58"/>
  <c r="R913" i="58"/>
  <c r="AB893" i="58"/>
  <c r="F738" i="58"/>
  <c r="G685" i="58"/>
  <c r="G682" i="58"/>
  <c r="G688" i="58"/>
  <c r="G684" i="58"/>
  <c r="G689" i="58"/>
  <c r="G686" i="58"/>
  <c r="G687" i="58"/>
  <c r="G683" i="58"/>
  <c r="G681" i="58"/>
  <c r="AB885" i="58"/>
  <c r="P918" i="58"/>
  <c r="R918" i="58"/>
  <c r="Q918" i="58"/>
  <c r="S918" i="58"/>
  <c r="Q907" i="58"/>
  <c r="S907" i="58"/>
  <c r="R907" i="58"/>
  <c r="P907" i="58"/>
  <c r="Q919" i="58"/>
  <c r="R919" i="58"/>
  <c r="P919" i="58"/>
  <c r="S919" i="58"/>
  <c r="R715" i="54"/>
  <c r="H807" i="58"/>
  <c r="H813" i="58" s="1"/>
  <c r="G358" i="58"/>
  <c r="J367" i="58" s="1"/>
  <c r="H808" i="58"/>
  <c r="H814" i="58" s="1"/>
  <c r="G359" i="58"/>
  <c r="J375" i="58" s="1"/>
  <c r="E357" i="58"/>
  <c r="F806" i="58"/>
  <c r="F812" i="58" s="1"/>
  <c r="F818" i="58" s="1"/>
  <c r="C357" i="58"/>
  <c r="D806" i="58"/>
  <c r="Q712" i="54"/>
  <c r="Q714" i="54"/>
  <c r="G830" i="58"/>
  <c r="G843" i="58" s="1"/>
  <c r="F842" i="58"/>
  <c r="F830" i="58"/>
  <c r="F843" i="58" s="1"/>
  <c r="F831" i="58"/>
  <c r="F844" i="58" s="1"/>
  <c r="F832" i="58"/>
  <c r="F845" i="58" s="1"/>
  <c r="I804" i="58"/>
  <c r="AE804" i="58" s="1"/>
  <c r="I806" i="58"/>
  <c r="AE806" i="58" s="1"/>
  <c r="I811" i="58"/>
  <c r="AE811" i="58" s="1"/>
  <c r="I805" i="58"/>
  <c r="AE805" i="58" s="1"/>
  <c r="E826" i="57"/>
  <c r="E418" i="57" s="1"/>
  <c r="D381" i="58"/>
  <c r="R720" i="54"/>
  <c r="S793" i="58"/>
  <c r="T793" i="58"/>
  <c r="S355" i="58" s="1"/>
  <c r="E806" i="58"/>
  <c r="E814" i="58" s="1"/>
  <c r="D357" i="58"/>
  <c r="D358" i="58"/>
  <c r="G367" i="58" s="1"/>
  <c r="H357" i="58"/>
  <c r="AA795" i="58"/>
  <c r="H806" i="58"/>
  <c r="H812" i="58" s="1"/>
  <c r="G357" i="58"/>
  <c r="T796" i="58"/>
  <c r="S358" i="58" s="1"/>
  <c r="S796" i="58"/>
  <c r="H359" i="58"/>
  <c r="AA797" i="58"/>
  <c r="D814" i="57"/>
  <c r="D391" i="57" s="1"/>
  <c r="E400" i="57" s="1"/>
  <c r="E842" i="58"/>
  <c r="E831" i="58"/>
  <c r="E832" i="58"/>
  <c r="E830" i="58"/>
  <c r="AA807" i="58"/>
  <c r="I815" i="58"/>
  <c r="AE815" i="58" s="1"/>
  <c r="I810" i="58"/>
  <c r="AE810" i="58" s="1"/>
  <c r="J807" i="58"/>
  <c r="I809" i="58"/>
  <c r="AE809" i="58" s="1"/>
  <c r="I808" i="58"/>
  <c r="AE808" i="58" s="1"/>
  <c r="N807" i="58"/>
  <c r="F846" i="58"/>
  <c r="F834" i="58"/>
  <c r="F835" i="58"/>
  <c r="F848" i="58" s="1"/>
  <c r="F836" i="58"/>
  <c r="F849" i="58" s="1"/>
  <c r="T792" i="58"/>
  <c r="S354" i="58" s="1"/>
  <c r="V363" i="58" s="1"/>
  <c r="U869" i="58"/>
  <c r="V861" i="58"/>
  <c r="U861" i="58"/>
  <c r="V869" i="58"/>
  <c r="D873" i="58"/>
  <c r="AU949" i="57"/>
  <c r="D953" i="58"/>
  <c r="AU930" i="57"/>
  <c r="D934" i="58"/>
  <c r="AU957" i="57"/>
  <c r="D961" i="58"/>
  <c r="AU945" i="57"/>
  <c r="D949" i="58"/>
  <c r="AU929" i="57"/>
  <c r="D933" i="58"/>
  <c r="D750" i="58"/>
  <c r="AU938" i="58"/>
  <c r="N938" i="58"/>
  <c r="AU963" i="57"/>
  <c r="D967" i="58"/>
  <c r="AU953" i="57"/>
  <c r="D957" i="58"/>
  <c r="AU963" i="58"/>
  <c r="N963" i="58"/>
  <c r="AU962" i="57"/>
  <c r="D966" i="58"/>
  <c r="AU935" i="57"/>
  <c r="D939" i="58"/>
  <c r="AU942" i="58"/>
  <c r="N942" i="58"/>
  <c r="D753" i="58"/>
  <c r="AU943" i="58"/>
  <c r="N943" i="58"/>
  <c r="U961" i="58"/>
  <c r="AK961" i="58"/>
  <c r="AD961" i="58"/>
  <c r="AQ961" i="58"/>
  <c r="AP961" i="58"/>
  <c r="Z961" i="58"/>
  <c r="X961" i="58"/>
  <c r="W961" i="58"/>
  <c r="V961" i="58"/>
  <c r="N927" i="58"/>
  <c r="AU964" i="58"/>
  <c r="N964" i="58"/>
  <c r="D748" i="58"/>
  <c r="AU932" i="58"/>
  <c r="N932" i="58"/>
  <c r="AU925" i="57"/>
  <c r="D929" i="58"/>
  <c r="D747" i="58"/>
  <c r="AU931" i="58"/>
  <c r="N931" i="58"/>
  <c r="AU961" i="57"/>
  <c r="D965" i="58"/>
  <c r="AU954" i="58"/>
  <c r="N954" i="58"/>
  <c r="AU936" i="57"/>
  <c r="D940" i="58"/>
  <c r="AU931" i="57"/>
  <c r="D935" i="58"/>
  <c r="AU955" i="58"/>
  <c r="N955" i="58"/>
  <c r="AU956" i="58"/>
  <c r="N956" i="58"/>
  <c r="AU959" i="58"/>
  <c r="N959" i="58"/>
  <c r="AU958" i="57"/>
  <c r="D962" i="58"/>
  <c r="AU958" i="58"/>
  <c r="N958" i="58"/>
  <c r="J751" i="58"/>
  <c r="R751" i="58"/>
  <c r="Q751" i="58"/>
  <c r="O937" i="58"/>
  <c r="P937" i="58"/>
  <c r="AI937" i="58"/>
  <c r="J756" i="58"/>
  <c r="R756" i="58"/>
  <c r="Q756" i="58"/>
  <c r="D755" i="58"/>
  <c r="AU945" i="58"/>
  <c r="N945" i="58"/>
  <c r="D754" i="58"/>
  <c r="AU944" i="58"/>
  <c r="N944" i="58"/>
  <c r="AQ967" i="58"/>
  <c r="AD967" i="58"/>
  <c r="AK967" i="58"/>
  <c r="U967" i="58"/>
  <c r="AP967" i="58"/>
  <c r="X967" i="58"/>
  <c r="V967" i="58"/>
  <c r="Z967" i="58"/>
  <c r="W967" i="58"/>
  <c r="AK957" i="58"/>
  <c r="AQ957" i="58"/>
  <c r="W957" i="58"/>
  <c r="AD957" i="58"/>
  <c r="AP957" i="58"/>
  <c r="U957" i="58"/>
  <c r="X957" i="58"/>
  <c r="Z957" i="58"/>
  <c r="V957" i="58"/>
  <c r="D760" i="58"/>
  <c r="AU950" i="58"/>
  <c r="N950" i="58"/>
  <c r="D756" i="58"/>
  <c r="AU946" i="58"/>
  <c r="N946" i="58"/>
  <c r="P947" i="58"/>
  <c r="AI947" i="58"/>
  <c r="O947" i="58"/>
  <c r="J760" i="58"/>
  <c r="R760" i="58"/>
  <c r="Q760" i="58"/>
  <c r="AP965" i="58"/>
  <c r="U965" i="58"/>
  <c r="AK965" i="58"/>
  <c r="AQ965" i="58"/>
  <c r="AD965" i="58"/>
  <c r="Z965" i="58"/>
  <c r="X965" i="58"/>
  <c r="V965" i="58"/>
  <c r="W965" i="58"/>
  <c r="D749" i="58"/>
  <c r="AU937" i="58"/>
  <c r="N937" i="58"/>
  <c r="AU924" i="57"/>
  <c r="D928" i="58"/>
  <c r="AU932" i="57"/>
  <c r="D936" i="58"/>
  <c r="D746" i="58"/>
  <c r="AU930" i="58"/>
  <c r="N930" i="58"/>
  <c r="D757" i="58"/>
  <c r="AU947" i="58"/>
  <c r="N947" i="58"/>
  <c r="AU956" i="57"/>
  <c r="D960" i="58"/>
  <c r="D758" i="58"/>
  <c r="AU948" i="58"/>
  <c r="N948" i="58"/>
  <c r="D743" i="58"/>
  <c r="AU927" i="58"/>
  <c r="AP960" i="58"/>
  <c r="AK960" i="58"/>
  <c r="U960" i="58"/>
  <c r="AQ960" i="58"/>
  <c r="AD960" i="58"/>
  <c r="W960" i="58"/>
  <c r="X960" i="58"/>
  <c r="Z960" i="58"/>
  <c r="V960" i="58"/>
  <c r="Q773" i="57"/>
  <c r="C601" i="54"/>
  <c r="D808" i="57"/>
  <c r="D385" i="57" s="1"/>
  <c r="AA814" i="57"/>
  <c r="R669" i="54"/>
  <c r="R668" i="54"/>
  <c r="Q704" i="54"/>
  <c r="T728" i="54"/>
  <c r="Q885" i="57"/>
  <c r="S666" i="54"/>
  <c r="R667" i="54"/>
  <c r="R998" i="57"/>
  <c r="Q985" i="57"/>
  <c r="S983" i="57"/>
  <c r="T974" i="57"/>
  <c r="R975" i="57"/>
  <c r="S998" i="57"/>
  <c r="R974" i="57"/>
  <c r="Q979" i="57"/>
  <c r="R983" i="57"/>
  <c r="T975" i="57"/>
  <c r="R981" i="57"/>
  <c r="T985" i="57"/>
  <c r="R979" i="57"/>
  <c r="T976" i="57"/>
  <c r="Q975" i="57"/>
  <c r="R985" i="57"/>
  <c r="T998" i="57"/>
  <c r="R976" i="57"/>
  <c r="S976" i="57"/>
  <c r="S975" i="57"/>
  <c r="S985" i="57"/>
  <c r="Q976" i="57"/>
  <c r="Q981" i="57"/>
  <c r="Q974" i="57"/>
  <c r="Q983" i="57"/>
  <c r="Q998" i="57"/>
  <c r="G883" i="57"/>
  <c r="AR882" i="57"/>
  <c r="S979" i="57"/>
  <c r="S981" i="57"/>
  <c r="T979" i="57"/>
  <c r="T981" i="57"/>
  <c r="S974" i="57"/>
  <c r="T983" i="57"/>
  <c r="Q877" i="57"/>
  <c r="Q883" i="57"/>
  <c r="R879" i="57"/>
  <c r="Q881" i="57"/>
  <c r="R881" i="57"/>
  <c r="S883" i="57"/>
  <c r="P881" i="57"/>
  <c r="R885" i="57"/>
  <c r="S879" i="57"/>
  <c r="AU959" i="57"/>
  <c r="S885" i="57"/>
  <c r="R883" i="57"/>
  <c r="S881" i="57"/>
  <c r="P888" i="57"/>
  <c r="P889" i="57"/>
  <c r="S877" i="57"/>
  <c r="R877" i="57"/>
  <c r="Q879" i="57"/>
  <c r="P887" i="57"/>
  <c r="P883" i="57"/>
  <c r="P886" i="57"/>
  <c r="P885" i="57"/>
  <c r="P879" i="57"/>
  <c r="P877" i="57"/>
  <c r="L1003" i="57"/>
  <c r="Q889" i="57"/>
  <c r="S886" i="57"/>
  <c r="S888" i="57"/>
  <c r="S887" i="57"/>
  <c r="R886" i="57"/>
  <c r="S889" i="57"/>
  <c r="R888" i="57"/>
  <c r="R887" i="57"/>
  <c r="Q886" i="57"/>
  <c r="R889" i="57"/>
  <c r="Q888" i="57"/>
  <c r="Q887" i="57"/>
  <c r="Q934" i="57"/>
  <c r="V852" i="57"/>
  <c r="U853" i="57"/>
  <c r="AC945" i="57"/>
  <c r="Q943" i="57"/>
  <c r="AC943" i="57"/>
  <c r="U842" i="57"/>
  <c r="AC940" i="57"/>
  <c r="AC933" i="57"/>
  <c r="AC961" i="57"/>
  <c r="AC937" i="57"/>
  <c r="E956" i="57"/>
  <c r="E960" i="58" s="1"/>
  <c r="E849" i="57"/>
  <c r="E854" i="57"/>
  <c r="E961" i="57"/>
  <c r="E965" i="58" s="1"/>
  <c r="E958" i="57"/>
  <c r="E962" i="58" s="1"/>
  <c r="E851" i="57"/>
  <c r="E957" i="57"/>
  <c r="E961" i="58" s="1"/>
  <c r="E850" i="57"/>
  <c r="P942" i="57"/>
  <c r="AI942" i="57"/>
  <c r="O942" i="57"/>
  <c r="AC941" i="57"/>
  <c r="AC946" i="57"/>
  <c r="P939" i="57"/>
  <c r="AI939" i="57"/>
  <c r="O939" i="57"/>
  <c r="AU927" i="57"/>
  <c r="AC923" i="57"/>
  <c r="P940" i="57"/>
  <c r="AI940" i="57"/>
  <c r="O940" i="57"/>
  <c r="AC957" i="57"/>
  <c r="AM963" i="57"/>
  <c r="AN963" i="57"/>
  <c r="AO963" i="57"/>
  <c r="AL963" i="57"/>
  <c r="AC944" i="57"/>
  <c r="P943" i="57"/>
  <c r="AI943" i="57"/>
  <c r="O943" i="57"/>
  <c r="AU928" i="57"/>
  <c r="AU955" i="57"/>
  <c r="E923" i="57"/>
  <c r="E927" i="58" s="1"/>
  <c r="E953" i="57"/>
  <c r="E957" i="58" s="1"/>
  <c r="E846" i="57"/>
  <c r="E847" i="57"/>
  <c r="E954" i="57"/>
  <c r="E958" i="58" s="1"/>
  <c r="E962" i="57"/>
  <c r="E966" i="58" s="1"/>
  <c r="E855" i="57"/>
  <c r="P945" i="57"/>
  <c r="AI945" i="57"/>
  <c r="O945" i="57"/>
  <c r="P946" i="57"/>
  <c r="AI946" i="57"/>
  <c r="O946" i="57"/>
  <c r="O934" i="57"/>
  <c r="P934" i="57"/>
  <c r="AI934" i="57"/>
  <c r="AU943" i="57"/>
  <c r="AU960" i="57"/>
  <c r="AU951" i="57"/>
  <c r="AI963" i="57"/>
  <c r="AC963" i="57"/>
  <c r="P944" i="57"/>
  <c r="AI944" i="57"/>
  <c r="O944" i="57"/>
  <c r="E856" i="57"/>
  <c r="E867" i="57" s="1"/>
  <c r="E869" i="57" s="1"/>
  <c r="E963" i="57"/>
  <c r="E967" i="58" s="1"/>
  <c r="E842" i="57"/>
  <c r="E949" i="57"/>
  <c r="E953" i="58" s="1"/>
  <c r="E955" i="57"/>
  <c r="E959" i="58" s="1"/>
  <c r="E848" i="57"/>
  <c r="E951" i="57"/>
  <c r="E955" i="58" s="1"/>
  <c r="E844" i="57"/>
  <c r="E959" i="57"/>
  <c r="E963" i="58" s="1"/>
  <c r="E852" i="57"/>
  <c r="P941" i="57"/>
  <c r="AI941" i="57"/>
  <c r="O941" i="57"/>
  <c r="AC939" i="57"/>
  <c r="P936" i="57"/>
  <c r="AI936" i="57"/>
  <c r="O936" i="57"/>
  <c r="AC936" i="57"/>
  <c r="AU950" i="57"/>
  <c r="AL956" i="57"/>
  <c r="AM956" i="57"/>
  <c r="AN956" i="57"/>
  <c r="AO956" i="57"/>
  <c r="AI956" i="57"/>
  <c r="AC956" i="57"/>
  <c r="AC934" i="57"/>
  <c r="AL961" i="57"/>
  <c r="AI961" i="57"/>
  <c r="AO961" i="57"/>
  <c r="AN961" i="57"/>
  <c r="AM961" i="57"/>
  <c r="AU954" i="57"/>
  <c r="AC942" i="57"/>
  <c r="AI937" i="57"/>
  <c r="O937" i="57"/>
  <c r="P937" i="57"/>
  <c r="AU926" i="57"/>
  <c r="P923" i="57"/>
  <c r="AI923" i="57"/>
  <c r="O923" i="57"/>
  <c r="T923" i="57"/>
  <c r="AU952" i="57"/>
  <c r="AC935" i="57"/>
  <c r="AI935" i="57"/>
  <c r="O935" i="57"/>
  <c r="P935" i="57"/>
  <c r="P933" i="57"/>
  <c r="O933" i="57"/>
  <c r="AI933" i="57"/>
  <c r="AO957" i="57"/>
  <c r="AM957" i="57"/>
  <c r="AI957" i="57"/>
  <c r="AL957" i="57"/>
  <c r="AN957" i="57"/>
  <c r="AC953" i="57"/>
  <c r="AI953" i="57"/>
  <c r="AO953" i="57"/>
  <c r="AL953" i="57"/>
  <c r="AM953" i="57"/>
  <c r="AN953" i="57"/>
  <c r="AU934" i="57"/>
  <c r="R962" i="57"/>
  <c r="R959" i="57"/>
  <c r="Q962" i="57"/>
  <c r="Q960" i="57"/>
  <c r="Q959" i="57"/>
  <c r="R960" i="57"/>
  <c r="Q945" i="57"/>
  <c r="T962" i="57"/>
  <c r="T960" i="57"/>
  <c r="S959" i="57"/>
  <c r="S962" i="57"/>
  <c r="S960" i="57"/>
  <c r="T959" i="57"/>
  <c r="X826" i="57"/>
  <c r="X418" i="57" s="1"/>
  <c r="X823" i="57"/>
  <c r="X415" i="57" s="1"/>
  <c r="W823" i="57"/>
  <c r="W415" i="57" s="1"/>
  <c r="M1003" i="57"/>
  <c r="U826" i="57"/>
  <c r="U418" i="57" s="1"/>
  <c r="U823" i="57"/>
  <c r="U415" i="57" s="1"/>
  <c r="D9" i="54"/>
  <c r="D6" i="57"/>
  <c r="J1003" i="57"/>
  <c r="V826" i="57"/>
  <c r="V418" i="57" s="1"/>
  <c r="V823" i="57"/>
  <c r="V415" i="57" s="1"/>
  <c r="K1003" i="57"/>
  <c r="W826" i="57"/>
  <c r="W418" i="57" s="1"/>
  <c r="P1002" i="57"/>
  <c r="Q1002" i="57"/>
  <c r="S668" i="54"/>
  <c r="S669" i="54"/>
  <c r="Q669" i="54"/>
  <c r="Q667" i="54"/>
  <c r="Q668" i="54"/>
  <c r="Q666" i="54"/>
  <c r="S667" i="54"/>
  <c r="R666" i="54"/>
  <c r="AA871" i="57"/>
  <c r="K773" i="57"/>
  <c r="Y773" i="57"/>
  <c r="X773" i="57"/>
  <c r="S728" i="54"/>
  <c r="R728" i="54"/>
  <c r="Q728" i="54"/>
  <c r="T715" i="54"/>
  <c r="Q715" i="54"/>
  <c r="S715" i="54"/>
  <c r="Q744" i="54"/>
  <c r="T744" i="54"/>
  <c r="S744" i="54"/>
  <c r="R744" i="54"/>
  <c r="R736" i="54"/>
  <c r="Q736" i="54"/>
  <c r="Q696" i="54"/>
  <c r="P696" i="54"/>
  <c r="P691" i="54"/>
  <c r="S721" i="54"/>
  <c r="R694" i="54"/>
  <c r="S694" i="54"/>
  <c r="P694" i="54"/>
  <c r="Q694" i="54"/>
  <c r="T724" i="54"/>
  <c r="Q726" i="54"/>
  <c r="Q725" i="54"/>
  <c r="Q697" i="54"/>
  <c r="S719" i="54"/>
  <c r="Q719" i="54"/>
  <c r="R697" i="54"/>
  <c r="Q721" i="54"/>
  <c r="T721" i="54"/>
  <c r="R726" i="54"/>
  <c r="T726" i="54"/>
  <c r="T717" i="54"/>
  <c r="R718" i="54"/>
  <c r="S718" i="54"/>
  <c r="S716" i="54"/>
  <c r="S724" i="54"/>
  <c r="R717" i="54"/>
  <c r="S717" i="54"/>
  <c r="Q722" i="54"/>
  <c r="Q724" i="54"/>
  <c r="T722" i="54"/>
  <c r="Q723" i="54"/>
  <c r="S722" i="54"/>
  <c r="R716" i="54"/>
  <c r="T716" i="54"/>
  <c r="S697" i="54"/>
  <c r="T719" i="54"/>
  <c r="R725" i="54"/>
  <c r="S689" i="54"/>
  <c r="S723" i="54"/>
  <c r="R689" i="54"/>
  <c r="T725" i="54"/>
  <c r="AH725" i="54" s="1"/>
  <c r="T727" i="54"/>
  <c r="Q689" i="54"/>
  <c r="S727" i="54"/>
  <c r="T723" i="54"/>
  <c r="Q727" i="54"/>
  <c r="T718" i="54"/>
  <c r="AN718" i="54"/>
  <c r="AO708" i="54"/>
  <c r="AO716" i="54"/>
  <c r="AN716" i="54"/>
  <c r="AN710" i="54"/>
  <c r="AO727" i="54"/>
  <c r="AO706" i="54"/>
  <c r="AN722" i="54"/>
  <c r="AN728" i="54"/>
  <c r="AO723" i="54"/>
  <c r="AN723" i="54"/>
  <c r="AO721" i="54"/>
  <c r="AN721" i="54"/>
  <c r="AO726" i="54"/>
  <c r="AN726" i="54"/>
  <c r="AN707" i="54"/>
  <c r="AN712" i="54"/>
  <c r="AN705" i="54"/>
  <c r="AN724" i="54"/>
  <c r="AN719" i="54"/>
  <c r="AN720" i="54"/>
  <c r="AN713" i="54"/>
  <c r="AO717" i="54"/>
  <c r="AN717" i="54"/>
  <c r="AO725" i="54"/>
  <c r="AN725" i="54"/>
  <c r="AN711" i="54"/>
  <c r="AN709" i="54"/>
  <c r="AN714" i="54"/>
  <c r="AO704" i="54"/>
  <c r="AN704" i="54"/>
  <c r="AO715" i="54"/>
  <c r="AN715" i="54"/>
  <c r="AN727" i="54"/>
  <c r="Q520" i="54"/>
  <c r="R734" i="54"/>
  <c r="Q711" i="54"/>
  <c r="Q720" i="54"/>
  <c r="R732" i="54"/>
  <c r="Q707" i="54"/>
  <c r="Q738" i="54"/>
  <c r="R714" i="54"/>
  <c r="R712" i="54"/>
  <c r="Q522" i="54"/>
  <c r="R713" i="54"/>
  <c r="Q739" i="54"/>
  <c r="T739" i="54"/>
  <c r="S739" i="54"/>
  <c r="S710" i="54"/>
  <c r="T710" i="54"/>
  <c r="T743" i="54"/>
  <c r="S743" i="54"/>
  <c r="R709" i="54"/>
  <c r="AG709" i="54" s="1"/>
  <c r="S708" i="54"/>
  <c r="T708" i="54"/>
  <c r="Q741" i="54"/>
  <c r="S741" i="54"/>
  <c r="T741" i="54"/>
  <c r="S738" i="54"/>
  <c r="T738" i="54"/>
  <c r="S732" i="54"/>
  <c r="T732" i="54"/>
  <c r="Q733" i="54"/>
  <c r="Q745" i="54"/>
  <c r="T745" i="54"/>
  <c r="S745" i="54"/>
  <c r="S712" i="54"/>
  <c r="T712" i="54"/>
  <c r="Q737" i="54"/>
  <c r="Q742" i="54"/>
  <c r="T742" i="54"/>
  <c r="S742" i="54"/>
  <c r="Q731" i="54"/>
  <c r="S714" i="54"/>
  <c r="T714" i="54"/>
  <c r="S720" i="54"/>
  <c r="T720" i="54"/>
  <c r="S711" i="54"/>
  <c r="T711" i="54"/>
  <c r="T735" i="54"/>
  <c r="R710" i="54"/>
  <c r="AG710" i="54" s="1"/>
  <c r="S707" i="54"/>
  <c r="T707" i="54"/>
  <c r="R743" i="54"/>
  <c r="R708" i="54"/>
  <c r="S736" i="54"/>
  <c r="T736" i="54"/>
  <c r="S713" i="54"/>
  <c r="T713" i="54"/>
  <c r="S740" i="54"/>
  <c r="S733" i="54"/>
  <c r="T733" i="54"/>
  <c r="S737" i="54"/>
  <c r="T737" i="54"/>
  <c r="S709" i="54"/>
  <c r="T709" i="54"/>
  <c r="S731" i="54"/>
  <c r="T731" i="54"/>
  <c r="U627" i="54"/>
  <c r="Q657" i="54"/>
  <c r="Q519" i="54"/>
  <c r="Q664" i="54"/>
  <c r="AB664" i="54" s="1"/>
  <c r="Q660" i="54"/>
  <c r="AB660" i="54" s="1"/>
  <c r="P656" i="54"/>
  <c r="AB656" i="54" s="1"/>
  <c r="Q661" i="54"/>
  <c r="Q665" i="54"/>
  <c r="R693" i="54"/>
  <c r="S693" i="54"/>
  <c r="S696" i="54"/>
  <c r="R696" i="54"/>
  <c r="R658" i="54"/>
  <c r="S658" i="54"/>
  <c r="R659" i="54"/>
  <c r="S659" i="54"/>
  <c r="R662" i="54"/>
  <c r="S662" i="54"/>
  <c r="R663" i="54"/>
  <c r="S663" i="54"/>
  <c r="Q693" i="54"/>
  <c r="S672" i="54"/>
  <c r="R672" i="54"/>
  <c r="R692" i="54"/>
  <c r="S692" i="54"/>
  <c r="S661" i="54"/>
  <c r="R661" i="54"/>
  <c r="S665" i="54"/>
  <c r="R665" i="54"/>
  <c r="S657" i="54"/>
  <c r="R657" i="54"/>
  <c r="S660" i="54"/>
  <c r="R660" i="54"/>
  <c r="R656" i="54"/>
  <c r="S656" i="54"/>
  <c r="S691" i="54"/>
  <c r="R691" i="54"/>
  <c r="Q658" i="54"/>
  <c r="AB658" i="54" s="1"/>
  <c r="Q659" i="54"/>
  <c r="P692" i="54"/>
  <c r="Q691" i="54"/>
  <c r="S670" i="54"/>
  <c r="AC670" i="54" s="1"/>
  <c r="Q662" i="54"/>
  <c r="AB662" i="54" s="1"/>
  <c r="P693" i="54"/>
  <c r="S664" i="54"/>
  <c r="R664" i="54"/>
  <c r="Q663" i="54"/>
  <c r="U626" i="54"/>
  <c r="Q521" i="54"/>
  <c r="Q518" i="54"/>
  <c r="U633" i="54"/>
  <c r="S599" i="54"/>
  <c r="T599" i="54" s="1"/>
  <c r="T601" i="54"/>
  <c r="R601" i="54"/>
  <c r="C265" i="4"/>
  <c r="C259" i="4"/>
  <c r="C258" i="4"/>
  <c r="C253" i="4"/>
  <c r="C251" i="4"/>
  <c r="C247" i="4"/>
  <c r="C245" i="4"/>
  <c r="C240" i="4"/>
  <c r="C239" i="4"/>
  <c r="AA800" i="58" l="1"/>
  <c r="AE800" i="58"/>
  <c r="AA799" i="58"/>
  <c r="AE799" i="58"/>
  <c r="AA801" i="58"/>
  <c r="S801" i="58" s="1"/>
  <c r="AE801" i="58"/>
  <c r="Z824" i="58"/>
  <c r="K379" i="58"/>
  <c r="S386" i="58" s="1"/>
  <c r="Y414" i="57"/>
  <c r="S423" i="57" s="1"/>
  <c r="Z414" i="57"/>
  <c r="T423" i="57" s="1"/>
  <c r="W428" i="57"/>
  <c r="U428" i="57"/>
  <c r="X433" i="57"/>
  <c r="U433" i="57"/>
  <c r="V428" i="57"/>
  <c r="W433" i="57"/>
  <c r="X428" i="57"/>
  <c r="V433" i="57"/>
  <c r="U381" i="58"/>
  <c r="W391" i="58" s="1"/>
  <c r="V304" i="58"/>
  <c r="V310" i="58" s="1"/>
  <c r="G305" i="58"/>
  <c r="G314" i="58" s="1"/>
  <c r="W381" i="58"/>
  <c r="Y391" i="58" s="1"/>
  <c r="X304" i="58"/>
  <c r="X310" i="58" s="1"/>
  <c r="G831" i="58"/>
  <c r="G844" i="58" s="1"/>
  <c r="R930" i="57"/>
  <c r="G832" i="58"/>
  <c r="G845" i="58" s="1"/>
  <c r="B801" i="58"/>
  <c r="B286" i="58" s="1"/>
  <c r="O286" i="58" s="1"/>
  <c r="D356" i="58"/>
  <c r="F847" i="58"/>
  <c r="B834" i="58"/>
  <c r="B306" i="58" s="1"/>
  <c r="U825" i="58"/>
  <c r="T380" i="58" s="1"/>
  <c r="AC904" i="57"/>
  <c r="AG904" i="57" s="1"/>
  <c r="S794" i="58"/>
  <c r="S930" i="57"/>
  <c r="O804" i="54"/>
  <c r="I804" i="54"/>
  <c r="J804" i="54"/>
  <c r="AB912" i="57"/>
  <c r="AC954" i="58"/>
  <c r="AG746" i="54"/>
  <c r="E833" i="58"/>
  <c r="Z826" i="57"/>
  <c r="Z418" i="57" s="1"/>
  <c r="AR954" i="58"/>
  <c r="Q954" i="58" s="1"/>
  <c r="Z828" i="58"/>
  <c r="Q930" i="57"/>
  <c r="S963" i="57"/>
  <c r="AI954" i="58"/>
  <c r="AO954" i="58"/>
  <c r="AG954" i="58"/>
  <c r="AL954" i="58"/>
  <c r="W825" i="58"/>
  <c r="V380" i="58" s="1"/>
  <c r="AC1037" i="58"/>
  <c r="AN954" i="58"/>
  <c r="AF954" i="58"/>
  <c r="AM954" i="58"/>
  <c r="AH954" i="58"/>
  <c r="V825" i="58"/>
  <c r="U380" i="58" s="1"/>
  <c r="D794" i="58"/>
  <c r="D800" i="58"/>
  <c r="E828" i="58"/>
  <c r="T799" i="58"/>
  <c r="S799" i="58"/>
  <c r="C355" i="58"/>
  <c r="D804" i="58"/>
  <c r="AV1037" i="58"/>
  <c r="AU1037" i="58"/>
  <c r="BD1037" i="58"/>
  <c r="BG1037" i="58"/>
  <c r="BC1037" i="58"/>
  <c r="AN1037" i="58"/>
  <c r="AX1037" i="58"/>
  <c r="BE1037" i="58"/>
  <c r="AK1037" i="58"/>
  <c r="BF1037" i="58"/>
  <c r="AL1037" i="58"/>
  <c r="X1037" i="58"/>
  <c r="AZ1037" i="58"/>
  <c r="AM1037" i="58"/>
  <c r="W1037" i="58"/>
  <c r="BH1037" i="58"/>
  <c r="AW1037" i="58"/>
  <c r="AA1037" i="58"/>
  <c r="Y1037" i="58"/>
  <c r="AY1037" i="58"/>
  <c r="E816" i="58"/>
  <c r="E810" i="58"/>
  <c r="E809" i="58"/>
  <c r="E807" i="58"/>
  <c r="E815" i="58" s="1"/>
  <c r="J799" i="58"/>
  <c r="J801" i="58"/>
  <c r="BA1037" i="58"/>
  <c r="X379" i="58"/>
  <c r="T386" i="58" s="1"/>
  <c r="AT1037" i="58"/>
  <c r="J800" i="58"/>
  <c r="AS1037" i="58"/>
  <c r="BB1037" i="58"/>
  <c r="Y379" i="58"/>
  <c r="U386" i="58" s="1"/>
  <c r="AH968" i="58"/>
  <c r="AH981" i="58"/>
  <c r="AO962" i="58"/>
  <c r="AN981" i="58"/>
  <c r="AO981" i="58"/>
  <c r="AH998" i="58"/>
  <c r="AO998" i="58"/>
  <c r="AN998" i="58"/>
  <c r="R963" i="57"/>
  <c r="T997" i="57"/>
  <c r="S945" i="57"/>
  <c r="R945" i="57"/>
  <c r="Q997" i="57"/>
  <c r="T734" i="54"/>
  <c r="S734" i="54"/>
  <c r="Y823" i="57"/>
  <c r="Y415" i="57" s="1"/>
  <c r="T740" i="54"/>
  <c r="AH740" i="54" s="1"/>
  <c r="S735" i="54"/>
  <c r="R735" i="54"/>
  <c r="Q740" i="54"/>
  <c r="AG740" i="54" s="1"/>
  <c r="AG737" i="54"/>
  <c r="Z824" i="57"/>
  <c r="Z416" i="57" s="1"/>
  <c r="AG745" i="54"/>
  <c r="Y824" i="57"/>
  <c r="Y416" i="57" s="1"/>
  <c r="Z823" i="57"/>
  <c r="Z415" i="57" s="1"/>
  <c r="D869" i="57"/>
  <c r="D868" i="57"/>
  <c r="Y826" i="57"/>
  <c r="Y418" i="57" s="1"/>
  <c r="G739" i="57"/>
  <c r="G721" i="57"/>
  <c r="E977" i="57" s="1"/>
  <c r="E981" i="58" s="1"/>
  <c r="U808" i="57"/>
  <c r="U385" i="57" s="1"/>
  <c r="AB913" i="57"/>
  <c r="AB911" i="57"/>
  <c r="AI792" i="54"/>
  <c r="AC912" i="57"/>
  <c r="AB675" i="54"/>
  <c r="AC915" i="57"/>
  <c r="AB914" i="57"/>
  <c r="AB910" i="57"/>
  <c r="AH746" i="54"/>
  <c r="AC674" i="54"/>
  <c r="AG674" i="54" s="1"/>
  <c r="AC675" i="54"/>
  <c r="AB903" i="57"/>
  <c r="AB674" i="54"/>
  <c r="AF674" i="54" s="1"/>
  <c r="AB915" i="58"/>
  <c r="AC911" i="57"/>
  <c r="AC916" i="58"/>
  <c r="AC917" i="58"/>
  <c r="Q939" i="57"/>
  <c r="R939" i="57"/>
  <c r="S939" i="57"/>
  <c r="AC913" i="57"/>
  <c r="AC915" i="58"/>
  <c r="AB916" i="58"/>
  <c r="AB917" i="58"/>
  <c r="AC914" i="58"/>
  <c r="AB914" i="58"/>
  <c r="AC910" i="57"/>
  <c r="Y826" i="58"/>
  <c r="AU926" i="58"/>
  <c r="S926" i="57"/>
  <c r="AI931" i="58"/>
  <c r="T815" i="57"/>
  <c r="T392" i="57" s="1"/>
  <c r="P931" i="58"/>
  <c r="AR931" i="58"/>
  <c r="S931" i="58" s="1"/>
  <c r="S927" i="57"/>
  <c r="R927" i="57"/>
  <c r="AN962" i="58"/>
  <c r="T927" i="57"/>
  <c r="U806" i="57"/>
  <c r="U383" i="57" s="1"/>
  <c r="AR942" i="58"/>
  <c r="Q942" i="58" s="1"/>
  <c r="AC889" i="57"/>
  <c r="AC887" i="57"/>
  <c r="AC931" i="58"/>
  <c r="Q746" i="58"/>
  <c r="R933" i="57"/>
  <c r="J746" i="58"/>
  <c r="Q926" i="57"/>
  <c r="R926" i="57"/>
  <c r="O930" i="58"/>
  <c r="AI930" i="58"/>
  <c r="AC930" i="58"/>
  <c r="D359" i="58"/>
  <c r="G375" i="58" s="1"/>
  <c r="AR930" i="58"/>
  <c r="Q930" i="58" s="1"/>
  <c r="T933" i="57"/>
  <c r="Q933" i="57"/>
  <c r="AB908" i="57"/>
  <c r="T381" i="58"/>
  <c r="V391" i="58" s="1"/>
  <c r="Z826" i="58"/>
  <c r="V381" i="58"/>
  <c r="X391" i="58" s="1"/>
  <c r="AC914" i="57"/>
  <c r="D742" i="58"/>
  <c r="N926" i="58"/>
  <c r="AC903" i="57"/>
  <c r="Q958" i="57"/>
  <c r="R958" i="57"/>
  <c r="AI938" i="58"/>
  <c r="AO956" i="58"/>
  <c r="AF956" i="58"/>
  <c r="T928" i="57"/>
  <c r="Q951" i="58"/>
  <c r="S951" i="58"/>
  <c r="AH951" i="58" s="1"/>
  <c r="R951" i="58"/>
  <c r="D761" i="58"/>
  <c r="AU951" i="58"/>
  <c r="T952" i="58"/>
  <c r="S952" i="58"/>
  <c r="R952" i="58"/>
  <c r="Q952" i="58"/>
  <c r="AC909" i="57"/>
  <c r="AG908" i="57" s="1"/>
  <c r="AN951" i="58"/>
  <c r="AO951" i="58"/>
  <c r="AO952" i="58"/>
  <c r="AN952" i="58"/>
  <c r="AE956" i="58"/>
  <c r="AB879" i="57"/>
  <c r="AB889" i="57"/>
  <c r="AB881" i="57"/>
  <c r="AB915" i="57"/>
  <c r="AB886" i="57"/>
  <c r="AC877" i="57"/>
  <c r="AF876" i="57" s="1"/>
  <c r="L773" i="57"/>
  <c r="T773" i="57"/>
  <c r="AL956" i="58"/>
  <c r="AN956" i="58"/>
  <c r="AM956" i="58"/>
  <c r="AH956" i="58"/>
  <c r="AC888" i="57"/>
  <c r="S958" i="57"/>
  <c r="R932" i="57"/>
  <c r="S938" i="57"/>
  <c r="AI950" i="58"/>
  <c r="T938" i="57"/>
  <c r="R938" i="57"/>
  <c r="P950" i="58"/>
  <c r="AR950" i="58"/>
  <c r="R950" i="58" s="1"/>
  <c r="AM962" i="58"/>
  <c r="AR962" i="58"/>
  <c r="S962" i="58" s="1"/>
  <c r="Q929" i="57"/>
  <c r="Q928" i="57"/>
  <c r="AO959" i="58"/>
  <c r="AM959" i="58"/>
  <c r="AR959" i="58"/>
  <c r="R959" i="58" s="1"/>
  <c r="AI959" i="58"/>
  <c r="AI962" i="58"/>
  <c r="S928" i="57"/>
  <c r="P940" i="58"/>
  <c r="Q949" i="57"/>
  <c r="S925" i="57"/>
  <c r="Q931" i="57"/>
  <c r="R955" i="57"/>
  <c r="AL958" i="58"/>
  <c r="S932" i="57"/>
  <c r="J754" i="58"/>
  <c r="AR943" i="58"/>
  <c r="Q943" i="58" s="1"/>
  <c r="J743" i="58"/>
  <c r="T966" i="58"/>
  <c r="AN958" i="58"/>
  <c r="AI958" i="58"/>
  <c r="AL959" i="58"/>
  <c r="AL962" i="58"/>
  <c r="AO958" i="58"/>
  <c r="T932" i="57"/>
  <c r="R754" i="58"/>
  <c r="P941" i="58"/>
  <c r="AC962" i="58"/>
  <c r="R954" i="57"/>
  <c r="T955" i="57"/>
  <c r="Q757" i="58"/>
  <c r="R758" i="58"/>
  <c r="J750" i="58"/>
  <c r="AC959" i="58"/>
  <c r="Q753" i="58"/>
  <c r="AI941" i="58"/>
  <c r="J752" i="58"/>
  <c r="AI949" i="58"/>
  <c r="Q966" i="58"/>
  <c r="J758" i="58"/>
  <c r="AR941" i="58"/>
  <c r="R941" i="58" s="1"/>
  <c r="AR944" i="58"/>
  <c r="T944" i="58" s="1"/>
  <c r="AC941" i="58"/>
  <c r="S955" i="57"/>
  <c r="S966" i="58"/>
  <c r="S963" i="58"/>
  <c r="P949" i="58"/>
  <c r="Q963" i="58"/>
  <c r="R753" i="58"/>
  <c r="AI946" i="58"/>
  <c r="AR927" i="58"/>
  <c r="Q927" i="58" s="1"/>
  <c r="AC949" i="58"/>
  <c r="V862" i="58"/>
  <c r="AI1038" i="58" s="1"/>
  <c r="AC945" i="58"/>
  <c r="R963" i="58"/>
  <c r="Q690" i="54"/>
  <c r="AB690" i="54" s="1"/>
  <c r="P927" i="58"/>
  <c r="AI948" i="58"/>
  <c r="O946" i="58"/>
  <c r="S951" i="57"/>
  <c r="Q951" i="57"/>
  <c r="O927" i="58"/>
  <c r="R688" i="54"/>
  <c r="R750" i="58"/>
  <c r="Q752" i="58"/>
  <c r="R951" i="57"/>
  <c r="Q743" i="58"/>
  <c r="O948" i="58"/>
  <c r="AC939" i="58"/>
  <c r="AR945" i="58"/>
  <c r="T945" i="58" s="1"/>
  <c r="AR946" i="58"/>
  <c r="Q946" i="58" s="1"/>
  <c r="AC946" i="58"/>
  <c r="R949" i="57"/>
  <c r="T964" i="58"/>
  <c r="AN938" i="58"/>
  <c r="T931" i="57"/>
  <c r="AN946" i="58"/>
  <c r="P945" i="58"/>
  <c r="AR939" i="58"/>
  <c r="R939" i="58" s="1"/>
  <c r="T949" i="57"/>
  <c r="N919" i="57"/>
  <c r="AI944" i="58"/>
  <c r="R950" i="57"/>
  <c r="P939" i="58"/>
  <c r="AR938" i="58"/>
  <c r="Q938" i="58" s="1"/>
  <c r="R925" i="57"/>
  <c r="S929" i="57"/>
  <c r="R931" i="57"/>
  <c r="R922" i="57"/>
  <c r="P944" i="58"/>
  <c r="Q755" i="58"/>
  <c r="AR956" i="58"/>
  <c r="R956" i="58" s="1"/>
  <c r="T950" i="57"/>
  <c r="T924" i="57"/>
  <c r="Q925" i="57"/>
  <c r="Q950" i="57"/>
  <c r="O944" i="58"/>
  <c r="O939" i="58"/>
  <c r="P938" i="58"/>
  <c r="J755" i="58"/>
  <c r="R759" i="58"/>
  <c r="AI940" i="58"/>
  <c r="O945" i="58"/>
  <c r="T929" i="57"/>
  <c r="AI945" i="58"/>
  <c r="AC950" i="58"/>
  <c r="AC927" i="58"/>
  <c r="AC958" i="58"/>
  <c r="AR958" i="58"/>
  <c r="T958" i="58" s="1"/>
  <c r="Q922" i="57"/>
  <c r="AO945" i="58"/>
  <c r="T922" i="57"/>
  <c r="AR940" i="58"/>
  <c r="R940" i="58" s="1"/>
  <c r="R924" i="57"/>
  <c r="Q964" i="58"/>
  <c r="AG964" i="58" s="1"/>
  <c r="Q759" i="58"/>
  <c r="R749" i="58"/>
  <c r="AC943" i="58"/>
  <c r="AC940" i="58"/>
  <c r="AO947" i="58"/>
  <c r="Q749" i="58"/>
  <c r="AC956" i="58"/>
  <c r="S924" i="57"/>
  <c r="AC666" i="54"/>
  <c r="S964" i="58"/>
  <c r="AN944" i="58"/>
  <c r="N941" i="58"/>
  <c r="AO941" i="58" s="1"/>
  <c r="AC944" i="58"/>
  <c r="AC947" i="58"/>
  <c r="AC948" i="58"/>
  <c r="AC938" i="58"/>
  <c r="P948" i="58"/>
  <c r="J757" i="58"/>
  <c r="AR949" i="58"/>
  <c r="Q949" i="58" s="1"/>
  <c r="AC937" i="58"/>
  <c r="AB888" i="57"/>
  <c r="AN948" i="58"/>
  <c r="AN927" i="58"/>
  <c r="Q954" i="57"/>
  <c r="O943" i="58"/>
  <c r="AR953" i="58"/>
  <c r="S953" i="58" s="1"/>
  <c r="T954" i="57"/>
  <c r="P943" i="58"/>
  <c r="AN937" i="58"/>
  <c r="AN943" i="58"/>
  <c r="AN950" i="58"/>
  <c r="AI956" i="58"/>
  <c r="AR932" i="58"/>
  <c r="T932" i="58" s="1"/>
  <c r="AC664" i="54"/>
  <c r="AC672" i="54"/>
  <c r="AG672" i="54" s="1"/>
  <c r="AC696" i="54"/>
  <c r="AH738" i="54"/>
  <c r="AC928" i="58"/>
  <c r="AC933" i="58"/>
  <c r="AC691" i="54"/>
  <c r="AG742" i="54"/>
  <c r="AC697" i="54"/>
  <c r="AC932" i="58"/>
  <c r="AC656" i="54"/>
  <c r="AB691" i="54"/>
  <c r="AB696" i="54"/>
  <c r="AC669" i="54"/>
  <c r="AC953" i="58"/>
  <c r="AC929" i="58"/>
  <c r="AH742" i="54"/>
  <c r="AB697" i="54"/>
  <c r="AH713" i="54"/>
  <c r="AG724" i="54"/>
  <c r="AG721" i="54"/>
  <c r="AH721" i="54"/>
  <c r="AC881" i="57"/>
  <c r="AF881" i="57" s="1"/>
  <c r="AC667" i="54"/>
  <c r="AC660" i="54"/>
  <c r="AC665" i="54"/>
  <c r="AC663" i="54"/>
  <c r="AC659" i="54"/>
  <c r="AH714" i="54"/>
  <c r="AH708" i="54"/>
  <c r="AG727" i="54"/>
  <c r="AH722" i="54"/>
  <c r="AG722" i="54"/>
  <c r="AH716" i="54"/>
  <c r="AG725" i="54"/>
  <c r="AG728" i="54"/>
  <c r="AB877" i="57"/>
  <c r="AB883" i="57"/>
  <c r="AC883" i="57"/>
  <c r="AG882" i="57" s="1"/>
  <c r="AC885" i="57"/>
  <c r="AF885" i="57" s="1"/>
  <c r="AC668" i="54"/>
  <c r="AB669" i="54"/>
  <c r="R893" i="57"/>
  <c r="AC679" i="54"/>
  <c r="P893" i="57"/>
  <c r="AB679" i="54"/>
  <c r="AB661" i="54"/>
  <c r="AH750" i="54"/>
  <c r="AG750" i="54"/>
  <c r="AG754" i="54"/>
  <c r="P890" i="57"/>
  <c r="AB676" i="54"/>
  <c r="AF676" i="54" s="1"/>
  <c r="AH730" i="54"/>
  <c r="P934" i="58"/>
  <c r="AI934" i="58"/>
  <c r="O934" i="58"/>
  <c r="AR934" i="58"/>
  <c r="P928" i="58"/>
  <c r="AI928" i="58"/>
  <c r="AR928" i="58"/>
  <c r="O928" i="58"/>
  <c r="AC942" i="58"/>
  <c r="AI933" i="58"/>
  <c r="P933" i="58"/>
  <c r="O933" i="58"/>
  <c r="AR933" i="58"/>
  <c r="AH736" i="54"/>
  <c r="AG953" i="58"/>
  <c r="AN953" i="58"/>
  <c r="AF953" i="58"/>
  <c r="AE953" i="58"/>
  <c r="AO953" i="58"/>
  <c r="AM953" i="58"/>
  <c r="AL953" i="58"/>
  <c r="AH953" i="58"/>
  <c r="AI953" i="58"/>
  <c r="AM955" i="58"/>
  <c r="AF955" i="58"/>
  <c r="AG955" i="58"/>
  <c r="AO955" i="58"/>
  <c r="AN955" i="58"/>
  <c r="AI955" i="58"/>
  <c r="AR955" i="58"/>
  <c r="AL955" i="58"/>
  <c r="AH955" i="58"/>
  <c r="AE955" i="58"/>
  <c r="AH707" i="54"/>
  <c r="AH710" i="54"/>
  <c r="AG720" i="54"/>
  <c r="AG723" i="54"/>
  <c r="AH717" i="54"/>
  <c r="AG719" i="54"/>
  <c r="AB887" i="57"/>
  <c r="AC879" i="57"/>
  <c r="AG878" i="57" s="1"/>
  <c r="AG708" i="54"/>
  <c r="AG717" i="54"/>
  <c r="R891" i="57"/>
  <c r="AC891" i="57" s="1"/>
  <c r="AC895" i="58" s="1"/>
  <c r="AC677" i="54"/>
  <c r="AB668" i="54"/>
  <c r="P900" i="57"/>
  <c r="AB686" i="54"/>
  <c r="R901" i="57"/>
  <c r="AC687" i="54"/>
  <c r="P901" i="57"/>
  <c r="AB687" i="54"/>
  <c r="R897" i="57"/>
  <c r="AC683" i="54"/>
  <c r="AB657" i="54"/>
  <c r="AH754" i="54"/>
  <c r="AG730" i="54"/>
  <c r="AC934" i="58"/>
  <c r="AH737" i="54"/>
  <c r="AR935" i="58"/>
  <c r="Q935" i="58" s="1"/>
  <c r="O935" i="58"/>
  <c r="P935" i="58"/>
  <c r="AI935" i="58"/>
  <c r="AC936" i="58"/>
  <c r="AH745" i="54"/>
  <c r="Q742" i="58"/>
  <c r="J742" i="58"/>
  <c r="R742" i="58"/>
  <c r="AG736" i="54"/>
  <c r="AH718" i="54"/>
  <c r="AG726" i="54"/>
  <c r="AH715" i="54"/>
  <c r="AC657" i="54"/>
  <c r="AC661" i="54"/>
  <c r="AC662" i="54"/>
  <c r="AC658" i="54"/>
  <c r="AH709" i="54"/>
  <c r="AH711" i="54"/>
  <c r="AH720" i="54"/>
  <c r="AG711" i="54"/>
  <c r="AH727" i="54"/>
  <c r="AH719" i="54"/>
  <c r="AG715" i="54"/>
  <c r="AC886" i="57"/>
  <c r="AB885" i="57"/>
  <c r="AG714" i="54"/>
  <c r="AH726" i="54"/>
  <c r="AG718" i="54"/>
  <c r="AG713" i="54"/>
  <c r="AG716" i="54"/>
  <c r="P891" i="57"/>
  <c r="AB677" i="54"/>
  <c r="R892" i="57"/>
  <c r="AC678" i="54"/>
  <c r="AG678" i="54" s="1"/>
  <c r="AB666" i="54"/>
  <c r="R896" i="57"/>
  <c r="AC682" i="54"/>
  <c r="AB659" i="54"/>
  <c r="AB665" i="54"/>
  <c r="AG752" i="54"/>
  <c r="AH748" i="54"/>
  <c r="AG748" i="54"/>
  <c r="AB672" i="54"/>
  <c r="AF672" i="54" s="1"/>
  <c r="P897" i="57"/>
  <c r="AB683" i="54"/>
  <c r="AC905" i="57"/>
  <c r="AH729" i="54"/>
  <c r="R744" i="58"/>
  <c r="J744" i="58"/>
  <c r="Q744" i="58"/>
  <c r="P942" i="58"/>
  <c r="AI942" i="58"/>
  <c r="O942" i="58"/>
  <c r="AG738" i="54"/>
  <c r="R745" i="58"/>
  <c r="J745" i="58"/>
  <c r="Q745" i="58"/>
  <c r="AI929" i="58"/>
  <c r="AR929" i="58"/>
  <c r="P929" i="58"/>
  <c r="O929" i="58"/>
  <c r="AC935" i="58"/>
  <c r="AR936" i="58"/>
  <c r="Q936" i="58" s="1"/>
  <c r="P936" i="58"/>
  <c r="O936" i="58"/>
  <c r="AI936" i="58"/>
  <c r="AC955" i="58"/>
  <c r="AI926" i="58"/>
  <c r="O926" i="58"/>
  <c r="P926" i="58"/>
  <c r="AR926" i="58"/>
  <c r="AC926" i="58"/>
  <c r="AH712" i="54"/>
  <c r="AG707" i="54"/>
  <c r="AH723" i="54"/>
  <c r="AH724" i="54"/>
  <c r="AH728" i="54"/>
  <c r="AG712" i="54"/>
  <c r="R900" i="57"/>
  <c r="AC686" i="54"/>
  <c r="AB667" i="54"/>
  <c r="R890" i="57"/>
  <c r="AC676" i="54"/>
  <c r="AG676" i="54" s="1"/>
  <c r="AB663" i="54"/>
  <c r="AH752" i="54"/>
  <c r="AB670" i="54"/>
  <c r="AF670" i="54" s="1"/>
  <c r="P892" i="57"/>
  <c r="AB678" i="54"/>
  <c r="AF678" i="54" s="1"/>
  <c r="P896" i="57"/>
  <c r="AB682" i="54"/>
  <c r="AG729" i="54"/>
  <c r="R748" i="58"/>
  <c r="J748" i="58"/>
  <c r="Q748" i="58"/>
  <c r="O932" i="58"/>
  <c r="P932" i="58"/>
  <c r="AI932" i="58"/>
  <c r="Q695" i="54"/>
  <c r="R690" i="54"/>
  <c r="G716" i="57"/>
  <c r="G712" i="57"/>
  <c r="G714" i="57"/>
  <c r="E975" i="57" s="1"/>
  <c r="E979" i="58" s="1"/>
  <c r="G713" i="57"/>
  <c r="G715" i="57"/>
  <c r="E976" i="57" s="1"/>
  <c r="E980" i="58" s="1"/>
  <c r="AH983" i="58"/>
  <c r="AG1006" i="58"/>
  <c r="G719" i="57"/>
  <c r="G718" i="57"/>
  <c r="G777" i="57" s="1"/>
  <c r="G717" i="57"/>
  <c r="G720" i="57"/>
  <c r="P688" i="54"/>
  <c r="S688" i="54"/>
  <c r="S695" i="54"/>
  <c r="S690" i="54"/>
  <c r="AI789" i="54"/>
  <c r="AH991" i="58"/>
  <c r="AH994" i="58"/>
  <c r="AI791" i="54"/>
  <c r="AG996" i="58"/>
  <c r="AH978" i="58"/>
  <c r="AI793" i="54"/>
  <c r="AI788" i="54"/>
  <c r="AI790" i="54"/>
  <c r="AI794" i="54"/>
  <c r="T952" i="57"/>
  <c r="S671" i="54"/>
  <c r="R671" i="54"/>
  <c r="AG970" i="58"/>
  <c r="Q759" i="54"/>
  <c r="R952" i="57"/>
  <c r="Q952" i="57"/>
  <c r="AH989" i="58"/>
  <c r="AG997" i="58"/>
  <c r="AH993" i="58"/>
  <c r="D812" i="58"/>
  <c r="D818" i="58" s="1"/>
  <c r="AG985" i="58"/>
  <c r="AH979" i="58"/>
  <c r="AH1005" i="58"/>
  <c r="AG990" i="58"/>
  <c r="AG995" i="58"/>
  <c r="AG987" i="58"/>
  <c r="AG881" i="58"/>
  <c r="AH980" i="58"/>
  <c r="AH992" i="58"/>
  <c r="AG972" i="58"/>
  <c r="AH988" i="58"/>
  <c r="AG988" i="58"/>
  <c r="AO988" i="58"/>
  <c r="AN988" i="58"/>
  <c r="AN980" i="58"/>
  <c r="AO980" i="58"/>
  <c r="AO992" i="58"/>
  <c r="AN992" i="58"/>
  <c r="AN1005" i="58"/>
  <c r="AO1005" i="58"/>
  <c r="AO990" i="58"/>
  <c r="AN990" i="58"/>
  <c r="AN979" i="58"/>
  <c r="AO979" i="58"/>
  <c r="AU973" i="58"/>
  <c r="N973" i="58"/>
  <c r="AO978" i="58"/>
  <c r="AN978" i="58"/>
  <c r="AO996" i="58"/>
  <c r="AN996" i="58"/>
  <c r="AN984" i="58"/>
  <c r="AH984" i="58"/>
  <c r="AO984" i="58"/>
  <c r="AG984" i="58"/>
  <c r="AO994" i="58"/>
  <c r="AN994" i="58"/>
  <c r="AO983" i="58"/>
  <c r="AN983" i="58"/>
  <c r="AN1006" i="58"/>
  <c r="AO1006" i="58"/>
  <c r="AO987" i="58"/>
  <c r="AN987" i="58"/>
  <c r="AN989" i="58"/>
  <c r="AO989" i="58"/>
  <c r="AN993" i="58"/>
  <c r="AO993" i="58"/>
  <c r="AN977" i="58"/>
  <c r="AG977" i="58"/>
  <c r="AH977" i="58"/>
  <c r="AO977" i="58"/>
  <c r="AO997" i="58"/>
  <c r="AN997" i="58"/>
  <c r="AN982" i="58"/>
  <c r="AO982" i="58"/>
  <c r="AG982" i="58"/>
  <c r="AH982" i="58"/>
  <c r="AU974" i="58"/>
  <c r="N974" i="58"/>
  <c r="AU976" i="58"/>
  <c r="N976" i="58"/>
  <c r="AU975" i="58"/>
  <c r="N975" i="58"/>
  <c r="AN1004" i="58"/>
  <c r="AH1004" i="58"/>
  <c r="AG1004" i="58"/>
  <c r="AO1004" i="58"/>
  <c r="AO995" i="58"/>
  <c r="AN995" i="58"/>
  <c r="AN986" i="58"/>
  <c r="AG986" i="58"/>
  <c r="AH986" i="58"/>
  <c r="AO986" i="58"/>
  <c r="AN985" i="58"/>
  <c r="AO985" i="58"/>
  <c r="AO1003" i="58"/>
  <c r="AN1003" i="58"/>
  <c r="AH1003" i="58"/>
  <c r="AG1003" i="58"/>
  <c r="AN991" i="58"/>
  <c r="AO991" i="58"/>
  <c r="Y521" i="54"/>
  <c r="AA521" i="54" s="1"/>
  <c r="Z521" i="54"/>
  <c r="AB521" i="54" s="1"/>
  <c r="Y523" i="54"/>
  <c r="AA523" i="54" s="1"/>
  <c r="Z523" i="54"/>
  <c r="AB523" i="54" s="1"/>
  <c r="Y524" i="54"/>
  <c r="AA524" i="54" s="1"/>
  <c r="Z524" i="54"/>
  <c r="AB524" i="54" s="1"/>
  <c r="Y518" i="54"/>
  <c r="AA518" i="54" s="1"/>
  <c r="Z518" i="54"/>
  <c r="AB518" i="54" s="1"/>
  <c r="Y522" i="54"/>
  <c r="AA522" i="54" s="1"/>
  <c r="Z522" i="54"/>
  <c r="AB522" i="54" s="1"/>
  <c r="Y519" i="54"/>
  <c r="AA519" i="54" s="1"/>
  <c r="Z519" i="54"/>
  <c r="AB519" i="54" s="1"/>
  <c r="Y520" i="54"/>
  <c r="AA520" i="54" s="1"/>
  <c r="Z520" i="54"/>
  <c r="AB520" i="54" s="1"/>
  <c r="Y526" i="54"/>
  <c r="AA526" i="54" s="1"/>
  <c r="Z526" i="54"/>
  <c r="AB526" i="54" s="1"/>
  <c r="Y525" i="54"/>
  <c r="AA525" i="54" s="1"/>
  <c r="Z525" i="54"/>
  <c r="AB525" i="54" s="1"/>
  <c r="Y527" i="54"/>
  <c r="AA527" i="54" s="1"/>
  <c r="Z527" i="54"/>
  <c r="AB527" i="54" s="1"/>
  <c r="P695" i="54"/>
  <c r="R895" i="57"/>
  <c r="R899" i="58" s="1"/>
  <c r="P898" i="57"/>
  <c r="P902" i="58" s="1"/>
  <c r="R894" i="57"/>
  <c r="R898" i="58" s="1"/>
  <c r="Q671" i="54"/>
  <c r="AB671" i="54" s="1"/>
  <c r="Q899" i="57"/>
  <c r="Q903" i="58" s="1"/>
  <c r="P894" i="57"/>
  <c r="P898" i="58" s="1"/>
  <c r="S813" i="57"/>
  <c r="S390" i="57" s="1"/>
  <c r="AA396" i="57" s="1"/>
  <c r="E926" i="58"/>
  <c r="G750" i="57"/>
  <c r="G746" i="57"/>
  <c r="G747" i="57"/>
  <c r="G749" i="57"/>
  <c r="G748" i="57"/>
  <c r="G744" i="57"/>
  <c r="E995" i="57" s="1"/>
  <c r="E999" i="58" s="1"/>
  <c r="G743" i="57"/>
  <c r="G745" i="57"/>
  <c r="E996" i="57" s="1"/>
  <c r="E1000" i="58" s="1"/>
  <c r="G742" i="57"/>
  <c r="G736" i="57"/>
  <c r="E992" i="57" s="1"/>
  <c r="G737" i="57"/>
  <c r="G735" i="57"/>
  <c r="E991" i="57" s="1"/>
  <c r="G734" i="57"/>
  <c r="E990" i="57" s="1"/>
  <c r="G733" i="57"/>
  <c r="E989" i="57" s="1"/>
  <c r="G730" i="57"/>
  <c r="E986" i="57" s="1"/>
  <c r="E985" i="57"/>
  <c r="E989" i="58" s="1"/>
  <c r="G732" i="57"/>
  <c r="E988" i="57" s="1"/>
  <c r="G731" i="57"/>
  <c r="E987" i="57" s="1"/>
  <c r="G526" i="54"/>
  <c r="E729" i="54" s="1"/>
  <c r="E947" i="57" s="1"/>
  <c r="G527" i="54"/>
  <c r="AE527" i="54"/>
  <c r="AQ527" i="54"/>
  <c r="AE526" i="54"/>
  <c r="AQ526" i="54"/>
  <c r="G504" i="54"/>
  <c r="W609" i="54"/>
  <c r="G511" i="54"/>
  <c r="H667" i="54" s="1"/>
  <c r="G552" i="54"/>
  <c r="E747" i="54" s="1"/>
  <c r="G560" i="54"/>
  <c r="E753" i="54" s="1"/>
  <c r="G555" i="54"/>
  <c r="G561" i="54"/>
  <c r="G559" i="54"/>
  <c r="E752" i="54" s="1"/>
  <c r="G554" i="54"/>
  <c r="G553" i="54"/>
  <c r="E748" i="54" s="1"/>
  <c r="G558" i="54"/>
  <c r="E751" i="54" s="1"/>
  <c r="G557" i="54"/>
  <c r="G556" i="54"/>
  <c r="U807" i="57"/>
  <c r="U384" i="57" s="1"/>
  <c r="V609" i="54"/>
  <c r="W608" i="54"/>
  <c r="G508" i="54"/>
  <c r="G570" i="54" s="1"/>
  <c r="E588" i="54"/>
  <c r="E608" i="54" s="1"/>
  <c r="G510" i="54"/>
  <c r="H669" i="54" s="1"/>
  <c r="G505" i="54"/>
  <c r="E716" i="54" s="1"/>
  <c r="E934" i="57" s="1"/>
  <c r="E938" i="58" s="1"/>
  <c r="G506" i="54"/>
  <c r="E717" i="54" s="1"/>
  <c r="G517" i="54"/>
  <c r="G573" i="54" s="1"/>
  <c r="G516" i="54"/>
  <c r="G572" i="54" s="1"/>
  <c r="AF890" i="58"/>
  <c r="AE1029" i="58"/>
  <c r="V608" i="54"/>
  <c r="AG880" i="58"/>
  <c r="AF893" i="58"/>
  <c r="AB919" i="58"/>
  <c r="AF887" i="58"/>
  <c r="AF886" i="58"/>
  <c r="AG887" i="58"/>
  <c r="AF892" i="58"/>
  <c r="AG893" i="58"/>
  <c r="AE1031" i="58"/>
  <c r="AE1030" i="58"/>
  <c r="AA1035" i="58"/>
  <c r="AF880" i="58"/>
  <c r="AA1030" i="58"/>
  <c r="AT1034" i="58"/>
  <c r="AA1026" i="58"/>
  <c r="AA1034" i="58"/>
  <c r="AG882" i="58"/>
  <c r="AG883" i="58"/>
  <c r="AF883" i="58"/>
  <c r="AG892" i="58"/>
  <c r="T956" i="57"/>
  <c r="R956" i="57"/>
  <c r="Q956" i="57"/>
  <c r="AA1036" i="58"/>
  <c r="AA1023" i="58"/>
  <c r="AA1027" i="58"/>
  <c r="AA1029" i="58"/>
  <c r="AE1034" i="58"/>
  <c r="AE1036" i="58"/>
  <c r="AB909" i="58"/>
  <c r="AA1025" i="58"/>
  <c r="AA1033" i="58"/>
  <c r="AE1024" i="58"/>
  <c r="AA1024" i="58"/>
  <c r="G507" i="54"/>
  <c r="E718" i="54" s="1"/>
  <c r="G509" i="54"/>
  <c r="M872" i="58"/>
  <c r="AE1026" i="58"/>
  <c r="AA1032" i="58"/>
  <c r="AE1028" i="58"/>
  <c r="AE1038" i="58"/>
  <c r="AE1032" i="58"/>
  <c r="AB913" i="58"/>
  <c r="AC909" i="58"/>
  <c r="AC918" i="58"/>
  <c r="AH1002" i="58"/>
  <c r="AG1002" i="58"/>
  <c r="E1005" i="58"/>
  <c r="E785" i="58" s="1"/>
  <c r="AV1032" i="58"/>
  <c r="X1026" i="58"/>
  <c r="AL1030" i="58"/>
  <c r="AK1030" i="58"/>
  <c r="AW1027" i="58"/>
  <c r="BC1038" i="58"/>
  <c r="AW1032" i="58"/>
  <c r="AU1039" i="58"/>
  <c r="BC1024" i="58"/>
  <c r="AU1031" i="58"/>
  <c r="AX1025" i="58"/>
  <c r="AZ1038" i="58"/>
  <c r="BF1039" i="58"/>
  <c r="AX1030" i="58"/>
  <c r="AV1029" i="58"/>
  <c r="X1023" i="58"/>
  <c r="AK1031" i="58"/>
  <c r="AK1025" i="58"/>
  <c r="AY1026" i="58"/>
  <c r="BC1033" i="58"/>
  <c r="AY1034" i="58"/>
  <c r="BE1028" i="58"/>
  <c r="AW1030" i="58"/>
  <c r="BE1036" i="58"/>
  <c r="AV1034" i="58"/>
  <c r="BF1038" i="58"/>
  <c r="BH1033" i="58"/>
  <c r="AX1026" i="58"/>
  <c r="BD1029" i="58"/>
  <c r="X1035" i="58"/>
  <c r="AK1032" i="58"/>
  <c r="AK1036" i="58"/>
  <c r="AY1027" i="58"/>
  <c r="BC1031" i="58"/>
  <c r="AY1039" i="58"/>
  <c r="BG1023" i="58"/>
  <c r="AU1027" i="58"/>
  <c r="BG1029" i="58"/>
  <c r="AW1023" i="58"/>
  <c r="AZ1031" i="58"/>
  <c r="AX1023" i="58"/>
  <c r="BF1030" i="58"/>
  <c r="BD1030" i="58"/>
  <c r="W1024" i="58"/>
  <c r="W1036" i="58"/>
  <c r="AL1038" i="58"/>
  <c r="AL1034" i="58"/>
  <c r="BE1032" i="58"/>
  <c r="AW1024" i="58"/>
  <c r="BE1039" i="58"/>
  <c r="AY1024" i="58"/>
  <c r="AY1032" i="58"/>
  <c r="BG1026" i="58"/>
  <c r="BF1036" i="58"/>
  <c r="AV1026" i="58"/>
  <c r="BD1039" i="58"/>
  <c r="AZ1034" i="58"/>
  <c r="BF1032" i="58"/>
  <c r="AX1032" i="58"/>
  <c r="BH1024" i="58"/>
  <c r="AV1027" i="58"/>
  <c r="W1029" i="58"/>
  <c r="W1025" i="58"/>
  <c r="AL1027" i="58"/>
  <c r="AK1034" i="58"/>
  <c r="BG1034" i="58"/>
  <c r="AU1024" i="58"/>
  <c r="AW1028" i="58"/>
  <c r="BG1027" i="58"/>
  <c r="AW1031" i="58"/>
  <c r="AU1032" i="58"/>
  <c r="BH1025" i="58"/>
  <c r="AZ1026" i="58"/>
  <c r="BF1029" i="58"/>
  <c r="BF1026" i="58"/>
  <c r="W1035" i="58"/>
  <c r="X1025" i="58"/>
  <c r="AK1035" i="58"/>
  <c r="AL1031" i="58"/>
  <c r="AU1026" i="58"/>
  <c r="BE1035" i="58"/>
  <c r="AY1031" i="58"/>
  <c r="AU1035" i="58"/>
  <c r="BC1039" i="58"/>
  <c r="AU1034" i="58"/>
  <c r="AZ1036" i="58"/>
  <c r="AV1031" i="58"/>
  <c r="BD1025" i="58"/>
  <c r="BH1027" i="58"/>
  <c r="X1033" i="58"/>
  <c r="W1033" i="58"/>
  <c r="AK1028" i="58"/>
  <c r="AL1036" i="58"/>
  <c r="BG1035" i="58"/>
  <c r="BC1028" i="58"/>
  <c r="BG1030" i="58"/>
  <c r="AW1035" i="58"/>
  <c r="BE1023" i="58"/>
  <c r="AU1023" i="58"/>
  <c r="BF1024" i="58"/>
  <c r="BH1026" i="58"/>
  <c r="BF1033" i="58"/>
  <c r="BH1034" i="58"/>
  <c r="BD1026" i="58"/>
  <c r="W1026" i="58"/>
  <c r="W1031" i="58"/>
  <c r="AL1032" i="58"/>
  <c r="AK1029" i="58"/>
  <c r="AY1038" i="58"/>
  <c r="AW1039" i="58"/>
  <c r="AU1028" i="58"/>
  <c r="AW1038" i="58"/>
  <c r="BE1030" i="58"/>
  <c r="BG1025" i="58"/>
  <c r="BF1027" i="58"/>
  <c r="BH1031" i="58"/>
  <c r="BH1032" i="58"/>
  <c r="BF1031" i="58"/>
  <c r="BD1038" i="58"/>
  <c r="BH1036" i="58"/>
  <c r="BD1031" i="58"/>
  <c r="X1030" i="58"/>
  <c r="W1023" i="58"/>
  <c r="AL1025" i="58"/>
  <c r="AL1024" i="58"/>
  <c r="BG1038" i="58"/>
  <c r="AU1033" i="58"/>
  <c r="AW1034" i="58"/>
  <c r="BC1027" i="58"/>
  <c r="BC1030" i="58"/>
  <c r="BG1024" i="58"/>
  <c r="BH1029" i="58"/>
  <c r="BD1032" i="58"/>
  <c r="BD1033" i="58"/>
  <c r="AZ1025" i="58"/>
  <c r="X1038" i="58"/>
  <c r="W1032" i="58"/>
  <c r="AL1035" i="58"/>
  <c r="AK1023" i="58"/>
  <c r="BC1029" i="58"/>
  <c r="AW1025" i="58"/>
  <c r="AU1030" i="58"/>
  <c r="AY1036" i="58"/>
  <c r="BC1026" i="58"/>
  <c r="AU1029" i="58"/>
  <c r="AX1031" i="58"/>
  <c r="AZ1029" i="58"/>
  <c r="AX1034" i="58"/>
  <c r="BD1027" i="58"/>
  <c r="W1030" i="58"/>
  <c r="W1028" i="58"/>
  <c r="AL1033" i="58"/>
  <c r="AK1024" i="58"/>
  <c r="AU1038" i="58"/>
  <c r="AY1035" i="58"/>
  <c r="BG1036" i="58"/>
  <c r="AW1033" i="58"/>
  <c r="BC1025" i="58"/>
  <c r="BC1036" i="58"/>
  <c r="AX1036" i="58"/>
  <c r="AZ1023" i="58"/>
  <c r="AZ1032" i="58"/>
  <c r="BD1036" i="58"/>
  <c r="X1034" i="58"/>
  <c r="X1028" i="58"/>
  <c r="W1039" i="58"/>
  <c r="AL1026" i="58"/>
  <c r="AL1029" i="58"/>
  <c r="BE1031" i="58"/>
  <c r="AY1023" i="58"/>
  <c r="AY1030" i="58"/>
  <c r="BG1032" i="58"/>
  <c r="BE1038" i="58"/>
  <c r="BE1034" i="58"/>
  <c r="AZ1024" i="58"/>
  <c r="BH1023" i="58"/>
  <c r="AX1035" i="58"/>
  <c r="AX1024" i="58"/>
  <c r="AX1028" i="58"/>
  <c r="AZ1027" i="58"/>
  <c r="BD1028" i="58"/>
  <c r="BD1034" i="58"/>
  <c r="X1036" i="58"/>
  <c r="X1039" i="58"/>
  <c r="AL1028" i="58"/>
  <c r="AK1038" i="58"/>
  <c r="BC1023" i="58"/>
  <c r="BC1032" i="58"/>
  <c r="BG1039" i="58"/>
  <c r="BC1034" i="58"/>
  <c r="AY1025" i="58"/>
  <c r="BF1035" i="58"/>
  <c r="AV1039" i="58"/>
  <c r="BH1030" i="58"/>
  <c r="BF1034" i="58"/>
  <c r="AV1030" i="58"/>
  <c r="W1027" i="58"/>
  <c r="X1029" i="58"/>
  <c r="AL1039" i="58"/>
  <c r="AK1033" i="58"/>
  <c r="AW1029" i="58"/>
  <c r="BE1026" i="58"/>
  <c r="BE1024" i="58"/>
  <c r="BE1027" i="58"/>
  <c r="BE1033" i="58"/>
  <c r="AV1028" i="58"/>
  <c r="AZ1030" i="58"/>
  <c r="AV1033" i="58"/>
  <c r="AZ1033" i="58"/>
  <c r="AV1023" i="58"/>
  <c r="W1038" i="58"/>
  <c r="X1032" i="58"/>
  <c r="AK1026" i="58"/>
  <c r="AK1039" i="58"/>
  <c r="BG1031" i="58"/>
  <c r="AY1033" i="58"/>
  <c r="AW1026" i="58"/>
  <c r="BG1033" i="58"/>
  <c r="BE1029" i="58"/>
  <c r="AW1036" i="58"/>
  <c r="BH1039" i="58"/>
  <c r="AV1024" i="58"/>
  <c r="BD1024" i="58"/>
  <c r="AX1038" i="58"/>
  <c r="X1031" i="58"/>
  <c r="X1024" i="58"/>
  <c r="AL1023" i="58"/>
  <c r="AK1027" i="58"/>
  <c r="BC1035" i="58"/>
  <c r="AU1036" i="58"/>
  <c r="AY1028" i="58"/>
  <c r="AU1025" i="58"/>
  <c r="BG1028" i="58"/>
  <c r="AY1029" i="58"/>
  <c r="BE1025" i="58"/>
  <c r="BF1025" i="58"/>
  <c r="BF1023" i="58"/>
  <c r="AV1036" i="58"/>
  <c r="BD1035" i="58"/>
  <c r="AX1029" i="58"/>
  <c r="AX1039" i="58"/>
  <c r="AV1025" i="58"/>
  <c r="BH1038" i="58"/>
  <c r="BH1035" i="58"/>
  <c r="AZ1028" i="58"/>
  <c r="AZ1039" i="58"/>
  <c r="BD1023" i="58"/>
  <c r="AV1035" i="58"/>
  <c r="W1034" i="58"/>
  <c r="AV1038" i="58"/>
  <c r="AZ1035" i="58"/>
  <c r="AX1033" i="58"/>
  <c r="BF1028" i="58"/>
  <c r="X1027" i="58"/>
  <c r="AX1027" i="58"/>
  <c r="BH1028" i="58"/>
  <c r="AM1027" i="58"/>
  <c r="AN1027" i="58"/>
  <c r="Y1035" i="58"/>
  <c r="Y1038" i="58"/>
  <c r="Y1033" i="58"/>
  <c r="Y1039" i="58"/>
  <c r="AE1033" i="58"/>
  <c r="AN1032" i="58"/>
  <c r="AM1028" i="58"/>
  <c r="Y1030" i="58"/>
  <c r="Y1025" i="58"/>
  <c r="Y1036" i="58"/>
  <c r="Y1031" i="58"/>
  <c r="AE1023" i="58"/>
  <c r="AM1025" i="58"/>
  <c r="AM1032" i="58"/>
  <c r="AM1031" i="58"/>
  <c r="AN1028" i="58"/>
  <c r="Y1027" i="58"/>
  <c r="Y1028" i="58"/>
  <c r="Y1034" i="58"/>
  <c r="Y1026" i="58"/>
  <c r="AE1027" i="58"/>
  <c r="AN1031" i="58"/>
  <c r="AM1026" i="58"/>
  <c r="AN1025" i="58"/>
  <c r="AN1026" i="58"/>
  <c r="Y1029" i="58"/>
  <c r="Y1032" i="58"/>
  <c r="Y1024" i="58"/>
  <c r="Y1023" i="58"/>
  <c r="AE1039" i="58"/>
  <c r="AA1038" i="58"/>
  <c r="AE1025" i="58"/>
  <c r="AA1031" i="58"/>
  <c r="AC919" i="58"/>
  <c r="AB907" i="58"/>
  <c r="E334" i="58"/>
  <c r="F739" i="58"/>
  <c r="E335" i="58" s="1"/>
  <c r="AG1001" i="58"/>
  <c r="AF891" i="58"/>
  <c r="AG891" i="58"/>
  <c r="AA1028" i="58"/>
  <c r="AC907" i="58"/>
  <c r="AB918" i="58"/>
  <c r="AB912" i="58"/>
  <c r="AH1001" i="58"/>
  <c r="AG890" i="58"/>
  <c r="AG885" i="58"/>
  <c r="AF885" i="58"/>
  <c r="AG884" i="58"/>
  <c r="AC913" i="58"/>
  <c r="AG889" i="58"/>
  <c r="AF889" i="58"/>
  <c r="AF888" i="58"/>
  <c r="AC912" i="58"/>
  <c r="AA1039" i="58"/>
  <c r="AA808" i="58"/>
  <c r="I816" i="58"/>
  <c r="AE816" i="58" s="1"/>
  <c r="N808" i="58"/>
  <c r="J808" i="58"/>
  <c r="AA815" i="58"/>
  <c r="N815" i="58"/>
  <c r="J815" i="58"/>
  <c r="AA804" i="58"/>
  <c r="N804" i="58"/>
  <c r="J804" i="58"/>
  <c r="I812" i="58"/>
  <c r="AE812" i="58" s="1"/>
  <c r="R356" i="58"/>
  <c r="U371" i="58" s="1"/>
  <c r="U794" i="58"/>
  <c r="T356" i="58" s="1"/>
  <c r="W371" i="58" s="1"/>
  <c r="AA809" i="58"/>
  <c r="N809" i="58"/>
  <c r="J809" i="58"/>
  <c r="I817" i="58"/>
  <c r="AE817" i="58" s="1"/>
  <c r="T807" i="58"/>
  <c r="S807" i="58"/>
  <c r="E844" i="58"/>
  <c r="S797" i="58"/>
  <c r="T797" i="58"/>
  <c r="S359" i="58" s="1"/>
  <c r="V375" i="58" s="1"/>
  <c r="R358" i="58"/>
  <c r="U796" i="58"/>
  <c r="T358" i="58" s="1"/>
  <c r="AA805" i="58"/>
  <c r="J805" i="58"/>
  <c r="I813" i="58"/>
  <c r="AE813" i="58" s="1"/>
  <c r="N805" i="58"/>
  <c r="E834" i="58"/>
  <c r="E835" i="58"/>
  <c r="E846" i="58"/>
  <c r="E836" i="58"/>
  <c r="D815" i="57"/>
  <c r="D392" i="57" s="1"/>
  <c r="E843" i="58"/>
  <c r="J829" i="58"/>
  <c r="J305" i="58" s="1"/>
  <c r="I314" i="58" s="1"/>
  <c r="H818" i="58"/>
  <c r="E818" i="58"/>
  <c r="R355" i="58"/>
  <c r="U793" i="58"/>
  <c r="T355" i="58" s="1"/>
  <c r="AA811" i="58"/>
  <c r="N811" i="58"/>
  <c r="J811" i="58"/>
  <c r="R354" i="58"/>
  <c r="U363" i="58" s="1"/>
  <c r="U792" i="58"/>
  <c r="AA810" i="58"/>
  <c r="N810" i="58"/>
  <c r="J810" i="58"/>
  <c r="I818" i="58"/>
  <c r="AE818" i="58" s="1"/>
  <c r="E845" i="58"/>
  <c r="D807" i="58"/>
  <c r="C358" i="58"/>
  <c r="F367" i="58" s="1"/>
  <c r="T795" i="58"/>
  <c r="S357" i="58" s="1"/>
  <c r="V367" i="58" s="1"/>
  <c r="S795" i="58"/>
  <c r="AA806" i="58"/>
  <c r="I814" i="58"/>
  <c r="J806" i="58"/>
  <c r="N806" i="58"/>
  <c r="AC1024" i="58"/>
  <c r="S673" i="54"/>
  <c r="AT1036" i="58"/>
  <c r="BA1039" i="58"/>
  <c r="BA1029" i="58"/>
  <c r="AT1026" i="58"/>
  <c r="AT1039" i="58"/>
  <c r="BA1036" i="58"/>
  <c r="AS1035" i="58"/>
  <c r="BB1033" i="58"/>
  <c r="AT1024" i="58"/>
  <c r="BA1025" i="58"/>
  <c r="BA1023" i="58"/>
  <c r="BA1032" i="58"/>
  <c r="BB1031" i="58"/>
  <c r="AC1032" i="58"/>
  <c r="BB1032" i="58"/>
  <c r="AC1026" i="58"/>
  <c r="BB1023" i="58"/>
  <c r="AS1032" i="58"/>
  <c r="BB1030" i="58"/>
  <c r="AC1028" i="58"/>
  <c r="AC1023" i="58"/>
  <c r="BB1027" i="58"/>
  <c r="AC1029" i="58"/>
  <c r="AC1031" i="58"/>
  <c r="BB1038" i="58"/>
  <c r="AS1038" i="58"/>
  <c r="M873" i="58"/>
  <c r="M1004" i="58"/>
  <c r="M1003" i="58"/>
  <c r="M1006" i="58"/>
  <c r="BA1031" i="58"/>
  <c r="AS1030" i="58"/>
  <c r="BB1024" i="58"/>
  <c r="AS1027" i="58"/>
  <c r="AC1027" i="58"/>
  <c r="AS1036" i="58"/>
  <c r="BA1030" i="58"/>
  <c r="BB1025" i="58"/>
  <c r="BB1036" i="58"/>
  <c r="BA1033" i="58"/>
  <c r="AC1036" i="58"/>
  <c r="AT1038" i="58"/>
  <c r="AS1034" i="58"/>
  <c r="AS1023" i="58"/>
  <c r="AS1026" i="58"/>
  <c r="AS1024" i="58"/>
  <c r="BA1027" i="58"/>
  <c r="AT1032" i="58"/>
  <c r="AT1035" i="58"/>
  <c r="AC1039" i="58"/>
  <c r="BB1028" i="58"/>
  <c r="AT1031" i="58"/>
  <c r="BB1035" i="58"/>
  <c r="AS1031" i="58"/>
  <c r="AC1030" i="58"/>
  <c r="BB1039" i="58"/>
  <c r="AS1029" i="58"/>
  <c r="BA1026" i="58"/>
  <c r="BB1029" i="58"/>
  <c r="AC1033" i="58"/>
  <c r="AT1028" i="58"/>
  <c r="AS1039" i="58"/>
  <c r="AS1025" i="58"/>
  <c r="AS1028" i="58"/>
  <c r="AC1038" i="58"/>
  <c r="BB1026" i="58"/>
  <c r="AT1025" i="58"/>
  <c r="BB1034" i="58"/>
  <c r="BA1035" i="58"/>
  <c r="BA1024" i="58"/>
  <c r="AT1027" i="58"/>
  <c r="AC1034" i="58"/>
  <c r="AT1030" i="58"/>
  <c r="AT1033" i="58"/>
  <c r="BA1034" i="58"/>
  <c r="AT1029" i="58"/>
  <c r="AC1025" i="58"/>
  <c r="AS1033" i="58"/>
  <c r="BA1038" i="58"/>
  <c r="BA1028" i="58"/>
  <c r="AT1023" i="58"/>
  <c r="AO943" i="58"/>
  <c r="AO927" i="58"/>
  <c r="AO950" i="58"/>
  <c r="AO944" i="58"/>
  <c r="Q947" i="58"/>
  <c r="AG947" i="58" s="1"/>
  <c r="AO938" i="58"/>
  <c r="AI960" i="58"/>
  <c r="AC957" i="58"/>
  <c r="AC960" i="58"/>
  <c r="AO946" i="58"/>
  <c r="E743" i="58"/>
  <c r="AI965" i="58"/>
  <c r="AC965" i="58"/>
  <c r="AN947" i="58"/>
  <c r="AI967" i="58"/>
  <c r="Q937" i="58"/>
  <c r="T937" i="58"/>
  <c r="S937" i="58"/>
  <c r="AU962" i="58"/>
  <c r="N962" i="58"/>
  <c r="AO932" i="58"/>
  <c r="AN932" i="58"/>
  <c r="AC961" i="58"/>
  <c r="AN945" i="58"/>
  <c r="AU934" i="58"/>
  <c r="N934" i="58"/>
  <c r="AR960" i="58"/>
  <c r="Q960" i="58" s="1"/>
  <c r="AN960" i="58"/>
  <c r="AM960" i="58"/>
  <c r="AO960" i="58"/>
  <c r="AL960" i="58"/>
  <c r="AU960" i="58"/>
  <c r="N960" i="58"/>
  <c r="D744" i="58"/>
  <c r="AU928" i="58"/>
  <c r="N928" i="58"/>
  <c r="T947" i="58"/>
  <c r="S947" i="58"/>
  <c r="Q948" i="58"/>
  <c r="S948" i="58"/>
  <c r="T948" i="58"/>
  <c r="AO937" i="58"/>
  <c r="AU935" i="58"/>
  <c r="N935" i="58"/>
  <c r="AO931" i="58"/>
  <c r="AN931" i="58"/>
  <c r="D745" i="58"/>
  <c r="AU929" i="58"/>
  <c r="N929" i="58"/>
  <c r="AG961" i="58"/>
  <c r="AN961" i="58"/>
  <c r="AM961" i="58"/>
  <c r="AO961" i="58"/>
  <c r="AE961" i="58"/>
  <c r="AH961" i="58"/>
  <c r="AF961" i="58"/>
  <c r="AL961" i="58"/>
  <c r="AR961" i="58"/>
  <c r="Q961" i="58" s="1"/>
  <c r="AN942" i="58"/>
  <c r="AO942" i="58"/>
  <c r="D751" i="58"/>
  <c r="AU939" i="58"/>
  <c r="N939" i="58"/>
  <c r="AU967" i="58"/>
  <c r="N967" i="58"/>
  <c r="D759" i="58"/>
  <c r="AU949" i="58"/>
  <c r="N949" i="58"/>
  <c r="AL965" i="58"/>
  <c r="AR965" i="58"/>
  <c r="Q965" i="58" s="1"/>
  <c r="AG965" i="58"/>
  <c r="AN965" i="58"/>
  <c r="AM965" i="58"/>
  <c r="AO965" i="58"/>
  <c r="AE965" i="58"/>
  <c r="AH965" i="58"/>
  <c r="AF965" i="58"/>
  <c r="AN957" i="58"/>
  <c r="AH957" i="58"/>
  <c r="AL957" i="58"/>
  <c r="AI957" i="58"/>
  <c r="AF957" i="58"/>
  <c r="AG957" i="58"/>
  <c r="AE957" i="58"/>
  <c r="AO957" i="58"/>
  <c r="AR957" i="58"/>
  <c r="R957" i="58" s="1"/>
  <c r="AM957" i="58"/>
  <c r="AO948" i="58"/>
  <c r="AO967" i="58"/>
  <c r="AM967" i="58"/>
  <c r="AL967" i="58"/>
  <c r="AR967" i="58"/>
  <c r="Q967" i="58" s="1"/>
  <c r="AN967" i="58"/>
  <c r="AU953" i="58"/>
  <c r="N953" i="58"/>
  <c r="AN930" i="58"/>
  <c r="AO930" i="58"/>
  <c r="AU936" i="58"/>
  <c r="N936" i="58"/>
  <c r="AC967" i="58"/>
  <c r="D752" i="58"/>
  <c r="AU940" i="58"/>
  <c r="N940" i="58"/>
  <c r="AU965" i="58"/>
  <c r="N965" i="58"/>
  <c r="AI961" i="58"/>
  <c r="AU966" i="58"/>
  <c r="N966" i="58"/>
  <c r="AU957" i="58"/>
  <c r="N957" i="58"/>
  <c r="AU933" i="58"/>
  <c r="N933" i="58"/>
  <c r="AU961" i="58"/>
  <c r="N961" i="58"/>
  <c r="S814" i="57"/>
  <c r="S391" i="57" s="1"/>
  <c r="T814" i="57"/>
  <c r="T391" i="57" s="1"/>
  <c r="U815" i="57"/>
  <c r="U392" i="57" s="1"/>
  <c r="T941" i="57"/>
  <c r="R941" i="57"/>
  <c r="G884" i="57"/>
  <c r="AR883" i="57"/>
  <c r="E720" i="54"/>
  <c r="Q1003" i="57"/>
  <c r="Q673" i="54"/>
  <c r="AB673" i="54" s="1"/>
  <c r="V854" i="57"/>
  <c r="T934" i="57"/>
  <c r="S934" i="57"/>
  <c r="S961" i="57"/>
  <c r="U854" i="57"/>
  <c r="Q957" i="57"/>
  <c r="Q941" i="57"/>
  <c r="S957" i="57"/>
  <c r="Q961" i="57"/>
  <c r="T961" i="57"/>
  <c r="Q953" i="57"/>
  <c r="Q936" i="57"/>
  <c r="S935" i="57"/>
  <c r="T957" i="57"/>
  <c r="T953" i="57"/>
  <c r="V856" i="57"/>
  <c r="Q935" i="57"/>
  <c r="T936" i="57"/>
  <c r="T935" i="57"/>
  <c r="T963" i="57"/>
  <c r="Q940" i="57"/>
  <c r="Q942" i="57"/>
  <c r="R943" i="57"/>
  <c r="S953" i="57"/>
  <c r="T942" i="57"/>
  <c r="R942" i="57"/>
  <c r="R934" i="57"/>
  <c r="Q944" i="57"/>
  <c r="S936" i="57"/>
  <c r="T943" i="57"/>
  <c r="T944" i="57"/>
  <c r="S946" i="57"/>
  <c r="T946" i="57"/>
  <c r="R946" i="57"/>
  <c r="S943" i="57"/>
  <c r="U856" i="57"/>
  <c r="R944" i="57"/>
  <c r="R940" i="57"/>
  <c r="S937" i="57"/>
  <c r="R937" i="57"/>
  <c r="R673" i="54"/>
  <c r="Q937" i="57"/>
  <c r="T940" i="57"/>
  <c r="Q923" i="57"/>
  <c r="S923" i="57"/>
  <c r="R923" i="57"/>
  <c r="P1003" i="57"/>
  <c r="AQ518" i="54"/>
  <c r="AE520" i="54"/>
  <c r="AQ520" i="54"/>
  <c r="AE522" i="54"/>
  <c r="AQ522" i="54"/>
  <c r="AE525" i="54"/>
  <c r="AQ525" i="54"/>
  <c r="AE521" i="54"/>
  <c r="AQ521" i="54"/>
  <c r="AE523" i="54"/>
  <c r="AQ523" i="54"/>
  <c r="AE519" i="54"/>
  <c r="AQ519" i="54"/>
  <c r="AE524" i="54"/>
  <c r="AQ524" i="54"/>
  <c r="AE518" i="54"/>
  <c r="AG670" i="54"/>
  <c r="A521" i="54"/>
  <c r="A519" i="54"/>
  <c r="A524" i="54"/>
  <c r="A522" i="54"/>
  <c r="A520" i="54"/>
  <c r="A523" i="54"/>
  <c r="A525" i="54"/>
  <c r="A518" i="54"/>
  <c r="B520" i="54"/>
  <c r="B522" i="54"/>
  <c r="B523" i="54"/>
  <c r="B525" i="54"/>
  <c r="B524" i="54"/>
  <c r="B519" i="54"/>
  <c r="B521" i="54"/>
  <c r="B518" i="54"/>
  <c r="E597" i="54"/>
  <c r="T801" i="58" l="1"/>
  <c r="T286" i="58" s="1"/>
  <c r="AC292" i="58" s="1"/>
  <c r="AC296" i="58" s="1"/>
  <c r="N814" i="58"/>
  <c r="AE814" i="58"/>
  <c r="S800" i="58"/>
  <c r="T800" i="58"/>
  <c r="AH396" i="57"/>
  <c r="AF396" i="57"/>
  <c r="AE400" i="57"/>
  <c r="AG400" i="57"/>
  <c r="AH400" i="57"/>
  <c r="AF400" i="57"/>
  <c r="T428" i="57"/>
  <c r="T433" i="57"/>
  <c r="S428" i="57"/>
  <c r="S433" i="57"/>
  <c r="U813" i="57"/>
  <c r="U390" i="57" s="1"/>
  <c r="S954" i="58"/>
  <c r="R954" i="58"/>
  <c r="F306" i="58"/>
  <c r="F318" i="58" s="1"/>
  <c r="N306" i="58"/>
  <c r="K318" i="58" s="1"/>
  <c r="R306" i="58"/>
  <c r="V306" i="58"/>
  <c r="V318" i="58" s="1"/>
  <c r="C306" i="58"/>
  <c r="B318" i="58" s="1"/>
  <c r="K306" i="58"/>
  <c r="J318" i="58" s="1"/>
  <c r="Y318" i="58" s="1"/>
  <c r="S306" i="58"/>
  <c r="O318" i="58" s="1"/>
  <c r="W306" i="58"/>
  <c r="W318" i="58" s="1"/>
  <c r="AA306" i="58"/>
  <c r="AA318" i="58" s="1"/>
  <c r="D306" i="58"/>
  <c r="D318" i="58" s="1"/>
  <c r="H306" i="58"/>
  <c r="H318" i="58" s="1"/>
  <c r="L306" i="58"/>
  <c r="R318" i="58" s="1"/>
  <c r="P306" i="58"/>
  <c r="Q318" i="58" s="1"/>
  <c r="X306" i="58"/>
  <c r="X318" i="58" s="1"/>
  <c r="AB306" i="58"/>
  <c r="AB318" i="58" s="1"/>
  <c r="E306" i="58"/>
  <c r="E318" i="58" s="1"/>
  <c r="I306" i="58"/>
  <c r="C318" i="58" s="1"/>
  <c r="M306" i="58"/>
  <c r="L318" i="58" s="1"/>
  <c r="Q306" i="58"/>
  <c r="Z318" i="58" s="1"/>
  <c r="U306" i="58"/>
  <c r="U318" i="58" s="1"/>
  <c r="AC306" i="58"/>
  <c r="Y381" i="58"/>
  <c r="U391" i="58" s="1"/>
  <c r="Z304" i="58"/>
  <c r="T310" i="58" s="1"/>
  <c r="X381" i="58"/>
  <c r="T391" i="58" s="1"/>
  <c r="Y304" i="58"/>
  <c r="S310" i="58" s="1"/>
  <c r="H286" i="58"/>
  <c r="V286" i="58"/>
  <c r="Q286" i="58"/>
  <c r="W292" i="58" s="1"/>
  <c r="P286" i="58"/>
  <c r="S292" i="58" s="1"/>
  <c r="W286" i="58"/>
  <c r="AI292" i="58" s="1"/>
  <c r="R286" i="58"/>
  <c r="Y292" i="58" s="1"/>
  <c r="S286" i="58"/>
  <c r="M286" i="58"/>
  <c r="G286" i="58"/>
  <c r="L286" i="58"/>
  <c r="K286" i="58"/>
  <c r="L296" i="58" s="1"/>
  <c r="N286" i="58"/>
  <c r="Y286" i="58"/>
  <c r="I286" i="58"/>
  <c r="X286" i="58"/>
  <c r="B296" i="58" s="1"/>
  <c r="B284" i="58"/>
  <c r="T285" i="58"/>
  <c r="AD296" i="58" s="1"/>
  <c r="Q285" i="58"/>
  <c r="X285" i="58"/>
  <c r="B292" i="58" s="1"/>
  <c r="L285" i="58"/>
  <c r="K296" i="58" s="1"/>
  <c r="R285" i="58"/>
  <c r="C285" i="58"/>
  <c r="D296" i="58" s="1"/>
  <c r="I285" i="58"/>
  <c r="J296" i="58" s="1"/>
  <c r="P296" i="58" s="1"/>
  <c r="G285" i="58"/>
  <c r="C296" i="58" s="1"/>
  <c r="M285" i="58"/>
  <c r="M296" i="58" s="1"/>
  <c r="J285" i="58"/>
  <c r="O296" i="58" s="1"/>
  <c r="P285" i="58"/>
  <c r="T296" i="58" s="1"/>
  <c r="S285" i="58"/>
  <c r="AB296" i="58" s="1"/>
  <c r="Y285" i="58"/>
  <c r="H292" i="58" s="1"/>
  <c r="H296" i="58" s="1"/>
  <c r="H300" i="58" s="1"/>
  <c r="W285" i="58"/>
  <c r="AJ296" i="58" s="1"/>
  <c r="N285" i="58"/>
  <c r="N296" i="58" s="1"/>
  <c r="V285" i="58"/>
  <c r="Q296" i="58" s="1"/>
  <c r="E285" i="58"/>
  <c r="F296" i="58" s="1"/>
  <c r="D285" i="58"/>
  <c r="E296" i="58" s="1"/>
  <c r="K285" i="58"/>
  <c r="H285" i="58"/>
  <c r="I292" i="58" s="1"/>
  <c r="I296" i="58" s="1"/>
  <c r="F285" i="58"/>
  <c r="C286" i="58"/>
  <c r="J286" i="58"/>
  <c r="E286" i="58"/>
  <c r="Y825" i="58"/>
  <c r="X380" i="58" s="1"/>
  <c r="Z825" i="58"/>
  <c r="Y380" i="58" s="1"/>
  <c r="T954" i="58"/>
  <c r="U799" i="58"/>
  <c r="U801" i="58"/>
  <c r="U286" i="58" s="1"/>
  <c r="BC792" i="54"/>
  <c r="D810" i="58"/>
  <c r="C356" i="58"/>
  <c r="D805" i="58"/>
  <c r="AL792" i="54"/>
  <c r="AM792" i="54"/>
  <c r="AK792" i="54"/>
  <c r="AN792" i="54"/>
  <c r="W792" i="54"/>
  <c r="X792" i="54"/>
  <c r="AU792" i="54"/>
  <c r="D801" i="58"/>
  <c r="D286" i="58" s="1"/>
  <c r="AN926" i="58"/>
  <c r="AI1037" i="58"/>
  <c r="AW1004" i="58"/>
  <c r="A1004" i="58"/>
  <c r="AW1006" i="58"/>
  <c r="A1006" i="58"/>
  <c r="AW1003" i="58"/>
  <c r="A1003" i="58"/>
  <c r="E993" i="57"/>
  <c r="E997" i="58" s="1"/>
  <c r="G740" i="57"/>
  <c r="G741" i="57" s="1"/>
  <c r="AE792" i="54"/>
  <c r="AA792" i="54"/>
  <c r="Y792" i="54"/>
  <c r="AF914" i="57"/>
  <c r="AX792" i="54"/>
  <c r="AV792" i="54"/>
  <c r="AZ792" i="54"/>
  <c r="BB792" i="54"/>
  <c r="BF792" i="54"/>
  <c r="BD792" i="54"/>
  <c r="AT792" i="54"/>
  <c r="BH792" i="54"/>
  <c r="AT794" i="54"/>
  <c r="BB786" i="54"/>
  <c r="AT791" i="54"/>
  <c r="BB787" i="54"/>
  <c r="BB785" i="54"/>
  <c r="AT786" i="54"/>
  <c r="AT785" i="54"/>
  <c r="BC772" i="54"/>
  <c r="BB783" i="54"/>
  <c r="AT790" i="54"/>
  <c r="AT784" i="54"/>
  <c r="BB789" i="54"/>
  <c r="BB782" i="54"/>
  <c r="AT782" i="54"/>
  <c r="AT787" i="54"/>
  <c r="BB793" i="54"/>
  <c r="BB784" i="54"/>
  <c r="AT793" i="54"/>
  <c r="BB790" i="54"/>
  <c r="AT788" i="54"/>
  <c r="AT783" i="54"/>
  <c r="BB794" i="54"/>
  <c r="BB791" i="54"/>
  <c r="BB788" i="54"/>
  <c r="AT789" i="54"/>
  <c r="M746" i="54"/>
  <c r="AC1084" i="58"/>
  <c r="X1084" i="58"/>
  <c r="O1084" i="58"/>
  <c r="AP1084" i="58"/>
  <c r="AJ1084" i="58"/>
  <c r="AB1084" i="58"/>
  <c r="AB1085" i="58"/>
  <c r="T1084" i="58"/>
  <c r="V1084" i="58"/>
  <c r="AQ1084" i="58"/>
  <c r="AK1084" i="58"/>
  <c r="T931" i="58"/>
  <c r="AH931" i="58" s="1"/>
  <c r="R931" i="58"/>
  <c r="R962" i="58"/>
  <c r="AG880" i="57"/>
  <c r="Q931" i="58"/>
  <c r="AG915" i="57"/>
  <c r="AG914" i="57"/>
  <c r="R930" i="58"/>
  <c r="AG930" i="58" s="1"/>
  <c r="S942" i="58"/>
  <c r="AF889" i="57"/>
  <c r="T942" i="58"/>
  <c r="R942" i="58"/>
  <c r="AG942" i="58" s="1"/>
  <c r="T962" i="58"/>
  <c r="AH962" i="58" s="1"/>
  <c r="AF915" i="57"/>
  <c r="AG881" i="57"/>
  <c r="AF880" i="57"/>
  <c r="S930" i="58"/>
  <c r="T930" i="58"/>
  <c r="T950" i="58"/>
  <c r="E266" i="54"/>
  <c r="AO926" i="58"/>
  <c r="AF909" i="57"/>
  <c r="AG909" i="57"/>
  <c r="E589" i="54"/>
  <c r="E609" i="54" s="1"/>
  <c r="F381" i="58" s="1"/>
  <c r="G616" i="54"/>
  <c r="Q616" i="54" s="1"/>
  <c r="R615" i="54"/>
  <c r="M718" i="54"/>
  <c r="AF718" i="54" s="1"/>
  <c r="AG951" i="58"/>
  <c r="AG952" i="58"/>
  <c r="AH952" i="58"/>
  <c r="E730" i="54"/>
  <c r="E948" i="57" s="1"/>
  <c r="AK787" i="54"/>
  <c r="E951" i="58"/>
  <c r="AK791" i="54"/>
  <c r="AK784" i="54"/>
  <c r="AK790" i="54"/>
  <c r="AK782" i="54"/>
  <c r="AK772" i="54"/>
  <c r="AK779" i="54"/>
  <c r="AK777" i="54"/>
  <c r="AK793" i="54"/>
  <c r="AK783" i="54"/>
  <c r="AK773" i="54"/>
  <c r="AK786" i="54"/>
  <c r="AK774" i="54"/>
  <c r="AK785" i="54"/>
  <c r="AK775" i="54"/>
  <c r="AK788" i="54"/>
  <c r="AK780" i="54"/>
  <c r="AK789" i="54"/>
  <c r="AK778" i="54"/>
  <c r="AK776" i="54"/>
  <c r="AK781" i="54"/>
  <c r="AK794" i="54"/>
  <c r="Q950" i="58"/>
  <c r="AG950" i="58" s="1"/>
  <c r="S943" i="58"/>
  <c r="T943" i="58"/>
  <c r="S950" i="58"/>
  <c r="AH964" i="58"/>
  <c r="T959" i="58"/>
  <c r="T941" i="58"/>
  <c r="Q962" i="58"/>
  <c r="T938" i="58"/>
  <c r="T946" i="58"/>
  <c r="Q944" i="58"/>
  <c r="S959" i="58"/>
  <c r="Q939" i="58"/>
  <c r="AG939" i="58" s="1"/>
  <c r="R943" i="58"/>
  <c r="AG943" i="58" s="1"/>
  <c r="Q959" i="58"/>
  <c r="AG959" i="58" s="1"/>
  <c r="Q945" i="58"/>
  <c r="S944" i="58"/>
  <c r="AH944" i="58" s="1"/>
  <c r="R927" i="58"/>
  <c r="AG927" i="58" s="1"/>
  <c r="T940" i="58"/>
  <c r="AI1033" i="58"/>
  <c r="R944" i="58"/>
  <c r="T927" i="58"/>
  <c r="R938" i="58"/>
  <c r="AG938" i="58" s="1"/>
  <c r="Q941" i="58"/>
  <c r="AG941" i="58" s="1"/>
  <c r="R946" i="58"/>
  <c r="AG946" i="58" s="1"/>
  <c r="S938" i="58"/>
  <c r="S941" i="58"/>
  <c r="S946" i="58"/>
  <c r="S927" i="58"/>
  <c r="S945" i="58"/>
  <c r="AH945" i="58" s="1"/>
  <c r="AI1024" i="58"/>
  <c r="R945" i="58"/>
  <c r="AI1036" i="58"/>
  <c r="AI1034" i="58"/>
  <c r="AI1028" i="58"/>
  <c r="T956" i="58"/>
  <c r="R932" i="58"/>
  <c r="AF666" i="54"/>
  <c r="S940" i="58"/>
  <c r="AI1026" i="58"/>
  <c r="AI1023" i="58"/>
  <c r="AI1039" i="58"/>
  <c r="AI1030" i="58"/>
  <c r="S932" i="58"/>
  <c r="AH932" i="58" s="1"/>
  <c r="AI1032" i="58"/>
  <c r="AI1025" i="58"/>
  <c r="Q940" i="58"/>
  <c r="AG940" i="58" s="1"/>
  <c r="AI1031" i="58"/>
  <c r="AI1029" i="58"/>
  <c r="AI1027" i="58"/>
  <c r="AI1035" i="58"/>
  <c r="T939" i="58"/>
  <c r="S939" i="58"/>
  <c r="S956" i="58"/>
  <c r="Q956" i="58"/>
  <c r="AC673" i="54"/>
  <c r="R953" i="58"/>
  <c r="R958" i="58"/>
  <c r="R949" i="58"/>
  <c r="AG949" i="58" s="1"/>
  <c r="AN941" i="58"/>
  <c r="Q958" i="58"/>
  <c r="S958" i="58"/>
  <c r="AH958" i="58" s="1"/>
  <c r="Q932" i="58"/>
  <c r="Q953" i="58"/>
  <c r="T953" i="58"/>
  <c r="T949" i="58"/>
  <c r="S949" i="58"/>
  <c r="R895" i="58"/>
  <c r="AC690" i="54"/>
  <c r="AF691" i="54" s="1"/>
  <c r="R935" i="58"/>
  <c r="AG935" i="58" s="1"/>
  <c r="T935" i="58"/>
  <c r="S935" i="58"/>
  <c r="P897" i="58"/>
  <c r="AB893" i="57"/>
  <c r="AB897" i="58" s="1"/>
  <c r="Q615" i="54"/>
  <c r="AC671" i="54"/>
  <c r="P896" i="58"/>
  <c r="AB892" i="57"/>
  <c r="AB896" i="58" s="1"/>
  <c r="R896" i="58"/>
  <c r="AC892" i="57"/>
  <c r="AC896" i="58" s="1"/>
  <c r="R901" i="58"/>
  <c r="AC897" i="57"/>
  <c r="AC901" i="58" s="1"/>
  <c r="R905" i="58"/>
  <c r="AC901" i="57"/>
  <c r="AC905" i="58" s="1"/>
  <c r="Q955" i="58"/>
  <c r="R955" i="58"/>
  <c r="S955" i="58"/>
  <c r="T955" i="58"/>
  <c r="T354" i="58"/>
  <c r="W363" i="58" s="1"/>
  <c r="R904" i="58"/>
  <c r="AC900" i="57"/>
  <c r="AC904" i="58" s="1"/>
  <c r="T936" i="58"/>
  <c r="S936" i="58"/>
  <c r="R929" i="58"/>
  <c r="T929" i="58"/>
  <c r="Q929" i="58"/>
  <c r="S929" i="58"/>
  <c r="P901" i="58"/>
  <c r="AB897" i="57"/>
  <c r="AB901" i="58" s="1"/>
  <c r="R900" i="58"/>
  <c r="AC896" i="57"/>
  <c r="AC900" i="58" s="1"/>
  <c r="Q933" i="58"/>
  <c r="T933" i="58"/>
  <c r="R933" i="58"/>
  <c r="S933" i="58"/>
  <c r="Q934" i="58"/>
  <c r="S934" i="58"/>
  <c r="R934" i="58"/>
  <c r="T934" i="58"/>
  <c r="R897" i="58"/>
  <c r="AC893" i="57"/>
  <c r="AC897" i="58" s="1"/>
  <c r="P900" i="58"/>
  <c r="AB896" i="57"/>
  <c r="AB900" i="58" s="1"/>
  <c r="R894" i="58"/>
  <c r="AC890" i="57"/>
  <c r="AC894" i="58" s="1"/>
  <c r="R926" i="58"/>
  <c r="T926" i="58"/>
  <c r="S926" i="58"/>
  <c r="Q926" i="58"/>
  <c r="R936" i="58"/>
  <c r="AG936" i="58" s="1"/>
  <c r="P895" i="58"/>
  <c r="AB891" i="57"/>
  <c r="AB895" i="58" s="1"/>
  <c r="P905" i="58"/>
  <c r="AB901" i="57"/>
  <c r="AB905" i="58" s="1"/>
  <c r="P904" i="58"/>
  <c r="AB900" i="57"/>
  <c r="AB904" i="58" s="1"/>
  <c r="T928" i="58"/>
  <c r="S928" i="58"/>
  <c r="Q928" i="58"/>
  <c r="R928" i="58"/>
  <c r="P894" i="58"/>
  <c r="AB890" i="57"/>
  <c r="AB894" i="58" s="1"/>
  <c r="E719" i="54"/>
  <c r="M719" i="54" s="1"/>
  <c r="M1005" i="58"/>
  <c r="A1005" i="58" s="1"/>
  <c r="AL772" i="54"/>
  <c r="X775" i="57"/>
  <c r="N775" i="57"/>
  <c r="S775" i="57"/>
  <c r="Y775" i="57"/>
  <c r="R775" i="57"/>
  <c r="O775" i="57"/>
  <c r="D775" i="57"/>
  <c r="K775" i="57"/>
  <c r="M775" i="57"/>
  <c r="C775" i="57"/>
  <c r="V775" i="57"/>
  <c r="F775" i="57"/>
  <c r="Q775" i="57"/>
  <c r="E775" i="57"/>
  <c r="AG667" i="54"/>
  <c r="M717" i="54"/>
  <c r="E715" i="54"/>
  <c r="M720" i="54"/>
  <c r="AF667" i="54"/>
  <c r="AQ1083" i="58"/>
  <c r="AQ1085" i="58"/>
  <c r="AP1083" i="58"/>
  <c r="AP1085" i="58"/>
  <c r="E817" i="58"/>
  <c r="D813" i="58"/>
  <c r="E776" i="58"/>
  <c r="E991" i="58"/>
  <c r="E993" i="58"/>
  <c r="E778" i="58"/>
  <c r="E996" i="58"/>
  <c r="E781" i="58"/>
  <c r="AH976" i="58"/>
  <c r="AG976" i="58"/>
  <c r="E992" i="58"/>
  <c r="E777" i="58"/>
  <c r="E779" i="58"/>
  <c r="E994" i="58"/>
  <c r="E780" i="58"/>
  <c r="E995" i="58"/>
  <c r="AH974" i="58"/>
  <c r="AG974" i="58"/>
  <c r="E775" i="58"/>
  <c r="E990" i="58"/>
  <c r="AU772" i="54"/>
  <c r="E742" i="58"/>
  <c r="E774" i="58"/>
  <c r="AV772" i="54"/>
  <c r="Y776" i="54"/>
  <c r="Y780" i="54"/>
  <c r="Y784" i="54"/>
  <c r="Y788" i="54"/>
  <c r="Y793" i="54"/>
  <c r="Y794" i="54"/>
  <c r="Y773" i="54"/>
  <c r="Y777" i="54"/>
  <c r="Y781" i="54"/>
  <c r="Y785" i="54"/>
  <c r="Y789" i="54"/>
  <c r="Y774" i="54"/>
  <c r="Y778" i="54"/>
  <c r="Y782" i="54"/>
  <c r="Y786" i="54"/>
  <c r="Y790" i="54"/>
  <c r="Y772" i="54"/>
  <c r="Y775" i="54"/>
  <c r="Y779" i="54"/>
  <c r="Y783" i="54"/>
  <c r="Y787" i="54"/>
  <c r="Y791" i="54"/>
  <c r="M729" i="54"/>
  <c r="AX729" i="54" s="1"/>
  <c r="AG889" i="57"/>
  <c r="E969" i="57"/>
  <c r="E973" i="58" s="1"/>
  <c r="E861" i="57"/>
  <c r="E966" i="57"/>
  <c r="E970" i="58" s="1"/>
  <c r="E858" i="57"/>
  <c r="E863" i="57"/>
  <c r="E971" i="57"/>
  <c r="E975" i="58" s="1"/>
  <c r="E862" i="57"/>
  <c r="E970" i="57"/>
  <c r="E974" i="58" s="1"/>
  <c r="E965" i="57"/>
  <c r="E969" i="58" s="1"/>
  <c r="E857" i="57"/>
  <c r="E868" i="57" s="1"/>
  <c r="W1031" i="57"/>
  <c r="W1027" i="57"/>
  <c r="X1027" i="57"/>
  <c r="AF888" i="57"/>
  <c r="AG888" i="57"/>
  <c r="W794" i="54"/>
  <c r="X791" i="54"/>
  <c r="X786" i="54"/>
  <c r="W775" i="54"/>
  <c r="X777" i="54"/>
  <c r="W781" i="54"/>
  <c r="X772" i="54"/>
  <c r="W772" i="54"/>
  <c r="W788" i="54"/>
  <c r="X787" i="54"/>
  <c r="W787" i="54"/>
  <c r="W777" i="54"/>
  <c r="W786" i="54"/>
  <c r="X788" i="54"/>
  <c r="W779" i="54"/>
  <c r="X780" i="54"/>
  <c r="W784" i="54"/>
  <c r="X775" i="54"/>
  <c r="X778" i="54"/>
  <c r="X779" i="54"/>
  <c r="W782" i="54"/>
  <c r="W776" i="54"/>
  <c r="X790" i="54"/>
  <c r="X781" i="54"/>
  <c r="X789" i="54"/>
  <c r="W789" i="54"/>
  <c r="X782" i="54"/>
  <c r="X784" i="54"/>
  <c r="X783" i="54"/>
  <c r="W783" i="54"/>
  <c r="X774" i="54"/>
  <c r="W778" i="54"/>
  <c r="W773" i="54"/>
  <c r="X793" i="54"/>
  <c r="W793" i="54"/>
  <c r="X794" i="54"/>
  <c r="W774" i="54"/>
  <c r="X785" i="54"/>
  <c r="W785" i="54"/>
  <c r="X776" i="54"/>
  <c r="W790" i="54"/>
  <c r="W791" i="54"/>
  <c r="X773" i="54"/>
  <c r="W780" i="54"/>
  <c r="AA778" i="54"/>
  <c r="AA790" i="54"/>
  <c r="AA791" i="54"/>
  <c r="AA785" i="54"/>
  <c r="AA779" i="54"/>
  <c r="AA794" i="54"/>
  <c r="AA786" i="54"/>
  <c r="AA780" i="54"/>
  <c r="AA783" i="54"/>
  <c r="AA777" i="54"/>
  <c r="AA773" i="54"/>
  <c r="AA781" i="54"/>
  <c r="AA784" i="54"/>
  <c r="AA782" i="54"/>
  <c r="AA776" i="54"/>
  <c r="AA789" i="54"/>
  <c r="AA772" i="54"/>
  <c r="AA774" i="54"/>
  <c r="AA775" i="54"/>
  <c r="AA787" i="54"/>
  <c r="AA788" i="54"/>
  <c r="AA793" i="54"/>
  <c r="AF683" i="54"/>
  <c r="AG683" i="54"/>
  <c r="AG682" i="54"/>
  <c r="AF687" i="54"/>
  <c r="AF682" i="54"/>
  <c r="AG697" i="54"/>
  <c r="AF697" i="54"/>
  <c r="AG686" i="54"/>
  <c r="AE780" i="54"/>
  <c r="AN788" i="54"/>
  <c r="AZ781" i="54"/>
  <c r="AM783" i="54"/>
  <c r="AL774" i="54"/>
  <c r="BH781" i="54"/>
  <c r="BH791" i="54"/>
  <c r="AZ777" i="54"/>
  <c r="BF772" i="54"/>
  <c r="BF791" i="54"/>
  <c r="BC785" i="54"/>
  <c r="AX789" i="54"/>
  <c r="AU775" i="54"/>
  <c r="BC778" i="54"/>
  <c r="BD791" i="54"/>
  <c r="BF776" i="54"/>
  <c r="BH794" i="54"/>
  <c r="BD785" i="54"/>
  <c r="AX791" i="54"/>
  <c r="BC788" i="54"/>
  <c r="AZ785" i="54"/>
  <c r="BH787" i="54"/>
  <c r="AU787" i="54"/>
  <c r="AX782" i="54"/>
  <c r="AM794" i="54"/>
  <c r="AN779" i="54"/>
  <c r="AX783" i="54"/>
  <c r="BC777" i="54"/>
  <c r="AN790" i="54"/>
  <c r="AM787" i="54"/>
  <c r="BD782" i="54"/>
  <c r="AV775" i="54"/>
  <c r="AL782" i="54"/>
  <c r="BC794" i="54"/>
  <c r="BF779" i="54"/>
  <c r="BC783" i="54"/>
  <c r="AN791" i="54"/>
  <c r="BF788" i="54"/>
  <c r="BH782" i="54"/>
  <c r="AV794" i="54"/>
  <c r="BD779" i="54"/>
  <c r="AN786" i="54"/>
  <c r="AL784" i="54"/>
  <c r="AM793" i="54"/>
  <c r="AM791" i="54"/>
  <c r="AL785" i="54"/>
  <c r="AN777" i="54"/>
  <c r="BD789" i="54"/>
  <c r="AN789" i="54"/>
  <c r="AU790" i="54"/>
  <c r="BF775" i="54"/>
  <c r="BD784" i="54"/>
  <c r="AM772" i="54"/>
  <c r="AL793" i="54"/>
  <c r="BF793" i="54"/>
  <c r="AM774" i="54"/>
  <c r="AZ780" i="54"/>
  <c r="AU789" i="54"/>
  <c r="BH777" i="54"/>
  <c r="AU774" i="54"/>
  <c r="BH772" i="54"/>
  <c r="BC793" i="54"/>
  <c r="AZ773" i="54"/>
  <c r="AU781" i="54"/>
  <c r="AN783" i="54"/>
  <c r="AV793" i="54"/>
  <c r="AX774" i="54"/>
  <c r="AL783" i="54"/>
  <c r="BF789" i="54"/>
  <c r="AL773" i="54"/>
  <c r="AX781" i="54"/>
  <c r="AV791" i="54"/>
  <c r="AL778" i="54"/>
  <c r="AX787" i="54"/>
  <c r="AZ794" i="54"/>
  <c r="AU794" i="54"/>
  <c r="AX790" i="54"/>
  <c r="AU788" i="54"/>
  <c r="BF784" i="54"/>
  <c r="AZ790" i="54"/>
  <c r="AU786" i="54"/>
  <c r="BF782" i="54"/>
  <c r="AX775" i="54"/>
  <c r="AL775" i="54"/>
  <c r="BF794" i="54"/>
  <c r="AL790" i="54"/>
  <c r="AX785" i="54"/>
  <c r="AM780" i="54"/>
  <c r="AZ786" i="54"/>
  <c r="AV778" i="54"/>
  <c r="BF778" i="54"/>
  <c r="BC779" i="54"/>
  <c r="AN784" i="54"/>
  <c r="AM790" i="54"/>
  <c r="BD788" i="54"/>
  <c r="BC784" i="54"/>
  <c r="AL787" i="54"/>
  <c r="AZ782" i="54"/>
  <c r="AM782" i="54"/>
  <c r="BH775" i="54"/>
  <c r="AM779" i="54"/>
  <c r="BF777" i="54"/>
  <c r="AU791" i="54"/>
  <c r="AU777" i="54"/>
  <c r="AV783" i="54"/>
  <c r="BD772" i="54"/>
  <c r="AU793" i="54"/>
  <c r="BD774" i="54"/>
  <c r="BF773" i="54"/>
  <c r="AL791" i="54"/>
  <c r="AN785" i="54"/>
  <c r="AX793" i="54"/>
  <c r="BF790" i="54"/>
  <c r="AX784" i="54"/>
  <c r="AV790" i="54"/>
  <c r="AZ793" i="54"/>
  <c r="BD777" i="54"/>
  <c r="BD783" i="54"/>
  <c r="BH773" i="54"/>
  <c r="BC773" i="54"/>
  <c r="AV777" i="54"/>
  <c r="AM781" i="54"/>
  <c r="BC789" i="54"/>
  <c r="AV773" i="54"/>
  <c r="AZ791" i="54"/>
  <c r="AV776" i="54"/>
  <c r="AV787" i="54"/>
  <c r="AN776" i="54"/>
  <c r="BF787" i="54"/>
  <c r="BC782" i="54"/>
  <c r="BD775" i="54"/>
  <c r="AU779" i="54"/>
  <c r="AZ779" i="54"/>
  <c r="AV780" i="54"/>
  <c r="BC780" i="54"/>
  <c r="AN781" i="54"/>
  <c r="AX778" i="54"/>
  <c r="AU784" i="54"/>
  <c r="BC790" i="54"/>
  <c r="BD786" i="54"/>
  <c r="AL788" i="54"/>
  <c r="BH774" i="54"/>
  <c r="AZ778" i="54"/>
  <c r="BD778" i="54"/>
  <c r="BH776" i="54"/>
  <c r="BC776" i="54"/>
  <c r="AX780" i="54"/>
  <c r="AX786" i="54"/>
  <c r="AV788" i="54"/>
  <c r="AZ775" i="54"/>
  <c r="AN775" i="54"/>
  <c r="BH778" i="54"/>
  <c r="AN794" i="54"/>
  <c r="AX779" i="54"/>
  <c r="AV784" i="54"/>
  <c r="BD790" i="54"/>
  <c r="AX788" i="54"/>
  <c r="AM777" i="54"/>
  <c r="BF786" i="54"/>
  <c r="BH784" i="54"/>
  <c r="AN773" i="54"/>
  <c r="AV781" i="54"/>
  <c r="AZ774" i="54"/>
  <c r="BD780" i="54"/>
  <c r="BH783" i="54"/>
  <c r="BD793" i="54"/>
  <c r="AM775" i="54"/>
  <c r="BF785" i="54"/>
  <c r="AX777" i="54"/>
  <c r="BH789" i="54"/>
  <c r="AM773" i="54"/>
  <c r="BC791" i="54"/>
  <c r="BH785" i="54"/>
  <c r="AM784" i="54"/>
  <c r="AN793" i="54"/>
  <c r="BD781" i="54"/>
  <c r="BC774" i="54"/>
  <c r="BH780" i="54"/>
  <c r="AU783" i="54"/>
  <c r="AL789" i="54"/>
  <c r="BD773" i="54"/>
  <c r="AM786" i="54"/>
  <c r="BH790" i="54"/>
  <c r="AZ772" i="54"/>
  <c r="AL786" i="54"/>
  <c r="AZ784" i="54"/>
  <c r="AV789" i="54"/>
  <c r="AX773" i="54"/>
  <c r="AU782" i="54"/>
  <c r="BC775" i="54"/>
  <c r="AN782" i="54"/>
  <c r="BH779" i="54"/>
  <c r="AM785" i="54"/>
  <c r="BF781" i="54"/>
  <c r="AM788" i="54"/>
  <c r="AZ783" i="54"/>
  <c r="AL777" i="54"/>
  <c r="AN778" i="54"/>
  <c r="BD776" i="54"/>
  <c r="BD787" i="54"/>
  <c r="AZ776" i="54"/>
  <c r="AZ787" i="54"/>
  <c r="AM776" i="54"/>
  <c r="BD794" i="54"/>
  <c r="BF774" i="54"/>
  <c r="AL781" i="54"/>
  <c r="AV785" i="54"/>
  <c r="AU776" i="54"/>
  <c r="AL776" i="54"/>
  <c r="AV782" i="54"/>
  <c r="AN787" i="54"/>
  <c r="AL794" i="54"/>
  <c r="AL779" i="54"/>
  <c r="AU780" i="54"/>
  <c r="BC781" i="54"/>
  <c r="AZ788" i="54"/>
  <c r="BF780" i="54"/>
  <c r="AV774" i="54"/>
  <c r="AU778" i="54"/>
  <c r="AM778" i="54"/>
  <c r="AX776" i="54"/>
  <c r="BC787" i="54"/>
  <c r="AX794" i="54"/>
  <c r="AV779" i="54"/>
  <c r="AN780" i="54"/>
  <c r="BC786" i="54"/>
  <c r="BH788" i="54"/>
  <c r="AV786" i="54"/>
  <c r="AN774" i="54"/>
  <c r="AL780" i="54"/>
  <c r="AN772" i="54"/>
  <c r="BH793" i="54"/>
  <c r="AM789" i="54"/>
  <c r="BH786" i="54"/>
  <c r="AX772" i="54"/>
  <c r="BF783" i="54"/>
  <c r="AZ789" i="54"/>
  <c r="AU773" i="54"/>
  <c r="AU785" i="54"/>
  <c r="AE785" i="54"/>
  <c r="AE774" i="54"/>
  <c r="AE794" i="54"/>
  <c r="AE786" i="54"/>
  <c r="AE777" i="54"/>
  <c r="AE775" i="54"/>
  <c r="AE783" i="54"/>
  <c r="AE772" i="54"/>
  <c r="AE779" i="54"/>
  <c r="AE773" i="54"/>
  <c r="AE788" i="54"/>
  <c r="AE790" i="54"/>
  <c r="AE793" i="54"/>
  <c r="AE776" i="54"/>
  <c r="AE781" i="54"/>
  <c r="AE787" i="54"/>
  <c r="AE782" i="54"/>
  <c r="M704" i="54"/>
  <c r="AE791" i="54"/>
  <c r="AE784" i="54"/>
  <c r="AE778" i="54"/>
  <c r="AE789" i="54"/>
  <c r="M751" i="54"/>
  <c r="AX751" i="54" s="1"/>
  <c r="E754" i="54"/>
  <c r="M709" i="54"/>
  <c r="AX709" i="54" s="1"/>
  <c r="M727" i="54"/>
  <c r="AX727" i="54" s="1"/>
  <c r="M725" i="54"/>
  <c r="M708" i="54"/>
  <c r="AX708" i="54" s="1"/>
  <c r="M705" i="54"/>
  <c r="M745" i="54"/>
  <c r="AX745" i="54" s="1"/>
  <c r="M739" i="54"/>
  <c r="M707" i="54"/>
  <c r="AX707" i="54" s="1"/>
  <c r="M734" i="54"/>
  <c r="M724" i="54"/>
  <c r="AX724" i="54" s="1"/>
  <c r="M721" i="54"/>
  <c r="AX721" i="54" s="1"/>
  <c r="M737" i="54"/>
  <c r="AX737" i="54" s="1"/>
  <c r="M748" i="54"/>
  <c r="AX748" i="54" s="1"/>
  <c r="E645" i="54"/>
  <c r="M645" i="54" s="1"/>
  <c r="E750" i="54"/>
  <c r="M733" i="54"/>
  <c r="M706" i="54"/>
  <c r="M744" i="54"/>
  <c r="M726" i="54"/>
  <c r="AX726" i="54" s="1"/>
  <c r="M732" i="54"/>
  <c r="M728" i="54"/>
  <c r="AX728" i="54" s="1"/>
  <c r="M713" i="54"/>
  <c r="AX713" i="54" s="1"/>
  <c r="M716" i="54"/>
  <c r="AX716" i="54" s="1"/>
  <c r="E644" i="54"/>
  <c r="M644" i="54" s="1"/>
  <c r="E749" i="54"/>
  <c r="M753" i="54"/>
  <c r="AX753" i="54" s="1"/>
  <c r="M735" i="54"/>
  <c r="M712" i="54"/>
  <c r="Q739" i="57" s="1"/>
  <c r="M738" i="54"/>
  <c r="AX738" i="54" s="1"/>
  <c r="M710" i="54"/>
  <c r="AX710" i="54" s="1"/>
  <c r="M722" i="54"/>
  <c r="AX722" i="54" s="1"/>
  <c r="M723" i="54"/>
  <c r="AX723" i="54" s="1"/>
  <c r="M711" i="54"/>
  <c r="AX711" i="54" s="1"/>
  <c r="M752" i="54"/>
  <c r="AX752" i="54" s="1"/>
  <c r="M747" i="54"/>
  <c r="AX747" i="54" s="1"/>
  <c r="M731" i="54"/>
  <c r="AD842" i="57" s="1"/>
  <c r="M741" i="54"/>
  <c r="M714" i="54"/>
  <c r="AX714" i="54" s="1"/>
  <c r="M736" i="54"/>
  <c r="AX736" i="54" s="1"/>
  <c r="M743" i="54"/>
  <c r="M742" i="54"/>
  <c r="AX742" i="54" s="1"/>
  <c r="M740" i="54"/>
  <c r="AX740" i="54" s="1"/>
  <c r="E646" i="54"/>
  <c r="M646" i="54" s="1"/>
  <c r="H685" i="54"/>
  <c r="H899" i="57" s="1"/>
  <c r="H903" i="58" s="1"/>
  <c r="E649" i="54"/>
  <c r="M649" i="54" s="1"/>
  <c r="H683" i="54"/>
  <c r="H897" i="57" s="1"/>
  <c r="H901" i="58" s="1"/>
  <c r="H676" i="54"/>
  <c r="H890" i="57" s="1"/>
  <c r="H894" i="58" s="1"/>
  <c r="H666" i="54"/>
  <c r="E643" i="54"/>
  <c r="M643" i="54" s="1"/>
  <c r="H679" i="54"/>
  <c r="H893" i="57" s="1"/>
  <c r="H897" i="58" s="1"/>
  <c r="H677" i="54"/>
  <c r="H891" i="57" s="1"/>
  <c r="H895" i="58" s="1"/>
  <c r="H682" i="54"/>
  <c r="H896" i="57" s="1"/>
  <c r="H900" i="58" s="1"/>
  <c r="H686" i="54"/>
  <c r="H900" i="57" s="1"/>
  <c r="H904" i="58" s="1"/>
  <c r="E648" i="54"/>
  <c r="M648" i="54" s="1"/>
  <c r="H681" i="54"/>
  <c r="H895" i="57" s="1"/>
  <c r="H899" i="58" s="1"/>
  <c r="AG687" i="54"/>
  <c r="H678" i="54"/>
  <c r="H892" i="57" s="1"/>
  <c r="H896" i="58" s="1"/>
  <c r="H668" i="54"/>
  <c r="E647" i="54"/>
  <c r="M647" i="54" s="1"/>
  <c r="H687" i="54"/>
  <c r="H901" i="57" s="1"/>
  <c r="H905" i="58" s="1"/>
  <c r="E642" i="54"/>
  <c r="H680" i="54"/>
  <c r="H894" i="57" s="1"/>
  <c r="H898" i="58" s="1"/>
  <c r="H684" i="54"/>
  <c r="H898" i="57" s="1"/>
  <c r="H902" i="58" s="1"/>
  <c r="AF686" i="54"/>
  <c r="M627" i="54"/>
  <c r="M630" i="54"/>
  <c r="M638" i="54"/>
  <c r="M629" i="54"/>
  <c r="M634" i="54"/>
  <c r="M639" i="54"/>
  <c r="M631" i="54"/>
  <c r="M636" i="54"/>
  <c r="M640" i="54"/>
  <c r="M637" i="54"/>
  <c r="M632" i="54"/>
  <c r="M635" i="54"/>
  <c r="M626" i="54"/>
  <c r="M641" i="54"/>
  <c r="M628" i="54"/>
  <c r="M633" i="54"/>
  <c r="M574" i="54"/>
  <c r="Q574" i="54"/>
  <c r="V574" i="54"/>
  <c r="K575" i="54"/>
  <c r="T575" i="54" s="1"/>
  <c r="O575" i="54"/>
  <c r="S575" i="54"/>
  <c r="X575" i="54"/>
  <c r="M576" i="54"/>
  <c r="Q576" i="54"/>
  <c r="V576" i="54"/>
  <c r="K577" i="54"/>
  <c r="T577" i="54" s="1"/>
  <c r="O577" i="54"/>
  <c r="S577" i="54"/>
  <c r="X577" i="54"/>
  <c r="M578" i="54"/>
  <c r="Q578" i="54"/>
  <c r="V578" i="54"/>
  <c r="K579" i="54"/>
  <c r="T579" i="54" s="1"/>
  <c r="O579" i="54"/>
  <c r="S579" i="54"/>
  <c r="X579" i="54"/>
  <c r="I576" i="54"/>
  <c r="G574" i="54"/>
  <c r="G576" i="54"/>
  <c r="G578" i="54"/>
  <c r="C578" i="54"/>
  <c r="N574" i="54"/>
  <c r="R574" i="54"/>
  <c r="L575" i="54"/>
  <c r="P575" i="54"/>
  <c r="U575" i="54"/>
  <c r="Y575" i="54"/>
  <c r="N576" i="54"/>
  <c r="R576" i="54"/>
  <c r="L577" i="54"/>
  <c r="P577" i="54"/>
  <c r="U577" i="54"/>
  <c r="Y577" i="54"/>
  <c r="N578" i="54"/>
  <c r="R578" i="54"/>
  <c r="L579" i="54"/>
  <c r="P579" i="54"/>
  <c r="U579" i="54"/>
  <c r="Y579" i="54"/>
  <c r="D574" i="54"/>
  <c r="D575" i="54"/>
  <c r="D576" i="54"/>
  <c r="D577" i="54"/>
  <c r="D578" i="54"/>
  <c r="D579" i="54"/>
  <c r="C575" i="54"/>
  <c r="C579" i="54"/>
  <c r="E575" i="54"/>
  <c r="E577" i="54"/>
  <c r="E579" i="54"/>
  <c r="K574" i="54"/>
  <c r="T574" i="54" s="1"/>
  <c r="O574" i="54"/>
  <c r="S574" i="54"/>
  <c r="X574" i="54"/>
  <c r="M575" i="54"/>
  <c r="Q575" i="54"/>
  <c r="V575" i="54"/>
  <c r="K576" i="54"/>
  <c r="T576" i="54" s="1"/>
  <c r="O576" i="54"/>
  <c r="S576" i="54"/>
  <c r="X576" i="54"/>
  <c r="M577" i="54"/>
  <c r="Q577" i="54"/>
  <c r="V577" i="54"/>
  <c r="K578" i="54"/>
  <c r="T578" i="54" s="1"/>
  <c r="O578" i="54"/>
  <c r="S578" i="54"/>
  <c r="X578" i="54"/>
  <c r="M579" i="54"/>
  <c r="Q579" i="54"/>
  <c r="V579" i="54"/>
  <c r="I575" i="54"/>
  <c r="I577" i="54"/>
  <c r="I579" i="54"/>
  <c r="E574" i="54"/>
  <c r="E576" i="54"/>
  <c r="E578" i="54"/>
  <c r="C576" i="54"/>
  <c r="L574" i="54"/>
  <c r="P574" i="54"/>
  <c r="U574" i="54"/>
  <c r="Y574" i="54"/>
  <c r="N575" i="54"/>
  <c r="R575" i="54"/>
  <c r="L576" i="54"/>
  <c r="P576" i="54"/>
  <c r="U576" i="54"/>
  <c r="Y576" i="54"/>
  <c r="N577" i="54"/>
  <c r="R577" i="54"/>
  <c r="L578" i="54"/>
  <c r="P578" i="54"/>
  <c r="U578" i="54"/>
  <c r="Y578" i="54"/>
  <c r="N579" i="54"/>
  <c r="R579" i="54"/>
  <c r="F574" i="54"/>
  <c r="F575" i="54"/>
  <c r="F576" i="54"/>
  <c r="F577" i="54"/>
  <c r="F578" i="54"/>
  <c r="F579" i="54"/>
  <c r="C577" i="54"/>
  <c r="I574" i="54"/>
  <c r="I578" i="54"/>
  <c r="G575" i="54"/>
  <c r="G577" i="54"/>
  <c r="G579" i="54"/>
  <c r="C574" i="54"/>
  <c r="AF669" i="54"/>
  <c r="AG669" i="54"/>
  <c r="AG919" i="58"/>
  <c r="AF886" i="57"/>
  <c r="AG918" i="58"/>
  <c r="AG668" i="54"/>
  <c r="E938" i="57"/>
  <c r="E942" i="58" s="1"/>
  <c r="AF668" i="54"/>
  <c r="AJ1085" i="58"/>
  <c r="V1085" i="58"/>
  <c r="AC1085" i="58"/>
  <c r="AF919" i="58"/>
  <c r="AF918" i="58"/>
  <c r="AE922" i="58" s="1"/>
  <c r="O1083" i="58"/>
  <c r="AC1083" i="58"/>
  <c r="AK1085" i="58"/>
  <c r="V1083" i="58"/>
  <c r="AJ1083" i="58"/>
  <c r="T1085" i="58"/>
  <c r="T1083" i="58"/>
  <c r="AG913" i="58"/>
  <c r="AF913" i="58"/>
  <c r="AG912" i="58"/>
  <c r="AK1083" i="58"/>
  <c r="F807" i="57"/>
  <c r="F384" i="57" s="1"/>
  <c r="AA814" i="58"/>
  <c r="J814" i="58"/>
  <c r="AA818" i="58"/>
  <c r="N818" i="58"/>
  <c r="J818" i="58"/>
  <c r="C359" i="58"/>
  <c r="F375" i="58" s="1"/>
  <c r="D808" i="58"/>
  <c r="AA813" i="58"/>
  <c r="J813" i="58"/>
  <c r="N813" i="58"/>
  <c r="T804" i="58"/>
  <c r="S804" i="58"/>
  <c r="G823" i="57"/>
  <c r="G415" i="57" s="1"/>
  <c r="T806" i="58"/>
  <c r="S806" i="58"/>
  <c r="I842" i="58"/>
  <c r="J832" i="58"/>
  <c r="J831" i="58"/>
  <c r="J830" i="58"/>
  <c r="J833" i="58"/>
  <c r="I846" i="58" s="1"/>
  <c r="E848" i="58"/>
  <c r="AA812" i="58"/>
  <c r="N812" i="58"/>
  <c r="J812" i="58"/>
  <c r="AG663" i="54"/>
  <c r="R357" i="58"/>
  <c r="U367" i="58" s="1"/>
  <c r="U795" i="58"/>
  <c r="T357" i="58" s="1"/>
  <c r="W367" i="58" s="1"/>
  <c r="S811" i="58"/>
  <c r="T811" i="58"/>
  <c r="E849" i="58"/>
  <c r="E847" i="58"/>
  <c r="T805" i="58"/>
  <c r="S805" i="58"/>
  <c r="R359" i="58"/>
  <c r="U375" i="58" s="1"/>
  <c r="U797" i="58"/>
  <c r="T359" i="58" s="1"/>
  <c r="W375" i="58" s="1"/>
  <c r="T809" i="58"/>
  <c r="S809" i="58"/>
  <c r="AA816" i="58"/>
  <c r="N816" i="58"/>
  <c r="J816" i="58"/>
  <c r="T810" i="58"/>
  <c r="S810" i="58"/>
  <c r="AA817" i="58"/>
  <c r="J817" i="58"/>
  <c r="N817" i="58"/>
  <c r="S815" i="58"/>
  <c r="T815" i="58"/>
  <c r="S808" i="58"/>
  <c r="T808" i="58"/>
  <c r="X1083" i="58"/>
  <c r="X1085" i="58"/>
  <c r="AF1004" i="58"/>
  <c r="AM1004" i="58"/>
  <c r="AL1004" i="58"/>
  <c r="AE1004" i="58"/>
  <c r="AL1006" i="58"/>
  <c r="AE1006" i="58"/>
  <c r="AF1006" i="58"/>
  <c r="AM1006" i="58"/>
  <c r="AF1003" i="58"/>
  <c r="AE1003" i="58"/>
  <c r="AM1003" i="58"/>
  <c r="AL1003" i="58"/>
  <c r="AG879" i="57"/>
  <c r="R960" i="58"/>
  <c r="AG960" i="58" s="1"/>
  <c r="E765" i="58"/>
  <c r="R967" i="58"/>
  <c r="AG967" i="58" s="1"/>
  <c r="T967" i="58"/>
  <c r="S967" i="58"/>
  <c r="AO928" i="58"/>
  <c r="AN928" i="58"/>
  <c r="T960" i="58"/>
  <c r="S960" i="58"/>
  <c r="AH937" i="58"/>
  <c r="AG884" i="57"/>
  <c r="E750" i="58"/>
  <c r="AO936" i="58"/>
  <c r="AN936" i="58"/>
  <c r="Q957" i="58"/>
  <c r="S957" i="58"/>
  <c r="T957" i="58"/>
  <c r="R965" i="58"/>
  <c r="S965" i="58"/>
  <c r="T965" i="58"/>
  <c r="AO939" i="58"/>
  <c r="AN939" i="58"/>
  <c r="AO934" i="58"/>
  <c r="AN934" i="58"/>
  <c r="AO949" i="58"/>
  <c r="AN949" i="58"/>
  <c r="AH948" i="58"/>
  <c r="AG937" i="58"/>
  <c r="R961" i="58"/>
  <c r="T961" i="58"/>
  <c r="S961" i="58"/>
  <c r="AG885" i="57"/>
  <c r="E766" i="58"/>
  <c r="AO933" i="58"/>
  <c r="AN933" i="58"/>
  <c r="AO940" i="58"/>
  <c r="AN940" i="58"/>
  <c r="AN929" i="58"/>
  <c r="AO929" i="58"/>
  <c r="AN935" i="58"/>
  <c r="AO935" i="58"/>
  <c r="AG948" i="58"/>
  <c r="AH947" i="58"/>
  <c r="AF879" i="57"/>
  <c r="AF887" i="57"/>
  <c r="AF884" i="57"/>
  <c r="AG883" i="57"/>
  <c r="AF883" i="57"/>
  <c r="AF878" i="57"/>
  <c r="AG877" i="57"/>
  <c r="AF877" i="57"/>
  <c r="AG887" i="57"/>
  <c r="AF882" i="57"/>
  <c r="U814" i="57"/>
  <c r="U391" i="57" s="1"/>
  <c r="AG876" i="57"/>
  <c r="AG886" i="57"/>
  <c r="G885" i="57"/>
  <c r="AR884" i="57"/>
  <c r="G774" i="57"/>
  <c r="G776" i="57"/>
  <c r="G775" i="57"/>
  <c r="E936" i="57"/>
  <c r="E940" i="58" s="1"/>
  <c r="E935" i="57"/>
  <c r="E939" i="58" s="1"/>
  <c r="X1033" i="57"/>
  <c r="X1035" i="57"/>
  <c r="W1038" i="57"/>
  <c r="X1023" i="57"/>
  <c r="W1025" i="57"/>
  <c r="X1025" i="57"/>
  <c r="X1019" i="57"/>
  <c r="X1018" i="57"/>
  <c r="W1039" i="57"/>
  <c r="X1024" i="57"/>
  <c r="W1026" i="57"/>
  <c r="W1034" i="57"/>
  <c r="X1020" i="57"/>
  <c r="X1021" i="57"/>
  <c r="W1021" i="57"/>
  <c r="W1024" i="57"/>
  <c r="X1034" i="57"/>
  <c r="X1036" i="57"/>
  <c r="W1036" i="57"/>
  <c r="X1039" i="57"/>
  <c r="X1017" i="57"/>
  <c r="W1019" i="57"/>
  <c r="X1026" i="57"/>
  <c r="W1018" i="57"/>
  <c r="X1022" i="57"/>
  <c r="X1038" i="57"/>
  <c r="W1022" i="57"/>
  <c r="W1020" i="57"/>
  <c r="W1033" i="57"/>
  <c r="W1035" i="57"/>
  <c r="W1023" i="57"/>
  <c r="W1017" i="57"/>
  <c r="AG665" i="54"/>
  <c r="AF665" i="54"/>
  <c r="AG666" i="54"/>
  <c r="AG696" i="54"/>
  <c r="AF696" i="54"/>
  <c r="AF656" i="54"/>
  <c r="E600" i="54"/>
  <c r="F810" i="57" s="1"/>
  <c r="F387" i="57" s="1"/>
  <c r="AG660" i="54"/>
  <c r="R704" i="54"/>
  <c r="AG704" i="54" s="1"/>
  <c r="S704" i="54"/>
  <c r="T704" i="54"/>
  <c r="Q705" i="54"/>
  <c r="T705" i="54"/>
  <c r="R705" i="54"/>
  <c r="S705" i="54"/>
  <c r="R706" i="54"/>
  <c r="Q706" i="54"/>
  <c r="S706" i="54"/>
  <c r="T706" i="54"/>
  <c r="AG657" i="54"/>
  <c r="AF664" i="54"/>
  <c r="AG661" i="54"/>
  <c r="AF663" i="54"/>
  <c r="AG664" i="54"/>
  <c r="AF661" i="54"/>
  <c r="AF657" i="54"/>
  <c r="AF660" i="54"/>
  <c r="AF662" i="54"/>
  <c r="AG662" i="54"/>
  <c r="AG659" i="54"/>
  <c r="AF659" i="54"/>
  <c r="AG656" i="54"/>
  <c r="AF658" i="54"/>
  <c r="AG658" i="54"/>
  <c r="E598" i="54"/>
  <c r="B11" i="4"/>
  <c r="C11" i="4" s="1"/>
  <c r="B9" i="4"/>
  <c r="U800" i="58" l="1"/>
  <c r="AE396" i="57"/>
  <c r="AG396" i="57"/>
  <c r="F793" i="58"/>
  <c r="G825" i="58"/>
  <c r="AA292" i="58"/>
  <c r="AA296" i="58"/>
  <c r="X296" i="58"/>
  <c r="Y296" i="58"/>
  <c r="AG292" i="58"/>
  <c r="AE292" i="58"/>
  <c r="G292" i="58"/>
  <c r="G296" i="58"/>
  <c r="U285" i="58"/>
  <c r="AF296" i="58" s="1"/>
  <c r="AH296" i="58" s="1"/>
  <c r="Y284" i="58"/>
  <c r="U284" i="58"/>
  <c r="Q284" i="58"/>
  <c r="X292" i="58" s="1"/>
  <c r="M284" i="58"/>
  <c r="M292" i="58" s="1"/>
  <c r="I284" i="58"/>
  <c r="J292" i="58" s="1"/>
  <c r="P292" i="58" s="1"/>
  <c r="E284" i="58"/>
  <c r="F292" i="58" s="1"/>
  <c r="N284" i="58"/>
  <c r="N292" i="58" s="1"/>
  <c r="X284" i="58"/>
  <c r="T284" i="58"/>
  <c r="AD292" i="58" s="1"/>
  <c r="P284" i="58"/>
  <c r="T292" i="58" s="1"/>
  <c r="L284" i="58"/>
  <c r="K292" i="58" s="1"/>
  <c r="H284" i="58"/>
  <c r="D284" i="58"/>
  <c r="E292" i="58" s="1"/>
  <c r="V284" i="58"/>
  <c r="Q292" i="58" s="1"/>
  <c r="J284" i="58"/>
  <c r="O292" i="58" s="1"/>
  <c r="W284" i="58"/>
  <c r="AJ292" i="58" s="1"/>
  <c r="S284" i="58"/>
  <c r="AB292" i="58" s="1"/>
  <c r="O284" i="58"/>
  <c r="K284" i="58"/>
  <c r="L292" i="58" s="1"/>
  <c r="G284" i="58"/>
  <c r="C292" i="58" s="1"/>
  <c r="C284" i="58"/>
  <c r="D292" i="58" s="1"/>
  <c r="R284" i="58"/>
  <c r="Z292" i="58" s="1"/>
  <c r="F796" i="58"/>
  <c r="X1032" i="57"/>
  <c r="W1029" i="57"/>
  <c r="X1028" i="57"/>
  <c r="X1031" i="57"/>
  <c r="X1030" i="57"/>
  <c r="X1029" i="57"/>
  <c r="W1028" i="57"/>
  <c r="W1032" i="57"/>
  <c r="P792" i="54"/>
  <c r="BP1023" i="58"/>
  <c r="BO1037" i="58"/>
  <c r="BO1033" i="58"/>
  <c r="BP1037" i="58"/>
  <c r="BT1037" i="58"/>
  <c r="BO1039" i="58"/>
  <c r="BO1034" i="58"/>
  <c r="D811" i="58"/>
  <c r="D817" i="58" s="1"/>
  <c r="BS1037" i="58"/>
  <c r="BO1036" i="58"/>
  <c r="BO1038" i="58"/>
  <c r="W1030" i="57"/>
  <c r="Q792" i="54"/>
  <c r="BO1035" i="58"/>
  <c r="D816" i="58"/>
  <c r="X1037" i="57"/>
  <c r="W1037" i="57"/>
  <c r="AX704" i="54"/>
  <c r="AE704" i="54"/>
  <c r="E782" i="58"/>
  <c r="AD868" i="57"/>
  <c r="AV964" i="57"/>
  <c r="A739" i="57"/>
  <c r="B739" i="57"/>
  <c r="B778" i="57" s="1"/>
  <c r="AD739" i="57"/>
  <c r="Z739" i="57"/>
  <c r="AB739" i="57" s="1"/>
  <c r="AQ739" i="57"/>
  <c r="AE739" i="57"/>
  <c r="Y739" i="57"/>
  <c r="AA739" i="57" s="1"/>
  <c r="AC739" i="57"/>
  <c r="BG772" i="54"/>
  <c r="AS792" i="54"/>
  <c r="AW792" i="54"/>
  <c r="AC792" i="54"/>
  <c r="BA792" i="54"/>
  <c r="BE792" i="54"/>
  <c r="AY792" i="54"/>
  <c r="BG792" i="54"/>
  <c r="AX712" i="54"/>
  <c r="BA772" i="54"/>
  <c r="BB772" i="54"/>
  <c r="AM746" i="54"/>
  <c r="P746" i="54"/>
  <c r="O746" i="54"/>
  <c r="AL746" i="54"/>
  <c r="AX746" i="54"/>
  <c r="AF746" i="54"/>
  <c r="AE746" i="54"/>
  <c r="AG1084" i="58"/>
  <c r="AG931" i="58"/>
  <c r="AG962" i="58"/>
  <c r="AJ851" i="54"/>
  <c r="AM867" i="54" s="1"/>
  <c r="AP851" i="54"/>
  <c r="E933" i="57"/>
  <c r="AK851" i="54"/>
  <c r="AN867" i="54" s="1"/>
  <c r="AQ851" i="54"/>
  <c r="O851" i="54"/>
  <c r="W867" i="54" s="1"/>
  <c r="V851" i="54"/>
  <c r="AC867" i="54" s="1"/>
  <c r="AC851" i="54"/>
  <c r="AG867" i="54" s="1"/>
  <c r="R851" i="54"/>
  <c r="T851" i="54"/>
  <c r="AA867" i="54" s="1"/>
  <c r="AH950" i="58"/>
  <c r="AH942" i="58"/>
  <c r="E267" i="54"/>
  <c r="G617" i="54"/>
  <c r="Q617" i="54" s="1"/>
  <c r="AH941" i="58"/>
  <c r="AH930" i="58"/>
  <c r="AE718" i="54"/>
  <c r="BG785" i="54"/>
  <c r="BG794" i="54"/>
  <c r="BG783" i="54"/>
  <c r="BG784" i="54"/>
  <c r="BE775" i="54"/>
  <c r="AY782" i="54"/>
  <c r="AY781" i="54"/>
  <c r="BE794" i="54"/>
  <c r="AY775" i="54"/>
  <c r="BG790" i="54"/>
  <c r="BE784" i="54"/>
  <c r="AY790" i="54"/>
  <c r="BE773" i="54"/>
  <c r="AW777" i="54"/>
  <c r="BG779" i="54"/>
  <c r="BE788" i="54"/>
  <c r="AY793" i="54"/>
  <c r="AW787" i="54"/>
  <c r="AY773" i="54"/>
  <c r="AW794" i="54"/>
  <c r="BG793" i="54"/>
  <c r="AY789" i="54"/>
  <c r="AW780" i="54"/>
  <c r="BG786" i="54"/>
  <c r="AW789" i="54"/>
  <c r="AW783" i="54"/>
  <c r="BE774" i="54"/>
  <c r="AW790" i="54"/>
  <c r="AW791" i="54"/>
  <c r="AW786" i="54"/>
  <c r="AW793" i="54"/>
  <c r="AY776" i="54"/>
  <c r="BE782" i="54"/>
  <c r="BE779" i="54"/>
  <c r="AW779" i="54"/>
  <c r="AY779" i="54"/>
  <c r="BG782" i="54"/>
  <c r="AY788" i="54"/>
  <c r="AW778" i="54"/>
  <c r="BE780" i="54"/>
  <c r="BE789" i="54"/>
  <c r="AY780" i="54"/>
  <c r="AW788" i="54"/>
  <c r="AW775" i="54"/>
  <c r="BE793" i="54"/>
  <c r="AW773" i="54"/>
  <c r="BG775" i="54"/>
  <c r="AW785" i="54"/>
  <c r="BG776" i="54"/>
  <c r="AY783" i="54"/>
  <c r="BG774" i="54"/>
  <c r="BE776" i="54"/>
  <c r="BE772" i="54"/>
  <c r="BE787" i="54"/>
  <c r="AW781" i="54"/>
  <c r="AY778" i="54"/>
  <c r="BE791" i="54"/>
  <c r="AW784" i="54"/>
  <c r="BG787" i="54"/>
  <c r="AY794" i="54"/>
  <c r="AW776" i="54"/>
  <c r="AY784" i="54"/>
  <c r="BG778" i="54"/>
  <c r="BE790" i="54"/>
  <c r="AY787" i="54"/>
  <c r="AW774" i="54"/>
  <c r="BG788" i="54"/>
  <c r="BE777" i="54"/>
  <c r="BE783" i="54"/>
  <c r="BG789" i="54"/>
  <c r="BE778" i="54"/>
  <c r="AY785" i="54"/>
  <c r="BG773" i="54"/>
  <c r="AY772" i="54"/>
  <c r="AY791" i="54"/>
  <c r="AY777" i="54"/>
  <c r="BG781" i="54"/>
  <c r="BG791" i="54"/>
  <c r="AY774" i="54"/>
  <c r="BE785" i="54"/>
  <c r="BG777" i="54"/>
  <c r="BE786" i="54"/>
  <c r="AW782" i="54"/>
  <c r="AW772" i="54"/>
  <c r="BE781" i="54"/>
  <c r="BG780" i="54"/>
  <c r="AY786" i="54"/>
  <c r="R616" i="54"/>
  <c r="A718" i="54"/>
  <c r="AV936" i="57"/>
  <c r="M730" i="54"/>
  <c r="AX730" i="54" s="1"/>
  <c r="AX718" i="54"/>
  <c r="AD861" i="58"/>
  <c r="M861" i="58" s="1"/>
  <c r="AX735" i="54"/>
  <c r="AD865" i="58"/>
  <c r="M865" i="58" s="1"/>
  <c r="AX739" i="54"/>
  <c r="AD869" i="58"/>
  <c r="M869" i="58" s="1"/>
  <c r="AX743" i="54"/>
  <c r="AD857" i="58"/>
  <c r="M857" i="58" s="1"/>
  <c r="A857" i="58" s="1"/>
  <c r="AX731" i="54"/>
  <c r="AD858" i="58"/>
  <c r="M858" i="58" s="1"/>
  <c r="AX732" i="54"/>
  <c r="AD859" i="58"/>
  <c r="M859" i="58" s="1"/>
  <c r="AX733" i="54"/>
  <c r="A717" i="54"/>
  <c r="AX717" i="54"/>
  <c r="AL1005" i="58"/>
  <c r="AW1005" i="58"/>
  <c r="AM725" i="54"/>
  <c r="AX725" i="54"/>
  <c r="AD855" i="57"/>
  <c r="AX744" i="54"/>
  <c r="A720" i="54"/>
  <c r="AX720" i="54"/>
  <c r="AV937" i="57"/>
  <c r="AX719" i="54"/>
  <c r="AD867" i="58"/>
  <c r="M867" i="58" s="1"/>
  <c r="AX741" i="54"/>
  <c r="AV924" i="57"/>
  <c r="AX706" i="54"/>
  <c r="AD860" i="58"/>
  <c r="M860" i="58" s="1"/>
  <c r="AX734" i="54"/>
  <c r="AV923" i="57"/>
  <c r="AX705" i="54"/>
  <c r="BA791" i="54"/>
  <c r="BA784" i="54"/>
  <c r="AS773" i="54"/>
  <c r="BB777" i="54"/>
  <c r="BA774" i="54"/>
  <c r="AS776" i="54"/>
  <c r="AS788" i="54"/>
  <c r="BA777" i="54"/>
  <c r="BA787" i="54"/>
  <c r="BB773" i="54"/>
  <c r="BA785" i="54"/>
  <c r="BA780" i="54"/>
  <c r="AS793" i="54"/>
  <c r="BB776" i="54"/>
  <c r="AM729" i="54"/>
  <c r="AV947" i="57"/>
  <c r="BB781" i="54"/>
  <c r="AS791" i="54"/>
  <c r="BA783" i="54"/>
  <c r="BB775" i="54"/>
  <c r="AS781" i="54"/>
  <c r="AS783" i="54"/>
  <c r="AS779" i="54"/>
  <c r="AS778" i="54"/>
  <c r="AS777" i="54"/>
  <c r="BA776" i="54"/>
  <c r="AS785" i="54"/>
  <c r="AS772" i="54"/>
  <c r="BA775" i="54"/>
  <c r="BA789" i="54"/>
  <c r="E952" i="58"/>
  <c r="AS789" i="54"/>
  <c r="AS786" i="54"/>
  <c r="BA788" i="54"/>
  <c r="AS782" i="54"/>
  <c r="AS775" i="54"/>
  <c r="AS780" i="54"/>
  <c r="BB778" i="54"/>
  <c r="AS787" i="54"/>
  <c r="BB779" i="54"/>
  <c r="AS774" i="54"/>
  <c r="AT772" i="54"/>
  <c r="BB780" i="54"/>
  <c r="BA779" i="54"/>
  <c r="AS794" i="54"/>
  <c r="BA781" i="54"/>
  <c r="BA794" i="54"/>
  <c r="BA786" i="54"/>
  <c r="BB774" i="54"/>
  <c r="AS784" i="54"/>
  <c r="BA778" i="54"/>
  <c r="BA790" i="54"/>
  <c r="BA782" i="54"/>
  <c r="AS790" i="54"/>
  <c r="BA793" i="54"/>
  <c r="BA773" i="54"/>
  <c r="E761" i="58"/>
  <c r="L775" i="57"/>
  <c r="T775" i="57"/>
  <c r="AH938" i="58"/>
  <c r="AH943" i="58"/>
  <c r="AH959" i="58"/>
  <c r="AG944" i="58"/>
  <c r="AH940" i="58"/>
  <c r="AG945" i="58"/>
  <c r="AH946" i="58"/>
  <c r="AG932" i="58"/>
  <c r="AH927" i="58"/>
  <c r="AG690" i="54"/>
  <c r="AV938" i="57"/>
  <c r="AG1085" i="58"/>
  <c r="AH939" i="58"/>
  <c r="AG1083" i="58"/>
  <c r="AK1099" i="58" s="1"/>
  <c r="AF690" i="54"/>
  <c r="BP783" i="54" s="1"/>
  <c r="AH949" i="58"/>
  <c r="AG958" i="58"/>
  <c r="AH928" i="58"/>
  <c r="AL720" i="54"/>
  <c r="AG934" i="58"/>
  <c r="AG933" i="58"/>
  <c r="AG929" i="58"/>
  <c r="AM720" i="54"/>
  <c r="AK850" i="54"/>
  <c r="BI858" i="54" s="1"/>
  <c r="M715" i="54"/>
  <c r="AK852" i="54"/>
  <c r="AN868" i="54" s="1"/>
  <c r="AH935" i="58"/>
  <c r="AG691" i="54"/>
  <c r="AH934" i="58"/>
  <c r="AH933" i="58"/>
  <c r="AH929" i="58"/>
  <c r="AJ852" i="54"/>
  <c r="AM868" i="54" s="1"/>
  <c r="AG928" i="58"/>
  <c r="AH936" i="58"/>
  <c r="AG926" i="58"/>
  <c r="E937" i="57"/>
  <c r="E941" i="58" s="1"/>
  <c r="AV941" i="57"/>
  <c r="AE723" i="54"/>
  <c r="AF723" i="54"/>
  <c r="AV930" i="57"/>
  <c r="AE712" i="54"/>
  <c r="AF712" i="54"/>
  <c r="AV955" i="57"/>
  <c r="AF737" i="54"/>
  <c r="AE737" i="54"/>
  <c r="AV925" i="57"/>
  <c r="AE707" i="54"/>
  <c r="AF707" i="54"/>
  <c r="AV926" i="57"/>
  <c r="AE708" i="54"/>
  <c r="AF708" i="54"/>
  <c r="AE720" i="54"/>
  <c r="AF720" i="54"/>
  <c r="AH706" i="54"/>
  <c r="AF706" i="54"/>
  <c r="AH704" i="54"/>
  <c r="AF704" i="54"/>
  <c r="AG706" i="54"/>
  <c r="AE706" i="54"/>
  <c r="AG705" i="54"/>
  <c r="AE705" i="54"/>
  <c r="A736" i="54"/>
  <c r="AF736" i="54"/>
  <c r="AE736" i="54"/>
  <c r="AV940" i="57"/>
  <c r="AE722" i="54"/>
  <c r="AF722" i="54"/>
  <c r="AV934" i="57"/>
  <c r="AE716" i="54"/>
  <c r="AF716" i="54"/>
  <c r="AV944" i="57"/>
  <c r="AF726" i="54"/>
  <c r="AE726" i="54"/>
  <c r="AV939" i="57"/>
  <c r="AF721" i="54"/>
  <c r="AE721" i="54"/>
  <c r="AV943" i="57"/>
  <c r="AF725" i="54"/>
  <c r="AE725" i="54"/>
  <c r="AL729" i="54"/>
  <c r="AF729" i="54"/>
  <c r="AE729" i="54"/>
  <c r="AF705" i="54"/>
  <c r="AH705" i="54"/>
  <c r="P740" i="54"/>
  <c r="AE740" i="54"/>
  <c r="AF740" i="54"/>
  <c r="AV932" i="57"/>
  <c r="AF714" i="54"/>
  <c r="AE714" i="54"/>
  <c r="AE752" i="54"/>
  <c r="AF752" i="54"/>
  <c r="AV928" i="57"/>
  <c r="AE710" i="54"/>
  <c r="AF710" i="54"/>
  <c r="AV931" i="57"/>
  <c r="AE713" i="54"/>
  <c r="AF713" i="54"/>
  <c r="AV942" i="57"/>
  <c r="AE724" i="54"/>
  <c r="AF724" i="54"/>
  <c r="AF745" i="54"/>
  <c r="AE745" i="54"/>
  <c r="AV945" i="57"/>
  <c r="AE727" i="54"/>
  <c r="AF727" i="54"/>
  <c r="AE717" i="54"/>
  <c r="AF717" i="54"/>
  <c r="AF742" i="54"/>
  <c r="AE742" i="54"/>
  <c r="AV929" i="57"/>
  <c r="AE711" i="54"/>
  <c r="AF711" i="54"/>
  <c r="A738" i="54"/>
  <c r="AE738" i="54"/>
  <c r="AF738" i="54"/>
  <c r="AV946" i="57"/>
  <c r="AE728" i="54"/>
  <c r="AF728" i="54"/>
  <c r="AE748" i="54"/>
  <c r="AF748" i="54"/>
  <c r="AV927" i="57"/>
  <c r="AE709" i="54"/>
  <c r="AF709" i="54"/>
  <c r="AV922" i="57"/>
  <c r="AE719" i="54"/>
  <c r="AF719" i="54"/>
  <c r="AH926" i="58"/>
  <c r="AF1005" i="58"/>
  <c r="AE1005" i="58"/>
  <c r="AM1005" i="58"/>
  <c r="AL713" i="54"/>
  <c r="AL705" i="54"/>
  <c r="A704" i="54"/>
  <c r="AM704" i="54"/>
  <c r="P734" i="54"/>
  <c r="AL721" i="54"/>
  <c r="AM727" i="54"/>
  <c r="AL724" i="54"/>
  <c r="A713" i="54"/>
  <c r="AM713" i="54"/>
  <c r="P745" i="54"/>
  <c r="AL704" i="54"/>
  <c r="AM705" i="54"/>
  <c r="A734" i="54"/>
  <c r="AM709" i="54"/>
  <c r="AL706" i="54"/>
  <c r="AL709" i="54"/>
  <c r="A709" i="54"/>
  <c r="AM706" i="54"/>
  <c r="AM728" i="54"/>
  <c r="O734" i="54"/>
  <c r="A706" i="54"/>
  <c r="AV952" i="57"/>
  <c r="A721" i="54"/>
  <c r="AD845" i="57"/>
  <c r="A726" i="54"/>
  <c r="AM726" i="54"/>
  <c r="AM721" i="54"/>
  <c r="AL716" i="54"/>
  <c r="A725" i="54"/>
  <c r="A716" i="54"/>
  <c r="AL726" i="54"/>
  <c r="AL725" i="54"/>
  <c r="A728" i="54"/>
  <c r="P738" i="54"/>
  <c r="AV962" i="57"/>
  <c r="AM716" i="54"/>
  <c r="AL711" i="54"/>
  <c r="AM711" i="54"/>
  <c r="A705" i="54"/>
  <c r="A711" i="54"/>
  <c r="AL722" i="54"/>
  <c r="P735" i="54"/>
  <c r="O735" i="54"/>
  <c r="A735" i="54"/>
  <c r="O739" i="54"/>
  <c r="AL728" i="54"/>
  <c r="P739" i="54"/>
  <c r="O744" i="54"/>
  <c r="A739" i="54"/>
  <c r="A745" i="54"/>
  <c r="AD850" i="57"/>
  <c r="O738" i="54"/>
  <c r="AV957" i="57"/>
  <c r="A742" i="54"/>
  <c r="AD856" i="57"/>
  <c r="AD870" i="58"/>
  <c r="M870" i="58" s="1"/>
  <c r="O742" i="54"/>
  <c r="AC1099" i="58"/>
  <c r="AM1091" i="58"/>
  <c r="D814" i="58"/>
  <c r="AT775" i="54"/>
  <c r="AT778" i="54"/>
  <c r="AT777" i="54"/>
  <c r="AT779" i="54"/>
  <c r="AT781" i="54"/>
  <c r="AT776" i="54"/>
  <c r="AT780" i="54"/>
  <c r="AT774" i="54"/>
  <c r="AT773" i="54"/>
  <c r="AL710" i="54"/>
  <c r="A727" i="54"/>
  <c r="P744" i="54"/>
  <c r="AL714" i="54"/>
  <c r="AM710" i="54"/>
  <c r="AM714" i="54"/>
  <c r="AL727" i="54"/>
  <c r="AM724" i="54"/>
  <c r="O745" i="54"/>
  <c r="A710" i="54"/>
  <c r="A714" i="54"/>
  <c r="AV963" i="57"/>
  <c r="AD871" i="58"/>
  <c r="M871" i="58" s="1"/>
  <c r="A724" i="54"/>
  <c r="P737" i="54"/>
  <c r="AM722" i="54"/>
  <c r="O740" i="54"/>
  <c r="AM707" i="54"/>
  <c r="AV950" i="57"/>
  <c r="P736" i="54"/>
  <c r="AM712" i="54"/>
  <c r="P731" i="54"/>
  <c r="AD848" i="57"/>
  <c r="AD854" i="57"/>
  <c r="O852" i="54"/>
  <c r="W868" i="54" s="1"/>
  <c r="R850" i="54"/>
  <c r="AL707" i="54"/>
  <c r="AL712" i="54"/>
  <c r="A708" i="54"/>
  <c r="O850" i="54"/>
  <c r="A731" i="54"/>
  <c r="A737" i="54"/>
  <c r="P733" i="54"/>
  <c r="AV951" i="57"/>
  <c r="AL723" i="54"/>
  <c r="O731" i="54"/>
  <c r="P732" i="54"/>
  <c r="A733" i="54"/>
  <c r="AD844" i="57"/>
  <c r="AL708" i="54"/>
  <c r="O737" i="54"/>
  <c r="AM723" i="54"/>
  <c r="AM708" i="54"/>
  <c r="O733" i="54"/>
  <c r="O732" i="54"/>
  <c r="A712" i="54"/>
  <c r="A732" i="54"/>
  <c r="A707" i="54"/>
  <c r="AD843" i="57"/>
  <c r="AV953" i="57"/>
  <c r="M749" i="54"/>
  <c r="AX749" i="54" s="1"/>
  <c r="E967" i="57"/>
  <c r="E971" i="58" s="1"/>
  <c r="E859" i="57"/>
  <c r="AV966" i="57"/>
  <c r="AD858" i="57"/>
  <c r="M754" i="54"/>
  <c r="AX754" i="54" s="1"/>
  <c r="E972" i="57"/>
  <c r="E976" i="58" s="1"/>
  <c r="E864" i="57"/>
  <c r="E865" i="57" s="1"/>
  <c r="E866" i="57" s="1"/>
  <c r="AD857" i="57"/>
  <c r="AV965" i="57"/>
  <c r="M750" i="54"/>
  <c r="AX750" i="54" s="1"/>
  <c r="E968" i="57"/>
  <c r="E972" i="58" s="1"/>
  <c r="E860" i="57"/>
  <c r="AD861" i="57"/>
  <c r="AV969" i="57"/>
  <c r="AP850" i="54"/>
  <c r="AP852" i="54"/>
  <c r="AV970" i="57"/>
  <c r="AD862" i="57"/>
  <c r="AD863" i="57"/>
  <c r="AV971" i="57"/>
  <c r="AQ852" i="54"/>
  <c r="AQ850" i="54"/>
  <c r="BP1032" i="58"/>
  <c r="AV959" i="57"/>
  <c r="V850" i="54"/>
  <c r="AJ850" i="54"/>
  <c r="AM866" i="54" s="1"/>
  <c r="AD864" i="58"/>
  <c r="M864" i="58" s="1"/>
  <c r="AD863" i="58"/>
  <c r="M863" i="58" s="1"/>
  <c r="O741" i="54"/>
  <c r="AD849" i="57"/>
  <c r="AD866" i="58"/>
  <c r="M866" i="58" s="1"/>
  <c r="AD862" i="58"/>
  <c r="M862" i="58" s="1"/>
  <c r="AD868" i="58"/>
  <c r="M868" i="58" s="1"/>
  <c r="P741" i="54"/>
  <c r="A741" i="54"/>
  <c r="P742" i="54"/>
  <c r="AV956" i="57"/>
  <c r="A743" i="54"/>
  <c r="BT1025" i="58"/>
  <c r="O743" i="54"/>
  <c r="O736" i="54"/>
  <c r="AD846" i="57"/>
  <c r="AV961" i="57"/>
  <c r="AV949" i="57"/>
  <c r="M642" i="54"/>
  <c r="Q782" i="54"/>
  <c r="Q784" i="54"/>
  <c r="P783" i="54"/>
  <c r="Q786" i="54"/>
  <c r="P782" i="54"/>
  <c r="P786" i="54"/>
  <c r="Q783" i="54"/>
  <c r="P787" i="54"/>
  <c r="P781" i="54"/>
  <c r="AC788" i="54"/>
  <c r="AC773" i="54"/>
  <c r="AC793" i="54"/>
  <c r="AC781" i="54"/>
  <c r="AC787" i="54"/>
  <c r="AC778" i="54"/>
  <c r="AI774" i="54"/>
  <c r="AI787" i="54"/>
  <c r="AI778" i="54"/>
  <c r="AI783" i="54"/>
  <c r="AC786" i="54"/>
  <c r="AC772" i="54"/>
  <c r="AC774" i="54"/>
  <c r="AC779" i="54"/>
  <c r="AC777" i="54"/>
  <c r="AC794" i="54"/>
  <c r="AI781" i="54"/>
  <c r="AI777" i="54"/>
  <c r="AI772" i="54"/>
  <c r="AI773" i="54"/>
  <c r="AC776" i="54"/>
  <c r="AC784" i="54"/>
  <c r="AC789" i="54"/>
  <c r="AC790" i="54"/>
  <c r="AC782" i="54"/>
  <c r="AI779" i="54"/>
  <c r="AI782" i="54"/>
  <c r="AI786" i="54"/>
  <c r="AI784" i="54"/>
  <c r="AC783" i="54"/>
  <c r="AC775" i="54"/>
  <c r="AC791" i="54"/>
  <c r="AC780" i="54"/>
  <c r="AC785" i="54"/>
  <c r="AI775" i="54"/>
  <c r="AI780" i="54"/>
  <c r="AI785" i="54"/>
  <c r="AI776" i="54"/>
  <c r="Q787" i="54"/>
  <c r="Q785" i="54"/>
  <c r="P784" i="54"/>
  <c r="P785" i="54"/>
  <c r="P743" i="54"/>
  <c r="A723" i="54"/>
  <c r="AV960" i="57"/>
  <c r="AD847" i="57"/>
  <c r="AV954" i="57"/>
  <c r="AV958" i="57"/>
  <c r="A740" i="54"/>
  <c r="AD852" i="57"/>
  <c r="A722" i="54"/>
  <c r="AD851" i="57"/>
  <c r="AD853" i="57"/>
  <c r="P752" i="54"/>
  <c r="O752" i="54"/>
  <c r="P753" i="54"/>
  <c r="O753" i="54"/>
  <c r="O748" i="54"/>
  <c r="P748" i="54"/>
  <c r="P747" i="54"/>
  <c r="O747" i="54"/>
  <c r="P751" i="54"/>
  <c r="O751" i="54"/>
  <c r="AM717" i="54"/>
  <c r="AL717" i="54"/>
  <c r="AM718" i="54"/>
  <c r="AL718" i="54"/>
  <c r="BP1038" i="58"/>
  <c r="BP1026" i="58"/>
  <c r="BS1025" i="58"/>
  <c r="BP1024" i="58"/>
  <c r="BT1033" i="58"/>
  <c r="BS1026" i="58"/>
  <c r="BS1027" i="58"/>
  <c r="BS1029" i="58"/>
  <c r="BS1036" i="58"/>
  <c r="BT1024" i="58"/>
  <c r="BT1031" i="58"/>
  <c r="W1099" i="58"/>
  <c r="BA1091" i="58"/>
  <c r="AG1099" i="58"/>
  <c r="AT1091" i="58"/>
  <c r="B9" i="57"/>
  <c r="B451" i="57" s="1"/>
  <c r="N461" i="57" s="1"/>
  <c r="B9" i="58"/>
  <c r="B419" i="58" s="1"/>
  <c r="B11" i="57"/>
  <c r="B453" i="57" s="1"/>
  <c r="B456" i="57" s="1"/>
  <c r="N511" i="57" s="1"/>
  <c r="N516" i="57" s="1"/>
  <c r="B11" i="58"/>
  <c r="B421" i="58" s="1"/>
  <c r="BO1031" i="58"/>
  <c r="BP1035" i="58"/>
  <c r="BS1032" i="58"/>
  <c r="BS1030" i="58"/>
  <c r="BP1029" i="58"/>
  <c r="BT1027" i="58"/>
  <c r="BT1026" i="58"/>
  <c r="AM1099" i="58"/>
  <c r="BH1091" i="58"/>
  <c r="BP1025" i="58"/>
  <c r="BS1024" i="58"/>
  <c r="BT1028" i="58"/>
  <c r="BP1036" i="58"/>
  <c r="AA1099" i="58"/>
  <c r="AR1091" i="58"/>
  <c r="BP1039" i="58"/>
  <c r="BO1032" i="58"/>
  <c r="BT1034" i="58"/>
  <c r="BS1034" i="58"/>
  <c r="BS1033" i="58"/>
  <c r="BT1023" i="58"/>
  <c r="BP1030" i="58"/>
  <c r="BS1028" i="58"/>
  <c r="BS1038" i="58"/>
  <c r="AN1099" i="58"/>
  <c r="BI1091" i="58"/>
  <c r="BP1033" i="58"/>
  <c r="BP1028" i="58"/>
  <c r="BT1038" i="58"/>
  <c r="BT1029" i="58"/>
  <c r="BP1027" i="58"/>
  <c r="BO1028" i="58"/>
  <c r="BT1035" i="58"/>
  <c r="BS1023" i="58"/>
  <c r="BP1034" i="58"/>
  <c r="BS1031" i="58"/>
  <c r="BT1032" i="58"/>
  <c r="BO1027" i="58"/>
  <c r="BT1039" i="58"/>
  <c r="BP1031" i="58"/>
  <c r="BO1026" i="58"/>
  <c r="BS1039" i="58"/>
  <c r="BT1030" i="58"/>
  <c r="BO1025" i="58"/>
  <c r="BS1035" i="58"/>
  <c r="BT1036" i="58"/>
  <c r="F814" i="57"/>
  <c r="F391" i="57" s="1"/>
  <c r="S812" i="58"/>
  <c r="T812" i="58"/>
  <c r="J834" i="58"/>
  <c r="I843" i="58"/>
  <c r="S813" i="58"/>
  <c r="T813" i="58"/>
  <c r="S814" i="58"/>
  <c r="T814" i="58"/>
  <c r="S817" i="58"/>
  <c r="T817" i="58"/>
  <c r="J835" i="58"/>
  <c r="I848" i="58" s="1"/>
  <c r="I844" i="58"/>
  <c r="T818" i="58"/>
  <c r="S818" i="58"/>
  <c r="E355" i="58"/>
  <c r="F804" i="58"/>
  <c r="S816" i="58"/>
  <c r="T816" i="58"/>
  <c r="J836" i="58"/>
  <c r="I849" i="58" s="1"/>
  <c r="I845" i="58"/>
  <c r="F380" i="58"/>
  <c r="G833" i="58"/>
  <c r="AE1099" i="58"/>
  <c r="AV1091" i="58"/>
  <c r="E752" i="58"/>
  <c r="AH960" i="58"/>
  <c r="AH967" i="58"/>
  <c r="E751" i="58"/>
  <c r="Q774" i="54"/>
  <c r="G826" i="57"/>
  <c r="G418" i="57" s="1"/>
  <c r="E601" i="54"/>
  <c r="AG773" i="54" s="1"/>
  <c r="F808" i="57"/>
  <c r="F385" i="57" s="1"/>
  <c r="G400" i="57" s="1"/>
  <c r="AR885" i="57"/>
  <c r="G902" i="57"/>
  <c r="AV935" i="57"/>
  <c r="O976" i="57"/>
  <c r="R617" i="54"/>
  <c r="O979" i="57"/>
  <c r="O978" i="57"/>
  <c r="T850" i="54"/>
  <c r="AC850" i="54"/>
  <c r="AC852" i="54"/>
  <c r="AG868" i="54" s="1"/>
  <c r="T852" i="54"/>
  <c r="AA868" i="54" s="1"/>
  <c r="V852" i="54"/>
  <c r="AC868" i="54" s="1"/>
  <c r="A719" i="54"/>
  <c r="AM719" i="54"/>
  <c r="AL719" i="54"/>
  <c r="P789" i="54"/>
  <c r="Q793" i="54"/>
  <c r="P793" i="54"/>
  <c r="Q788" i="54"/>
  <c r="P773" i="54"/>
  <c r="Q773" i="54"/>
  <c r="P794" i="54"/>
  <c r="Q794" i="54"/>
  <c r="P788" i="54"/>
  <c r="Q789" i="54"/>
  <c r="P780" i="54"/>
  <c r="Q772" i="54"/>
  <c r="P779" i="54"/>
  <c r="Q775" i="54"/>
  <c r="P772" i="54"/>
  <c r="Q780" i="54"/>
  <c r="P790" i="54"/>
  <c r="Q781" i="54"/>
  <c r="P778" i="54"/>
  <c r="Q778" i="54"/>
  <c r="P791" i="54"/>
  <c r="Q779" i="54"/>
  <c r="P777" i="54"/>
  <c r="Q790" i="54"/>
  <c r="P776" i="54"/>
  <c r="Q776" i="54"/>
  <c r="P775" i="54"/>
  <c r="Q791" i="54"/>
  <c r="P774" i="54"/>
  <c r="Q777" i="54"/>
  <c r="C9" i="4"/>
  <c r="B12" i="54"/>
  <c r="B302" i="54" s="1"/>
  <c r="N317" i="54" s="1"/>
  <c r="C11" i="58"/>
  <c r="C421" i="58" s="1"/>
  <c r="B14" i="54"/>
  <c r="B304" i="54" s="1"/>
  <c r="F240" i="4"/>
  <c r="F794" i="58" l="1"/>
  <c r="I850" i="54"/>
  <c r="R866" i="54" s="1"/>
  <c r="I847" i="58"/>
  <c r="J306" i="58"/>
  <c r="I318" i="58" s="1"/>
  <c r="AF292" i="58"/>
  <c r="AH292" i="58"/>
  <c r="E356" i="58"/>
  <c r="F284" i="58"/>
  <c r="AJ1097" i="57"/>
  <c r="AP1095" i="57"/>
  <c r="AK1097" i="57"/>
  <c r="AQ1097" i="57"/>
  <c r="AP1097" i="57"/>
  <c r="AK1095" i="57"/>
  <c r="AN1111" i="57" s="1"/>
  <c r="AQ1095" i="57"/>
  <c r="AJ1095" i="57"/>
  <c r="BH1103" i="57" s="1"/>
  <c r="AP1096" i="57"/>
  <c r="AJ1096" i="57"/>
  <c r="AQ1096" i="57"/>
  <c r="AK1096" i="57"/>
  <c r="F805" i="58"/>
  <c r="F811" i="58" s="1"/>
  <c r="F817" i="58" s="1"/>
  <c r="G828" i="58"/>
  <c r="AG792" i="54"/>
  <c r="Z792" i="54"/>
  <c r="F800" i="58"/>
  <c r="Q1037" i="57"/>
  <c r="P1037" i="57"/>
  <c r="BT792" i="54"/>
  <c r="K792" i="54"/>
  <c r="V792" i="54" s="1"/>
  <c r="BS792" i="54"/>
  <c r="J792" i="54"/>
  <c r="U792" i="54" s="1"/>
  <c r="AG850" i="54"/>
  <c r="BO792" i="54"/>
  <c r="BP792" i="54"/>
  <c r="D251" i="4"/>
  <c r="F252" i="4"/>
  <c r="D252" i="4"/>
  <c r="E937" i="58"/>
  <c r="I851" i="54"/>
  <c r="R867" i="54" s="1"/>
  <c r="X851" i="54"/>
  <c r="AE867" i="54" s="1"/>
  <c r="M851" i="54"/>
  <c r="V867" i="54" s="1"/>
  <c r="AG851" i="54"/>
  <c r="AK867" i="54" s="1"/>
  <c r="AL730" i="54"/>
  <c r="AE730" i="54"/>
  <c r="AM730" i="54"/>
  <c r="AF730" i="54"/>
  <c r="AV948" i="57"/>
  <c r="BO777" i="54"/>
  <c r="BP786" i="54"/>
  <c r="AV933" i="57"/>
  <c r="AX715" i="54"/>
  <c r="S789" i="54" s="1"/>
  <c r="E762" i="58"/>
  <c r="BS794" i="54"/>
  <c r="BP776" i="54"/>
  <c r="BP791" i="54"/>
  <c r="BO787" i="54"/>
  <c r="BO779" i="54"/>
  <c r="BO790" i="54"/>
  <c r="BP777" i="54"/>
  <c r="BO780" i="54"/>
  <c r="BO791" i="54"/>
  <c r="BP787" i="54"/>
  <c r="BT786" i="54"/>
  <c r="BS776" i="54"/>
  <c r="BT794" i="54"/>
  <c r="BS787" i="54"/>
  <c r="BP778" i="54"/>
  <c r="BP772" i="54"/>
  <c r="BO784" i="54"/>
  <c r="BO783" i="54"/>
  <c r="BP782" i="54"/>
  <c r="BP793" i="54"/>
  <c r="BP790" i="54"/>
  <c r="BO773" i="54"/>
  <c r="BO782" i="54"/>
  <c r="BO786" i="54"/>
  <c r="BO775" i="54"/>
  <c r="BO793" i="54"/>
  <c r="BO778" i="54"/>
  <c r="BP794" i="54"/>
  <c r="BO776" i="54"/>
  <c r="BO781" i="54"/>
  <c r="BO772" i="54"/>
  <c r="BP773" i="54"/>
  <c r="BP780" i="54"/>
  <c r="BP781" i="54"/>
  <c r="BP789" i="54"/>
  <c r="BO785" i="54"/>
  <c r="BO789" i="54"/>
  <c r="BP774" i="54"/>
  <c r="BO794" i="54"/>
  <c r="BO774" i="54"/>
  <c r="BP788" i="54"/>
  <c r="BP775" i="54"/>
  <c r="BO788" i="54"/>
  <c r="BP779" i="54"/>
  <c r="BP785" i="54"/>
  <c r="BP784" i="54"/>
  <c r="BE1091" i="58"/>
  <c r="AN866" i="54"/>
  <c r="BT787" i="54"/>
  <c r="BT774" i="54"/>
  <c r="BT777" i="54"/>
  <c r="BS780" i="54"/>
  <c r="BS793" i="54"/>
  <c r="BT772" i="54"/>
  <c r="BS785" i="54"/>
  <c r="AM715" i="54"/>
  <c r="A715" i="54"/>
  <c r="AL715" i="54"/>
  <c r="AF715" i="54"/>
  <c r="BS773" i="54"/>
  <c r="BT775" i="54"/>
  <c r="BS786" i="54"/>
  <c r="BT784" i="54"/>
  <c r="BT782" i="54"/>
  <c r="AE715" i="54"/>
  <c r="BS789" i="54"/>
  <c r="BT781" i="54"/>
  <c r="BS788" i="54"/>
  <c r="BS774" i="54"/>
  <c r="BT791" i="54"/>
  <c r="BS781" i="54"/>
  <c r="BS777" i="54"/>
  <c r="BT778" i="54"/>
  <c r="BT790" i="54"/>
  <c r="BS790" i="54"/>
  <c r="BS778" i="54"/>
  <c r="BT779" i="54"/>
  <c r="BT776" i="54"/>
  <c r="BT788" i="54"/>
  <c r="BT783" i="54"/>
  <c r="BS782" i="54"/>
  <c r="BT785" i="54"/>
  <c r="BS791" i="54"/>
  <c r="BS775" i="54"/>
  <c r="BS772" i="54"/>
  <c r="BS779" i="54"/>
  <c r="BT793" i="54"/>
  <c r="BT789" i="54"/>
  <c r="BT773" i="54"/>
  <c r="BT780" i="54"/>
  <c r="BS784" i="54"/>
  <c r="BS783" i="54"/>
  <c r="P750" i="54"/>
  <c r="AE750" i="54"/>
  <c r="AF750" i="54"/>
  <c r="O754" i="54"/>
  <c r="AF754" i="54"/>
  <c r="AE754" i="54"/>
  <c r="N466" i="57"/>
  <c r="J793" i="54"/>
  <c r="F810" i="58"/>
  <c r="W866" i="54"/>
  <c r="AM858" i="54"/>
  <c r="BH858" i="54"/>
  <c r="K793" i="54"/>
  <c r="J773" i="54"/>
  <c r="O750" i="54"/>
  <c r="P754" i="54"/>
  <c r="J791" i="54"/>
  <c r="J784" i="54"/>
  <c r="J778" i="54"/>
  <c r="K788" i="54"/>
  <c r="J790" i="54"/>
  <c r="J781" i="54"/>
  <c r="J788" i="54"/>
  <c r="J794" i="54"/>
  <c r="J776" i="54"/>
  <c r="J787" i="54"/>
  <c r="K791" i="54"/>
  <c r="P749" i="54"/>
  <c r="J789" i="54"/>
  <c r="J775" i="54"/>
  <c r="J786" i="54"/>
  <c r="J779" i="54"/>
  <c r="K774" i="54"/>
  <c r="O749" i="54"/>
  <c r="J774" i="54"/>
  <c r="J780" i="54"/>
  <c r="J783" i="54"/>
  <c r="J785" i="54"/>
  <c r="J777" i="54"/>
  <c r="J782" i="54"/>
  <c r="K780" i="54"/>
  <c r="K781" i="54"/>
  <c r="J772" i="54"/>
  <c r="K783" i="54"/>
  <c r="K773" i="54"/>
  <c r="K787" i="54"/>
  <c r="V787" i="54" s="1"/>
  <c r="K779" i="54"/>
  <c r="K786" i="54"/>
  <c r="V786" i="54" s="1"/>
  <c r="K785" i="54"/>
  <c r="V785" i="54" s="1"/>
  <c r="K794" i="54"/>
  <c r="K777" i="54"/>
  <c r="K790" i="54"/>
  <c r="K776" i="54"/>
  <c r="K782" i="54"/>
  <c r="K789" i="54"/>
  <c r="V789" i="54" s="1"/>
  <c r="K778" i="54"/>
  <c r="K772" i="54"/>
  <c r="K775" i="54"/>
  <c r="K784" i="54"/>
  <c r="AV968" i="57"/>
  <c r="AD860" i="57"/>
  <c r="AV972" i="57"/>
  <c r="AD864" i="57"/>
  <c r="AD859" i="57"/>
  <c r="AV967" i="57"/>
  <c r="Q1030" i="57"/>
  <c r="Q1031" i="57"/>
  <c r="Q1029" i="57"/>
  <c r="Q1027" i="57"/>
  <c r="P1029" i="57"/>
  <c r="P1032" i="57"/>
  <c r="P1031" i="57"/>
  <c r="Q1032" i="57"/>
  <c r="P1028" i="57"/>
  <c r="Q1028" i="57"/>
  <c r="P1030" i="57"/>
  <c r="P1027" i="57"/>
  <c r="Z783" i="54"/>
  <c r="AG786" i="54"/>
  <c r="AG852" i="54"/>
  <c r="AK868" i="54" s="1"/>
  <c r="AG777" i="54"/>
  <c r="AG793" i="54"/>
  <c r="Z787" i="54"/>
  <c r="AG776" i="54"/>
  <c r="AG781" i="54"/>
  <c r="AG775" i="54"/>
  <c r="AG790" i="54"/>
  <c r="AG791" i="54"/>
  <c r="Z785" i="54"/>
  <c r="AG778" i="54"/>
  <c r="AG789" i="54"/>
  <c r="AG784" i="54"/>
  <c r="Z772" i="54"/>
  <c r="AG782" i="54"/>
  <c r="AG783" i="54"/>
  <c r="AG788" i="54"/>
  <c r="AG794" i="54"/>
  <c r="AG787" i="54"/>
  <c r="Z782" i="54"/>
  <c r="AG774" i="54"/>
  <c r="AG785" i="54"/>
  <c r="X852" i="54"/>
  <c r="AE868" i="54" s="1"/>
  <c r="X850" i="54"/>
  <c r="AG780" i="54"/>
  <c r="AG779" i="54"/>
  <c r="Z786" i="54"/>
  <c r="AG772" i="54"/>
  <c r="Z784" i="54"/>
  <c r="Z775" i="54"/>
  <c r="Z780" i="54"/>
  <c r="Z776" i="54"/>
  <c r="Z777" i="54"/>
  <c r="Z789" i="54"/>
  <c r="B454" i="57"/>
  <c r="N496" i="57" s="1"/>
  <c r="Z790" i="54"/>
  <c r="Z773" i="54"/>
  <c r="Z781" i="54"/>
  <c r="Z791" i="54"/>
  <c r="Z794" i="54"/>
  <c r="Z774" i="54"/>
  <c r="Z779" i="54"/>
  <c r="Z778" i="54"/>
  <c r="Z788" i="54"/>
  <c r="Z793" i="54"/>
  <c r="Q1019" i="57"/>
  <c r="O449" i="58"/>
  <c r="B424" i="58"/>
  <c r="O479" i="58" s="1"/>
  <c r="O484" i="58" s="1"/>
  <c r="O454" i="58"/>
  <c r="P454" i="58"/>
  <c r="P449" i="58"/>
  <c r="C424" i="58"/>
  <c r="P479" i="58" s="1"/>
  <c r="P484" i="58" s="1"/>
  <c r="O429" i="58"/>
  <c r="O434" i="58"/>
  <c r="B422" i="58"/>
  <c r="F251" i="4"/>
  <c r="F331" i="4"/>
  <c r="F332" i="4" s="1"/>
  <c r="F253" i="4"/>
  <c r="C9" i="58"/>
  <c r="C419" i="58" s="1"/>
  <c r="E358" i="58"/>
  <c r="H367" i="58" s="1"/>
  <c r="F807" i="58"/>
  <c r="F815" i="57"/>
  <c r="F392" i="57" s="1"/>
  <c r="G405" i="57" s="1"/>
  <c r="G846" i="58"/>
  <c r="G834" i="58"/>
  <c r="G835" i="58"/>
  <c r="G848" i="58" s="1"/>
  <c r="G836" i="58"/>
  <c r="G849" i="58" s="1"/>
  <c r="N486" i="57"/>
  <c r="N481" i="57"/>
  <c r="AR902" i="57"/>
  <c r="G903" i="57"/>
  <c r="P1038" i="57"/>
  <c r="P1017" i="57"/>
  <c r="Q1036" i="57"/>
  <c r="Q1017" i="57"/>
  <c r="Q1033" i="57"/>
  <c r="Q1035" i="57"/>
  <c r="Q1020" i="57"/>
  <c r="P1026" i="57"/>
  <c r="Q1018" i="57"/>
  <c r="P1024" i="57"/>
  <c r="P1039" i="57"/>
  <c r="Q1022" i="57"/>
  <c r="P1018" i="57"/>
  <c r="P1021" i="57"/>
  <c r="Q1021" i="57"/>
  <c r="P1036" i="57"/>
  <c r="P1019" i="57"/>
  <c r="Q1024" i="57"/>
  <c r="P1035" i="57"/>
  <c r="Q1025" i="57"/>
  <c r="Q1039" i="57"/>
  <c r="P1020" i="57"/>
  <c r="P1034" i="57"/>
  <c r="Q1038" i="57"/>
  <c r="P1025" i="57"/>
  <c r="Q1034" i="57"/>
  <c r="P1022" i="57"/>
  <c r="Q1026" i="57"/>
  <c r="P1023" i="57"/>
  <c r="Q1023" i="57"/>
  <c r="P1033" i="57"/>
  <c r="C12" i="54"/>
  <c r="C302" i="54" s="1"/>
  <c r="C9" i="57"/>
  <c r="C451" i="57" s="1"/>
  <c r="D253" i="4"/>
  <c r="C11" i="57"/>
  <c r="C453" i="57" s="1"/>
  <c r="M852" i="54"/>
  <c r="V868" i="54" s="1"/>
  <c r="I852" i="54"/>
  <c r="R868" i="54" s="1"/>
  <c r="B307" i="54"/>
  <c r="N362" i="54" s="1"/>
  <c r="N367" i="54" s="1"/>
  <c r="N332" i="54"/>
  <c r="N337" i="54"/>
  <c r="B305" i="54"/>
  <c r="N312" i="54"/>
  <c r="AT858" i="54"/>
  <c r="AC866" i="54"/>
  <c r="D247" i="4"/>
  <c r="BA858" i="54"/>
  <c r="AG866" i="54"/>
  <c r="AR858" i="54"/>
  <c r="AA866" i="54"/>
  <c r="M850" i="54"/>
  <c r="AJ660" i="54"/>
  <c r="AJ670" i="54"/>
  <c r="AJ657" i="54"/>
  <c r="AJ690" i="54"/>
  <c r="AJ691" i="54"/>
  <c r="AJ692" i="54"/>
  <c r="AJ665" i="54"/>
  <c r="AJ664" i="54"/>
  <c r="AJ689" i="54"/>
  <c r="AJ697" i="54"/>
  <c r="AJ696" i="54"/>
  <c r="AJ656" i="54"/>
  <c r="AJ693" i="54"/>
  <c r="AJ661" i="54"/>
  <c r="AJ672" i="54"/>
  <c r="AJ688" i="54"/>
  <c r="AJ658" i="54"/>
  <c r="AJ659" i="54"/>
  <c r="AJ671" i="54"/>
  <c r="AJ673" i="54"/>
  <c r="F335" i="4"/>
  <c r="F336" i="4" s="1"/>
  <c r="F337" i="4" s="1"/>
  <c r="C14" i="54"/>
  <c r="C304" i="54" s="1"/>
  <c r="G847" i="58" l="1"/>
  <c r="G306" i="58"/>
  <c r="G318" i="58" s="1"/>
  <c r="AM1111" i="57"/>
  <c r="BI1103" i="57"/>
  <c r="A792" i="54"/>
  <c r="Z1032" i="57"/>
  <c r="F801" i="58"/>
  <c r="F286" i="58" s="1"/>
  <c r="AR792" i="54"/>
  <c r="Z1037" i="57"/>
  <c r="AG1037" i="57"/>
  <c r="AP776" i="54"/>
  <c r="T792" i="54"/>
  <c r="BN792" i="54"/>
  <c r="BR792" i="54"/>
  <c r="AQ792" i="54"/>
  <c r="BQ792" i="54"/>
  <c r="BM792" i="54"/>
  <c r="AP792" i="54"/>
  <c r="AO792" i="54"/>
  <c r="S792" i="54"/>
  <c r="H839" i="54"/>
  <c r="A839" i="54" s="1"/>
  <c r="T791" i="54"/>
  <c r="T787" i="54"/>
  <c r="AO787" i="54"/>
  <c r="AP791" i="54"/>
  <c r="R759" i="54"/>
  <c r="AN852" i="54"/>
  <c r="E749" i="58"/>
  <c r="M1096" i="57"/>
  <c r="I1096" i="57"/>
  <c r="AR786" i="54"/>
  <c r="O312" i="54"/>
  <c r="U851" i="54"/>
  <c r="AB867" i="54" s="1"/>
  <c r="AB851" i="54"/>
  <c r="AB852" i="54"/>
  <c r="AN851" i="54"/>
  <c r="AD852" i="54"/>
  <c r="AH868" i="54" s="1"/>
  <c r="AD851" i="54"/>
  <c r="AH867" i="54" s="1"/>
  <c r="AE851" i="54"/>
  <c r="AI867" i="54" s="1"/>
  <c r="AE852" i="54"/>
  <c r="AI868" i="54" s="1"/>
  <c r="AM852" i="54"/>
  <c r="AM851" i="54"/>
  <c r="A791" i="54"/>
  <c r="A788" i="54"/>
  <c r="A781" i="54"/>
  <c r="A775" i="54"/>
  <c r="A773" i="54"/>
  <c r="A793" i="54"/>
  <c r="A777" i="54"/>
  <c r="A780" i="54"/>
  <c r="A774" i="54"/>
  <c r="A790" i="54"/>
  <c r="A787" i="54"/>
  <c r="A786" i="54"/>
  <c r="A794" i="54"/>
  <c r="A783" i="54"/>
  <c r="A778" i="54"/>
  <c r="A785" i="54"/>
  <c r="A784" i="54"/>
  <c r="A779" i="54"/>
  <c r="A789" i="54"/>
  <c r="A782" i="54"/>
  <c r="A776" i="54"/>
  <c r="A772" i="54"/>
  <c r="H824" i="54"/>
  <c r="A824" i="54" s="1"/>
  <c r="H801" i="54"/>
  <c r="A801" i="54" s="1"/>
  <c r="H823" i="54"/>
  <c r="A823" i="54" s="1"/>
  <c r="T759" i="54"/>
  <c r="S786" i="54"/>
  <c r="S783" i="54"/>
  <c r="T790" i="54"/>
  <c r="T783" i="54"/>
  <c r="S777" i="54"/>
  <c r="S781" i="54"/>
  <c r="S775" i="54"/>
  <c r="T780" i="54"/>
  <c r="S794" i="54"/>
  <c r="S774" i="54"/>
  <c r="T774" i="54"/>
  <c r="S772" i="54"/>
  <c r="T782" i="54"/>
  <c r="T775" i="54"/>
  <c r="S780" i="54"/>
  <c r="U788" i="54"/>
  <c r="S773" i="54"/>
  <c r="U785" i="54"/>
  <c r="U787" i="54"/>
  <c r="T793" i="54"/>
  <c r="T776" i="54"/>
  <c r="S785" i="54"/>
  <c r="T778" i="54"/>
  <c r="S788" i="54"/>
  <c r="T781" i="54"/>
  <c r="T779" i="54"/>
  <c r="T788" i="54"/>
  <c r="S784" i="54"/>
  <c r="T773" i="54"/>
  <c r="S778" i="54"/>
  <c r="T794" i="54"/>
  <c r="S779" i="54"/>
  <c r="S790" i="54"/>
  <c r="S776" i="54"/>
  <c r="T789" i="54"/>
  <c r="T785" i="54"/>
  <c r="T784" i="54"/>
  <c r="S782" i="54"/>
  <c r="T786" i="54"/>
  <c r="S791" i="54"/>
  <c r="U783" i="54"/>
  <c r="U793" i="54"/>
  <c r="S793" i="54"/>
  <c r="T777" i="54"/>
  <c r="U782" i="54"/>
  <c r="U794" i="54"/>
  <c r="U784" i="54"/>
  <c r="S787" i="54"/>
  <c r="T772" i="54"/>
  <c r="AP793" i="54"/>
  <c r="AP789" i="54"/>
  <c r="AR778" i="54"/>
  <c r="U790" i="54"/>
  <c r="AQ776" i="54"/>
  <c r="AR788" i="54"/>
  <c r="AR775" i="54"/>
  <c r="AR785" i="54"/>
  <c r="AQ777" i="54"/>
  <c r="AQ773" i="54"/>
  <c r="AR789" i="54"/>
  <c r="AR791" i="54"/>
  <c r="AQ793" i="54"/>
  <c r="AR777" i="54"/>
  <c r="AQ780" i="54"/>
  <c r="S758" i="54"/>
  <c r="AQ794" i="54"/>
  <c r="AR794" i="54"/>
  <c r="AQ782" i="54"/>
  <c r="AR784" i="54"/>
  <c r="AQ785" i="54"/>
  <c r="AR790" i="54"/>
  <c r="AR773" i="54"/>
  <c r="AQ772" i="54"/>
  <c r="AQ779" i="54"/>
  <c r="AR776" i="54"/>
  <c r="AR772" i="54"/>
  <c r="AQ778" i="54"/>
  <c r="AR774" i="54"/>
  <c r="AQ783" i="54"/>
  <c r="AR781" i="54"/>
  <c r="AR780" i="54"/>
  <c r="AQ788" i="54"/>
  <c r="AQ789" i="54"/>
  <c r="AQ775" i="54"/>
  <c r="AR787" i="54"/>
  <c r="AR782" i="54"/>
  <c r="AQ784" i="54"/>
  <c r="AQ791" i="54"/>
  <c r="AQ787" i="54"/>
  <c r="AQ790" i="54"/>
  <c r="AQ786" i="54"/>
  <c r="AQ781" i="54"/>
  <c r="AR779" i="54"/>
  <c r="AQ774" i="54"/>
  <c r="AR793" i="54"/>
  <c r="AR783" i="54"/>
  <c r="V783" i="54"/>
  <c r="BQ779" i="54"/>
  <c r="U758" i="54"/>
  <c r="AO781" i="54"/>
  <c r="AO777" i="54"/>
  <c r="AP775" i="54"/>
  <c r="U786" i="54"/>
  <c r="AO772" i="54"/>
  <c r="AO794" i="54"/>
  <c r="AP782" i="54"/>
  <c r="S759" i="54"/>
  <c r="R758" i="54"/>
  <c r="AO778" i="54"/>
  <c r="AO773" i="54"/>
  <c r="AP778" i="54"/>
  <c r="AP780" i="54"/>
  <c r="AP781" i="54"/>
  <c r="AO783" i="54"/>
  <c r="AO789" i="54"/>
  <c r="AP783" i="54"/>
  <c r="AP786" i="54"/>
  <c r="AP772" i="54"/>
  <c r="AO780" i="54"/>
  <c r="AO776" i="54"/>
  <c r="AO782" i="54"/>
  <c r="AO779" i="54"/>
  <c r="AP777" i="54"/>
  <c r="AO786" i="54"/>
  <c r="AP784" i="54"/>
  <c r="AO775" i="54"/>
  <c r="AO788" i="54"/>
  <c r="AO774" i="54"/>
  <c r="AP787" i="54"/>
  <c r="AP794" i="54"/>
  <c r="AP774" i="54"/>
  <c r="AO793" i="54"/>
  <c r="AP779" i="54"/>
  <c r="AO785" i="54"/>
  <c r="AO784" i="54"/>
  <c r="AP788" i="54"/>
  <c r="AP785" i="54"/>
  <c r="AP790" i="54"/>
  <c r="AO791" i="54"/>
  <c r="AP773" i="54"/>
  <c r="AO790" i="54"/>
  <c r="BR783" i="54"/>
  <c r="T758" i="54"/>
  <c r="U759" i="54"/>
  <c r="V784" i="54"/>
  <c r="AG1020" i="57"/>
  <c r="Z1019" i="57"/>
  <c r="AG1025" i="57"/>
  <c r="AG1035" i="57"/>
  <c r="AG1026" i="57"/>
  <c r="AG1028" i="57"/>
  <c r="AG1027" i="57"/>
  <c r="AG1029" i="57"/>
  <c r="Z1029" i="57"/>
  <c r="AG1036" i="57"/>
  <c r="Z1026" i="57"/>
  <c r="AG1018" i="57"/>
  <c r="Z1028" i="57"/>
  <c r="AG1019" i="57"/>
  <c r="Z1033" i="57"/>
  <c r="Z1031" i="57"/>
  <c r="AG1038" i="57"/>
  <c r="Z1036" i="57"/>
  <c r="Z1030" i="57"/>
  <c r="Z1034" i="57"/>
  <c r="AG1034" i="57"/>
  <c r="Z1025" i="57"/>
  <c r="AG1032" i="57"/>
  <c r="AG1030" i="57"/>
  <c r="Z1017" i="57"/>
  <c r="AG1031" i="57"/>
  <c r="AG1033" i="57"/>
  <c r="AG1021" i="57"/>
  <c r="Z1039" i="57"/>
  <c r="AG1039" i="57"/>
  <c r="Z1018" i="57"/>
  <c r="Z1020" i="57"/>
  <c r="AD1095" i="57"/>
  <c r="Z1027" i="57"/>
  <c r="AG1023" i="57"/>
  <c r="Z1038" i="57"/>
  <c r="Z1035" i="57"/>
  <c r="Z1023" i="57"/>
  <c r="Z1021" i="57"/>
  <c r="AG1017" i="57"/>
  <c r="Z1022" i="57"/>
  <c r="Z1024" i="57"/>
  <c r="U1095" i="57"/>
  <c r="AG1024" i="57"/>
  <c r="AG1022" i="57"/>
  <c r="V782" i="54"/>
  <c r="BR785" i="54"/>
  <c r="BQ781" i="54"/>
  <c r="BQ783" i="54"/>
  <c r="BQ786" i="54"/>
  <c r="BQ784" i="54"/>
  <c r="BQ789" i="54"/>
  <c r="BQ788" i="54"/>
  <c r="BQ774" i="54"/>
  <c r="BQ793" i="54"/>
  <c r="BR777" i="54"/>
  <c r="AN850" i="54"/>
  <c r="BL858" i="54" s="1"/>
  <c r="H812" i="54"/>
  <c r="A812" i="54" s="1"/>
  <c r="V790" i="54"/>
  <c r="U789" i="54"/>
  <c r="H811" i="54"/>
  <c r="A811" i="54" s="1"/>
  <c r="H834" i="54"/>
  <c r="A834" i="54" s="1"/>
  <c r="AM850" i="54"/>
  <c r="BK858" i="54" s="1"/>
  <c r="H815" i="54"/>
  <c r="A815" i="54" s="1"/>
  <c r="H814" i="54"/>
  <c r="A814" i="54" s="1"/>
  <c r="V788" i="54"/>
  <c r="H813" i="54"/>
  <c r="A813" i="54" s="1"/>
  <c r="H816" i="54"/>
  <c r="A816" i="54" s="1"/>
  <c r="H837" i="54"/>
  <c r="A837" i="54" s="1"/>
  <c r="H835" i="54"/>
  <c r="A835" i="54" s="1"/>
  <c r="H818" i="54"/>
  <c r="A818" i="54" s="1"/>
  <c r="H810" i="54"/>
  <c r="A810" i="54" s="1"/>
  <c r="V794" i="54"/>
  <c r="V793" i="54"/>
  <c r="U791" i="54"/>
  <c r="BR787" i="54"/>
  <c r="BR790" i="54"/>
  <c r="BR780" i="54"/>
  <c r="BQ775" i="54"/>
  <c r="BQ790" i="54"/>
  <c r="BQ773" i="54"/>
  <c r="BQ776" i="54"/>
  <c r="BQ782" i="54"/>
  <c r="BQ785" i="54"/>
  <c r="BR772" i="54"/>
  <c r="BQ778" i="54"/>
  <c r="H803" i="54"/>
  <c r="A803" i="54" s="1"/>
  <c r="H806" i="54"/>
  <c r="A806" i="54" s="1"/>
  <c r="H804" i="54"/>
  <c r="A804" i="54" s="1"/>
  <c r="H841" i="54"/>
  <c r="A841" i="54" s="1"/>
  <c r="H807" i="54"/>
  <c r="A807" i="54" s="1"/>
  <c r="H831" i="54"/>
  <c r="A831" i="54" s="1"/>
  <c r="H842" i="54"/>
  <c r="A842" i="54" s="1"/>
  <c r="H805" i="54"/>
  <c r="A805" i="54" s="1"/>
  <c r="H832" i="54"/>
  <c r="A832" i="54" s="1"/>
  <c r="H817" i="54"/>
  <c r="A817" i="54" s="1"/>
  <c r="H808" i="54"/>
  <c r="A808" i="54" s="1"/>
  <c r="H820" i="54"/>
  <c r="A820" i="54" s="1"/>
  <c r="H843" i="54"/>
  <c r="A843" i="54" s="1"/>
  <c r="BQ791" i="54"/>
  <c r="BR774" i="54"/>
  <c r="BQ794" i="54"/>
  <c r="BQ780" i="54"/>
  <c r="BR793" i="54"/>
  <c r="BR779" i="54"/>
  <c r="BR782" i="54"/>
  <c r="BR788" i="54"/>
  <c r="BR791" i="54"/>
  <c r="BR778" i="54"/>
  <c r="BR784" i="54"/>
  <c r="H833" i="54"/>
  <c r="A833" i="54" s="1"/>
  <c r="H840" i="54"/>
  <c r="A840" i="54" s="1"/>
  <c r="H819" i="54"/>
  <c r="A819" i="54" s="1"/>
  <c r="H809" i="54"/>
  <c r="A809" i="54" s="1"/>
  <c r="H836" i="54"/>
  <c r="A836" i="54" s="1"/>
  <c r="H838" i="54"/>
  <c r="A838" i="54" s="1"/>
  <c r="H802" i="54"/>
  <c r="A802" i="54" s="1"/>
  <c r="V791" i="54"/>
  <c r="BR789" i="54"/>
  <c r="BQ772" i="54"/>
  <c r="BR773" i="54"/>
  <c r="BQ777" i="54"/>
  <c r="BR786" i="54"/>
  <c r="BR776" i="54"/>
  <c r="BR781" i="54"/>
  <c r="BR794" i="54"/>
  <c r="BQ787" i="54"/>
  <c r="BR775" i="54"/>
  <c r="F816" i="58"/>
  <c r="F813" i="58"/>
  <c r="BM781" i="54"/>
  <c r="C305" i="54"/>
  <c r="O342" i="54" s="1"/>
  <c r="BM788" i="54"/>
  <c r="H825" i="54"/>
  <c r="A825" i="54" s="1"/>
  <c r="BM785" i="54"/>
  <c r="BN789" i="54"/>
  <c r="BN787" i="54"/>
  <c r="BM791" i="54"/>
  <c r="BN775" i="54"/>
  <c r="BN778" i="54"/>
  <c r="BM775" i="54"/>
  <c r="BM777" i="54"/>
  <c r="H821" i="54"/>
  <c r="A821" i="54" s="1"/>
  <c r="BM778" i="54"/>
  <c r="BM772" i="54"/>
  <c r="BN777" i="54"/>
  <c r="BN788" i="54"/>
  <c r="H827" i="54"/>
  <c r="A827" i="54" s="1"/>
  <c r="BN791" i="54"/>
  <c r="BN772" i="54"/>
  <c r="BN780" i="54"/>
  <c r="H829" i="54"/>
  <c r="A829" i="54" s="1"/>
  <c r="BM786" i="54"/>
  <c r="BN774" i="54"/>
  <c r="BM782" i="54"/>
  <c r="BN773" i="54"/>
  <c r="BN790" i="54"/>
  <c r="BN776" i="54"/>
  <c r="BM774" i="54"/>
  <c r="BM794" i="54"/>
  <c r="BN793" i="54"/>
  <c r="BM784" i="54"/>
  <c r="BN781" i="54"/>
  <c r="BN783" i="54"/>
  <c r="BM776" i="54"/>
  <c r="BM779" i="54"/>
  <c r="BM789" i="54"/>
  <c r="BN786" i="54"/>
  <c r="BN779" i="54"/>
  <c r="BN784" i="54"/>
  <c r="BN794" i="54"/>
  <c r="BM787" i="54"/>
  <c r="BM773" i="54"/>
  <c r="BM793" i="54"/>
  <c r="BM780" i="54"/>
  <c r="BM790" i="54"/>
  <c r="BN785" i="54"/>
  <c r="BM783" i="54"/>
  <c r="AB850" i="54"/>
  <c r="BN782" i="54"/>
  <c r="H828" i="54"/>
  <c r="A828" i="54" s="1"/>
  <c r="H826" i="54"/>
  <c r="A826" i="54" s="1"/>
  <c r="H830" i="54"/>
  <c r="A830" i="54" s="1"/>
  <c r="H822" i="54"/>
  <c r="A822" i="54" s="1"/>
  <c r="N491" i="57"/>
  <c r="AE866" i="54"/>
  <c r="AV858" i="54"/>
  <c r="BE858" i="54"/>
  <c r="AK866" i="54"/>
  <c r="U852" i="54"/>
  <c r="AB868" i="54" s="1"/>
  <c r="AD850" i="54"/>
  <c r="U850" i="54"/>
  <c r="P434" i="58"/>
  <c r="P429" i="58"/>
  <c r="C422" i="58"/>
  <c r="T1093" i="58" s="1"/>
  <c r="O459" i="58"/>
  <c r="O464" i="58"/>
  <c r="E359" i="58"/>
  <c r="H375" i="58" s="1"/>
  <c r="F808" i="58"/>
  <c r="O317" i="54"/>
  <c r="I1095" i="57"/>
  <c r="G904" i="57"/>
  <c r="AR903" i="57"/>
  <c r="M1095" i="57"/>
  <c r="I1097" i="57"/>
  <c r="M1097" i="57"/>
  <c r="O481" i="57"/>
  <c r="C456" i="57"/>
  <c r="O511" i="57" s="1"/>
  <c r="O516" i="57" s="1"/>
  <c r="O486" i="57"/>
  <c r="C454" i="57"/>
  <c r="O466" i="57"/>
  <c r="O461" i="57"/>
  <c r="N342" i="54"/>
  <c r="N347" i="54"/>
  <c r="C307" i="54"/>
  <c r="O362" i="54" s="1"/>
  <c r="O367" i="54" s="1"/>
  <c r="O337" i="54"/>
  <c r="O332" i="54"/>
  <c r="AP858" i="54"/>
  <c r="BC858" i="54"/>
  <c r="AI866" i="54"/>
  <c r="AG858" i="54"/>
  <c r="AK858" i="54"/>
  <c r="V866" i="54"/>
  <c r="AD690" i="54"/>
  <c r="AD657" i="54"/>
  <c r="AD660" i="54"/>
  <c r="AD656" i="54"/>
  <c r="AD691" i="54"/>
  <c r="AD658" i="54"/>
  <c r="AD697" i="54"/>
  <c r="AD696" i="54"/>
  <c r="AD673" i="54"/>
  <c r="AD659" i="54"/>
  <c r="AD692" i="54"/>
  <c r="AD661" i="54"/>
  <c r="AD665" i="54"/>
  <c r="AD672" i="54"/>
  <c r="AD693" i="54"/>
  <c r="AD670" i="54"/>
  <c r="AD689" i="54"/>
  <c r="AD671" i="54"/>
  <c r="AD688" i="54"/>
  <c r="X759" i="54" l="1"/>
  <c r="L792" i="54"/>
  <c r="O792" i="54"/>
  <c r="N792" i="54"/>
  <c r="M792" i="54"/>
  <c r="L839" i="54"/>
  <c r="K839" i="54"/>
  <c r="T1092" i="58"/>
  <c r="S1092" i="58"/>
  <c r="S1104" i="57"/>
  <c r="T1104" i="57"/>
  <c r="AD1096" i="57"/>
  <c r="AD1097" i="57"/>
  <c r="U1097" i="57"/>
  <c r="U1096" i="57"/>
  <c r="S859" i="54"/>
  <c r="T859" i="54"/>
  <c r="S851" i="54"/>
  <c r="Q851" i="54" s="1"/>
  <c r="P851" i="54"/>
  <c r="L823" i="54"/>
  <c r="K823" i="54"/>
  <c r="L824" i="54"/>
  <c r="K824" i="54"/>
  <c r="L772" i="54"/>
  <c r="X758" i="54"/>
  <c r="L826" i="54"/>
  <c r="L836" i="54"/>
  <c r="L841" i="54"/>
  <c r="L828" i="54"/>
  <c r="L829" i="54"/>
  <c r="L818" i="54"/>
  <c r="L825" i="54"/>
  <c r="L819" i="54"/>
  <c r="L814" i="54"/>
  <c r="L806" i="54"/>
  <c r="S850" i="54"/>
  <c r="Q850" i="54" s="1"/>
  <c r="L837" i="54"/>
  <c r="L833" i="54"/>
  <c r="L816" i="54"/>
  <c r="L812" i="54"/>
  <c r="L830" i="54"/>
  <c r="L842" i="54"/>
  <c r="L804" i="54"/>
  <c r="L843" i="54"/>
  <c r="L840" i="54"/>
  <c r="L808" i="54"/>
  <c r="L805" i="54"/>
  <c r="L813" i="54"/>
  <c r="L835" i="54"/>
  <c r="L809" i="54"/>
  <c r="L827" i="54"/>
  <c r="L817" i="54"/>
  <c r="L831" i="54"/>
  <c r="L820" i="54"/>
  <c r="L838" i="54"/>
  <c r="L834" i="54"/>
  <c r="L822" i="54"/>
  <c r="L821" i="54"/>
  <c r="L801" i="54"/>
  <c r="L803" i="54"/>
  <c r="L802" i="54"/>
  <c r="L811" i="54"/>
  <c r="L810" i="54"/>
  <c r="L815" i="54"/>
  <c r="L807" i="54"/>
  <c r="L832" i="54"/>
  <c r="S852" i="54"/>
  <c r="K816" i="54"/>
  <c r="K833" i="54"/>
  <c r="K810" i="54"/>
  <c r="V758" i="54"/>
  <c r="BK772" i="54" s="1"/>
  <c r="V759" i="54"/>
  <c r="BK773" i="54" s="1"/>
  <c r="M773" i="54" s="1"/>
  <c r="W759" i="54"/>
  <c r="BL773" i="54" s="1"/>
  <c r="O773" i="54" s="1"/>
  <c r="K818" i="54"/>
  <c r="K811" i="54"/>
  <c r="W758" i="54"/>
  <c r="BL772" i="54" s="1"/>
  <c r="O772" i="54" s="1"/>
  <c r="K803" i="54"/>
  <c r="K829" i="54"/>
  <c r="K826" i="54"/>
  <c r="K825" i="54"/>
  <c r="K832" i="54"/>
  <c r="P852" i="54"/>
  <c r="N852" i="54" s="1"/>
  <c r="Y868" i="54" s="1"/>
  <c r="G868" i="54" s="1"/>
  <c r="K815" i="54"/>
  <c r="K830" i="54"/>
  <c r="K808" i="54"/>
  <c r="K842" i="54"/>
  <c r="K819" i="54"/>
  <c r="K837" i="54"/>
  <c r="K843" i="54"/>
  <c r="K821" i="54"/>
  <c r="K820" i="54"/>
  <c r="K813" i="54"/>
  <c r="K841" i="54"/>
  <c r="P850" i="54"/>
  <c r="AN858" i="54" s="1"/>
  <c r="K804" i="54"/>
  <c r="K809" i="54"/>
  <c r="K836" i="54"/>
  <c r="K822" i="54"/>
  <c r="K805" i="54"/>
  <c r="K835" i="54"/>
  <c r="K834" i="54"/>
  <c r="K812" i="54"/>
  <c r="K817" i="54"/>
  <c r="K801" i="54"/>
  <c r="K827" i="54"/>
  <c r="K828" i="54"/>
  <c r="K831" i="54"/>
  <c r="K807" i="54"/>
  <c r="K806" i="54"/>
  <c r="K840" i="54"/>
  <c r="K838" i="54"/>
  <c r="K802" i="54"/>
  <c r="K814" i="54"/>
  <c r="R852" i="54"/>
  <c r="N780" i="54"/>
  <c r="O788" i="54"/>
  <c r="L790" i="54"/>
  <c r="M779" i="54"/>
  <c r="N783" i="54"/>
  <c r="N778" i="54"/>
  <c r="O789" i="54"/>
  <c r="O774" i="54"/>
  <c r="O782" i="54"/>
  <c r="M777" i="54"/>
  <c r="N786" i="54"/>
  <c r="N781" i="54"/>
  <c r="O780" i="54"/>
  <c r="N777" i="54"/>
  <c r="L774" i="54"/>
  <c r="M791" i="54"/>
  <c r="N772" i="54"/>
  <c r="N773" i="54"/>
  <c r="O779" i="54"/>
  <c r="O784" i="54"/>
  <c r="O785" i="54"/>
  <c r="N785" i="54"/>
  <c r="O786" i="54"/>
  <c r="O776" i="54"/>
  <c r="N787" i="54"/>
  <c r="O783" i="54"/>
  <c r="O347" i="54"/>
  <c r="L788" i="54"/>
  <c r="M789" i="54"/>
  <c r="O781" i="54"/>
  <c r="N793" i="54"/>
  <c r="O794" i="54"/>
  <c r="N788" i="54"/>
  <c r="N784" i="54"/>
  <c r="N790" i="54"/>
  <c r="O791" i="54"/>
  <c r="N791" i="54"/>
  <c r="O787" i="54"/>
  <c r="O777" i="54"/>
  <c r="O778" i="54"/>
  <c r="L779" i="54"/>
  <c r="O793" i="54"/>
  <c r="N789" i="54"/>
  <c r="N794" i="54"/>
  <c r="N779" i="54"/>
  <c r="O790" i="54"/>
  <c r="N774" i="54"/>
  <c r="O775" i="54"/>
  <c r="N775" i="54"/>
  <c r="N776" i="54"/>
  <c r="N782" i="54"/>
  <c r="F814" i="58"/>
  <c r="L781" i="54"/>
  <c r="M774" i="54"/>
  <c r="M775" i="54"/>
  <c r="M783" i="54"/>
  <c r="L787" i="54"/>
  <c r="L782" i="54"/>
  <c r="L789" i="54"/>
  <c r="L773" i="54"/>
  <c r="L780" i="54"/>
  <c r="M794" i="54"/>
  <c r="M790" i="54"/>
  <c r="M784" i="54"/>
  <c r="M780" i="54"/>
  <c r="L791" i="54"/>
  <c r="L775" i="54"/>
  <c r="L778" i="54"/>
  <c r="L785" i="54"/>
  <c r="L793" i="54"/>
  <c r="L776" i="54"/>
  <c r="M793" i="54"/>
  <c r="M788" i="54"/>
  <c r="M776" i="54"/>
  <c r="M785" i="54"/>
  <c r="M786" i="54"/>
  <c r="L783" i="54"/>
  <c r="L786" i="54"/>
  <c r="L794" i="54"/>
  <c r="L777" i="54"/>
  <c r="L784" i="54"/>
  <c r="M781" i="54"/>
  <c r="M778" i="54"/>
  <c r="M782" i="54"/>
  <c r="M787" i="54"/>
  <c r="AK1103" i="57"/>
  <c r="AB866" i="54"/>
  <c r="BB858" i="54"/>
  <c r="AZ858" i="54"/>
  <c r="AS858" i="54"/>
  <c r="AH866" i="54"/>
  <c r="T1091" i="58"/>
  <c r="S1091" i="58"/>
  <c r="S1093" i="58"/>
  <c r="P464" i="58"/>
  <c r="P459" i="58"/>
  <c r="T860" i="54"/>
  <c r="S858" i="54"/>
  <c r="T858" i="54"/>
  <c r="S860" i="54"/>
  <c r="T1103" i="57"/>
  <c r="T1105" i="57"/>
  <c r="S1103" i="57"/>
  <c r="S1105" i="57"/>
  <c r="AI1111" i="57"/>
  <c r="R1111" i="57"/>
  <c r="AE1097" i="57"/>
  <c r="AG1103" i="57"/>
  <c r="V1111" i="57"/>
  <c r="G905" i="57"/>
  <c r="AR904" i="57"/>
  <c r="BC1103" i="57"/>
  <c r="O491" i="57"/>
  <c r="O496" i="57"/>
  <c r="H858" i="54" l="1"/>
  <c r="N839" i="54"/>
  <c r="AA851" i="54"/>
  <c r="H860" i="54"/>
  <c r="V859" i="54"/>
  <c r="X1104" i="57" s="1"/>
  <c r="V860" i="54"/>
  <c r="U858" i="54" s="1"/>
  <c r="N851" i="54"/>
  <c r="Y867" i="54" s="1"/>
  <c r="G867" i="54" s="1"/>
  <c r="N866" i="54" s="1"/>
  <c r="X867" i="54"/>
  <c r="H859" i="54"/>
  <c r="I1104" i="57" s="1"/>
  <c r="H1104" i="57" s="1"/>
  <c r="I1092" i="58" s="1"/>
  <c r="H1092" i="58" s="1"/>
  <c r="F859" i="54"/>
  <c r="G1104" i="57" s="1"/>
  <c r="V1104" i="57" s="1"/>
  <c r="X1092" i="58" s="1"/>
  <c r="AI851" i="54"/>
  <c r="K851" i="54"/>
  <c r="T867" i="54" s="1"/>
  <c r="L851" i="54"/>
  <c r="U867" i="54" s="1"/>
  <c r="Q852" i="54"/>
  <c r="N823" i="54"/>
  <c r="N824" i="54"/>
  <c r="M823" i="54"/>
  <c r="AQ858" i="54"/>
  <c r="AO858" i="54" s="1"/>
  <c r="X866" i="54"/>
  <c r="X868" i="54"/>
  <c r="N850" i="54"/>
  <c r="Y866" i="54" s="1"/>
  <c r="G866" i="54" s="1"/>
  <c r="H1111" i="57" s="1"/>
  <c r="AA852" i="54"/>
  <c r="M772" i="54"/>
  <c r="Z852" i="54" s="1"/>
  <c r="AA850" i="54"/>
  <c r="AY858" i="54" s="1"/>
  <c r="N814" i="54"/>
  <c r="M837" i="54"/>
  <c r="N813" i="54"/>
  <c r="N843" i="54"/>
  <c r="N840" i="54"/>
  <c r="N828" i="54"/>
  <c r="M840" i="54"/>
  <c r="N837" i="54"/>
  <c r="L850" i="54"/>
  <c r="AJ858" i="54" s="1"/>
  <c r="M819" i="54"/>
  <c r="N830" i="54"/>
  <c r="N827" i="54"/>
  <c r="N811" i="54"/>
  <c r="N816" i="54"/>
  <c r="N841" i="54"/>
  <c r="M803" i="54"/>
  <c r="N826" i="54"/>
  <c r="N829" i="54"/>
  <c r="AI852" i="54"/>
  <c r="N821" i="54"/>
  <c r="N831" i="54"/>
  <c r="N805" i="54"/>
  <c r="N819" i="54"/>
  <c r="N803" i="54"/>
  <c r="M813" i="54"/>
  <c r="M815" i="54"/>
  <c r="N834" i="54"/>
  <c r="N808" i="54"/>
  <c r="N832" i="54"/>
  <c r="N806" i="54"/>
  <c r="K852" i="54"/>
  <c r="T868" i="54" s="1"/>
  <c r="N825" i="54"/>
  <c r="N822" i="54"/>
  <c r="K850" i="54"/>
  <c r="N835" i="54"/>
  <c r="N809" i="54"/>
  <c r="N833" i="54"/>
  <c r="N807" i="54"/>
  <c r="M817" i="54"/>
  <c r="N838" i="54"/>
  <c r="N812" i="54"/>
  <c r="N836" i="54"/>
  <c r="N810" i="54"/>
  <c r="AI850" i="54"/>
  <c r="BG858" i="54" s="1"/>
  <c r="N801" i="54"/>
  <c r="N817" i="54"/>
  <c r="N842" i="54"/>
  <c r="N815" i="54"/>
  <c r="M801" i="54"/>
  <c r="M805" i="54"/>
  <c r="N820" i="54"/>
  <c r="N804" i="54"/>
  <c r="N818" i="54"/>
  <c r="N802" i="54"/>
  <c r="L852" i="54"/>
  <c r="U868" i="54" s="1"/>
  <c r="M811" i="54"/>
  <c r="M831" i="54"/>
  <c r="M842" i="54"/>
  <c r="M807" i="54"/>
  <c r="M835" i="54"/>
  <c r="M809" i="54"/>
  <c r="M833" i="54"/>
  <c r="M829" i="54"/>
  <c r="M821" i="54"/>
  <c r="M825" i="54"/>
  <c r="M827" i="54"/>
  <c r="AH1111" i="57"/>
  <c r="AS1103" i="57"/>
  <c r="AB1111" i="57"/>
  <c r="BB1103" i="57"/>
  <c r="F860" i="54"/>
  <c r="AR905" i="57"/>
  <c r="G906" i="57"/>
  <c r="Z858" i="54" l="1"/>
  <c r="AI858" i="54"/>
  <c r="J850" i="54"/>
  <c r="S866" i="54" s="1"/>
  <c r="K866" i="54" s="1"/>
  <c r="M810" i="54"/>
  <c r="M839" i="54"/>
  <c r="G850" i="54"/>
  <c r="F1104" i="57"/>
  <c r="H1112" i="57"/>
  <c r="G1112" i="57" s="1"/>
  <c r="X1105" i="57"/>
  <c r="N867" i="54"/>
  <c r="L860" i="54"/>
  <c r="K859" i="54"/>
  <c r="N859" i="54" s="1"/>
  <c r="L859" i="54"/>
  <c r="J859" i="54"/>
  <c r="AB859" i="54" s="1"/>
  <c r="J851" i="54"/>
  <c r="S867" i="54" s="1"/>
  <c r="K867" i="54" s="1"/>
  <c r="H851" i="54"/>
  <c r="Q867" i="54" s="1"/>
  <c r="G851" i="54"/>
  <c r="Z851" i="54"/>
  <c r="H852" i="54"/>
  <c r="Q868" i="54" s="1"/>
  <c r="M812" i="54"/>
  <c r="M843" i="54"/>
  <c r="G852" i="54"/>
  <c r="P868" i="54" s="1"/>
  <c r="M826" i="54"/>
  <c r="M824" i="54"/>
  <c r="M841" i="54"/>
  <c r="M830" i="54"/>
  <c r="M816" i="54"/>
  <c r="M814" i="54"/>
  <c r="M828" i="54"/>
  <c r="M838" i="54"/>
  <c r="M836" i="54"/>
  <c r="M822" i="54"/>
  <c r="T866" i="54"/>
  <c r="AL858" i="54"/>
  <c r="F858" i="54" s="1"/>
  <c r="H850" i="54"/>
  <c r="Q866" i="54" s="1"/>
  <c r="M834" i="54"/>
  <c r="M832" i="54"/>
  <c r="M806" i="54"/>
  <c r="M820" i="54"/>
  <c r="M804" i="54"/>
  <c r="M818" i="54"/>
  <c r="M802" i="54"/>
  <c r="Z850" i="54"/>
  <c r="AX858" i="54" s="1"/>
  <c r="Y858" i="54" s="1"/>
  <c r="AC858" i="54" s="1"/>
  <c r="M808" i="54"/>
  <c r="U866" i="54"/>
  <c r="J852" i="54"/>
  <c r="S868" i="54" s="1"/>
  <c r="K868" i="54" s="1"/>
  <c r="I1103" i="57"/>
  <c r="I1105" i="57"/>
  <c r="H1105" i="57" s="1"/>
  <c r="N868" i="54"/>
  <c r="H1113" i="57"/>
  <c r="G1105" i="57"/>
  <c r="V1105" i="57" s="1"/>
  <c r="K860" i="54"/>
  <c r="J860" i="54"/>
  <c r="G907" i="57"/>
  <c r="AR906" i="57"/>
  <c r="AH858" i="54" l="1"/>
  <c r="I866" i="54"/>
  <c r="J866" i="54" s="1"/>
  <c r="H1100" i="58"/>
  <c r="G1100" i="58" s="1"/>
  <c r="K1100" i="58" s="1"/>
  <c r="N1112" i="57"/>
  <c r="I1112" i="57" s="1"/>
  <c r="J1112" i="57" s="1"/>
  <c r="AE858" i="54"/>
  <c r="P866" i="54"/>
  <c r="J858" i="54"/>
  <c r="AB858" i="54" s="1"/>
  <c r="F850" i="54"/>
  <c r="U1103" i="57"/>
  <c r="X1093" i="58"/>
  <c r="L1104" i="57"/>
  <c r="G1092" i="58"/>
  <c r="J1104" i="57"/>
  <c r="AB1104" i="57" s="1"/>
  <c r="K1104" i="57"/>
  <c r="N1104" i="57" s="1"/>
  <c r="I867" i="54"/>
  <c r="J867" i="54" s="1"/>
  <c r="K1112" i="57"/>
  <c r="F851" i="54"/>
  <c r="O867" i="54" s="1"/>
  <c r="P867" i="54"/>
  <c r="F852" i="54"/>
  <c r="O868" i="54" s="1"/>
  <c r="AF858" i="54"/>
  <c r="I868" i="54"/>
  <c r="J868" i="54" s="1"/>
  <c r="G1103" i="57"/>
  <c r="AB860" i="54"/>
  <c r="N860" i="54"/>
  <c r="F1105" i="57"/>
  <c r="W1103" i="57"/>
  <c r="G908" i="57"/>
  <c r="AR907" i="57"/>
  <c r="N1100" i="58" l="1"/>
  <c r="I1100" i="58" s="1"/>
  <c r="J1100" i="58" s="1"/>
  <c r="AD858" i="54"/>
  <c r="O866" i="54"/>
  <c r="F1092" i="58"/>
  <c r="V1092" i="58"/>
  <c r="AC1103" i="57"/>
  <c r="L1105" i="57"/>
  <c r="I1093" i="58"/>
  <c r="H1093" i="58" s="1"/>
  <c r="G1093" i="58"/>
  <c r="V1093" i="58" s="1"/>
  <c r="K1105" i="57"/>
  <c r="J1105" i="57"/>
  <c r="G909" i="57"/>
  <c r="AR908" i="57"/>
  <c r="U847" i="57"/>
  <c r="A847" i="57"/>
  <c r="AA847" i="57"/>
  <c r="V847" i="57"/>
  <c r="A844" i="57"/>
  <c r="A845" i="57"/>
  <c r="A843" i="57"/>
  <c r="U846" i="57"/>
  <c r="A846" i="57"/>
  <c r="V846" i="57"/>
  <c r="A849" i="57"/>
  <c r="AA846" i="57"/>
  <c r="K858" i="54" l="1"/>
  <c r="N858" i="54" s="1"/>
  <c r="L858" i="54"/>
  <c r="U1091" i="58"/>
  <c r="K1092" i="58"/>
  <c r="N1092" i="58" s="1"/>
  <c r="J1092" i="58"/>
  <c r="AB1092" i="58" s="1"/>
  <c r="L1092" i="58"/>
  <c r="AB1105" i="57"/>
  <c r="N1105" i="57"/>
  <c r="W1091" i="58"/>
  <c r="F1093" i="58"/>
  <c r="G910" i="57"/>
  <c r="AR909" i="57"/>
  <c r="L1093" i="58" l="1"/>
  <c r="AC1091" i="58"/>
  <c r="J1093" i="58"/>
  <c r="AB1093" i="58" s="1"/>
  <c r="K1093" i="58"/>
  <c r="N1093" i="58" s="1"/>
  <c r="G911" i="57"/>
  <c r="AR910" i="57"/>
  <c r="G912" i="57" l="1"/>
  <c r="AR911" i="57"/>
  <c r="G913" i="57" l="1"/>
  <c r="AR912" i="57"/>
  <c r="G914" i="57" l="1"/>
  <c r="AR913" i="57"/>
  <c r="AR914" i="57" l="1"/>
  <c r="G915" i="57"/>
  <c r="N994" i="57" s="1"/>
  <c r="AO994" i="57" l="1"/>
  <c r="AN994" i="57"/>
  <c r="AH994" i="57"/>
  <c r="AG994" i="57"/>
  <c r="BP1037" i="57"/>
  <c r="BS1037" i="57"/>
  <c r="BO1037" i="57"/>
  <c r="BT1037" i="57"/>
  <c r="N977" i="57"/>
  <c r="AO977" i="57" s="1"/>
  <c r="N964" i="57"/>
  <c r="N948" i="57"/>
  <c r="N947" i="57"/>
  <c r="N991" i="57"/>
  <c r="N993" i="57"/>
  <c r="N988" i="57"/>
  <c r="N987" i="57"/>
  <c r="N986" i="57"/>
  <c r="N992" i="57"/>
  <c r="N990" i="57"/>
  <c r="N989" i="57"/>
  <c r="BP1017" i="57"/>
  <c r="BS1032" i="57"/>
  <c r="BO1032" i="57"/>
  <c r="BO1028" i="57"/>
  <c r="BP1029" i="57"/>
  <c r="BO1031" i="57"/>
  <c r="BO1029" i="57"/>
  <c r="BP1027" i="57"/>
  <c r="BP1030" i="57"/>
  <c r="BO1030" i="57"/>
  <c r="BO1027" i="57"/>
  <c r="BP1031" i="57"/>
  <c r="BP1032" i="57"/>
  <c r="BP1028" i="57"/>
  <c r="BS1031" i="57"/>
  <c r="BT1030" i="57"/>
  <c r="BT1032" i="57"/>
  <c r="BT1029" i="57"/>
  <c r="BT1028" i="57"/>
  <c r="BS1030" i="57"/>
  <c r="BT1031" i="57"/>
  <c r="BS1027" i="57"/>
  <c r="BT1027" i="57"/>
  <c r="BS1028" i="57"/>
  <c r="BS1029" i="57"/>
  <c r="N995" i="57"/>
  <c r="N996" i="57"/>
  <c r="N969" i="57"/>
  <c r="N968" i="57"/>
  <c r="N966" i="57"/>
  <c r="N971" i="57"/>
  <c r="N965" i="57"/>
  <c r="N970" i="57"/>
  <c r="N967" i="57"/>
  <c r="N972" i="57"/>
  <c r="N922" i="57"/>
  <c r="BO1017" i="57"/>
  <c r="AR915" i="57"/>
  <c r="N981" i="57"/>
  <c r="N978" i="57"/>
  <c r="N982" i="57"/>
  <c r="N975" i="57"/>
  <c r="N974" i="57"/>
  <c r="N998" i="57"/>
  <c r="N976" i="57"/>
  <c r="N985" i="57"/>
  <c r="N984" i="57"/>
  <c r="N973" i="57"/>
  <c r="N979" i="57"/>
  <c r="N983" i="57"/>
  <c r="N997" i="57"/>
  <c r="N980" i="57"/>
  <c r="N939" i="57"/>
  <c r="N959" i="57"/>
  <c r="N954" i="57"/>
  <c r="N946" i="57"/>
  <c r="N942" i="57"/>
  <c r="N933" i="57"/>
  <c r="N925" i="57"/>
  <c r="N941" i="57"/>
  <c r="N940" i="57"/>
  <c r="N938" i="57"/>
  <c r="N944" i="57"/>
  <c r="N923" i="57"/>
  <c r="N945" i="57"/>
  <c r="N951" i="57"/>
  <c r="N952" i="57"/>
  <c r="N937" i="57"/>
  <c r="N950" i="57"/>
  <c r="N949" i="57"/>
  <c r="N936" i="57"/>
  <c r="N927" i="57"/>
  <c r="N924" i="57"/>
  <c r="N961" i="57"/>
  <c r="N928" i="57"/>
  <c r="N958" i="57"/>
  <c r="N935" i="57"/>
  <c r="N957" i="57"/>
  <c r="N955" i="57"/>
  <c r="N953" i="57"/>
  <c r="N960" i="57"/>
  <c r="N931" i="57"/>
  <c r="N943" i="57"/>
  <c r="N963" i="57"/>
  <c r="N956" i="57"/>
  <c r="N926" i="57"/>
  <c r="N932" i="57"/>
  <c r="N962" i="57"/>
  <c r="N930" i="57"/>
  <c r="N929" i="57"/>
  <c r="N934" i="57"/>
  <c r="BP1020" i="57"/>
  <c r="BS1038" i="57"/>
  <c r="BS1020" i="57"/>
  <c r="BS1024" i="57"/>
  <c r="BP1019" i="57"/>
  <c r="BO1034" i="57"/>
  <c r="BO1020" i="57"/>
  <c r="BO1026" i="57"/>
  <c r="BT1036" i="57"/>
  <c r="BS1018" i="57"/>
  <c r="BT1020" i="57"/>
  <c r="BT1019" i="57"/>
  <c r="BP1038" i="57"/>
  <c r="BP1035" i="57"/>
  <c r="BT1024" i="57"/>
  <c r="BP1023" i="57"/>
  <c r="BT1021" i="57"/>
  <c r="BO1039" i="57"/>
  <c r="BP1026" i="57"/>
  <c r="BP1021" i="57"/>
  <c r="BS1034" i="57"/>
  <c r="BS1022" i="57"/>
  <c r="BO1025" i="57"/>
  <c r="BS1026" i="57"/>
  <c r="BP1024" i="57"/>
  <c r="BT1038" i="57"/>
  <c r="BT1035" i="57"/>
  <c r="BP1033" i="57"/>
  <c r="BS1033" i="57"/>
  <c r="BS1036" i="57"/>
  <c r="BT1017" i="57"/>
  <c r="BP1022" i="57"/>
  <c r="BP1034" i="57"/>
  <c r="BP1025" i="57"/>
  <c r="BO1024" i="57"/>
  <c r="BO1036" i="57"/>
  <c r="BT1039" i="57"/>
  <c r="BO1019" i="57"/>
  <c r="BS1039" i="57"/>
  <c r="BS1025" i="57"/>
  <c r="BO1035" i="57"/>
  <c r="BO1023" i="57"/>
  <c r="BP1039" i="57"/>
  <c r="BS1023" i="57"/>
  <c r="BS1017" i="57"/>
  <c r="BT1018" i="57"/>
  <c r="BT1022" i="57"/>
  <c r="BT1026" i="57"/>
  <c r="BT1034" i="57"/>
  <c r="BS1021" i="57"/>
  <c r="BO1033" i="57"/>
  <c r="BT1025" i="57"/>
  <c r="BO1021" i="57"/>
  <c r="BS1035" i="57"/>
  <c r="BT1023" i="57"/>
  <c r="BS1019" i="57"/>
  <c r="BO1018" i="57"/>
  <c r="BO1022" i="57"/>
  <c r="BO1038" i="57"/>
  <c r="BP1018" i="57"/>
  <c r="BP1036" i="57"/>
  <c r="BT1033" i="57"/>
  <c r="AG977" i="57" l="1"/>
  <c r="AH977" i="57"/>
  <c r="AN977" i="57"/>
  <c r="AH964" i="57"/>
  <c r="AG964" i="57"/>
  <c r="AO947" i="57"/>
  <c r="AN947" i="57"/>
  <c r="AG947" i="57"/>
  <c r="AH947" i="57"/>
  <c r="AO948" i="57"/>
  <c r="AN948" i="57"/>
  <c r="AH948" i="57"/>
  <c r="AG948" i="57"/>
  <c r="AG963" i="57"/>
  <c r="AH963" i="57"/>
  <c r="AH958" i="57"/>
  <c r="AG958" i="57"/>
  <c r="AG927" i="57"/>
  <c r="AH927" i="57"/>
  <c r="AH937" i="57"/>
  <c r="AG937" i="57"/>
  <c r="AG923" i="57"/>
  <c r="AH923" i="57"/>
  <c r="AH941" i="57"/>
  <c r="AG941" i="57"/>
  <c r="AG946" i="57"/>
  <c r="AH946" i="57"/>
  <c r="AG980" i="57"/>
  <c r="AH980" i="57"/>
  <c r="AH973" i="57"/>
  <c r="AG973" i="57"/>
  <c r="AH998" i="57"/>
  <c r="AG998" i="57"/>
  <c r="AG978" i="57"/>
  <c r="AH978" i="57"/>
  <c r="AH922" i="57"/>
  <c r="AG922" i="57"/>
  <c r="AG989" i="57"/>
  <c r="AH989" i="57"/>
  <c r="AG987" i="57"/>
  <c r="AH987" i="57"/>
  <c r="AG934" i="57"/>
  <c r="AH934" i="57"/>
  <c r="AG932" i="57"/>
  <c r="AH932" i="57"/>
  <c r="AG943" i="57"/>
  <c r="AH943" i="57"/>
  <c r="AH955" i="57"/>
  <c r="AG955" i="57"/>
  <c r="AH928" i="57"/>
  <c r="AG928" i="57"/>
  <c r="AH936" i="57"/>
  <c r="AG936" i="57"/>
  <c r="AH944" i="57"/>
  <c r="AG944" i="57"/>
  <c r="AH925" i="57"/>
  <c r="AG925" i="57"/>
  <c r="AG954" i="57"/>
  <c r="AH954" i="57"/>
  <c r="AH997" i="57"/>
  <c r="AG997" i="57"/>
  <c r="AG984" i="57"/>
  <c r="AH984" i="57"/>
  <c r="AH974" i="57"/>
  <c r="AG974" i="57"/>
  <c r="AG981" i="57"/>
  <c r="AH981" i="57"/>
  <c r="AH972" i="57"/>
  <c r="AG972" i="57"/>
  <c r="AG990" i="57"/>
  <c r="AH990" i="57"/>
  <c r="AH988" i="57"/>
  <c r="AG988" i="57"/>
  <c r="AG929" i="57"/>
  <c r="AH929" i="57"/>
  <c r="AG926" i="57"/>
  <c r="AH926" i="57"/>
  <c r="AH931" i="57"/>
  <c r="AG931" i="57"/>
  <c r="AG938" i="57"/>
  <c r="AH938" i="57"/>
  <c r="AH933" i="57"/>
  <c r="AG933" i="57"/>
  <c r="AH983" i="57"/>
  <c r="AG983" i="57"/>
  <c r="AH985" i="57"/>
  <c r="AG985" i="57"/>
  <c r="AG975" i="57"/>
  <c r="AH975" i="57"/>
  <c r="AH966" i="57"/>
  <c r="AG966" i="57"/>
  <c r="AG992" i="57"/>
  <c r="AH992" i="57"/>
  <c r="AG993" i="57"/>
  <c r="AH993" i="57"/>
  <c r="AH930" i="57"/>
  <c r="AG930" i="57"/>
  <c r="AG956" i="57"/>
  <c r="AH956" i="57"/>
  <c r="AH960" i="57"/>
  <c r="AG960" i="57"/>
  <c r="AH935" i="57"/>
  <c r="AG935" i="57"/>
  <c r="AG924" i="57"/>
  <c r="AH924" i="57"/>
  <c r="AH945" i="57"/>
  <c r="AG945" i="57"/>
  <c r="AH940" i="57"/>
  <c r="AG940" i="57"/>
  <c r="AH942" i="57"/>
  <c r="AG942" i="57"/>
  <c r="AG939" i="57"/>
  <c r="AH939" i="57"/>
  <c r="AH979" i="57"/>
  <c r="AG979" i="57"/>
  <c r="AG976" i="57"/>
  <c r="AH976" i="57"/>
  <c r="AH982" i="57"/>
  <c r="AG982" i="57"/>
  <c r="AG970" i="57"/>
  <c r="AH970" i="57"/>
  <c r="AG968" i="57"/>
  <c r="AH968" i="57"/>
  <c r="AG986" i="57"/>
  <c r="AH986" i="57"/>
  <c r="AH991" i="57"/>
  <c r="AG991" i="57"/>
  <c r="AO989" i="57"/>
  <c r="AN989" i="57"/>
  <c r="AN987" i="57"/>
  <c r="AO987" i="57"/>
  <c r="AO990" i="57"/>
  <c r="AN990" i="57"/>
  <c r="AN988" i="57"/>
  <c r="AO988" i="57"/>
  <c r="AN992" i="57"/>
  <c r="AO992" i="57"/>
  <c r="AN993" i="57"/>
  <c r="AO993" i="57"/>
  <c r="AN986" i="57"/>
  <c r="AO986" i="57"/>
  <c r="AN991" i="57"/>
  <c r="AO991" i="57"/>
  <c r="AO927" i="57"/>
  <c r="AN927" i="57"/>
  <c r="AO937" i="57"/>
  <c r="AN937" i="57"/>
  <c r="AN945" i="57"/>
  <c r="AO945" i="57"/>
  <c r="AO940" i="57"/>
  <c r="AN940" i="57"/>
  <c r="AN942" i="57"/>
  <c r="AO942" i="57"/>
  <c r="AO939" i="57"/>
  <c r="AN939" i="57"/>
  <c r="AN979" i="57"/>
  <c r="AO979" i="57"/>
  <c r="AO976" i="57"/>
  <c r="AN976" i="57"/>
  <c r="AN982" i="57"/>
  <c r="AO982" i="57"/>
  <c r="AN934" i="57"/>
  <c r="AO934" i="57"/>
  <c r="AO932" i="57"/>
  <c r="AN932" i="57"/>
  <c r="AN943" i="57"/>
  <c r="AO943" i="57"/>
  <c r="AN928" i="57"/>
  <c r="AO928" i="57"/>
  <c r="AN936" i="57"/>
  <c r="AO936" i="57"/>
  <c r="AN923" i="57"/>
  <c r="AO923" i="57"/>
  <c r="AO941" i="57"/>
  <c r="AN941" i="57"/>
  <c r="AO946" i="57"/>
  <c r="AN946" i="57"/>
  <c r="AO980" i="57"/>
  <c r="AN980" i="57"/>
  <c r="AN973" i="57"/>
  <c r="AO973" i="57"/>
  <c r="AN978" i="57"/>
  <c r="AO978" i="57"/>
  <c r="AO929" i="57"/>
  <c r="AN929" i="57"/>
  <c r="AO926" i="57"/>
  <c r="AN926" i="57"/>
  <c r="AN931" i="57"/>
  <c r="AO931" i="57"/>
  <c r="AO922" i="57"/>
  <c r="AN922" i="57"/>
  <c r="J1039" i="57"/>
  <c r="AN944" i="57"/>
  <c r="AO944" i="57"/>
  <c r="AO925" i="57"/>
  <c r="AN925" i="57"/>
  <c r="AN984" i="57"/>
  <c r="AO984" i="57"/>
  <c r="AN974" i="57"/>
  <c r="AO974" i="57"/>
  <c r="AO981" i="57"/>
  <c r="AN981" i="57"/>
  <c r="AN930" i="57"/>
  <c r="AO930" i="57"/>
  <c r="AO935" i="57"/>
  <c r="AN935" i="57"/>
  <c r="AN924" i="57"/>
  <c r="AO924" i="57"/>
  <c r="AO938" i="57"/>
  <c r="AN938" i="57"/>
  <c r="AN933" i="57"/>
  <c r="AO933" i="57"/>
  <c r="AO983" i="57"/>
  <c r="AN983" i="57"/>
  <c r="AO985" i="57"/>
  <c r="AN985" i="57"/>
  <c r="AN975" i="57"/>
  <c r="AO975" i="57"/>
  <c r="U1039" i="57" l="1"/>
  <c r="BM1019" i="58" l="1"/>
  <c r="G1113" i="57" l="1"/>
  <c r="N1111" i="57" s="1"/>
  <c r="V860" i="57"/>
  <c r="U860" i="57"/>
  <c r="AA860" i="57"/>
  <c r="V864" i="57"/>
  <c r="AA864" i="57"/>
  <c r="U864" i="57"/>
  <c r="V862" i="57"/>
  <c r="AA862" i="57"/>
  <c r="U862" i="57"/>
  <c r="AA863" i="57"/>
  <c r="V863" i="57"/>
  <c r="U863" i="57"/>
  <c r="V861" i="57"/>
  <c r="AA861" i="57"/>
  <c r="AI1037" i="57" l="1"/>
  <c r="AC1037" i="57"/>
  <c r="Q726" i="57"/>
  <c r="B726" i="57" s="1"/>
  <c r="Q722" i="57"/>
  <c r="Q737" i="57"/>
  <c r="B737" i="57" s="1"/>
  <c r="Q724" i="57"/>
  <c r="B724" i="57" s="1"/>
  <c r="Q738" i="57"/>
  <c r="N1113" i="57"/>
  <c r="Q728" i="57"/>
  <c r="B728" i="57" s="1"/>
  <c r="Q725" i="57"/>
  <c r="B725" i="57" s="1"/>
  <c r="Q727" i="57"/>
  <c r="B727" i="57" s="1"/>
  <c r="Q723" i="57"/>
  <c r="B723" i="57" s="1"/>
  <c r="Q729" i="57"/>
  <c r="B729" i="57" s="1"/>
  <c r="AC1039" i="57"/>
  <c r="H1101" i="58"/>
  <c r="G1101" i="58" s="1"/>
  <c r="N1099" i="58" s="1"/>
  <c r="AI1021" i="57"/>
  <c r="AI1031" i="57"/>
  <c r="AI1032" i="57"/>
  <c r="AI1029" i="57"/>
  <c r="AI1027" i="57"/>
  <c r="AI1030" i="57"/>
  <c r="AI1028" i="57"/>
  <c r="AC1027" i="57"/>
  <c r="AC1030" i="57"/>
  <c r="AC1028" i="57"/>
  <c r="AC1031" i="57"/>
  <c r="AC1032" i="57"/>
  <c r="AC1029" i="57"/>
  <c r="Q734" i="57"/>
  <c r="B734" i="57" s="1"/>
  <c r="K1113" i="57"/>
  <c r="Q733" i="57"/>
  <c r="B733" i="57" s="1"/>
  <c r="AI1036" i="57"/>
  <c r="AC1025" i="57"/>
  <c r="AC1018" i="57"/>
  <c r="AC1017" i="57"/>
  <c r="AC1035" i="57"/>
  <c r="AC1038" i="57"/>
  <c r="AC1036" i="57"/>
  <c r="AC1024" i="57"/>
  <c r="AC1021" i="57"/>
  <c r="AC1033" i="57"/>
  <c r="AC1026" i="57"/>
  <c r="AC1023" i="57"/>
  <c r="AC1022" i="57"/>
  <c r="AC1020" i="57"/>
  <c r="AI1038" i="57"/>
  <c r="Q730" i="57"/>
  <c r="B730" i="57" s="1"/>
  <c r="Q732" i="57"/>
  <c r="B732" i="57" s="1"/>
  <c r="Q735" i="57"/>
  <c r="B735" i="57" s="1"/>
  <c r="Q736" i="57"/>
  <c r="B736" i="57" s="1"/>
  <c r="Q731" i="57"/>
  <c r="B731" i="57" s="1"/>
  <c r="AC1034" i="57"/>
  <c r="AI1024" i="57"/>
  <c r="AI1022" i="57"/>
  <c r="AI1034" i="57"/>
  <c r="AI1020" i="57"/>
  <c r="AI1035" i="57"/>
  <c r="AI1019" i="57"/>
  <c r="AI1025" i="57"/>
  <c r="AI1039" i="57"/>
  <c r="AI1018" i="57"/>
  <c r="AI1023" i="57"/>
  <c r="AI1026" i="57"/>
  <c r="AI1017" i="57"/>
  <c r="AC1019" i="57"/>
  <c r="AI1033" i="57"/>
  <c r="M994" i="57" l="1"/>
  <c r="AV998" i="58" s="1"/>
  <c r="M998" i="58" s="1"/>
  <c r="A998" i="58" s="1"/>
  <c r="BC1037" i="57"/>
  <c r="AS1037" i="57"/>
  <c r="AU1037" i="57"/>
  <c r="AY1037" i="57"/>
  <c r="BE1037" i="57"/>
  <c r="AW1037" i="57"/>
  <c r="BA1037" i="57"/>
  <c r="BG1037" i="57"/>
  <c r="M964" i="57"/>
  <c r="M977" i="57"/>
  <c r="AV981" i="58" s="1"/>
  <c r="M981" i="58" s="1"/>
  <c r="Y738" i="57"/>
  <c r="AA738" i="57" s="1"/>
  <c r="Z738" i="57"/>
  <c r="AB738" i="57" s="1"/>
  <c r="AQ738" i="57"/>
  <c r="AE738" i="57"/>
  <c r="B722" i="57"/>
  <c r="M868" i="57"/>
  <c r="AD726" i="57"/>
  <c r="AC726" i="57"/>
  <c r="A730" i="57"/>
  <c r="A733" i="57"/>
  <c r="A736" i="57"/>
  <c r="A735" i="57"/>
  <c r="A728" i="57"/>
  <c r="A732" i="57"/>
  <c r="A734" i="57"/>
  <c r="A729" i="57"/>
  <c r="A731" i="57"/>
  <c r="A737" i="57"/>
  <c r="N1101" i="58"/>
  <c r="I1101" i="58" s="1"/>
  <c r="J1101" i="58" s="1"/>
  <c r="X1096" i="57"/>
  <c r="AG1096" i="57"/>
  <c r="AE729" i="57"/>
  <c r="Z729" i="57"/>
  <c r="AB729" i="57" s="1"/>
  <c r="AQ729" i="57"/>
  <c r="Y729" i="57"/>
  <c r="AA729" i="57" s="1"/>
  <c r="Y727" i="57"/>
  <c r="AA727" i="57" s="1"/>
  <c r="Z727" i="57"/>
  <c r="AB727" i="57" s="1"/>
  <c r="AQ727" i="57"/>
  <c r="AE727" i="57"/>
  <c r="A727" i="57"/>
  <c r="AQ724" i="57"/>
  <c r="A724" i="57"/>
  <c r="AE724" i="57"/>
  <c r="Z724" i="57"/>
  <c r="AB724" i="57" s="1"/>
  <c r="Y724" i="57"/>
  <c r="AA724" i="57" s="1"/>
  <c r="AE725" i="57"/>
  <c r="A725" i="57"/>
  <c r="Y725" i="57"/>
  <c r="AA725" i="57" s="1"/>
  <c r="Z725" i="57"/>
  <c r="AB725" i="57" s="1"/>
  <c r="AQ725" i="57"/>
  <c r="AQ726" i="57"/>
  <c r="Z726" i="57"/>
  <c r="AB726" i="57" s="1"/>
  <c r="AE726" i="57"/>
  <c r="Y726" i="57"/>
  <c r="AA726" i="57" s="1"/>
  <c r="A726" i="57"/>
  <c r="AE722" i="57"/>
  <c r="Z722" i="57"/>
  <c r="AB722" i="57" s="1"/>
  <c r="AQ722" i="57"/>
  <c r="A722" i="57"/>
  <c r="Y722" i="57"/>
  <c r="AA722" i="57" s="1"/>
  <c r="Z723" i="57"/>
  <c r="AB723" i="57" s="1"/>
  <c r="Y723" i="57"/>
  <c r="AA723" i="57" s="1"/>
  <c r="AQ723" i="57"/>
  <c r="A723" i="57"/>
  <c r="AE723" i="57"/>
  <c r="Y728" i="57"/>
  <c r="AA728" i="57" s="1"/>
  <c r="Z728" i="57"/>
  <c r="AB728" i="57" s="1"/>
  <c r="AQ728" i="57"/>
  <c r="AE728" i="57"/>
  <c r="K1101" i="58"/>
  <c r="I1113" i="57"/>
  <c r="Y737" i="57"/>
  <c r="AA737" i="57" s="1"/>
  <c r="Z737" i="57"/>
  <c r="AB737" i="57" s="1"/>
  <c r="Y736" i="57"/>
  <c r="AA736" i="57" s="1"/>
  <c r="Z736" i="57"/>
  <c r="AB736" i="57" s="1"/>
  <c r="Y732" i="57"/>
  <c r="AA732" i="57" s="1"/>
  <c r="Z732" i="57"/>
  <c r="AB732" i="57" s="1"/>
  <c r="Y730" i="57"/>
  <c r="AA730" i="57" s="1"/>
  <c r="Z730" i="57"/>
  <c r="AB730" i="57" s="1"/>
  <c r="Y731" i="57"/>
  <c r="AA731" i="57" s="1"/>
  <c r="Z731" i="57"/>
  <c r="AB731" i="57" s="1"/>
  <c r="Y735" i="57"/>
  <c r="AA735" i="57" s="1"/>
  <c r="Z735" i="57"/>
  <c r="AB735" i="57" s="1"/>
  <c r="Y733" i="57"/>
  <c r="AA733" i="57" s="1"/>
  <c r="Z733" i="57"/>
  <c r="AB733" i="57" s="1"/>
  <c r="Y734" i="57"/>
  <c r="AA734" i="57" s="1"/>
  <c r="Z734" i="57"/>
  <c r="AB734" i="57" s="1"/>
  <c r="BC1032" i="57"/>
  <c r="BC1031" i="57"/>
  <c r="BC1030" i="57"/>
  <c r="AU1031" i="57"/>
  <c r="BC1027" i="57"/>
  <c r="BC1029" i="57"/>
  <c r="AU1029" i="57"/>
  <c r="AU1028" i="57"/>
  <c r="AU1027" i="57"/>
  <c r="AU1032" i="57"/>
  <c r="AU1030" i="57"/>
  <c r="BC1028" i="57"/>
  <c r="AQ734" i="57"/>
  <c r="AE734" i="57"/>
  <c r="AE737" i="57"/>
  <c r="AQ737" i="57"/>
  <c r="AE736" i="57"/>
  <c r="AQ736" i="57"/>
  <c r="AE732" i="57"/>
  <c r="AQ732" i="57"/>
  <c r="M846" i="57"/>
  <c r="M844" i="57"/>
  <c r="BC1026" i="57"/>
  <c r="AU1019" i="57"/>
  <c r="BC1018" i="57"/>
  <c r="M859" i="57"/>
  <c r="AU1033" i="57"/>
  <c r="AU1023" i="57"/>
  <c r="BC1035" i="57"/>
  <c r="M850" i="57"/>
  <c r="M853" i="57"/>
  <c r="M867" i="57"/>
  <c r="BC1019" i="57"/>
  <c r="BC1038" i="57"/>
  <c r="AU1036" i="57"/>
  <c r="BC1039" i="57"/>
  <c r="AU1021" i="57"/>
  <c r="BC1020" i="57"/>
  <c r="BC1017" i="57"/>
  <c r="AU1038" i="57"/>
  <c r="BC1023" i="57"/>
  <c r="M860" i="57"/>
  <c r="M854" i="57"/>
  <c r="M858" i="57"/>
  <c r="M855" i="57"/>
  <c r="AU1039" i="57"/>
  <c r="AU1025" i="57"/>
  <c r="BC1024" i="57"/>
  <c r="BC1022" i="57"/>
  <c r="AU1020" i="57"/>
  <c r="BC1036" i="57"/>
  <c r="BC1033" i="57"/>
  <c r="AU1017" i="57"/>
  <c r="M848" i="57"/>
  <c r="AU1018" i="57"/>
  <c r="M869" i="57"/>
  <c r="AU1022" i="57"/>
  <c r="BC1034" i="57"/>
  <c r="M851" i="57"/>
  <c r="M845" i="57"/>
  <c r="AU1024" i="57"/>
  <c r="M856" i="57"/>
  <c r="AU1035" i="57"/>
  <c r="M849" i="57"/>
  <c r="BC1025" i="57"/>
  <c r="BC1021" i="57"/>
  <c r="M857" i="57"/>
  <c r="AU1026" i="57"/>
  <c r="M847" i="57"/>
  <c r="M843" i="57"/>
  <c r="AU1034" i="57"/>
  <c r="M852" i="57"/>
  <c r="M862" i="57"/>
  <c r="M864" i="57"/>
  <c r="M866" i="57"/>
  <c r="M863" i="57"/>
  <c r="M865" i="57"/>
  <c r="M842" i="57"/>
  <c r="A842" i="57" s="1"/>
  <c r="M861" i="57"/>
  <c r="AG1095" i="57"/>
  <c r="AG1097" i="57"/>
  <c r="AQ730" i="57"/>
  <c r="AE730" i="57"/>
  <c r="AQ731" i="57"/>
  <c r="AE731" i="57"/>
  <c r="AQ735" i="57"/>
  <c r="AE735" i="57"/>
  <c r="X1097" i="57"/>
  <c r="X1095" i="57"/>
  <c r="AQ733" i="57"/>
  <c r="AE733" i="57"/>
  <c r="A981" i="58" l="1"/>
  <c r="AW981" i="58"/>
  <c r="AL981" i="58"/>
  <c r="AM981" i="58"/>
  <c r="AF981" i="58"/>
  <c r="AE981" i="58"/>
  <c r="AW998" i="58"/>
  <c r="AM998" i="58"/>
  <c r="AL998" i="58"/>
  <c r="AE998" i="58"/>
  <c r="AF998" i="58"/>
  <c r="AF964" i="57"/>
  <c r="AV968" i="58"/>
  <c r="M968" i="58" s="1"/>
  <c r="AE968" i="58" s="1"/>
  <c r="A994" i="57"/>
  <c r="AY994" i="57"/>
  <c r="AL994" i="57"/>
  <c r="AM994" i="57"/>
  <c r="AF994" i="57"/>
  <c r="AE994" i="57"/>
  <c r="AA1037" i="57"/>
  <c r="AE1037" i="57"/>
  <c r="Q833" i="57"/>
  <c r="AK1037" i="57"/>
  <c r="AL1037" i="57"/>
  <c r="Y1037" i="57"/>
  <c r="AT1038" i="57"/>
  <c r="BB1020" i="57"/>
  <c r="AT1030" i="57"/>
  <c r="BB1028" i="57"/>
  <c r="BB1032" i="57"/>
  <c r="BB1036" i="57"/>
  <c r="BB1024" i="57"/>
  <c r="AT1031" i="57"/>
  <c r="BH1037" i="57"/>
  <c r="AT1027" i="57"/>
  <c r="AT1034" i="57"/>
  <c r="AT1035" i="57"/>
  <c r="AT1023" i="57"/>
  <c r="BB1021" i="57"/>
  <c r="BB1017" i="57"/>
  <c r="BB1029" i="57"/>
  <c r="AT1039" i="57"/>
  <c r="BB1037" i="57"/>
  <c r="BB1033" i="57"/>
  <c r="AT1028" i="57"/>
  <c r="AT1032" i="57"/>
  <c r="AT1020" i="57"/>
  <c r="AT1024" i="57"/>
  <c r="BB1025" i="57"/>
  <c r="AT1019" i="57"/>
  <c r="BB1026" i="57"/>
  <c r="AT1036" i="57"/>
  <c r="AT1017" i="57"/>
  <c r="BB1038" i="57"/>
  <c r="BB1030" i="57"/>
  <c r="BB1034" i="57"/>
  <c r="AX1037" i="57"/>
  <c r="AV1037" i="57"/>
  <c r="AZ1037" i="57"/>
  <c r="AT1025" i="57"/>
  <c r="AT1029" i="57"/>
  <c r="BD1037" i="57"/>
  <c r="AT1021" i="57"/>
  <c r="BB1022" i="57"/>
  <c r="BB1023" i="57"/>
  <c r="AT1033" i="57"/>
  <c r="AT1037" i="57"/>
  <c r="BB1035" i="57"/>
  <c r="BB1039" i="57"/>
  <c r="BB1027" i="57"/>
  <c r="BB1031" i="57"/>
  <c r="BF1037" i="57"/>
  <c r="BB1018" i="57"/>
  <c r="AT1018" i="57"/>
  <c r="AT1022" i="57"/>
  <c r="AT1026" i="57"/>
  <c r="BB1019" i="57"/>
  <c r="R833" i="57"/>
  <c r="AN1037" i="57"/>
  <c r="AM1037" i="57"/>
  <c r="AE977" i="57"/>
  <c r="AF977" i="57"/>
  <c r="P964" i="57"/>
  <c r="AE964" i="57"/>
  <c r="A977" i="57"/>
  <c r="AY964" i="57"/>
  <c r="O964" i="57"/>
  <c r="AM977" i="57"/>
  <c r="AL977" i="57"/>
  <c r="AY977" i="57"/>
  <c r="X778" i="57"/>
  <c r="P780" i="57"/>
  <c r="S780" i="57"/>
  <c r="V779" i="57"/>
  <c r="Q779" i="57"/>
  <c r="F780" i="57"/>
  <c r="Y780" i="57"/>
  <c r="N779" i="57"/>
  <c r="I779" i="57"/>
  <c r="U779" i="57"/>
  <c r="N780" i="57"/>
  <c r="G779" i="57"/>
  <c r="P779" i="57"/>
  <c r="K779" i="57"/>
  <c r="E780" i="57"/>
  <c r="X780" i="57"/>
  <c r="C780" i="57"/>
  <c r="V780" i="57"/>
  <c r="U780" i="57"/>
  <c r="S779" i="57"/>
  <c r="R780" i="57"/>
  <c r="O779" i="57"/>
  <c r="F779" i="57"/>
  <c r="M779" i="57"/>
  <c r="D779" i="57"/>
  <c r="Y779" i="57"/>
  <c r="Q780" i="57"/>
  <c r="I780" i="57"/>
  <c r="R779" i="57"/>
  <c r="M780" i="57"/>
  <c r="O780" i="57"/>
  <c r="K780" i="57"/>
  <c r="G780" i="57"/>
  <c r="C779" i="57"/>
  <c r="X779" i="57"/>
  <c r="D780" i="57"/>
  <c r="E779" i="57"/>
  <c r="M778" i="57"/>
  <c r="K778" i="57"/>
  <c r="T778" i="57" s="1"/>
  <c r="D778" i="57"/>
  <c r="I778" i="57"/>
  <c r="N778" i="57"/>
  <c r="P778" i="57"/>
  <c r="O778" i="57"/>
  <c r="Q778" i="57"/>
  <c r="R778" i="57"/>
  <c r="C778" i="57"/>
  <c r="E778" i="57"/>
  <c r="Y778" i="57"/>
  <c r="U778" i="57"/>
  <c r="F778" i="57"/>
  <c r="V778" i="57"/>
  <c r="S778" i="57"/>
  <c r="G778" i="57"/>
  <c r="Q832" i="57"/>
  <c r="R832" i="57"/>
  <c r="AK1017" i="57"/>
  <c r="AK1029" i="57"/>
  <c r="AK1028" i="57"/>
  <c r="AL1028" i="57"/>
  <c r="AK1039" i="57"/>
  <c r="AK1034" i="57"/>
  <c r="AK1026" i="57"/>
  <c r="AL1019" i="57"/>
  <c r="AL1020" i="57"/>
  <c r="AL1026" i="57"/>
  <c r="AL1029" i="57"/>
  <c r="AL1032" i="57"/>
  <c r="AL1030" i="57"/>
  <c r="AL1021" i="57"/>
  <c r="AK1036" i="57"/>
  <c r="AL1033" i="57"/>
  <c r="AK1022" i="57"/>
  <c r="AL1025" i="57"/>
  <c r="AK1035" i="57"/>
  <c r="AK1025" i="57"/>
  <c r="AK1024" i="57"/>
  <c r="AL1035" i="57"/>
  <c r="AL1036" i="57"/>
  <c r="AK1032" i="57"/>
  <c r="AK1031" i="57"/>
  <c r="AK1019" i="57"/>
  <c r="AL1023" i="57"/>
  <c r="AL1017" i="57"/>
  <c r="AL1027" i="57"/>
  <c r="AK1027" i="57"/>
  <c r="AL1031" i="57"/>
  <c r="AK1030" i="57"/>
  <c r="AL1018" i="57"/>
  <c r="AL1039" i="57"/>
  <c r="AK1023" i="57"/>
  <c r="AL1034" i="57"/>
  <c r="AL1024" i="57"/>
  <c r="AK1033" i="57"/>
  <c r="AL1038" i="57"/>
  <c r="AK1021" i="57"/>
  <c r="AK1018" i="57"/>
  <c r="AL1022" i="57"/>
  <c r="AK1020" i="57"/>
  <c r="AK1038" i="57"/>
  <c r="AN1030" i="57"/>
  <c r="AM1027" i="57"/>
  <c r="AN1031" i="57"/>
  <c r="AM1021" i="57"/>
  <c r="AN1034" i="57"/>
  <c r="AM1035" i="57"/>
  <c r="AN1035" i="57"/>
  <c r="AN1022" i="57"/>
  <c r="AN1026" i="57"/>
  <c r="AM1018" i="57"/>
  <c r="AN1025" i="57"/>
  <c r="AN1033" i="57"/>
  <c r="AN1024" i="57"/>
  <c r="AN1020" i="57"/>
  <c r="AM1033" i="57"/>
  <c r="AM1028" i="57"/>
  <c r="AN1032" i="57"/>
  <c r="AM1031" i="57"/>
  <c r="AM1017" i="57"/>
  <c r="AN1017" i="57"/>
  <c r="AN1019" i="57"/>
  <c r="AM1026" i="57"/>
  <c r="AN1038" i="57"/>
  <c r="AM1036" i="57"/>
  <c r="AN1021" i="57"/>
  <c r="AM1024" i="57"/>
  <c r="AN1023" i="57"/>
  <c r="AM1022" i="57"/>
  <c r="AN1036" i="57"/>
  <c r="AM1029" i="57"/>
  <c r="AN1028" i="57"/>
  <c r="AM1030" i="57"/>
  <c r="AN1027" i="57"/>
  <c r="AN1029" i="57"/>
  <c r="AM1032" i="57"/>
  <c r="AM1019" i="57"/>
  <c r="AN1018" i="57"/>
  <c r="AM1025" i="57"/>
  <c r="AM1034" i="57"/>
  <c r="AM1023" i="57"/>
  <c r="AM1038" i="57"/>
  <c r="AM1020" i="57"/>
  <c r="V782" i="57"/>
  <c r="U781" i="57"/>
  <c r="U785" i="57"/>
  <c r="P784" i="57"/>
  <c r="I781" i="57"/>
  <c r="I785" i="57"/>
  <c r="I789" i="57"/>
  <c r="I782" i="57"/>
  <c r="U784" i="57"/>
  <c r="I788" i="57"/>
  <c r="V783" i="57"/>
  <c r="U782" i="57"/>
  <c r="P787" i="57"/>
  <c r="P785" i="57"/>
  <c r="I786" i="57"/>
  <c r="P789" i="57"/>
  <c r="I784" i="57"/>
  <c r="V784" i="57"/>
  <c r="U783" i="57"/>
  <c r="P788" i="57"/>
  <c r="I783" i="57"/>
  <c r="I787" i="57"/>
  <c r="V781" i="57"/>
  <c r="V785" i="57"/>
  <c r="AW1017" i="57"/>
  <c r="AY1017" i="57"/>
  <c r="BG1017" i="57"/>
  <c r="M948" i="57"/>
  <c r="AE948" i="57" s="1"/>
  <c r="M947" i="57"/>
  <c r="AE947" i="57" s="1"/>
  <c r="AS1038" i="57"/>
  <c r="AS1027" i="57"/>
  <c r="BA1025" i="57"/>
  <c r="AY1031" i="57"/>
  <c r="BE1036" i="57"/>
  <c r="BE1020" i="57"/>
  <c r="BG1026" i="57"/>
  <c r="AW1033" i="57"/>
  <c r="AS1025" i="57"/>
  <c r="AS1023" i="57"/>
  <c r="AS1030" i="57"/>
  <c r="BA1036" i="57"/>
  <c r="BA1020" i="57"/>
  <c r="AY1026" i="57"/>
  <c r="BE1031" i="57"/>
  <c r="BG1038" i="57"/>
  <c r="BG1021" i="57"/>
  <c r="AW1028" i="57"/>
  <c r="AS1021" i="57"/>
  <c r="BA1019" i="57"/>
  <c r="AY1025" i="57"/>
  <c r="BE1030" i="57"/>
  <c r="BG1036" i="57"/>
  <c r="BG1020" i="57"/>
  <c r="AW1027" i="57"/>
  <c r="BA1035" i="57"/>
  <c r="BA1039" i="57"/>
  <c r="BA1022" i="57"/>
  <c r="AY1028" i="57"/>
  <c r="BE1033" i="57"/>
  <c r="BG1023" i="57"/>
  <c r="AW1030" i="57"/>
  <c r="BA1017" i="57"/>
  <c r="AS1019" i="57"/>
  <c r="BA1021" i="57"/>
  <c r="AY1027" i="57"/>
  <c r="BE1032" i="57"/>
  <c r="BG1039" i="57"/>
  <c r="BG1022" i="57"/>
  <c r="AW1029" i="57"/>
  <c r="AS1036" i="57"/>
  <c r="BA1038" i="57"/>
  <c r="AS1026" i="57"/>
  <c r="BA1032" i="57"/>
  <c r="AY1039" i="57"/>
  <c r="AY1022" i="57"/>
  <c r="BE1027" i="57"/>
  <c r="BG1033" i="57"/>
  <c r="BE1017" i="57"/>
  <c r="AW1024" i="57"/>
  <c r="BA1031" i="57"/>
  <c r="AY1038" i="57"/>
  <c r="AY1021" i="57"/>
  <c r="BE1026" i="57"/>
  <c r="BG1032" i="57"/>
  <c r="AW1023" i="57"/>
  <c r="AS1028" i="57"/>
  <c r="BA1034" i="57"/>
  <c r="BA1018" i="57"/>
  <c r="AY1024" i="57"/>
  <c r="BE1029" i="57"/>
  <c r="BG1035" i="57"/>
  <c r="BG1019" i="57"/>
  <c r="AW1026" i="57"/>
  <c r="AS1032" i="57"/>
  <c r="BA1033" i="57"/>
  <c r="AW1039" i="57"/>
  <c r="AY1023" i="57"/>
  <c r="BE1028" i="57"/>
  <c r="BG1034" i="57"/>
  <c r="BG1018" i="57"/>
  <c r="AW1025" i="57"/>
  <c r="AS1017" i="57"/>
  <c r="AS1039" i="57"/>
  <c r="AS1022" i="57"/>
  <c r="BA1028" i="57"/>
  <c r="AY1034" i="57"/>
  <c r="AY1018" i="57"/>
  <c r="BE1023" i="57"/>
  <c r="BG1029" i="57"/>
  <c r="AW1036" i="57"/>
  <c r="AW1020" i="57"/>
  <c r="BA1027" i="57"/>
  <c r="AY1033" i="57"/>
  <c r="BE1039" i="57"/>
  <c r="BE1022" i="57"/>
  <c r="BG1028" i="57"/>
  <c r="AW1035" i="57"/>
  <c r="AW1019" i="57"/>
  <c r="AS1024" i="57"/>
  <c r="BA1030" i="57"/>
  <c r="AY1036" i="57"/>
  <c r="AY1020" i="57"/>
  <c r="BE1025" i="57"/>
  <c r="BG1031" i="57"/>
  <c r="AW1022" i="57"/>
  <c r="AS1035" i="57"/>
  <c r="BA1029" i="57"/>
  <c r="AY1035" i="57"/>
  <c r="AY1019" i="57"/>
  <c r="BE1024" i="57"/>
  <c r="BG1030" i="57"/>
  <c r="AW1038" i="57"/>
  <c r="AW1021" i="57"/>
  <c r="AS1031" i="57"/>
  <c r="AS1034" i="57"/>
  <c r="AS1018" i="57"/>
  <c r="BA1024" i="57"/>
  <c r="AY1030" i="57"/>
  <c r="BE1035" i="57"/>
  <c r="BE1019" i="57"/>
  <c r="BG1025" i="57"/>
  <c r="AW1032" i="57"/>
  <c r="AS1033" i="57"/>
  <c r="BA1023" i="57"/>
  <c r="AY1029" i="57"/>
  <c r="BE1034" i="57"/>
  <c r="BE1018" i="57"/>
  <c r="BG1024" i="57"/>
  <c r="AW1031" i="57"/>
  <c r="AS1029" i="57"/>
  <c r="AS1020" i="57"/>
  <c r="BA1026" i="57"/>
  <c r="AY1032" i="57"/>
  <c r="BE1038" i="57"/>
  <c r="BE1021" i="57"/>
  <c r="BG1027" i="57"/>
  <c r="AW1034" i="57"/>
  <c r="AW1018" i="57"/>
  <c r="J1113" i="57"/>
  <c r="M991" i="57"/>
  <c r="M988" i="57"/>
  <c r="M990" i="57"/>
  <c r="M992" i="57"/>
  <c r="M986" i="57"/>
  <c r="M987" i="57"/>
  <c r="M985" i="57"/>
  <c r="M993" i="57"/>
  <c r="M989" i="57"/>
  <c r="BF1028" i="57"/>
  <c r="BF1030" i="57"/>
  <c r="BH1027" i="57"/>
  <c r="AX1029" i="57"/>
  <c r="AV1031" i="57"/>
  <c r="AV1029" i="57"/>
  <c r="BD1031" i="57"/>
  <c r="BH1030" i="57"/>
  <c r="AZ1032" i="57"/>
  <c r="BF1031" i="57"/>
  <c r="AX1028" i="57"/>
  <c r="AX1030" i="57"/>
  <c r="BD1032" i="57"/>
  <c r="AX1027" i="57"/>
  <c r="BF1027" i="57"/>
  <c r="BH1032" i="57"/>
  <c r="AX1032" i="57"/>
  <c r="AV1030" i="57"/>
  <c r="BH1031" i="57"/>
  <c r="BD1030" i="57"/>
  <c r="BF1029" i="57"/>
  <c r="BD1028" i="57"/>
  <c r="BH1028" i="57"/>
  <c r="AZ1029" i="57"/>
  <c r="AV1032" i="57"/>
  <c r="AZ1028" i="57"/>
  <c r="AX1031" i="57"/>
  <c r="AZ1027" i="57"/>
  <c r="BD1029" i="57"/>
  <c r="AZ1031" i="57"/>
  <c r="AV1027" i="57"/>
  <c r="BH1029" i="57"/>
  <c r="AZ1030" i="57"/>
  <c r="BF1032" i="57"/>
  <c r="BD1027" i="57"/>
  <c r="AE1030" i="57"/>
  <c r="AE1028" i="57"/>
  <c r="AE1029" i="57"/>
  <c r="AE1027" i="57"/>
  <c r="AE1031" i="57"/>
  <c r="AE1032" i="57"/>
  <c r="AA1029" i="57"/>
  <c r="AA1031" i="57"/>
  <c r="AA1028" i="57"/>
  <c r="AA1027" i="57"/>
  <c r="AA1030" i="57"/>
  <c r="AA1032" i="57"/>
  <c r="Y1029" i="57"/>
  <c r="Y1032" i="57"/>
  <c r="Y1030" i="57"/>
  <c r="Y1031" i="57"/>
  <c r="Y1028" i="57"/>
  <c r="Y1027" i="57"/>
  <c r="AV1028" i="57"/>
  <c r="M957" i="57"/>
  <c r="M922" i="57"/>
  <c r="M930" i="57"/>
  <c r="AE930" i="57" s="1"/>
  <c r="M976" i="57"/>
  <c r="M955" i="57"/>
  <c r="M942" i="57"/>
  <c r="AE942" i="57" s="1"/>
  <c r="M940" i="57"/>
  <c r="AE940" i="57" s="1"/>
  <c r="M925" i="57"/>
  <c r="AE925" i="57" s="1"/>
  <c r="M949" i="57"/>
  <c r="A949" i="57" s="1"/>
  <c r="M923" i="57"/>
  <c r="AE923" i="57" s="1"/>
  <c r="M941" i="57"/>
  <c r="AE941" i="57" s="1"/>
  <c r="M933" i="57"/>
  <c r="AE933" i="57" s="1"/>
  <c r="M950" i="57"/>
  <c r="M958" i="57"/>
  <c r="A958" i="57" s="1"/>
  <c r="M962" i="57"/>
  <c r="M939" i="57"/>
  <c r="AE939" i="57" s="1"/>
  <c r="M998" i="57"/>
  <c r="P998" i="57" s="1"/>
  <c r="M973" i="57"/>
  <c r="M943" i="57"/>
  <c r="AE943" i="57" s="1"/>
  <c r="M952" i="57"/>
  <c r="AY952" i="57" s="1"/>
  <c r="M979" i="57"/>
  <c r="M981" i="57"/>
  <c r="M983" i="57"/>
  <c r="M982" i="57"/>
  <c r="M997" i="57"/>
  <c r="AY997" i="57" s="1"/>
  <c r="M974" i="57"/>
  <c r="M954" i="57"/>
  <c r="AY954" i="57" s="1"/>
  <c r="M970" i="57"/>
  <c r="BF1020" i="57"/>
  <c r="BD1033" i="57"/>
  <c r="AV1021" i="57"/>
  <c r="AX1020" i="57"/>
  <c r="AX1018" i="57"/>
  <c r="AZ1024" i="57"/>
  <c r="BF1025" i="57"/>
  <c r="BF1038" i="57"/>
  <c r="AV1017" i="57"/>
  <c r="AV1035" i="57"/>
  <c r="BH1023" i="57"/>
  <c r="AZ1023" i="57"/>
  <c r="BD1022" i="57"/>
  <c r="AZ1035" i="57"/>
  <c r="AX1038" i="57"/>
  <c r="AX1023" i="57"/>
  <c r="BF1018" i="57"/>
  <c r="AX1026" i="57"/>
  <c r="BF1034" i="57"/>
  <c r="BF1022" i="57"/>
  <c r="BD1019" i="57"/>
  <c r="BH1035" i="57"/>
  <c r="AZ1034" i="57"/>
  <c r="BF1019" i="57"/>
  <c r="AV1039" i="57"/>
  <c r="AZ1020" i="57"/>
  <c r="AZ1025" i="57"/>
  <c r="AZ1036" i="57"/>
  <c r="AV1036" i="57"/>
  <c r="AX1021" i="57"/>
  <c r="BH1020" i="57"/>
  <c r="BD1018" i="57"/>
  <c r="BH1024" i="57"/>
  <c r="BH1022" i="57"/>
  <c r="BD1023" i="57"/>
  <c r="BH1025" i="57"/>
  <c r="AX1024" i="57"/>
  <c r="AZ1039" i="57"/>
  <c r="BD1017" i="57"/>
  <c r="AZ1026" i="57"/>
  <c r="BF1039" i="57"/>
  <c r="AX1036" i="57"/>
  <c r="AV1023" i="57"/>
  <c r="BD1020" i="57"/>
  <c r="AZ1021" i="57"/>
  <c r="AX1033" i="57"/>
  <c r="BH1034" i="57"/>
  <c r="BF1026" i="57"/>
  <c r="BH1021" i="57"/>
  <c r="BH1026" i="57"/>
  <c r="BF1024" i="57"/>
  <c r="BD1024" i="57"/>
  <c r="BF1035" i="57"/>
  <c r="AV1033" i="57"/>
  <c r="AZ1038" i="57"/>
  <c r="AX1025" i="57"/>
  <c r="BH1038" i="57"/>
  <c r="AZ1018" i="57"/>
  <c r="AX1035" i="57"/>
  <c r="AV1022" i="57"/>
  <c r="AX1022" i="57"/>
  <c r="AV1018" i="57"/>
  <c r="BF1023" i="57"/>
  <c r="AV1026" i="57"/>
  <c r="AX1039" i="57"/>
  <c r="AZ1033" i="57"/>
  <c r="AZ1022" i="57"/>
  <c r="BH1018" i="57"/>
  <c r="BD1038" i="57"/>
  <c r="BD1036" i="57"/>
  <c r="BD1039" i="57"/>
  <c r="BH1019" i="57"/>
  <c r="BD1034" i="57"/>
  <c r="AX1017" i="57"/>
  <c r="BD1025" i="57"/>
  <c r="AV1034" i="57"/>
  <c r="AV1024" i="57"/>
  <c r="BD1035" i="57"/>
  <c r="AV1020" i="57"/>
  <c r="BH1033" i="57"/>
  <c r="AV1038" i="57"/>
  <c r="AX1034" i="57"/>
  <c r="AZ1019" i="57"/>
  <c r="BD1021" i="57"/>
  <c r="BF1036" i="57"/>
  <c r="BH1017" i="57"/>
  <c r="BH1036" i="57"/>
  <c r="AV1025" i="57"/>
  <c r="BF1021" i="57"/>
  <c r="AZ1017" i="57"/>
  <c r="BH1039" i="57"/>
  <c r="BF1033" i="57"/>
  <c r="BD1026" i="57"/>
  <c r="AV1019" i="57"/>
  <c r="BF1017" i="57"/>
  <c r="AX1019" i="57"/>
  <c r="M995" i="57"/>
  <c r="BE1103" i="57"/>
  <c r="AK1111" i="57"/>
  <c r="M963" i="57"/>
  <c r="AY963" i="57" s="1"/>
  <c r="M959" i="57"/>
  <c r="M937" i="57"/>
  <c r="AE937" i="57" s="1"/>
  <c r="M975" i="57"/>
  <c r="M931" i="57"/>
  <c r="AE931" i="57" s="1"/>
  <c r="Y1018" i="57"/>
  <c r="Y1024" i="57"/>
  <c r="Y1021" i="57"/>
  <c r="Y1025" i="57"/>
  <c r="Y1033" i="57"/>
  <c r="Y1019" i="57"/>
  <c r="Y1036" i="57"/>
  <c r="Y1020" i="57"/>
  <c r="Y1035" i="57"/>
  <c r="Y1034" i="57"/>
  <c r="Y1038" i="57"/>
  <c r="Y1026" i="57"/>
  <c r="Y1039" i="57"/>
  <c r="Y1022" i="57"/>
  <c r="Y1023" i="57"/>
  <c r="Y1017" i="57"/>
  <c r="M927" i="57"/>
  <c r="AE927" i="57" s="1"/>
  <c r="M944" i="57"/>
  <c r="AE944" i="57" s="1"/>
  <c r="M965" i="57"/>
  <c r="AY965" i="57" s="1"/>
  <c r="M956" i="57"/>
  <c r="AY956" i="57" s="1"/>
  <c r="M971" i="57"/>
  <c r="AY971" i="57" s="1"/>
  <c r="M972" i="57"/>
  <c r="AV1103" i="57"/>
  <c r="AE1111" i="57"/>
  <c r="M946" i="57"/>
  <c r="AE946" i="57" s="1"/>
  <c r="M980" i="57"/>
  <c r="M929" i="57"/>
  <c r="AE929" i="57" s="1"/>
  <c r="M938" i="57"/>
  <c r="AE938" i="57" s="1"/>
  <c r="M945" i="57"/>
  <c r="AE945" i="57" s="1"/>
  <c r="M934" i="57"/>
  <c r="AE934" i="57" s="1"/>
  <c r="M936" i="57"/>
  <c r="AE936" i="57" s="1"/>
  <c r="M932" i="57"/>
  <c r="AE932" i="57" s="1"/>
  <c r="M953" i="57"/>
  <c r="AY953" i="57" s="1"/>
  <c r="M935" i="57"/>
  <c r="AE935" i="57" s="1"/>
  <c r="M924" i="57"/>
  <c r="AE924" i="57" s="1"/>
  <c r="M984" i="57"/>
  <c r="M968" i="57"/>
  <c r="M996" i="57"/>
  <c r="M926" i="57"/>
  <c r="AE926" i="57" s="1"/>
  <c r="S784" i="57"/>
  <c r="O785" i="57"/>
  <c r="Y785" i="57"/>
  <c r="O782" i="57"/>
  <c r="X784" i="57"/>
  <c r="G781" i="57"/>
  <c r="F786" i="57"/>
  <c r="D787" i="57"/>
  <c r="S787" i="57"/>
  <c r="R786" i="57"/>
  <c r="C787" i="57"/>
  <c r="N783" i="57"/>
  <c r="C785" i="57"/>
  <c r="G786" i="57"/>
  <c r="U786" i="57"/>
  <c r="Y789" i="57"/>
  <c r="Y786" i="57"/>
  <c r="X783" i="57"/>
  <c r="O784" i="57"/>
  <c r="X787" i="57"/>
  <c r="F785" i="57"/>
  <c r="M788" i="57"/>
  <c r="C781" i="57"/>
  <c r="D789" i="57"/>
  <c r="P781" i="57"/>
  <c r="E783" i="57"/>
  <c r="D784" i="57"/>
  <c r="M789" i="57"/>
  <c r="F789" i="57"/>
  <c r="U789" i="57"/>
  <c r="R787" i="57"/>
  <c r="O786" i="57"/>
  <c r="Y788" i="57"/>
  <c r="O781" i="57"/>
  <c r="E784" i="57"/>
  <c r="C789" i="57"/>
  <c r="G782" i="57"/>
  <c r="M787" i="57"/>
  <c r="X785" i="57"/>
  <c r="M785" i="57"/>
  <c r="M786" i="57"/>
  <c r="Q781" i="57"/>
  <c r="Q785" i="57"/>
  <c r="N782" i="57"/>
  <c r="E789" i="57"/>
  <c r="C786" i="57"/>
  <c r="X781" i="57"/>
  <c r="U787" i="57"/>
  <c r="S783" i="57"/>
  <c r="Y787" i="57"/>
  <c r="C782" i="57"/>
  <c r="E785" i="57"/>
  <c r="M784" i="57"/>
  <c r="X782" i="57"/>
  <c r="E786" i="57"/>
  <c r="Q783" i="57"/>
  <c r="P786" i="57"/>
  <c r="U788" i="57"/>
  <c r="P782" i="57"/>
  <c r="N784" i="57"/>
  <c r="F787" i="57"/>
  <c r="D785" i="57"/>
  <c r="V786" i="57"/>
  <c r="F784" i="57"/>
  <c r="M782" i="57"/>
  <c r="R782" i="57"/>
  <c r="X786" i="57"/>
  <c r="V789" i="57"/>
  <c r="M783" i="57"/>
  <c r="D782" i="57"/>
  <c r="S782" i="57"/>
  <c r="G787" i="57"/>
  <c r="S785" i="57"/>
  <c r="N785" i="57"/>
  <c r="Q789" i="57"/>
  <c r="P783" i="57"/>
  <c r="Q784" i="57"/>
  <c r="E787" i="57"/>
  <c r="X789" i="57"/>
  <c r="G784" i="57"/>
  <c r="G789" i="57"/>
  <c r="D788" i="57"/>
  <c r="V787" i="57"/>
  <c r="F788" i="57"/>
  <c r="F782" i="57"/>
  <c r="X788" i="57"/>
  <c r="M781" i="57"/>
  <c r="Y783" i="57"/>
  <c r="Q787" i="57"/>
  <c r="R785" i="57"/>
  <c r="R783" i="57"/>
  <c r="O788" i="57"/>
  <c r="Y784" i="57"/>
  <c r="R789" i="57"/>
  <c r="S789" i="57"/>
  <c r="Q782" i="57"/>
  <c r="N789" i="57"/>
  <c r="E788" i="57"/>
  <c r="G785" i="57"/>
  <c r="G788" i="57"/>
  <c r="D783" i="57"/>
  <c r="O787" i="57"/>
  <c r="F781" i="57"/>
  <c r="S788" i="57"/>
  <c r="O783" i="57"/>
  <c r="R788" i="57"/>
  <c r="V788" i="57"/>
  <c r="D786" i="57"/>
  <c r="C783" i="57"/>
  <c r="N781" i="57"/>
  <c r="E782" i="57"/>
  <c r="C788" i="57"/>
  <c r="C784" i="57"/>
  <c r="G783" i="57"/>
  <c r="O789" i="57"/>
  <c r="R781" i="57"/>
  <c r="S786" i="57"/>
  <c r="F783" i="57"/>
  <c r="N786" i="57"/>
  <c r="D781" i="57"/>
  <c r="E781" i="57"/>
  <c r="R784" i="57"/>
  <c r="Q788" i="57"/>
  <c r="Y781" i="57"/>
  <c r="S781" i="57"/>
  <c r="N788" i="57"/>
  <c r="Q786" i="57"/>
  <c r="N787" i="57"/>
  <c r="Y782" i="57"/>
  <c r="K787" i="57"/>
  <c r="K783" i="57"/>
  <c r="K781" i="57"/>
  <c r="K785" i="57"/>
  <c r="K784" i="57"/>
  <c r="K788" i="57"/>
  <c r="K789" i="57"/>
  <c r="K786" i="57"/>
  <c r="K782" i="57"/>
  <c r="M951" i="57"/>
  <c r="AY951" i="57" s="1"/>
  <c r="M960" i="57"/>
  <c r="AY960" i="57" s="1"/>
  <c r="AE1038" i="57"/>
  <c r="AE1019" i="57"/>
  <c r="AE1025" i="57"/>
  <c r="AE1039" i="57"/>
  <c r="AE1035" i="57"/>
  <c r="AE1017" i="57"/>
  <c r="AE1023" i="57"/>
  <c r="AE1036" i="57"/>
  <c r="AE1018" i="57"/>
  <c r="AE1026" i="57"/>
  <c r="AE1033" i="57"/>
  <c r="AE1020" i="57"/>
  <c r="AE1022" i="57"/>
  <c r="AE1024" i="57"/>
  <c r="AE1021" i="57"/>
  <c r="AE1034" i="57"/>
  <c r="M961" i="57"/>
  <c r="M928" i="57"/>
  <c r="AE928" i="57" s="1"/>
  <c r="M967" i="57"/>
  <c r="AY967" i="57" s="1"/>
  <c r="M978" i="57"/>
  <c r="M966" i="57"/>
  <c r="M969" i="57"/>
  <c r="AY969" i="57" s="1"/>
  <c r="AA1026" i="57"/>
  <c r="AA1025" i="57"/>
  <c r="AA1036" i="57"/>
  <c r="AA1019" i="57"/>
  <c r="AA1039" i="57"/>
  <c r="AA1020" i="57"/>
  <c r="AA1021" i="57"/>
  <c r="AA1023" i="57"/>
  <c r="AA1024" i="57"/>
  <c r="AA1018" i="57"/>
  <c r="AA1038" i="57"/>
  <c r="AA1033" i="57"/>
  <c r="AA1017" i="57"/>
  <c r="AA1022" i="57"/>
  <c r="AA1034" i="57"/>
  <c r="AA1035" i="57"/>
  <c r="O968" i="58" l="1"/>
  <c r="A968" i="58"/>
  <c r="AW968" i="58"/>
  <c r="P968" i="58"/>
  <c r="AF968" i="58"/>
  <c r="AE922" i="57"/>
  <c r="K1037" i="57"/>
  <c r="V1037" i="57" s="1"/>
  <c r="J1037" i="57"/>
  <c r="U1037" i="57" s="1"/>
  <c r="AE993" i="57"/>
  <c r="AF993" i="57"/>
  <c r="AE966" i="57"/>
  <c r="AF966" i="57"/>
  <c r="AE984" i="57"/>
  <c r="AF984" i="57"/>
  <c r="AE970" i="57"/>
  <c r="AF970" i="57"/>
  <c r="AE982" i="57"/>
  <c r="AF982" i="57"/>
  <c r="AE976" i="57"/>
  <c r="AF976" i="57"/>
  <c r="AE985" i="57"/>
  <c r="AF985" i="57"/>
  <c r="AE990" i="57"/>
  <c r="AF990" i="57"/>
  <c r="AE968" i="57"/>
  <c r="AF968" i="57"/>
  <c r="AE992" i="57"/>
  <c r="AF992" i="57"/>
  <c r="AE978" i="57"/>
  <c r="AF978" i="57"/>
  <c r="AE975" i="57"/>
  <c r="AF975" i="57"/>
  <c r="AE983" i="57"/>
  <c r="AF983" i="57"/>
  <c r="AE987" i="57"/>
  <c r="AF987" i="57"/>
  <c r="AE988" i="57"/>
  <c r="AF988" i="57"/>
  <c r="AE979" i="57"/>
  <c r="AF979" i="57"/>
  <c r="AE980" i="57"/>
  <c r="AF980" i="57"/>
  <c r="AE972" i="57"/>
  <c r="AF972" i="57"/>
  <c r="AE974" i="57"/>
  <c r="AF974" i="57"/>
  <c r="AE981" i="57"/>
  <c r="AF981" i="57"/>
  <c r="AE973" i="57"/>
  <c r="AF973" i="57"/>
  <c r="AE989" i="57"/>
  <c r="AF989" i="57"/>
  <c r="AE986" i="57"/>
  <c r="AF986" i="57"/>
  <c r="AE991" i="57"/>
  <c r="AF991" i="57"/>
  <c r="AY992" i="57"/>
  <c r="AY947" i="57"/>
  <c r="AF947" i="57"/>
  <c r="AY968" i="57"/>
  <c r="AY946" i="57"/>
  <c r="AF946" i="57"/>
  <c r="AY966" i="57"/>
  <c r="AY984" i="57"/>
  <c r="AY932" i="57"/>
  <c r="AF932" i="57"/>
  <c r="AF938" i="57"/>
  <c r="AY931" i="57"/>
  <c r="AF931" i="57"/>
  <c r="AY970" i="57"/>
  <c r="AY982" i="57"/>
  <c r="AY939" i="57"/>
  <c r="AF939" i="57"/>
  <c r="AY933" i="57"/>
  <c r="AF933" i="57"/>
  <c r="AY925" i="57"/>
  <c r="AF925" i="57"/>
  <c r="AY990" i="57"/>
  <c r="AY948" i="57"/>
  <c r="AF948" i="57"/>
  <c r="AY993" i="57"/>
  <c r="AY978" i="57"/>
  <c r="AY926" i="57"/>
  <c r="AF926" i="57"/>
  <c r="AY924" i="57"/>
  <c r="AF924" i="57"/>
  <c r="AY936" i="57"/>
  <c r="AF936" i="57"/>
  <c r="AY929" i="57"/>
  <c r="AF929" i="57"/>
  <c r="AY983" i="57"/>
  <c r="AY943" i="57"/>
  <c r="AF943" i="57"/>
  <c r="AY941" i="57"/>
  <c r="AF941" i="57"/>
  <c r="AY940" i="57"/>
  <c r="AF940" i="57"/>
  <c r="AY930" i="57"/>
  <c r="AF930" i="57"/>
  <c r="AY987" i="57"/>
  <c r="AY988" i="57"/>
  <c r="AY928" i="57"/>
  <c r="AF928" i="57"/>
  <c r="AY945" i="57"/>
  <c r="AF945" i="57"/>
  <c r="AY927" i="57"/>
  <c r="AF927" i="57"/>
  <c r="AY979" i="57"/>
  <c r="AY935" i="57"/>
  <c r="AF935" i="57"/>
  <c r="AY934" i="57"/>
  <c r="AF934" i="57"/>
  <c r="AY980" i="57"/>
  <c r="AY972" i="57"/>
  <c r="AY944" i="57"/>
  <c r="AF944" i="57"/>
  <c r="AF937" i="57"/>
  <c r="AY981" i="57"/>
  <c r="AY973" i="57"/>
  <c r="AF923" i="57"/>
  <c r="AF942" i="57"/>
  <c r="AF922" i="57"/>
  <c r="AY989" i="57"/>
  <c r="AY986" i="57"/>
  <c r="AY991" i="57"/>
  <c r="AY975" i="57"/>
  <c r="A975" i="57"/>
  <c r="AY974" i="57"/>
  <c r="A974" i="57"/>
  <c r="AY976" i="57"/>
  <c r="A976" i="57"/>
  <c r="AY938" i="57"/>
  <c r="A938" i="57"/>
  <c r="AY937" i="57"/>
  <c r="A937" i="57"/>
  <c r="L778" i="57"/>
  <c r="L780" i="57"/>
  <c r="T780" i="57"/>
  <c r="L779" i="57"/>
  <c r="T779" i="57"/>
  <c r="R1096" i="57"/>
  <c r="R1095" i="57"/>
  <c r="AP1103" i="57" s="1"/>
  <c r="O1095" i="57"/>
  <c r="O1097" i="57"/>
  <c r="O1096" i="57"/>
  <c r="V1096" i="57"/>
  <c r="AC1096" i="57"/>
  <c r="AB1096" i="57"/>
  <c r="AB1095" i="57"/>
  <c r="T1096" i="57"/>
  <c r="AB1097" i="57"/>
  <c r="AV962" i="58"/>
  <c r="M962" i="58" s="1"/>
  <c r="AY958" i="57"/>
  <c r="AL923" i="57"/>
  <c r="AY923" i="57"/>
  <c r="AV946" i="58"/>
  <c r="M946" i="58" s="1"/>
  <c r="AY942" i="57"/>
  <c r="A922" i="57"/>
  <c r="AY922" i="57"/>
  <c r="O959" i="57"/>
  <c r="AY959" i="57"/>
  <c r="A995" i="57"/>
  <c r="AY995" i="57"/>
  <c r="AV1002" i="58"/>
  <c r="M1002" i="58" s="1"/>
  <c r="AY998" i="57"/>
  <c r="O950" i="57"/>
  <c r="AY950" i="57"/>
  <c r="P949" i="57"/>
  <c r="AY949" i="57"/>
  <c r="P955" i="57"/>
  <c r="AY955" i="57"/>
  <c r="O957" i="57"/>
  <c r="AY957" i="57"/>
  <c r="AM985" i="57"/>
  <c r="AY985" i="57"/>
  <c r="O961" i="57"/>
  <c r="AY961" i="57"/>
  <c r="A996" i="57"/>
  <c r="AY996" i="57"/>
  <c r="O962" i="57"/>
  <c r="AY962" i="57"/>
  <c r="P958" i="57"/>
  <c r="O949" i="57"/>
  <c r="AV953" i="58"/>
  <c r="M953" i="58" s="1"/>
  <c r="AW953" i="58" s="1"/>
  <c r="AV951" i="58"/>
  <c r="M951" i="58" s="1"/>
  <c r="AM947" i="57"/>
  <c r="AL947" i="57"/>
  <c r="AV952" i="58"/>
  <c r="M952" i="58" s="1"/>
  <c r="AL948" i="57"/>
  <c r="AM948" i="57"/>
  <c r="L783" i="57"/>
  <c r="T783" i="57"/>
  <c r="L786" i="57"/>
  <c r="T786" i="57"/>
  <c r="L785" i="57"/>
  <c r="T785" i="57"/>
  <c r="L788" i="57"/>
  <c r="T788" i="57"/>
  <c r="L789" i="57"/>
  <c r="T789" i="57"/>
  <c r="L781" i="57"/>
  <c r="T781" i="57"/>
  <c r="L782" i="57"/>
  <c r="T782" i="57"/>
  <c r="L784" i="57"/>
  <c r="T784" i="57"/>
  <c r="L787" i="57"/>
  <c r="T787" i="57"/>
  <c r="AV989" i="58"/>
  <c r="M989" i="58" s="1"/>
  <c r="A982" i="57"/>
  <c r="AM939" i="57"/>
  <c r="A985" i="57"/>
  <c r="A980" i="57"/>
  <c r="A983" i="57"/>
  <c r="AM941" i="57"/>
  <c r="AL940" i="57"/>
  <c r="O963" i="57"/>
  <c r="A984" i="57"/>
  <c r="A981" i="57"/>
  <c r="A973" i="57"/>
  <c r="O958" i="57"/>
  <c r="A923" i="57"/>
  <c r="AL942" i="57"/>
  <c r="A978" i="57"/>
  <c r="O960" i="57"/>
  <c r="A926" i="57"/>
  <c r="A979" i="57"/>
  <c r="O955" i="57"/>
  <c r="AM923" i="57"/>
  <c r="A955" i="57"/>
  <c r="AV959" i="58"/>
  <c r="M959" i="58" s="1"/>
  <c r="AL941" i="57"/>
  <c r="AM933" i="57"/>
  <c r="AL985" i="57"/>
  <c r="AL925" i="57"/>
  <c r="AV945" i="58"/>
  <c r="M945" i="58" s="1"/>
  <c r="A945" i="58" s="1"/>
  <c r="A941" i="57"/>
  <c r="AL930" i="57"/>
  <c r="AM925" i="57"/>
  <c r="AL933" i="57"/>
  <c r="AV929" i="58"/>
  <c r="M929" i="58" s="1"/>
  <c r="O997" i="57"/>
  <c r="A997" i="57"/>
  <c r="AV991" i="58"/>
  <c r="M991" i="58" s="1"/>
  <c r="A991" i="58" s="1"/>
  <c r="A987" i="57"/>
  <c r="AV992" i="58"/>
  <c r="M992" i="58" s="1"/>
  <c r="A992" i="58" s="1"/>
  <c r="A988" i="57"/>
  <c r="AV993" i="58"/>
  <c r="M993" i="58" s="1"/>
  <c r="A993" i="58" s="1"/>
  <c r="A989" i="57"/>
  <c r="AV990" i="58"/>
  <c r="M990" i="58" s="1"/>
  <c r="A990" i="58" s="1"/>
  <c r="A986" i="57"/>
  <c r="AV995" i="58"/>
  <c r="M995" i="58" s="1"/>
  <c r="A995" i="58" s="1"/>
  <c r="A991" i="57"/>
  <c r="O998" i="57"/>
  <c r="A998" i="57"/>
  <c r="AV997" i="58"/>
  <c r="M997" i="58" s="1"/>
  <c r="A997" i="58" s="1"/>
  <c r="A993" i="57"/>
  <c r="AV996" i="58"/>
  <c r="M996" i="58" s="1"/>
  <c r="A996" i="58" s="1"/>
  <c r="A992" i="57"/>
  <c r="AM976" i="57"/>
  <c r="AV994" i="58"/>
  <c r="M994" i="58" s="1"/>
  <c r="A994" i="58" s="1"/>
  <c r="A990" i="57"/>
  <c r="O967" i="57"/>
  <c r="AV971" i="58"/>
  <c r="M971" i="58" s="1"/>
  <c r="O972" i="57"/>
  <c r="AV976" i="58"/>
  <c r="M976" i="58" s="1"/>
  <c r="O995" i="57"/>
  <c r="AV999" i="58"/>
  <c r="M999" i="58" s="1"/>
  <c r="A999" i="58" s="1"/>
  <c r="O969" i="57"/>
  <c r="AV973" i="58"/>
  <c r="M973" i="58" s="1"/>
  <c r="O968" i="57"/>
  <c r="AV972" i="58"/>
  <c r="M972" i="58" s="1"/>
  <c r="O971" i="57"/>
  <c r="AV975" i="58"/>
  <c r="M975" i="58" s="1"/>
  <c r="O970" i="57"/>
  <c r="AV974" i="58"/>
  <c r="M974" i="58" s="1"/>
  <c r="O996" i="57"/>
  <c r="AV1000" i="58"/>
  <c r="M1000" i="58" s="1"/>
  <c r="A1000" i="58" s="1"/>
  <c r="O966" i="57"/>
  <c r="AV970" i="58"/>
  <c r="M970" i="58" s="1"/>
  <c r="O965" i="57"/>
  <c r="AV969" i="58"/>
  <c r="M969" i="58" s="1"/>
  <c r="AM993" i="57"/>
  <c r="AL993" i="57"/>
  <c r="AL992" i="57"/>
  <c r="AM992" i="57"/>
  <c r="AM990" i="57"/>
  <c r="AL990" i="57"/>
  <c r="AL987" i="57"/>
  <c r="AM987" i="57"/>
  <c r="AL988" i="57"/>
  <c r="AM988" i="57"/>
  <c r="AL989" i="57"/>
  <c r="AM989" i="57"/>
  <c r="AL986" i="57"/>
  <c r="AM986" i="57"/>
  <c r="AL991" i="57"/>
  <c r="AM991" i="57"/>
  <c r="A933" i="57"/>
  <c r="A925" i="57"/>
  <c r="AL939" i="57"/>
  <c r="AM940" i="57"/>
  <c r="AV937" i="58"/>
  <c r="M937" i="58" s="1"/>
  <c r="A937" i="58" s="1"/>
  <c r="A939" i="57"/>
  <c r="AV944" i="58"/>
  <c r="M944" i="58" s="1"/>
  <c r="A944" i="58" s="1"/>
  <c r="A940" i="57"/>
  <c r="AM942" i="57"/>
  <c r="A942" i="57"/>
  <c r="AM922" i="57"/>
  <c r="AL922" i="57"/>
  <c r="AV926" i="58"/>
  <c r="M926" i="58" s="1"/>
  <c r="AV943" i="58"/>
  <c r="M943" i="58" s="1"/>
  <c r="A943" i="58" s="1"/>
  <c r="AL976" i="57"/>
  <c r="AV927" i="58"/>
  <c r="M927" i="58" s="1"/>
  <c r="A927" i="58" s="1"/>
  <c r="P962" i="57"/>
  <c r="AV980" i="58"/>
  <c r="M980" i="58" s="1"/>
  <c r="A980" i="58" s="1"/>
  <c r="A950" i="57"/>
  <c r="AV961" i="58"/>
  <c r="M961" i="58" s="1"/>
  <c r="O961" i="58" s="1"/>
  <c r="A957" i="57"/>
  <c r="AV954" i="58"/>
  <c r="M954" i="58" s="1"/>
  <c r="A954" i="58" s="1"/>
  <c r="A962" i="57"/>
  <c r="A930" i="57"/>
  <c r="AM930" i="57"/>
  <c r="AV966" i="58"/>
  <c r="M966" i="58" s="1"/>
  <c r="O966" i="58" s="1"/>
  <c r="P957" i="57"/>
  <c r="AV934" i="58"/>
  <c r="M934" i="58" s="1"/>
  <c r="A934" i="58" s="1"/>
  <c r="K1029" i="57"/>
  <c r="K1030" i="57"/>
  <c r="K1028" i="57"/>
  <c r="K1031" i="57"/>
  <c r="K1032" i="57"/>
  <c r="K1027" i="57"/>
  <c r="J1028" i="57"/>
  <c r="J1027" i="57"/>
  <c r="J1032" i="57"/>
  <c r="J1030" i="57"/>
  <c r="J1029" i="57"/>
  <c r="J1031" i="57"/>
  <c r="P950" i="57"/>
  <c r="P969" i="57"/>
  <c r="A969" i="57"/>
  <c r="AC1095" i="57"/>
  <c r="AC1097" i="57"/>
  <c r="AM924" i="57"/>
  <c r="A924" i="57"/>
  <c r="AL924" i="57"/>
  <c r="AV928" i="58"/>
  <c r="M928" i="58" s="1"/>
  <c r="A929" i="57"/>
  <c r="AL929" i="57"/>
  <c r="AM929" i="57"/>
  <c r="AV933" i="58"/>
  <c r="M933" i="58" s="1"/>
  <c r="P971" i="57"/>
  <c r="A971" i="57"/>
  <c r="P966" i="57"/>
  <c r="A966" i="57"/>
  <c r="A961" i="57"/>
  <c r="P961" i="57"/>
  <c r="AV965" i="58"/>
  <c r="M965" i="58" s="1"/>
  <c r="AL935" i="57"/>
  <c r="AM935" i="57"/>
  <c r="A935" i="57"/>
  <c r="AV939" i="58"/>
  <c r="M939" i="58" s="1"/>
  <c r="A934" i="57"/>
  <c r="AL934" i="57"/>
  <c r="AM934" i="57"/>
  <c r="AV938" i="58"/>
  <c r="M938" i="58" s="1"/>
  <c r="AL980" i="57"/>
  <c r="AM980" i="57"/>
  <c r="AV984" i="58"/>
  <c r="M984" i="58" s="1"/>
  <c r="AW984" i="58" s="1"/>
  <c r="A956" i="57"/>
  <c r="O956" i="57"/>
  <c r="P956" i="57"/>
  <c r="AV960" i="58"/>
  <c r="M960" i="58" s="1"/>
  <c r="AW960" i="58" s="1"/>
  <c r="T1097" i="57"/>
  <c r="T1095" i="57"/>
  <c r="AL931" i="57"/>
  <c r="AM931" i="57"/>
  <c r="A931" i="57"/>
  <c r="AV935" i="58"/>
  <c r="M935" i="58" s="1"/>
  <c r="P963" i="57"/>
  <c r="A963" i="57"/>
  <c r="AV967" i="58"/>
  <c r="M967" i="58" s="1"/>
  <c r="K1020" i="57"/>
  <c r="J1038" i="57"/>
  <c r="K1023" i="57"/>
  <c r="K1034" i="57"/>
  <c r="J1023" i="57"/>
  <c r="J1036" i="57"/>
  <c r="K1036" i="57"/>
  <c r="A954" i="57"/>
  <c r="O954" i="57"/>
  <c r="P954" i="57"/>
  <c r="AV958" i="58"/>
  <c r="M958" i="58" s="1"/>
  <c r="AW958" i="58" s="1"/>
  <c r="AM983" i="57"/>
  <c r="AL983" i="57"/>
  <c r="AV987" i="58"/>
  <c r="M987" i="58" s="1"/>
  <c r="AW987" i="58" s="1"/>
  <c r="AM943" i="57"/>
  <c r="A943" i="57"/>
  <c r="AL943" i="57"/>
  <c r="AV947" i="58"/>
  <c r="M947" i="58" s="1"/>
  <c r="O951" i="57"/>
  <c r="A951" i="57"/>
  <c r="P951" i="57"/>
  <c r="AV955" i="58"/>
  <c r="M955" i="58" s="1"/>
  <c r="AW955" i="58" s="1"/>
  <c r="AL978" i="57"/>
  <c r="AM978" i="57"/>
  <c r="AV982" i="58"/>
  <c r="M982" i="58" s="1"/>
  <c r="AW982" i="58" s="1"/>
  <c r="A960" i="57"/>
  <c r="P960" i="57"/>
  <c r="AV964" i="58"/>
  <c r="M964" i="58" s="1"/>
  <c r="AL926" i="57"/>
  <c r="AM926" i="57"/>
  <c r="AV930" i="58"/>
  <c r="M930" i="58" s="1"/>
  <c r="AW930" i="58" s="1"/>
  <c r="A968" i="57"/>
  <c r="P968" i="57"/>
  <c r="P953" i="57"/>
  <c r="A953" i="57"/>
  <c r="O953" i="57"/>
  <c r="AV957" i="58"/>
  <c r="M957" i="58" s="1"/>
  <c r="AW957" i="58" s="1"/>
  <c r="AL945" i="57"/>
  <c r="A945" i="57"/>
  <c r="AM945" i="57"/>
  <c r="AV949" i="58"/>
  <c r="M949" i="58" s="1"/>
  <c r="AL946" i="57"/>
  <c r="A946" i="57"/>
  <c r="AM946" i="57"/>
  <c r="AV950" i="58"/>
  <c r="M950" i="58" s="1"/>
  <c r="P965" i="57"/>
  <c r="A965" i="57"/>
  <c r="AM975" i="57"/>
  <c r="AL975" i="57"/>
  <c r="AV979" i="58"/>
  <c r="M979" i="58" s="1"/>
  <c r="K1019" i="57"/>
  <c r="K1022" i="57"/>
  <c r="K1018" i="57"/>
  <c r="J1035" i="57"/>
  <c r="J1019" i="57"/>
  <c r="K1025" i="57"/>
  <c r="J1033" i="57"/>
  <c r="AM974" i="57"/>
  <c r="AL974" i="57"/>
  <c r="AV978" i="58"/>
  <c r="M978" i="58" s="1"/>
  <c r="AL981" i="57"/>
  <c r="AM981" i="57"/>
  <c r="AV985" i="58"/>
  <c r="M985" i="58" s="1"/>
  <c r="AW985" i="58" s="1"/>
  <c r="AL973" i="57"/>
  <c r="AM973" i="57"/>
  <c r="AV977" i="58"/>
  <c r="M977" i="58" s="1"/>
  <c r="AW977" i="58" s="1"/>
  <c r="P967" i="57"/>
  <c r="A967" i="57"/>
  <c r="AL984" i="57"/>
  <c r="AM984" i="57"/>
  <c r="AV988" i="58"/>
  <c r="M988" i="58" s="1"/>
  <c r="AM932" i="57"/>
  <c r="A932" i="57"/>
  <c r="AL932" i="57"/>
  <c r="AV936" i="58"/>
  <c r="M936" i="58" s="1"/>
  <c r="AM938" i="57"/>
  <c r="AL938" i="57"/>
  <c r="AV942" i="58"/>
  <c r="M942" i="58" s="1"/>
  <c r="A972" i="57"/>
  <c r="P972" i="57"/>
  <c r="AL944" i="57"/>
  <c r="A944" i="57"/>
  <c r="AM944" i="57"/>
  <c r="AV948" i="58"/>
  <c r="M948" i="58" s="1"/>
  <c r="AM937" i="57"/>
  <c r="AL937" i="57"/>
  <c r="AV941" i="58"/>
  <c r="M941" i="58" s="1"/>
  <c r="J1024" i="57"/>
  <c r="K1021" i="57"/>
  <c r="J1022" i="57"/>
  <c r="K1017" i="57"/>
  <c r="J1018" i="57"/>
  <c r="J1026" i="57"/>
  <c r="K1039" i="57"/>
  <c r="A1039" i="57" s="1"/>
  <c r="K1026" i="57"/>
  <c r="P997" i="57"/>
  <c r="AV1001" i="58"/>
  <c r="M1001" i="58" s="1"/>
  <c r="A1001" i="58" s="1"/>
  <c r="AL979" i="57"/>
  <c r="AM979" i="57"/>
  <c r="AV983" i="58"/>
  <c r="M983" i="58" s="1"/>
  <c r="AW983" i="58" s="1"/>
  <c r="V1097" i="57"/>
  <c r="V1095" i="57"/>
  <c r="AM928" i="57"/>
  <c r="A928" i="57"/>
  <c r="AL928" i="57"/>
  <c r="AV932" i="58"/>
  <c r="M932" i="58" s="1"/>
  <c r="A936" i="57"/>
  <c r="AM936" i="57"/>
  <c r="AL936" i="57"/>
  <c r="AV940" i="58"/>
  <c r="M940" i="58" s="1"/>
  <c r="AM927" i="57"/>
  <c r="AL927" i="57"/>
  <c r="A927" i="57"/>
  <c r="AV931" i="58"/>
  <c r="M931" i="58" s="1"/>
  <c r="A959" i="57"/>
  <c r="P959" i="57"/>
  <c r="AV963" i="58"/>
  <c r="M963" i="58" s="1"/>
  <c r="J1025" i="57"/>
  <c r="J1017" i="57"/>
  <c r="J1021" i="57"/>
  <c r="K1035" i="57"/>
  <c r="K1024" i="57"/>
  <c r="K1033" i="57"/>
  <c r="K1038" i="57"/>
  <c r="J1020" i="57"/>
  <c r="J1034" i="57"/>
  <c r="P970" i="57"/>
  <c r="A970" i="57"/>
  <c r="AL982" i="57"/>
  <c r="AM982" i="57"/>
  <c r="AV986" i="58"/>
  <c r="M986" i="58" s="1"/>
  <c r="AW986" i="58" s="1"/>
  <c r="O952" i="57"/>
  <c r="P952" i="57"/>
  <c r="A952" i="57"/>
  <c r="AV956" i="58"/>
  <c r="M956" i="58" s="1"/>
  <c r="AW956" i="58" s="1"/>
  <c r="A1037" i="57" l="1"/>
  <c r="A1030" i="57"/>
  <c r="A1002" i="58"/>
  <c r="J1034" i="58"/>
  <c r="U1034" i="58" s="1"/>
  <c r="J1036" i="58"/>
  <c r="U1036" i="58" s="1"/>
  <c r="K1038" i="58"/>
  <c r="V1038" i="58" s="1"/>
  <c r="K1036" i="58"/>
  <c r="V1036" i="58" s="1"/>
  <c r="K1039" i="58"/>
  <c r="V1039" i="58" s="1"/>
  <c r="K1037" i="58"/>
  <c r="V1037" i="58" s="1"/>
  <c r="K1033" i="58"/>
  <c r="V1033" i="58" s="1"/>
  <c r="K1034" i="58"/>
  <c r="V1034" i="58" s="1"/>
  <c r="K1035" i="58"/>
  <c r="V1035" i="58" s="1"/>
  <c r="J1038" i="58"/>
  <c r="U1038" i="58" s="1"/>
  <c r="J1037" i="58"/>
  <c r="U1037" i="58" s="1"/>
  <c r="J1033" i="58"/>
  <c r="U1033" i="58" s="1"/>
  <c r="J1035" i="58"/>
  <c r="U1035" i="58" s="1"/>
  <c r="J1039" i="58"/>
  <c r="U1039" i="58" s="1"/>
  <c r="AW931" i="58"/>
  <c r="A931" i="58"/>
  <c r="AW947" i="58"/>
  <c r="A947" i="58"/>
  <c r="AW952" i="58"/>
  <c r="A952" i="58"/>
  <c r="AW946" i="58"/>
  <c r="A946" i="58"/>
  <c r="AW940" i="58"/>
  <c r="A940" i="58"/>
  <c r="AW942" i="58"/>
  <c r="A942" i="58"/>
  <c r="AW950" i="58"/>
  <c r="A950" i="58"/>
  <c r="AW949" i="58"/>
  <c r="A949" i="58"/>
  <c r="AW935" i="58"/>
  <c r="A935" i="58"/>
  <c r="AW933" i="58"/>
  <c r="A933" i="58"/>
  <c r="AW928" i="58"/>
  <c r="A928" i="58"/>
  <c r="AW932" i="58"/>
  <c r="A932" i="58"/>
  <c r="AW948" i="58"/>
  <c r="A948" i="58"/>
  <c r="AW938" i="58"/>
  <c r="A938" i="58"/>
  <c r="AW939" i="58"/>
  <c r="A939" i="58"/>
  <c r="AW941" i="58"/>
  <c r="A941" i="58"/>
  <c r="AW936" i="58"/>
  <c r="A936" i="58"/>
  <c r="AW988" i="58"/>
  <c r="A988" i="58"/>
  <c r="AF929" i="58"/>
  <c r="A929" i="58"/>
  <c r="AL989" i="58"/>
  <c r="A989" i="58"/>
  <c r="AW951" i="58"/>
  <c r="A951" i="58"/>
  <c r="AW979" i="58"/>
  <c r="A979" i="58"/>
  <c r="AW970" i="58"/>
  <c r="O970" i="58"/>
  <c r="AW974" i="58"/>
  <c r="O974" i="58"/>
  <c r="AW972" i="58"/>
  <c r="O972" i="58"/>
  <c r="AW999" i="58"/>
  <c r="O999" i="58"/>
  <c r="AW971" i="58"/>
  <c r="O971" i="58"/>
  <c r="AW1002" i="58"/>
  <c r="O1002" i="58"/>
  <c r="AW962" i="58"/>
  <c r="O962" i="58"/>
  <c r="AW963" i="58"/>
  <c r="O963" i="58"/>
  <c r="AW1001" i="58"/>
  <c r="O1001" i="58"/>
  <c r="AW978" i="58"/>
  <c r="A978" i="58"/>
  <c r="AW964" i="58"/>
  <c r="O964" i="58"/>
  <c r="AW967" i="58"/>
  <c r="O967" i="58"/>
  <c r="AW965" i="58"/>
  <c r="O965" i="58"/>
  <c r="AW969" i="58"/>
  <c r="O969" i="58"/>
  <c r="AW1000" i="58"/>
  <c r="O1000" i="58"/>
  <c r="AW975" i="58"/>
  <c r="O975" i="58"/>
  <c r="AW973" i="58"/>
  <c r="O973" i="58"/>
  <c r="AW976" i="58"/>
  <c r="O976" i="58"/>
  <c r="H1084" i="57"/>
  <c r="A1084" i="57" s="1"/>
  <c r="AQ1037" i="57"/>
  <c r="AR1037" i="57"/>
  <c r="S1037" i="57"/>
  <c r="T1037" i="57"/>
  <c r="AO1037" i="57"/>
  <c r="AP1037" i="57"/>
  <c r="BQ1037" i="57"/>
  <c r="BR1037" i="57"/>
  <c r="BN1037" i="57"/>
  <c r="BM1037" i="57"/>
  <c r="AE962" i="58"/>
  <c r="P953" i="58"/>
  <c r="A1031" i="57"/>
  <c r="W1111" i="57"/>
  <c r="AM1103" i="57"/>
  <c r="A1034" i="57"/>
  <c r="A962" i="58"/>
  <c r="O953" i="58"/>
  <c r="AF962" i="58"/>
  <c r="P962" i="58"/>
  <c r="A953" i="58"/>
  <c r="AM1097" i="57"/>
  <c r="AM1096" i="57"/>
  <c r="AN1096" i="57"/>
  <c r="P1002" i="58"/>
  <c r="AF1002" i="58"/>
  <c r="AE946" i="58"/>
  <c r="AL946" i="58"/>
  <c r="AF946" i="58"/>
  <c r="AM946" i="58"/>
  <c r="AE1002" i="58"/>
  <c r="A1019" i="57"/>
  <c r="A1020" i="57"/>
  <c r="A1022" i="57"/>
  <c r="A1032" i="57"/>
  <c r="A1028" i="57"/>
  <c r="A1018" i="57"/>
  <c r="A1027" i="57"/>
  <c r="A1023" i="57"/>
  <c r="A1021" i="57"/>
  <c r="A1026" i="57"/>
  <c r="A1024" i="57"/>
  <c r="A1038" i="57"/>
  <c r="A1017" i="57"/>
  <c r="A1025" i="57"/>
  <c r="A1033" i="57"/>
  <c r="A1036" i="57"/>
  <c r="A1029" i="57"/>
  <c r="A1035" i="57"/>
  <c r="H1073" i="57"/>
  <c r="A1073" i="57" s="1"/>
  <c r="H1072" i="57"/>
  <c r="A1072" i="57" s="1"/>
  <c r="AE929" i="58"/>
  <c r="AL934" i="58"/>
  <c r="AW934" i="58"/>
  <c r="P961" i="58"/>
  <c r="AW961" i="58"/>
  <c r="AL927" i="58"/>
  <c r="AW927" i="58"/>
  <c r="AF959" i="58"/>
  <c r="AW959" i="58"/>
  <c r="T1026" i="57"/>
  <c r="S1020" i="57"/>
  <c r="S1036" i="57"/>
  <c r="T1017" i="57"/>
  <c r="S1039" i="57"/>
  <c r="S1017" i="57"/>
  <c r="T1035" i="57"/>
  <c r="S1026" i="57"/>
  <c r="T1025" i="57"/>
  <c r="S1019" i="57"/>
  <c r="T1036" i="57"/>
  <c r="T1039" i="57"/>
  <c r="S1034" i="57"/>
  <c r="T1031" i="57"/>
  <c r="T1030" i="57"/>
  <c r="S1024" i="57"/>
  <c r="T1023" i="57"/>
  <c r="S1022" i="57"/>
  <c r="S1023" i="57"/>
  <c r="T1019" i="57"/>
  <c r="S1018" i="57"/>
  <c r="S1038" i="57"/>
  <c r="S1025" i="57"/>
  <c r="S1030" i="57"/>
  <c r="S1035" i="57"/>
  <c r="T1024" i="57"/>
  <c r="T1027" i="57"/>
  <c r="T1032" i="57"/>
  <c r="T1020" i="57"/>
  <c r="T1021" i="57"/>
  <c r="S1032" i="57"/>
  <c r="T1033" i="57"/>
  <c r="T1029" i="57"/>
  <c r="T1038" i="57"/>
  <c r="S1021" i="57"/>
  <c r="T1018" i="57"/>
  <c r="T1034" i="57"/>
  <c r="S1028" i="57"/>
  <c r="T1028" i="57"/>
  <c r="S1027" i="57"/>
  <c r="S1029" i="57"/>
  <c r="T1022" i="57"/>
  <c r="S1033" i="57"/>
  <c r="S1031" i="57"/>
  <c r="AM944" i="58"/>
  <c r="AW944" i="58"/>
  <c r="AL994" i="58"/>
  <c r="AW994" i="58"/>
  <c r="AL996" i="58"/>
  <c r="AW996" i="58"/>
  <c r="AF990" i="58"/>
  <c r="AW990" i="58"/>
  <c r="AF992" i="58"/>
  <c r="AW992" i="58"/>
  <c r="A966" i="58"/>
  <c r="AW966" i="58"/>
  <c r="P954" i="58"/>
  <c r="AW954" i="58"/>
  <c r="AM980" i="58"/>
  <c r="AW980" i="58"/>
  <c r="AW943" i="58"/>
  <c r="AL929" i="58"/>
  <c r="AW929" i="58"/>
  <c r="AW989" i="58"/>
  <c r="AL926" i="58"/>
  <c r="AW926" i="58"/>
  <c r="AF937" i="58"/>
  <c r="AW937" i="58"/>
  <c r="AM997" i="58"/>
  <c r="AW997" i="58"/>
  <c r="AF995" i="58"/>
  <c r="AW995" i="58"/>
  <c r="AF993" i="58"/>
  <c r="AW993" i="58"/>
  <c r="AF991" i="58"/>
  <c r="AW991" i="58"/>
  <c r="AE945" i="58"/>
  <c r="AW945" i="58"/>
  <c r="AF952" i="58"/>
  <c r="AE952" i="58"/>
  <c r="AL952" i="58"/>
  <c r="AM952" i="58"/>
  <c r="AF951" i="58"/>
  <c r="AE951" i="58"/>
  <c r="AM951" i="58"/>
  <c r="AL951" i="58"/>
  <c r="O762" i="58"/>
  <c r="O761" i="58"/>
  <c r="AM929" i="58"/>
  <c r="P959" i="58"/>
  <c r="AM945" i="58"/>
  <c r="AF989" i="58"/>
  <c r="AF945" i="58"/>
  <c r="AL945" i="58"/>
  <c r="AM989" i="58"/>
  <c r="AE989" i="58"/>
  <c r="O959" i="58"/>
  <c r="AE959" i="58"/>
  <c r="A959" i="58"/>
  <c r="AE937" i="58"/>
  <c r="AE944" i="58"/>
  <c r="AF944" i="58"/>
  <c r="AL944" i="58"/>
  <c r="AE992" i="58"/>
  <c r="AM943" i="58"/>
  <c r="AM937" i="58"/>
  <c r="AE990" i="58"/>
  <c r="O954" i="58"/>
  <c r="AL937" i="58"/>
  <c r="P966" i="58"/>
  <c r="AM994" i="58"/>
  <c r="AE993" i="58"/>
  <c r="AM990" i="58"/>
  <c r="AL993" i="58"/>
  <c r="AL990" i="58"/>
  <c r="AM992" i="58"/>
  <c r="AL991" i="58"/>
  <c r="AM995" i="58"/>
  <c r="AM993" i="58"/>
  <c r="AM996" i="58"/>
  <c r="AL995" i="58"/>
  <c r="AE994" i="58"/>
  <c r="AE996" i="58"/>
  <c r="AE995" i="58"/>
  <c r="AM991" i="58"/>
  <c r="AL997" i="58"/>
  <c r="AF996" i="58"/>
  <c r="AL992" i="58"/>
  <c r="AE991" i="58"/>
  <c r="AM926" i="58"/>
  <c r="O779" i="58"/>
  <c r="AF994" i="58"/>
  <c r="AE997" i="58"/>
  <c r="AF997" i="58"/>
  <c r="P969" i="58"/>
  <c r="A969" i="58"/>
  <c r="P1000" i="58"/>
  <c r="A975" i="58"/>
  <c r="P975" i="58"/>
  <c r="A973" i="58"/>
  <c r="P973" i="58"/>
  <c r="P976" i="58"/>
  <c r="AF976" i="58"/>
  <c r="AE976" i="58"/>
  <c r="A976" i="58"/>
  <c r="AE970" i="58"/>
  <c r="A970" i="58"/>
  <c r="P970" i="58"/>
  <c r="AF970" i="58"/>
  <c r="AE974" i="58"/>
  <c r="A974" i="58"/>
  <c r="P974" i="58"/>
  <c r="AF974" i="58"/>
  <c r="AF972" i="58"/>
  <c r="A972" i="58"/>
  <c r="P972" i="58"/>
  <c r="AE972" i="58"/>
  <c r="P999" i="58"/>
  <c r="P971" i="58"/>
  <c r="A971" i="58"/>
  <c r="A961" i="58"/>
  <c r="AE934" i="58"/>
  <c r="O778" i="58"/>
  <c r="O782" i="58"/>
  <c r="O777" i="58"/>
  <c r="O776" i="58"/>
  <c r="O781" i="58"/>
  <c r="O780" i="58"/>
  <c r="AF943" i="58"/>
  <c r="AF926" i="58"/>
  <c r="O775" i="58"/>
  <c r="A926" i="58"/>
  <c r="AE926" i="58"/>
  <c r="AL980" i="58"/>
  <c r="AM934" i="58"/>
  <c r="AE943" i="58"/>
  <c r="AF934" i="58"/>
  <c r="AL943" i="58"/>
  <c r="AZ1103" i="57"/>
  <c r="AF980" i="58"/>
  <c r="AE980" i="58"/>
  <c r="AE927" i="58"/>
  <c r="AM927" i="58"/>
  <c r="AF927" i="58"/>
  <c r="H1075" i="57"/>
  <c r="A1075" i="57" s="1"/>
  <c r="H1067" i="57"/>
  <c r="A1067" i="57" s="1"/>
  <c r="H1071" i="57"/>
  <c r="A1071" i="57" s="1"/>
  <c r="H1069" i="57"/>
  <c r="A1069" i="57" s="1"/>
  <c r="H1068" i="57"/>
  <c r="A1068" i="57" s="1"/>
  <c r="H1074" i="57"/>
  <c r="A1074" i="57" s="1"/>
  <c r="H1066" i="57"/>
  <c r="A1066" i="57" s="1"/>
  <c r="H1070" i="57"/>
  <c r="A1070" i="57" s="1"/>
  <c r="AQ1032" i="57"/>
  <c r="BQ1027" i="57"/>
  <c r="AP1029" i="57"/>
  <c r="AQ1027" i="57"/>
  <c r="BN1027" i="57"/>
  <c r="AQ1031" i="57"/>
  <c r="AQ1029" i="57"/>
  <c r="AQ1028" i="57"/>
  <c r="BR1031" i="57"/>
  <c r="BQ1017" i="57"/>
  <c r="BR1032" i="57"/>
  <c r="U1031" i="57"/>
  <c r="U1027" i="57"/>
  <c r="V1031" i="57"/>
  <c r="AO1029" i="57"/>
  <c r="AO1027" i="57"/>
  <c r="AO1032" i="57"/>
  <c r="BM1031" i="57"/>
  <c r="BM1032" i="57"/>
  <c r="BN1031" i="57"/>
  <c r="AR1028" i="57"/>
  <c r="AQ1030" i="57"/>
  <c r="AR1027" i="57"/>
  <c r="BR1027" i="57"/>
  <c r="BQ1031" i="57"/>
  <c r="BQ1030" i="57"/>
  <c r="U1029" i="57"/>
  <c r="U1028" i="57"/>
  <c r="V1028" i="57"/>
  <c r="AP1032" i="57"/>
  <c r="AO1030" i="57"/>
  <c r="AP1030" i="57"/>
  <c r="BM1029" i="57"/>
  <c r="BN1029" i="57"/>
  <c r="BM1028" i="57"/>
  <c r="AR1032" i="57"/>
  <c r="AR1029" i="57"/>
  <c r="AR1030" i="57"/>
  <c r="BR1030" i="57"/>
  <c r="BR1028" i="57"/>
  <c r="BR1029" i="57"/>
  <c r="U1030" i="57"/>
  <c r="V1027" i="57"/>
  <c r="V1030" i="57"/>
  <c r="AP1028" i="57"/>
  <c r="AP1031" i="57"/>
  <c r="AO1028" i="57"/>
  <c r="BN1030" i="57"/>
  <c r="BM1027" i="57"/>
  <c r="BN1032" i="57"/>
  <c r="AR1031" i="57"/>
  <c r="BQ1028" i="57"/>
  <c r="BQ1032" i="57"/>
  <c r="BQ1029" i="57"/>
  <c r="U1032" i="57"/>
  <c r="V1032" i="57"/>
  <c r="V1029" i="57"/>
  <c r="AP1027" i="57"/>
  <c r="AO1031" i="57"/>
  <c r="BM1030" i="57"/>
  <c r="BN1028" i="57"/>
  <c r="AO1025" i="57"/>
  <c r="BR1039" i="57"/>
  <c r="BN1036" i="57"/>
  <c r="AQ1035" i="57"/>
  <c r="AN1097" i="57"/>
  <c r="AP1022" i="57"/>
  <c r="O759" i="58"/>
  <c r="V1035" i="57"/>
  <c r="AP1026" i="57"/>
  <c r="AP1039" i="57"/>
  <c r="O956" i="58"/>
  <c r="P956" i="58"/>
  <c r="A956" i="58"/>
  <c r="AL986" i="58"/>
  <c r="AM986" i="58"/>
  <c r="AE986" i="58"/>
  <c r="A986" i="58"/>
  <c r="AF986" i="58"/>
  <c r="V1038" i="57"/>
  <c r="AF931" i="58"/>
  <c r="AM931" i="58"/>
  <c r="AL931" i="58"/>
  <c r="AE931" i="58"/>
  <c r="AC1111" i="57"/>
  <c r="AT1103" i="57"/>
  <c r="AF983" i="58"/>
  <c r="AL983" i="58"/>
  <c r="AM983" i="58"/>
  <c r="A983" i="58"/>
  <c r="AE983" i="58"/>
  <c r="AO1018" i="57"/>
  <c r="AO1033" i="57"/>
  <c r="AO1019" i="57"/>
  <c r="AO1017" i="57"/>
  <c r="AO1026" i="57"/>
  <c r="AP1020" i="57"/>
  <c r="AP1025" i="57"/>
  <c r="AO1034" i="57"/>
  <c r="H1081" i="57"/>
  <c r="A1081" i="57" s="1"/>
  <c r="H1088" i="57"/>
  <c r="A1088" i="57" s="1"/>
  <c r="H1053" i="57"/>
  <c r="A1053" i="57" s="1"/>
  <c r="H1057" i="57"/>
  <c r="A1057" i="57" s="1"/>
  <c r="H1079" i="57"/>
  <c r="A1079" i="57" s="1"/>
  <c r="H1086" i="57"/>
  <c r="A1086" i="57" s="1"/>
  <c r="H1061" i="57"/>
  <c r="A1061" i="57" s="1"/>
  <c r="H1051" i="57"/>
  <c r="A1051" i="57" s="1"/>
  <c r="H1049" i="57"/>
  <c r="A1049" i="57" s="1"/>
  <c r="H1063" i="57"/>
  <c r="A1063" i="57" s="1"/>
  <c r="H1055" i="57"/>
  <c r="A1055" i="57" s="1"/>
  <c r="H1047" i="57"/>
  <c r="A1047" i="57" s="1"/>
  <c r="H1065" i="57"/>
  <c r="A1065" i="57" s="1"/>
  <c r="H1083" i="57"/>
  <c r="A1083" i="57" s="1"/>
  <c r="H1059" i="57"/>
  <c r="A1059" i="57" s="1"/>
  <c r="H1077" i="57"/>
  <c r="A1077" i="57" s="1"/>
  <c r="AF941" i="58"/>
  <c r="AE941" i="58"/>
  <c r="AL941" i="58"/>
  <c r="AM941" i="58"/>
  <c r="AR1033" i="57"/>
  <c r="AQ1034" i="57"/>
  <c r="AQ1024" i="57"/>
  <c r="AR1023" i="57"/>
  <c r="AR1024" i="57"/>
  <c r="AR1019" i="57"/>
  <c r="AR1039" i="57"/>
  <c r="AR1025" i="57"/>
  <c r="U1035" i="57"/>
  <c r="BQ1019" i="57"/>
  <c r="BR1026" i="57"/>
  <c r="BR1017" i="57"/>
  <c r="BR1018" i="57"/>
  <c r="BQ1025" i="57"/>
  <c r="BR1023" i="57"/>
  <c r="BQ1034" i="57"/>
  <c r="BQ1039" i="57"/>
  <c r="BR1025" i="57"/>
  <c r="AL949" i="58"/>
  <c r="AM949" i="58"/>
  <c r="AF949" i="58"/>
  <c r="AE949" i="58"/>
  <c r="P955" i="58"/>
  <c r="A955" i="58"/>
  <c r="O955" i="58"/>
  <c r="U1036" i="57"/>
  <c r="U1038" i="57"/>
  <c r="O747" i="58"/>
  <c r="O742" i="58"/>
  <c r="O771" i="58"/>
  <c r="O746" i="58"/>
  <c r="O750" i="58"/>
  <c r="O748" i="58"/>
  <c r="O752" i="58"/>
  <c r="O754" i="58"/>
  <c r="O785" i="58"/>
  <c r="O749" i="58"/>
  <c r="J1027" i="58"/>
  <c r="O783" i="58"/>
  <c r="BM1021" i="57"/>
  <c r="BN1038" i="57"/>
  <c r="BM1023" i="57"/>
  <c r="BN1033" i="57"/>
  <c r="BM1019" i="57"/>
  <c r="BN1039" i="57"/>
  <c r="BN1022" i="57"/>
  <c r="BN1018" i="57"/>
  <c r="BM1039" i="57"/>
  <c r="AN1095" i="57"/>
  <c r="BL1103" i="57" s="1"/>
  <c r="AF933" i="58"/>
  <c r="AE933" i="58"/>
  <c r="AL933" i="58"/>
  <c r="AM933" i="58"/>
  <c r="V1033" i="57"/>
  <c r="P963" i="58"/>
  <c r="A963" i="58"/>
  <c r="AF932" i="58"/>
  <c r="AL932" i="58"/>
  <c r="AE932" i="58"/>
  <c r="AM932" i="58"/>
  <c r="AO1036" i="57"/>
  <c r="AP1018" i="57"/>
  <c r="AO1020" i="57"/>
  <c r="AP1024" i="57"/>
  <c r="AP1038" i="57"/>
  <c r="AP1021" i="57"/>
  <c r="AP1019" i="57"/>
  <c r="AO1038" i="57"/>
  <c r="V1039" i="57"/>
  <c r="AM942" i="58"/>
  <c r="AF942" i="58"/>
  <c r="AE942" i="58"/>
  <c r="AL942" i="58"/>
  <c r="AM988" i="58"/>
  <c r="AF988" i="58"/>
  <c r="AL988" i="58"/>
  <c r="AE988" i="58"/>
  <c r="A985" i="58"/>
  <c r="AF985" i="58"/>
  <c r="AE985" i="58"/>
  <c r="AM985" i="58"/>
  <c r="AL985" i="58"/>
  <c r="AR1034" i="57"/>
  <c r="AQ1036" i="57"/>
  <c r="AR1026" i="57"/>
  <c r="AR1020" i="57"/>
  <c r="AR1035" i="57"/>
  <c r="AR1017" i="57"/>
  <c r="AQ1018" i="57"/>
  <c r="AQ1020" i="57"/>
  <c r="U1033" i="57"/>
  <c r="BQ1022" i="57"/>
  <c r="BQ1033" i="57"/>
  <c r="BR1022" i="57"/>
  <c r="BQ1035" i="57"/>
  <c r="BQ1018" i="57"/>
  <c r="BQ1023" i="57"/>
  <c r="BR1034" i="57"/>
  <c r="BQ1020" i="57"/>
  <c r="A964" i="58"/>
  <c r="AF964" i="58"/>
  <c r="AE964" i="58"/>
  <c r="P964" i="58"/>
  <c r="AE947" i="58"/>
  <c r="AM947" i="58"/>
  <c r="AF947" i="58"/>
  <c r="AL947" i="58"/>
  <c r="P958" i="58"/>
  <c r="AE958" i="58"/>
  <c r="A958" i="58"/>
  <c r="AF958" i="58"/>
  <c r="O958" i="58"/>
  <c r="J1031" i="58"/>
  <c r="J1028" i="58"/>
  <c r="O769" i="58"/>
  <c r="K1027" i="58"/>
  <c r="O743" i="58"/>
  <c r="O768" i="58"/>
  <c r="O755" i="58"/>
  <c r="O760" i="58"/>
  <c r="O764" i="58"/>
  <c r="O744" i="58"/>
  <c r="O770" i="58"/>
  <c r="J1032" i="58"/>
  <c r="S1002" i="57"/>
  <c r="S1003" i="57"/>
  <c r="BM1038" i="57"/>
  <c r="BN1017" i="57"/>
  <c r="BM1017" i="57"/>
  <c r="BM1024" i="57"/>
  <c r="R1003" i="57"/>
  <c r="BN1024" i="57"/>
  <c r="R1002" i="57"/>
  <c r="AA1111" i="57"/>
  <c r="AR1103" i="57"/>
  <c r="AE984" i="58"/>
  <c r="AM984" i="58"/>
  <c r="AL984" i="58"/>
  <c r="AF984" i="58"/>
  <c r="A984" i="58"/>
  <c r="AF939" i="58"/>
  <c r="AE939" i="58"/>
  <c r="AM939" i="58"/>
  <c r="AL939" i="58"/>
  <c r="BA1103" i="57"/>
  <c r="AG1111" i="57"/>
  <c r="H1087" i="57"/>
  <c r="A1087" i="57" s="1"/>
  <c r="H1085" i="57"/>
  <c r="A1085" i="57" s="1"/>
  <c r="H1048" i="57"/>
  <c r="A1048" i="57" s="1"/>
  <c r="H1046" i="57"/>
  <c r="A1046" i="57" s="1"/>
  <c r="H1082" i="57"/>
  <c r="A1082" i="57" s="1"/>
  <c r="H1078" i="57"/>
  <c r="A1078" i="57" s="1"/>
  <c r="H1080" i="57"/>
  <c r="A1080" i="57" s="1"/>
  <c r="H1058" i="57"/>
  <c r="A1058" i="57" s="1"/>
  <c r="H1076" i="57"/>
  <c r="A1076" i="57" s="1"/>
  <c r="H1052" i="57"/>
  <c r="A1052" i="57" s="1"/>
  <c r="H1056" i="57"/>
  <c r="A1056" i="57" s="1"/>
  <c r="H1050" i="57"/>
  <c r="A1050" i="57" s="1"/>
  <c r="H1064" i="57"/>
  <c r="A1064" i="57" s="1"/>
  <c r="H1054" i="57"/>
  <c r="A1054" i="57" s="1"/>
  <c r="H1062" i="57"/>
  <c r="A1062" i="57" s="1"/>
  <c r="H1060" i="57"/>
  <c r="A1060" i="57" s="1"/>
  <c r="U1034" i="57"/>
  <c r="AL940" i="58"/>
  <c r="AF940" i="58"/>
  <c r="AE940" i="58"/>
  <c r="AM940" i="58"/>
  <c r="AF1001" i="58"/>
  <c r="P1001" i="58"/>
  <c r="AE1001" i="58"/>
  <c r="AO1035" i="57"/>
  <c r="AP1036" i="57"/>
  <c r="AO1023" i="57"/>
  <c r="AP1034" i="57"/>
  <c r="AP1033" i="57"/>
  <c r="AP1035" i="57"/>
  <c r="AO1024" i="57"/>
  <c r="AP1023" i="57"/>
  <c r="AM948" i="58"/>
  <c r="AF948" i="58"/>
  <c r="AE948" i="58"/>
  <c r="AL948" i="58"/>
  <c r="AQ1021" i="57"/>
  <c r="AQ1026" i="57"/>
  <c r="AQ1017" i="57"/>
  <c r="AR1036" i="57"/>
  <c r="AQ1033" i="57"/>
  <c r="AR1022" i="57"/>
  <c r="AR1038" i="57"/>
  <c r="AQ1019" i="57"/>
  <c r="U1003" i="57"/>
  <c r="BQ1036" i="57"/>
  <c r="T1002" i="57"/>
  <c r="BR1038" i="57"/>
  <c r="BQ1024" i="57"/>
  <c r="BR1019" i="57"/>
  <c r="BQ1021" i="57"/>
  <c r="BR1024" i="57"/>
  <c r="BR1036" i="57"/>
  <c r="AL979" i="58"/>
  <c r="AF979" i="58"/>
  <c r="AM979" i="58"/>
  <c r="AE979" i="58"/>
  <c r="AF950" i="58"/>
  <c r="AM950" i="58"/>
  <c r="AE950" i="58"/>
  <c r="AL950" i="58"/>
  <c r="P957" i="58"/>
  <c r="A957" i="58"/>
  <c r="O957" i="58"/>
  <c r="AE982" i="58"/>
  <c r="AF982" i="58"/>
  <c r="AL982" i="58"/>
  <c r="A982" i="58"/>
  <c r="AM982" i="58"/>
  <c r="V1034" i="57"/>
  <c r="K1025" i="58"/>
  <c r="K1031" i="58"/>
  <c r="K1028" i="58"/>
  <c r="K1032" i="58"/>
  <c r="O757" i="58"/>
  <c r="O773" i="58"/>
  <c r="O745" i="58"/>
  <c r="O751" i="58"/>
  <c r="O758" i="58"/>
  <c r="O765" i="58"/>
  <c r="BM1036" i="57"/>
  <c r="BN1019" i="57"/>
  <c r="BN1035" i="57"/>
  <c r="BM1025" i="57"/>
  <c r="BN1025" i="57"/>
  <c r="BM1026" i="57"/>
  <c r="BM1020" i="57"/>
  <c r="BN1034" i="57"/>
  <c r="BN1020" i="57"/>
  <c r="AE967" i="58"/>
  <c r="P967" i="58"/>
  <c r="A967" i="58"/>
  <c r="AF967" i="58"/>
  <c r="O960" i="58"/>
  <c r="A960" i="58"/>
  <c r="AF960" i="58"/>
  <c r="AE960" i="58"/>
  <c r="P960" i="58"/>
  <c r="AM1095" i="57"/>
  <c r="BK1103" i="57" s="1"/>
  <c r="AM928" i="58"/>
  <c r="AE928" i="58"/>
  <c r="AF928" i="58"/>
  <c r="AL928" i="58"/>
  <c r="AO1021" i="57"/>
  <c r="AO1039" i="57"/>
  <c r="AP1017" i="57"/>
  <c r="AO1022" i="57"/>
  <c r="AF936" i="58"/>
  <c r="AM936" i="58"/>
  <c r="AL936" i="58"/>
  <c r="AE936" i="58"/>
  <c r="AE977" i="58"/>
  <c r="A977" i="58"/>
  <c r="AM977" i="58"/>
  <c r="AF977" i="58"/>
  <c r="AL977" i="58"/>
  <c r="AL978" i="58"/>
  <c r="AM978" i="58"/>
  <c r="AE978" i="58"/>
  <c r="AF978" i="58"/>
  <c r="AQ1039" i="57"/>
  <c r="AQ1023" i="57"/>
  <c r="AQ1022" i="57"/>
  <c r="AQ1025" i="57"/>
  <c r="AR1021" i="57"/>
  <c r="AQ1038" i="57"/>
  <c r="AR1018" i="57"/>
  <c r="U1002" i="57"/>
  <c r="BR1035" i="57"/>
  <c r="BR1021" i="57"/>
  <c r="BR1020" i="57"/>
  <c r="BQ1026" i="57"/>
  <c r="T1003" i="57"/>
  <c r="BR1033" i="57"/>
  <c r="BQ1038" i="57"/>
  <c r="AF930" i="58"/>
  <c r="AM930" i="58"/>
  <c r="AE930" i="58"/>
  <c r="A930" i="58"/>
  <c r="AL930" i="58"/>
  <c r="AF987" i="58"/>
  <c r="AL987" i="58"/>
  <c r="AM987" i="58"/>
  <c r="AE987" i="58"/>
  <c r="A987" i="58"/>
  <c r="V1036" i="57"/>
  <c r="J1025" i="58"/>
  <c r="J1026" i="58"/>
  <c r="O784" i="58"/>
  <c r="O763" i="58"/>
  <c r="O766" i="58"/>
  <c r="O753" i="58"/>
  <c r="O767" i="58"/>
  <c r="O786" i="58"/>
  <c r="O774" i="58"/>
  <c r="O756" i="58"/>
  <c r="O772" i="58"/>
  <c r="K1026" i="58"/>
  <c r="BM1022" i="57"/>
  <c r="BN1023" i="57"/>
  <c r="BM1033" i="57"/>
  <c r="BN1021" i="57"/>
  <c r="BM1035" i="57"/>
  <c r="BN1026" i="57"/>
  <c r="BM1034" i="57"/>
  <c r="BM1018" i="57"/>
  <c r="AM935" i="58"/>
  <c r="AL935" i="58"/>
  <c r="AF935" i="58"/>
  <c r="AE935" i="58"/>
  <c r="AF938" i="58"/>
  <c r="AL938" i="58"/>
  <c r="AE938" i="58"/>
  <c r="AM938" i="58"/>
  <c r="A965" i="58"/>
  <c r="P965" i="58"/>
  <c r="M803" i="58" l="1"/>
  <c r="M806" i="58"/>
  <c r="M809" i="58"/>
  <c r="M805" i="58"/>
  <c r="M804" i="58"/>
  <c r="M810" i="58"/>
  <c r="M807" i="58"/>
  <c r="M808" i="58"/>
  <c r="BR1038" i="58"/>
  <c r="BQ1035" i="58"/>
  <c r="BQ1037" i="58"/>
  <c r="BQ1038" i="58"/>
  <c r="BR1037" i="58"/>
  <c r="BR1035" i="58"/>
  <c r="BR1039" i="58"/>
  <c r="BR1034" i="58"/>
  <c r="BQ1033" i="58"/>
  <c r="BQ1039" i="58"/>
  <c r="BR1033" i="58"/>
  <c r="BQ1034" i="58"/>
  <c r="BR1036" i="58"/>
  <c r="BQ1036" i="58"/>
  <c r="AR1036" i="58"/>
  <c r="AR1038" i="58"/>
  <c r="AQ1036" i="58"/>
  <c r="AR1034" i="58"/>
  <c r="AQ1035" i="58"/>
  <c r="AQ1038" i="58"/>
  <c r="AR1033" i="58"/>
  <c r="AQ1033" i="58"/>
  <c r="AQ1037" i="58"/>
  <c r="AR1035" i="58"/>
  <c r="AQ1039" i="58"/>
  <c r="AR1039" i="58"/>
  <c r="AR1037" i="58"/>
  <c r="AQ1034" i="58"/>
  <c r="T1038" i="58"/>
  <c r="T1033" i="58"/>
  <c r="S1037" i="58"/>
  <c r="S1036" i="58"/>
  <c r="S1039" i="58"/>
  <c r="S1033" i="58"/>
  <c r="T1037" i="58"/>
  <c r="T1035" i="58"/>
  <c r="S1035" i="58"/>
  <c r="T1039" i="58"/>
  <c r="T1036" i="58"/>
  <c r="T1034" i="58"/>
  <c r="S1034" i="58"/>
  <c r="S1038" i="58"/>
  <c r="BM1038" i="58"/>
  <c r="BM1036" i="58"/>
  <c r="BN1038" i="58"/>
  <c r="BM1037" i="58"/>
  <c r="BM1033" i="58"/>
  <c r="BM1034" i="58"/>
  <c r="BN1036" i="58"/>
  <c r="BN1039" i="58"/>
  <c r="BN1034" i="58"/>
  <c r="BN1037" i="58"/>
  <c r="BM1035" i="58"/>
  <c r="BN1035" i="58"/>
  <c r="BM1039" i="58"/>
  <c r="BN1033" i="58"/>
  <c r="AP1037" i="58"/>
  <c r="AO1037" i="58"/>
  <c r="K1084" i="57"/>
  <c r="L1084" i="57"/>
  <c r="O1037" i="57"/>
  <c r="N1037" i="57"/>
  <c r="M1037" i="57"/>
  <c r="L1037" i="57"/>
  <c r="S1026" i="58"/>
  <c r="S1031" i="58"/>
  <c r="T1027" i="58"/>
  <c r="T1025" i="58"/>
  <c r="S1027" i="58"/>
  <c r="T1028" i="58"/>
  <c r="T1032" i="58"/>
  <c r="S1025" i="58"/>
  <c r="S1028" i="58"/>
  <c r="T1031" i="58"/>
  <c r="T1026" i="58"/>
  <c r="S1032" i="58"/>
  <c r="AN1084" i="58"/>
  <c r="AN1085" i="58"/>
  <c r="AM1084" i="58"/>
  <c r="AM1085" i="58"/>
  <c r="P1096" i="57"/>
  <c r="N1096" i="57" s="1"/>
  <c r="AA1096" i="57"/>
  <c r="S1096" i="57"/>
  <c r="Q1096" i="57" s="1"/>
  <c r="K1073" i="57"/>
  <c r="L1072" i="57"/>
  <c r="L1073" i="57"/>
  <c r="K1072" i="57"/>
  <c r="U761" i="58"/>
  <c r="T761" i="58"/>
  <c r="S761" i="58"/>
  <c r="S762" i="58"/>
  <c r="T762" i="58"/>
  <c r="U762" i="58"/>
  <c r="N1020" i="57"/>
  <c r="N1024" i="57"/>
  <c r="N1028" i="57"/>
  <c r="N1032" i="57"/>
  <c r="N1036" i="57"/>
  <c r="N1021" i="57"/>
  <c r="N1025" i="57"/>
  <c r="N1029" i="57"/>
  <c r="N1033" i="57"/>
  <c r="N1038" i="57"/>
  <c r="N1018" i="57"/>
  <c r="N1022" i="57"/>
  <c r="N1026" i="57"/>
  <c r="N1030" i="57"/>
  <c r="N1034" i="57"/>
  <c r="N1039" i="57"/>
  <c r="N1019" i="57"/>
  <c r="N1023" i="57"/>
  <c r="N1027" i="57"/>
  <c r="N1031" i="57"/>
  <c r="N1035" i="57"/>
  <c r="N1017" i="57"/>
  <c r="L1017" i="57"/>
  <c r="T759" i="58"/>
  <c r="M814" i="58"/>
  <c r="M812" i="58"/>
  <c r="O833" i="58"/>
  <c r="T833" i="58" s="1"/>
  <c r="T776" i="58"/>
  <c r="U776" i="58"/>
  <c r="S776" i="58"/>
  <c r="T780" i="58"/>
  <c r="U780" i="58"/>
  <c r="S780" i="58"/>
  <c r="U777" i="58"/>
  <c r="S777" i="58"/>
  <c r="T777" i="58"/>
  <c r="U779" i="58"/>
  <c r="T779" i="58"/>
  <c r="S779" i="58"/>
  <c r="T782" i="58"/>
  <c r="U782" i="58"/>
  <c r="S782" i="58"/>
  <c r="U781" i="58"/>
  <c r="T781" i="58"/>
  <c r="S781" i="58"/>
  <c r="T778" i="58"/>
  <c r="U778" i="58"/>
  <c r="S778" i="58"/>
  <c r="U775" i="58"/>
  <c r="S775" i="58"/>
  <c r="T775" i="58"/>
  <c r="K1071" i="57"/>
  <c r="K1069" i="57"/>
  <c r="K1075" i="57"/>
  <c r="K1067" i="57"/>
  <c r="L1069" i="57"/>
  <c r="L1075" i="57"/>
  <c r="L1067" i="57"/>
  <c r="L1071" i="57"/>
  <c r="K1066" i="57"/>
  <c r="K1070" i="57"/>
  <c r="K1068" i="57"/>
  <c r="K1074" i="57"/>
  <c r="L1070" i="57"/>
  <c r="L1068" i="57"/>
  <c r="L1074" i="57"/>
  <c r="L1066" i="57"/>
  <c r="M1029" i="57"/>
  <c r="L1028" i="57"/>
  <c r="L1027" i="57"/>
  <c r="L1032" i="57"/>
  <c r="M1027" i="57"/>
  <c r="M1032" i="57"/>
  <c r="L1031" i="57"/>
  <c r="M1031" i="57"/>
  <c r="L1029" i="57"/>
  <c r="L1025" i="57"/>
  <c r="L1026" i="57"/>
  <c r="L1019" i="57"/>
  <c r="M1028" i="57"/>
  <c r="M1030" i="57"/>
  <c r="M1023" i="57"/>
  <c r="M1025" i="57"/>
  <c r="M1026" i="57"/>
  <c r="M1033" i="57"/>
  <c r="L1021" i="57"/>
  <c r="L1033" i="57"/>
  <c r="M1019" i="57"/>
  <c r="L1023" i="57"/>
  <c r="L1030" i="57"/>
  <c r="M1021" i="57"/>
  <c r="L1034" i="57"/>
  <c r="M1038" i="57"/>
  <c r="L1036" i="57"/>
  <c r="M1035" i="57"/>
  <c r="M1022" i="57"/>
  <c r="M1039" i="57"/>
  <c r="M1020" i="57"/>
  <c r="L1035" i="57"/>
  <c r="L1024" i="57"/>
  <c r="M1036" i="57"/>
  <c r="M1034" i="57"/>
  <c r="L1038" i="57"/>
  <c r="L1039" i="57"/>
  <c r="L1022" i="57"/>
  <c r="L1018" i="57"/>
  <c r="L1020" i="57"/>
  <c r="M1024" i="57"/>
  <c r="O1032" i="57"/>
  <c r="O1021" i="57"/>
  <c r="O1027" i="57"/>
  <c r="O1025" i="57"/>
  <c r="O1026" i="57"/>
  <c r="O1031" i="57"/>
  <c r="O1029" i="57"/>
  <c r="O1030" i="57"/>
  <c r="O1019" i="57"/>
  <c r="O1028" i="57"/>
  <c r="O1033" i="57"/>
  <c r="O1023" i="57"/>
  <c r="O1022" i="57"/>
  <c r="O1034" i="57"/>
  <c r="O1036" i="57"/>
  <c r="O1039" i="57"/>
  <c r="O1020" i="57"/>
  <c r="O1038" i="57"/>
  <c r="O1035" i="57"/>
  <c r="O1024" i="57"/>
  <c r="H1103" i="57"/>
  <c r="AM1033" i="58"/>
  <c r="W1002" i="57"/>
  <c r="BL1017" i="57" s="1"/>
  <c r="O1017" i="57" s="1"/>
  <c r="BN1028" i="58"/>
  <c r="AN1083" i="58"/>
  <c r="S759" i="58"/>
  <c r="AO1035" i="58"/>
  <c r="U759" i="58"/>
  <c r="BQ1032" i="58"/>
  <c r="T774" i="58"/>
  <c r="U774" i="58"/>
  <c r="S774" i="58"/>
  <c r="AR1025" i="58"/>
  <c r="AM1035" i="58"/>
  <c r="K1047" i="57"/>
  <c r="K1053" i="57"/>
  <c r="K1059" i="57"/>
  <c r="K1051" i="57"/>
  <c r="K1049" i="57"/>
  <c r="K1065" i="57"/>
  <c r="K1086" i="57"/>
  <c r="K1057" i="57"/>
  <c r="K1055" i="57"/>
  <c r="K1063" i="57"/>
  <c r="K1061" i="57"/>
  <c r="K1081" i="57"/>
  <c r="K1083" i="57"/>
  <c r="K1077" i="57"/>
  <c r="K1079" i="57"/>
  <c r="K1088" i="57"/>
  <c r="U758" i="58"/>
  <c r="T758" i="58"/>
  <c r="S758" i="58"/>
  <c r="S757" i="58"/>
  <c r="U757" i="58"/>
  <c r="T757" i="58"/>
  <c r="BQ1025" i="58"/>
  <c r="BQ1031" i="58"/>
  <c r="BR1031" i="58"/>
  <c r="BR1027" i="58"/>
  <c r="H1058" i="58"/>
  <c r="H1046" i="58"/>
  <c r="H1060" i="58"/>
  <c r="H1048" i="58"/>
  <c r="H1050" i="58"/>
  <c r="A1050" i="58" s="1"/>
  <c r="H1074" i="58"/>
  <c r="A1074" i="58" s="1"/>
  <c r="H1052" i="58"/>
  <c r="A1052" i="58" s="1"/>
  <c r="H1072" i="58"/>
  <c r="A1072" i="58" s="1"/>
  <c r="H1070" i="58"/>
  <c r="A1070" i="58" s="1"/>
  <c r="H1062" i="58"/>
  <c r="A1062" i="58" s="1"/>
  <c r="H1064" i="58"/>
  <c r="A1064" i="58" s="1"/>
  <c r="H1066" i="58"/>
  <c r="A1066" i="58" s="1"/>
  <c r="H1076" i="58"/>
  <c r="A1076" i="58" s="1"/>
  <c r="H1054" i="58"/>
  <c r="A1054" i="58" s="1"/>
  <c r="H1056" i="58"/>
  <c r="A1056" i="58" s="1"/>
  <c r="H1068" i="58"/>
  <c r="A1068" i="58" s="1"/>
  <c r="AO1034" i="58"/>
  <c r="AO1033" i="58"/>
  <c r="AP1023" i="58"/>
  <c r="AO1039" i="58"/>
  <c r="AP1032" i="58"/>
  <c r="AP1026" i="58"/>
  <c r="AP1038" i="58"/>
  <c r="AP1024" i="58"/>
  <c r="S760" i="58"/>
  <c r="U760" i="58"/>
  <c r="T760" i="58"/>
  <c r="AM1083" i="58"/>
  <c r="U749" i="58"/>
  <c r="T749" i="58"/>
  <c r="S749" i="58"/>
  <c r="S748" i="58"/>
  <c r="U748" i="58"/>
  <c r="T748" i="58"/>
  <c r="T742" i="58"/>
  <c r="U742" i="58"/>
  <c r="S742" i="58"/>
  <c r="M813" i="58"/>
  <c r="O835" i="58"/>
  <c r="T835" i="58" s="1"/>
  <c r="O832" i="58"/>
  <c r="M816" i="58"/>
  <c r="O830" i="58"/>
  <c r="M811" i="58"/>
  <c r="B811" i="58" s="1"/>
  <c r="B288" i="58" s="1"/>
  <c r="O834" i="58"/>
  <c r="O306" i="58" s="1"/>
  <c r="M318" i="58" s="1"/>
  <c r="M817" i="58"/>
  <c r="M818" i="58"/>
  <c r="O831" i="58"/>
  <c r="T831" i="58" s="1"/>
  <c r="O829" i="58"/>
  <c r="M815" i="58"/>
  <c r="O836" i="58"/>
  <c r="BM1027" i="58"/>
  <c r="S1010" i="58"/>
  <c r="BN1026" i="58"/>
  <c r="R1010" i="58"/>
  <c r="H1047" i="58"/>
  <c r="H1059" i="58"/>
  <c r="H1057" i="58"/>
  <c r="H1045" i="58"/>
  <c r="H1061" i="58"/>
  <c r="A1061" i="58" s="1"/>
  <c r="H1069" i="58"/>
  <c r="A1069" i="58" s="1"/>
  <c r="H1055" i="58"/>
  <c r="A1055" i="58" s="1"/>
  <c r="H1067" i="58"/>
  <c r="A1067" i="58" s="1"/>
  <c r="H1071" i="58"/>
  <c r="A1071" i="58" s="1"/>
  <c r="H1053" i="58"/>
  <c r="A1053" i="58" s="1"/>
  <c r="H1063" i="58"/>
  <c r="A1063" i="58" s="1"/>
  <c r="H1065" i="58"/>
  <c r="A1065" i="58" s="1"/>
  <c r="H1049" i="58"/>
  <c r="A1049" i="58" s="1"/>
  <c r="H1073" i="58"/>
  <c r="A1073" i="58" s="1"/>
  <c r="H1075" i="58"/>
  <c r="A1075" i="58" s="1"/>
  <c r="H1051" i="58"/>
  <c r="A1051" i="58" s="1"/>
  <c r="AR1032" i="58"/>
  <c r="AR1026" i="58"/>
  <c r="S786" i="58"/>
  <c r="U786" i="58"/>
  <c r="T786" i="58"/>
  <c r="T763" i="58"/>
  <c r="U763" i="58"/>
  <c r="S763" i="58"/>
  <c r="AN1023" i="58"/>
  <c r="AR1027" i="58"/>
  <c r="AN1038" i="58"/>
  <c r="AM1034" i="58"/>
  <c r="AN1036" i="58"/>
  <c r="AM1030" i="58"/>
  <c r="AN1029" i="58"/>
  <c r="AQ1028" i="58"/>
  <c r="U751" i="58"/>
  <c r="T751" i="58"/>
  <c r="S751" i="58"/>
  <c r="U1010" i="58"/>
  <c r="BR1032" i="58"/>
  <c r="BR1028" i="58"/>
  <c r="T1009" i="58"/>
  <c r="W1003" i="57"/>
  <c r="BL1018" i="57" s="1"/>
  <c r="O1018" i="57" s="1"/>
  <c r="AP1030" i="58"/>
  <c r="AO1030" i="58"/>
  <c r="AO1024" i="58"/>
  <c r="AO1031" i="58"/>
  <c r="AP1035" i="58"/>
  <c r="AO1032" i="58"/>
  <c r="AO1028" i="58"/>
  <c r="AO1027" i="58"/>
  <c r="S770" i="58"/>
  <c r="U770" i="58"/>
  <c r="T770" i="58"/>
  <c r="U755" i="58"/>
  <c r="T755" i="58"/>
  <c r="S755" i="58"/>
  <c r="S769" i="58"/>
  <c r="U769" i="58"/>
  <c r="T769" i="58"/>
  <c r="U785" i="58"/>
  <c r="S785" i="58"/>
  <c r="T785" i="58"/>
  <c r="S750" i="58"/>
  <c r="U750" i="58"/>
  <c r="T750" i="58"/>
  <c r="T747" i="58"/>
  <c r="U747" i="58"/>
  <c r="S747" i="58"/>
  <c r="BM1025" i="58"/>
  <c r="BN1027" i="58"/>
  <c r="BM1026" i="58"/>
  <c r="R1009" i="58"/>
  <c r="AM1038" i="58"/>
  <c r="AN1039" i="58"/>
  <c r="U767" i="58"/>
  <c r="S767" i="58"/>
  <c r="T767" i="58"/>
  <c r="S784" i="58"/>
  <c r="U784" i="58"/>
  <c r="T784" i="58"/>
  <c r="AQ1025" i="58"/>
  <c r="AM1024" i="58"/>
  <c r="AQ1032" i="58"/>
  <c r="AQ1031" i="58"/>
  <c r="AM1039" i="58"/>
  <c r="AN1024" i="58"/>
  <c r="AN1035" i="58"/>
  <c r="AR1031" i="58"/>
  <c r="T745" i="58"/>
  <c r="S745" i="58"/>
  <c r="U745" i="58"/>
  <c r="U1009" i="58"/>
  <c r="BQ1026" i="58"/>
  <c r="BQ1028" i="58"/>
  <c r="BR1026" i="58"/>
  <c r="X1003" i="57"/>
  <c r="AP1036" i="58"/>
  <c r="AP1027" i="58"/>
  <c r="AP1031" i="58"/>
  <c r="AP1028" i="58"/>
  <c r="AO1023" i="58"/>
  <c r="AP1034" i="58"/>
  <c r="AP1039" i="58"/>
  <c r="AO1038" i="58"/>
  <c r="S744" i="58"/>
  <c r="U744" i="58"/>
  <c r="T744" i="58"/>
  <c r="T768" i="58"/>
  <c r="U768" i="58"/>
  <c r="S768" i="58"/>
  <c r="S783" i="58"/>
  <c r="U783" i="58"/>
  <c r="T783" i="58"/>
  <c r="U754" i="58"/>
  <c r="T754" i="58"/>
  <c r="S754" i="58"/>
  <c r="S746" i="58"/>
  <c r="U746" i="58"/>
  <c r="T746" i="58"/>
  <c r="S1009" i="58"/>
  <c r="BM1031" i="58"/>
  <c r="BN1031" i="58"/>
  <c r="BM1032" i="58"/>
  <c r="S766" i="58"/>
  <c r="U766" i="58"/>
  <c r="T766" i="58"/>
  <c r="AN1030" i="58"/>
  <c r="AN1033" i="58"/>
  <c r="T772" i="58"/>
  <c r="U772" i="58"/>
  <c r="S772" i="58"/>
  <c r="T756" i="58"/>
  <c r="U756" i="58"/>
  <c r="S756" i="58"/>
  <c r="S753" i="58"/>
  <c r="U753" i="58"/>
  <c r="T753" i="58"/>
  <c r="AM1023" i="58"/>
  <c r="AN1034" i="58"/>
  <c r="AQ1027" i="58"/>
  <c r="AM1036" i="58"/>
  <c r="AM1029" i="58"/>
  <c r="AQ1026" i="58"/>
  <c r="AR1028" i="58"/>
  <c r="U765" i="58"/>
  <c r="S765" i="58"/>
  <c r="T765" i="58"/>
  <c r="S773" i="58"/>
  <c r="U773" i="58"/>
  <c r="T773" i="58"/>
  <c r="BQ1027" i="58"/>
  <c r="BR1025" i="58"/>
  <c r="T1010" i="58"/>
  <c r="L1056" i="57"/>
  <c r="L1048" i="57"/>
  <c r="L1078" i="57"/>
  <c r="L1076" i="57"/>
  <c r="L1082" i="57"/>
  <c r="L1060" i="57"/>
  <c r="L1052" i="57"/>
  <c r="L1085" i="57"/>
  <c r="S1097" i="57"/>
  <c r="L1062" i="57"/>
  <c r="L1046" i="57"/>
  <c r="L1087" i="57"/>
  <c r="L1080" i="57"/>
  <c r="L1050" i="57"/>
  <c r="L1058" i="57"/>
  <c r="L1064" i="57"/>
  <c r="L1054" i="57"/>
  <c r="S1095" i="57"/>
  <c r="V1003" i="57"/>
  <c r="BK1018" i="57" s="1"/>
  <c r="M1018" i="57" s="1"/>
  <c r="X1002" i="57"/>
  <c r="V1002" i="57"/>
  <c r="BK1017" i="57" s="1"/>
  <c r="M1017" i="57" s="1"/>
  <c r="AP1029" i="58"/>
  <c r="AO1036" i="58"/>
  <c r="AO1029" i="58"/>
  <c r="AO1025" i="58"/>
  <c r="AP1025" i="58"/>
  <c r="AP1033" i="58"/>
  <c r="AO1026" i="58"/>
  <c r="T764" i="58"/>
  <c r="U764" i="58"/>
  <c r="S764" i="58"/>
  <c r="T743" i="58"/>
  <c r="U743" i="58"/>
  <c r="S743" i="58"/>
  <c r="L1059" i="57"/>
  <c r="L1065" i="57"/>
  <c r="L1063" i="57"/>
  <c r="L1051" i="57"/>
  <c r="L1081" i="57"/>
  <c r="L1053" i="57"/>
  <c r="L1055" i="57"/>
  <c r="L1049" i="57"/>
  <c r="L1077" i="57"/>
  <c r="L1083" i="57"/>
  <c r="L1057" i="57"/>
  <c r="L1079" i="57"/>
  <c r="L1047" i="57"/>
  <c r="L1088" i="57"/>
  <c r="L1061" i="57"/>
  <c r="L1086" i="57"/>
  <c r="S752" i="58"/>
  <c r="T752" i="58"/>
  <c r="U752" i="58"/>
  <c r="S771" i="58"/>
  <c r="U771" i="58"/>
  <c r="T771" i="58"/>
  <c r="BM1028" i="58"/>
  <c r="BN1025" i="58"/>
  <c r="BN1032" i="58"/>
  <c r="K1076" i="57"/>
  <c r="K1080" i="57"/>
  <c r="K1056" i="57"/>
  <c r="K1062" i="57"/>
  <c r="K1087" i="57"/>
  <c r="K1085" i="57"/>
  <c r="K1050" i="57"/>
  <c r="K1058" i="57"/>
  <c r="K1052" i="57"/>
  <c r="K1048" i="57"/>
  <c r="K1078" i="57"/>
  <c r="K1046" i="57"/>
  <c r="K1054" i="57"/>
  <c r="R1097" i="57"/>
  <c r="K1082" i="57"/>
  <c r="K1060" i="57"/>
  <c r="K1064" i="57"/>
  <c r="P1097" i="57"/>
  <c r="N1097" i="57" s="1"/>
  <c r="AA1095" i="57"/>
  <c r="P1095" i="57"/>
  <c r="O305" i="58" l="1"/>
  <c r="M314" i="58" s="1"/>
  <c r="T829" i="58"/>
  <c r="B803" i="58"/>
  <c r="B287" i="58" s="1"/>
  <c r="M1028" i="58"/>
  <c r="M1032" i="58"/>
  <c r="M1030" i="58"/>
  <c r="M1031" i="58"/>
  <c r="M1033" i="58"/>
  <c r="M1025" i="58"/>
  <c r="M1036" i="58"/>
  <c r="M1037" i="58"/>
  <c r="M1026" i="58"/>
  <c r="M1035" i="58"/>
  <c r="M1029" i="58"/>
  <c r="M1034" i="58"/>
  <c r="O1039" i="58"/>
  <c r="N1031" i="58"/>
  <c r="O1027" i="58"/>
  <c r="N1035" i="58"/>
  <c r="N1025" i="58"/>
  <c r="N1026" i="58"/>
  <c r="N1037" i="58"/>
  <c r="N1028" i="58"/>
  <c r="N1039" i="58"/>
  <c r="O1032" i="58"/>
  <c r="O1026" i="58"/>
  <c r="O1028" i="58"/>
  <c r="O1037" i="58"/>
  <c r="O1031" i="58"/>
  <c r="N1032" i="58"/>
  <c r="O1025" i="58"/>
  <c r="N1027" i="58"/>
  <c r="M1027" i="58"/>
  <c r="O1030" i="58"/>
  <c r="O1033" i="58"/>
  <c r="N1024" i="58"/>
  <c r="O1023" i="58"/>
  <c r="N1033" i="58"/>
  <c r="N1038" i="58"/>
  <c r="O1036" i="58"/>
  <c r="O1029" i="58"/>
  <c r="O1035" i="58"/>
  <c r="N1030" i="58"/>
  <c r="N1023" i="58"/>
  <c r="N1036" i="58"/>
  <c r="O1034" i="58"/>
  <c r="O1038" i="58"/>
  <c r="N1029" i="58"/>
  <c r="N1034" i="58"/>
  <c r="L1037" i="58"/>
  <c r="M1084" i="57"/>
  <c r="N1084" i="57"/>
  <c r="G1095" i="57"/>
  <c r="Q1097" i="57"/>
  <c r="N849" i="58"/>
  <c r="T836" i="58"/>
  <c r="N843" i="58"/>
  <c r="T830" i="58"/>
  <c r="N845" i="58"/>
  <c r="T832" i="58"/>
  <c r="N847" i="58"/>
  <c r="T834" i="58"/>
  <c r="T306" i="58" s="1"/>
  <c r="P318" i="58" s="1"/>
  <c r="P1084" i="58"/>
  <c r="N1084" i="58" s="1"/>
  <c r="R1084" i="58"/>
  <c r="S1084" i="58"/>
  <c r="G1096" i="57"/>
  <c r="H1096" i="57"/>
  <c r="Z1096" i="57"/>
  <c r="AI1096" i="57"/>
  <c r="K1096" i="57"/>
  <c r="L1096" i="57"/>
  <c r="N1073" i="57"/>
  <c r="M1072" i="57"/>
  <c r="N1072" i="57"/>
  <c r="M1073" i="57"/>
  <c r="BK1091" i="58"/>
  <c r="BL1091" i="58"/>
  <c r="L1026" i="58"/>
  <c r="L1031" i="58"/>
  <c r="L1028" i="58"/>
  <c r="L1029" i="58"/>
  <c r="L1030" i="58"/>
  <c r="L1035" i="58"/>
  <c r="L1032" i="58"/>
  <c r="L1033" i="58"/>
  <c r="L1034" i="58"/>
  <c r="L1023" i="58"/>
  <c r="L1036" i="58"/>
  <c r="M1038" i="58"/>
  <c r="L1038" i="58"/>
  <c r="M1039" i="58"/>
  <c r="L1027" i="58"/>
  <c r="L1024" i="58"/>
  <c r="L1025" i="58"/>
  <c r="L1039" i="58"/>
  <c r="P803" i="58"/>
  <c r="P287" i="58" s="1"/>
  <c r="W300" i="58" s="1"/>
  <c r="X300" i="58" s="1"/>
  <c r="I1091" i="58"/>
  <c r="AY1103" i="57"/>
  <c r="H1095" i="57"/>
  <c r="N1068" i="57"/>
  <c r="N1074" i="57"/>
  <c r="N1066" i="57"/>
  <c r="N1070" i="57"/>
  <c r="M1067" i="57"/>
  <c r="M1071" i="57"/>
  <c r="M1069" i="57"/>
  <c r="M1075" i="57"/>
  <c r="M1068" i="57"/>
  <c r="M1074" i="57"/>
  <c r="M1066" i="57"/>
  <c r="M1070" i="57"/>
  <c r="N1069" i="57"/>
  <c r="N1075" i="57"/>
  <c r="N1067" i="57"/>
  <c r="N1071" i="57"/>
  <c r="X1010" i="58"/>
  <c r="M1059" i="57"/>
  <c r="M1049" i="57"/>
  <c r="M1057" i="57"/>
  <c r="M1047" i="57"/>
  <c r="M1077" i="57"/>
  <c r="M1055" i="57"/>
  <c r="M1079" i="57"/>
  <c r="M1086" i="57"/>
  <c r="M1081" i="57"/>
  <c r="M1061" i="57"/>
  <c r="M1065" i="57"/>
  <c r="M1053" i="57"/>
  <c r="M1083" i="57"/>
  <c r="M1063" i="57"/>
  <c r="M1088" i="57"/>
  <c r="M1051" i="57"/>
  <c r="AA1097" i="57"/>
  <c r="AN1103" i="57"/>
  <c r="X1111" i="57"/>
  <c r="N1095" i="57"/>
  <c r="K1057" i="58"/>
  <c r="K1053" i="58"/>
  <c r="K1071" i="58"/>
  <c r="K1059" i="58"/>
  <c r="P1085" i="58"/>
  <c r="K1045" i="58"/>
  <c r="K1069" i="58"/>
  <c r="K1065" i="58"/>
  <c r="K1067" i="58"/>
  <c r="K1073" i="58"/>
  <c r="K1063" i="58"/>
  <c r="K1055" i="58"/>
  <c r="K1047" i="58"/>
  <c r="K1051" i="58"/>
  <c r="K1075" i="58"/>
  <c r="K1061" i="58"/>
  <c r="K1049" i="58"/>
  <c r="AA1083" i="58"/>
  <c r="P1083" i="58"/>
  <c r="P810" i="58"/>
  <c r="T305" i="58"/>
  <c r="P314" i="58" s="1"/>
  <c r="N842" i="58"/>
  <c r="N848" i="58"/>
  <c r="P808" i="58"/>
  <c r="R846" i="58"/>
  <c r="R842" i="58"/>
  <c r="R848" i="58"/>
  <c r="R849" i="58"/>
  <c r="R847" i="58"/>
  <c r="R844" i="58"/>
  <c r="R843" i="58"/>
  <c r="R845" i="58"/>
  <c r="L1060" i="58"/>
  <c r="L1062" i="58"/>
  <c r="L1074" i="58"/>
  <c r="L1068" i="58"/>
  <c r="L1058" i="58"/>
  <c r="L1056" i="58"/>
  <c r="L1050" i="58"/>
  <c r="L1054" i="58"/>
  <c r="L1066" i="58"/>
  <c r="L1064" i="58"/>
  <c r="L1072" i="58"/>
  <c r="L1052" i="58"/>
  <c r="L1076" i="58"/>
  <c r="L1046" i="58"/>
  <c r="L1070" i="58"/>
  <c r="L1048" i="58"/>
  <c r="M1080" i="57"/>
  <c r="Z1097" i="57"/>
  <c r="M1052" i="57"/>
  <c r="M1048" i="57"/>
  <c r="M1050" i="57"/>
  <c r="M1064" i="57"/>
  <c r="M1060" i="57"/>
  <c r="M1078" i="57"/>
  <c r="M1076" i="57"/>
  <c r="M1082" i="57"/>
  <c r="M1046" i="57"/>
  <c r="M1054" i="57"/>
  <c r="M1056" i="57"/>
  <c r="M1062" i="57"/>
  <c r="M1058" i="57"/>
  <c r="M1085" i="57"/>
  <c r="H1097" i="57"/>
  <c r="M1087" i="57"/>
  <c r="G1097" i="57"/>
  <c r="Z1095" i="57"/>
  <c r="N1064" i="57"/>
  <c r="N1080" i="57"/>
  <c r="N1082" i="57"/>
  <c r="N1060" i="57"/>
  <c r="N1046" i="57"/>
  <c r="N1050" i="57"/>
  <c r="N1048" i="57"/>
  <c r="L1097" i="57"/>
  <c r="N1087" i="57"/>
  <c r="N1058" i="57"/>
  <c r="N1052" i="57"/>
  <c r="N1078" i="57"/>
  <c r="N1056" i="57"/>
  <c r="N1062" i="57"/>
  <c r="N1054" i="57"/>
  <c r="AI1097" i="57"/>
  <c r="L1095" i="57"/>
  <c r="N1076" i="57"/>
  <c r="N1085" i="57"/>
  <c r="K1095" i="57"/>
  <c r="AI1095" i="57"/>
  <c r="K1097" i="57"/>
  <c r="W1010" i="58"/>
  <c r="BL1024" i="58" s="1"/>
  <c r="O1024" i="58" s="1"/>
  <c r="P815" i="58"/>
  <c r="N844" i="58"/>
  <c r="P804" i="58"/>
  <c r="P816" i="58"/>
  <c r="N846" i="58"/>
  <c r="P812" i="58"/>
  <c r="O1085" i="58"/>
  <c r="V1010" i="58"/>
  <c r="BK1024" i="58" s="1"/>
  <c r="M1024" i="58" s="1"/>
  <c r="X1009" i="58"/>
  <c r="V1009" i="58"/>
  <c r="BK1023" i="58" s="1"/>
  <c r="M1023" i="58" s="1"/>
  <c r="N1083" i="57"/>
  <c r="N1088" i="57"/>
  <c r="N1051" i="57"/>
  <c r="N1081" i="57"/>
  <c r="N1049" i="57"/>
  <c r="N1079" i="57"/>
  <c r="N1059" i="57"/>
  <c r="N1077" i="57"/>
  <c r="N1063" i="57"/>
  <c r="N1053" i="57"/>
  <c r="N1055" i="57"/>
  <c r="N1057" i="57"/>
  <c r="N1047" i="57"/>
  <c r="N1065" i="57"/>
  <c r="N1086" i="57"/>
  <c r="N1061" i="57"/>
  <c r="R1083" i="58"/>
  <c r="R1085" i="58"/>
  <c r="P814" i="58"/>
  <c r="P818" i="58"/>
  <c r="P811" i="58"/>
  <c r="P813" i="58"/>
  <c r="Q844" i="58"/>
  <c r="Q846" i="58"/>
  <c r="Q842" i="58"/>
  <c r="Q848" i="58"/>
  <c r="Q845" i="58"/>
  <c r="Q847" i="58"/>
  <c r="Q849" i="58"/>
  <c r="Q843" i="58"/>
  <c r="K1060" i="58"/>
  <c r="K1054" i="58"/>
  <c r="K1058" i="58"/>
  <c r="K1076" i="58"/>
  <c r="K1074" i="58"/>
  <c r="K1062" i="58"/>
  <c r="K1070" i="58"/>
  <c r="K1046" i="58"/>
  <c r="K1052" i="58"/>
  <c r="K1056" i="58"/>
  <c r="K1050" i="58"/>
  <c r="K1072" i="58"/>
  <c r="K1048" i="58"/>
  <c r="K1064" i="58"/>
  <c r="K1066" i="58"/>
  <c r="K1068" i="58"/>
  <c r="AQ1103" i="57"/>
  <c r="Q1095" i="57"/>
  <c r="L1049" i="58"/>
  <c r="S1085" i="58"/>
  <c r="L1061" i="58"/>
  <c r="L1045" i="58"/>
  <c r="L1059" i="58"/>
  <c r="L1047" i="58"/>
  <c r="L1057" i="58"/>
  <c r="L1067" i="58"/>
  <c r="L1073" i="58"/>
  <c r="L1053" i="58"/>
  <c r="L1069" i="58"/>
  <c r="L1063" i="58"/>
  <c r="L1051" i="58"/>
  <c r="L1071" i="58"/>
  <c r="L1075" i="58"/>
  <c r="L1065" i="58"/>
  <c r="L1055" i="58"/>
  <c r="S1083" i="58"/>
  <c r="P806" i="58"/>
  <c r="P817" i="58"/>
  <c r="P805" i="58"/>
  <c r="P809" i="58"/>
  <c r="P807" i="58"/>
  <c r="S842" i="58"/>
  <c r="S844" i="58"/>
  <c r="S849" i="58"/>
  <c r="S845" i="58"/>
  <c r="S846" i="58"/>
  <c r="S843" i="58"/>
  <c r="S847" i="58"/>
  <c r="S848" i="58"/>
  <c r="O287" i="58" l="1"/>
  <c r="C287" i="58"/>
  <c r="D300" i="58" s="1"/>
  <c r="J287" i="58"/>
  <c r="O300" i="58" s="1"/>
  <c r="F287" i="58"/>
  <c r="G300" i="58" s="1"/>
  <c r="Y287" i="58"/>
  <c r="N287" i="58"/>
  <c r="N300" i="58" s="1"/>
  <c r="X287" i="58"/>
  <c r="B300" i="58" s="1"/>
  <c r="T287" i="58"/>
  <c r="AD300" i="58" s="1"/>
  <c r="I287" i="58"/>
  <c r="J300" i="58" s="1"/>
  <c r="P300" i="58" s="1"/>
  <c r="E287" i="58"/>
  <c r="F300" i="58" s="1"/>
  <c r="H287" i="58"/>
  <c r="I300" i="58" s="1"/>
  <c r="D287" i="58"/>
  <c r="E300" i="58" s="1"/>
  <c r="W287" i="58"/>
  <c r="AJ300" i="58" s="1"/>
  <c r="L287" i="58"/>
  <c r="K300" i="58" s="1"/>
  <c r="V287" i="58"/>
  <c r="Q300" i="58" s="1"/>
  <c r="K287" i="58"/>
  <c r="L300" i="58" s="1"/>
  <c r="G287" i="58"/>
  <c r="C300" i="58" s="1"/>
  <c r="S287" i="58"/>
  <c r="AB300" i="58" s="1"/>
  <c r="M287" i="58"/>
  <c r="M300" i="58" s="1"/>
  <c r="Z834" i="58"/>
  <c r="Z306" i="58" s="1"/>
  <c r="T318" i="58" s="1"/>
  <c r="Y834" i="58"/>
  <c r="Y306" i="58" s="1"/>
  <c r="S318" i="58" s="1"/>
  <c r="Z832" i="58"/>
  <c r="Y832" i="58"/>
  <c r="Y830" i="58"/>
  <c r="Z830" i="58"/>
  <c r="Y836" i="58"/>
  <c r="Z836" i="58"/>
  <c r="L1084" i="58"/>
  <c r="K1084" i="58"/>
  <c r="Q1085" i="58"/>
  <c r="G1084" i="58"/>
  <c r="H1084" i="58"/>
  <c r="Q1084" i="58"/>
  <c r="J1096" i="57"/>
  <c r="F1096" i="57"/>
  <c r="AQ1091" i="58"/>
  <c r="AY1091" i="58"/>
  <c r="Q803" i="58"/>
  <c r="Q287" i="58" s="1"/>
  <c r="U803" i="58"/>
  <c r="N1085" i="58"/>
  <c r="AX1103" i="57"/>
  <c r="AO1103" i="57"/>
  <c r="BG1103" i="57"/>
  <c r="F1097" i="57"/>
  <c r="J1097" i="57"/>
  <c r="Q814" i="58"/>
  <c r="U814" i="58"/>
  <c r="Y833" i="58"/>
  <c r="Z833" i="58"/>
  <c r="U815" i="58"/>
  <c r="Q815" i="58"/>
  <c r="AE1103" i="57"/>
  <c r="P1111" i="57"/>
  <c r="F1095" i="57"/>
  <c r="Z835" i="58"/>
  <c r="Y835" i="58"/>
  <c r="Y1111" i="57"/>
  <c r="G1111" i="57" s="1"/>
  <c r="AL1103" i="57"/>
  <c r="F1103" i="57" s="1"/>
  <c r="Q807" i="58"/>
  <c r="U807" i="58"/>
  <c r="U805" i="58"/>
  <c r="Q805" i="58"/>
  <c r="Q806" i="58"/>
  <c r="U806" i="58"/>
  <c r="M1059" i="58"/>
  <c r="M1061" i="58"/>
  <c r="M1053" i="58"/>
  <c r="H1085" i="58"/>
  <c r="M1047" i="58"/>
  <c r="M1075" i="58"/>
  <c r="M1049" i="58"/>
  <c r="M1045" i="58"/>
  <c r="M1065" i="58"/>
  <c r="M1067" i="58"/>
  <c r="M1071" i="58"/>
  <c r="M1063" i="58"/>
  <c r="M1073" i="58"/>
  <c r="M1057" i="58"/>
  <c r="H1083" i="58"/>
  <c r="M1069" i="58"/>
  <c r="M1055" i="58"/>
  <c r="M1051" i="58"/>
  <c r="G1085" i="58"/>
  <c r="G1083" i="58"/>
  <c r="M1048" i="58"/>
  <c r="M1066" i="58"/>
  <c r="M1064" i="58"/>
  <c r="M1050" i="58"/>
  <c r="M1058" i="58"/>
  <c r="M1046" i="58"/>
  <c r="M1072" i="58"/>
  <c r="M1074" i="58"/>
  <c r="M1052" i="58"/>
  <c r="M1076" i="58"/>
  <c r="M1056" i="58"/>
  <c r="M1070" i="58"/>
  <c r="M1054" i="58"/>
  <c r="M1062" i="58"/>
  <c r="M1068" i="58"/>
  <c r="M1060" i="58"/>
  <c r="Q812" i="58"/>
  <c r="U812" i="58"/>
  <c r="Z831" i="58"/>
  <c r="Y831" i="58"/>
  <c r="U1111" i="57"/>
  <c r="AJ1103" i="57"/>
  <c r="Q810" i="58"/>
  <c r="U810" i="58"/>
  <c r="U809" i="58"/>
  <c r="Q809" i="58"/>
  <c r="U817" i="58"/>
  <c r="Q817" i="58"/>
  <c r="U813" i="58"/>
  <c r="Q813" i="58"/>
  <c r="Q818" i="58"/>
  <c r="U818" i="58"/>
  <c r="Q1083" i="58"/>
  <c r="AP1091" i="58"/>
  <c r="U816" i="58"/>
  <c r="Q816" i="58"/>
  <c r="T1111" i="57"/>
  <c r="AI1103" i="57"/>
  <c r="J1095" i="57"/>
  <c r="AF1103" i="57"/>
  <c r="Q1111" i="57"/>
  <c r="N1047" i="58"/>
  <c r="N1073" i="58"/>
  <c r="N1065" i="58"/>
  <c r="N1075" i="58"/>
  <c r="N1063" i="58"/>
  <c r="N1067" i="58"/>
  <c r="N1053" i="58"/>
  <c r="N1069" i="58"/>
  <c r="N1057" i="58"/>
  <c r="N1051" i="58"/>
  <c r="N1045" i="58"/>
  <c r="N1061" i="58"/>
  <c r="L1085" i="58"/>
  <c r="N1049" i="58"/>
  <c r="L1083" i="58"/>
  <c r="N1059" i="58"/>
  <c r="K1085" i="58"/>
  <c r="N1055" i="58"/>
  <c r="N1071" i="58"/>
  <c r="K1083" i="58"/>
  <c r="AN1091" i="58"/>
  <c r="N1083" i="58"/>
  <c r="X1099" i="58"/>
  <c r="U811" i="58"/>
  <c r="Q811" i="58"/>
  <c r="U804" i="58"/>
  <c r="Q804" i="58"/>
  <c r="N1050" i="58"/>
  <c r="N1046" i="58"/>
  <c r="N1062" i="58"/>
  <c r="N1072" i="58"/>
  <c r="N1056" i="58"/>
  <c r="N1054" i="58"/>
  <c r="N1070" i="58"/>
  <c r="N1048" i="58"/>
  <c r="N1076" i="58"/>
  <c r="N1064" i="58"/>
  <c r="N1052" i="58"/>
  <c r="N1074" i="58"/>
  <c r="N1068" i="58"/>
  <c r="N1058" i="58"/>
  <c r="N1060" i="58"/>
  <c r="N1066" i="58"/>
  <c r="Q808" i="58"/>
  <c r="U808" i="58"/>
  <c r="Y829" i="58"/>
  <c r="Y305" i="58" s="1"/>
  <c r="S314" i="58" s="1"/>
  <c r="Z829" i="58"/>
  <c r="Z305" i="58" s="1"/>
  <c r="T314" i="58" s="1"/>
  <c r="AB1083" i="58" l="1"/>
  <c r="U287" i="58"/>
  <c r="AF300" i="58" s="1"/>
  <c r="AH300" i="58" s="1"/>
  <c r="R818" i="58"/>
  <c r="B818" i="58"/>
  <c r="R810" i="58"/>
  <c r="B810" i="58"/>
  <c r="R806" i="58"/>
  <c r="B806" i="58"/>
  <c r="R807" i="58"/>
  <c r="B807" i="58"/>
  <c r="R815" i="58"/>
  <c r="B815" i="58"/>
  <c r="R811" i="58"/>
  <c r="R813" i="58"/>
  <c r="B813" i="58"/>
  <c r="R809" i="58"/>
  <c r="B809" i="58"/>
  <c r="R805" i="58"/>
  <c r="B805" i="58"/>
  <c r="R814" i="58"/>
  <c r="B814" i="58"/>
  <c r="R803" i="58"/>
  <c r="R287" i="58" s="1"/>
  <c r="Z300" i="58" s="1"/>
  <c r="R808" i="58"/>
  <c r="B808" i="58"/>
  <c r="R812" i="58"/>
  <c r="B812" i="58"/>
  <c r="R804" i="58"/>
  <c r="B804" i="58"/>
  <c r="R816" i="58"/>
  <c r="B816" i="58"/>
  <c r="R817" i="58"/>
  <c r="B817" i="58"/>
  <c r="P1037" i="58"/>
  <c r="Q1037" i="58"/>
  <c r="AG1024" i="58"/>
  <c r="AG1036" i="58"/>
  <c r="AG1025" i="58"/>
  <c r="AG1029" i="58"/>
  <c r="AG1033" i="58"/>
  <c r="AG1037" i="58"/>
  <c r="AG1028" i="58"/>
  <c r="Z1037" i="58"/>
  <c r="AG1026" i="58"/>
  <c r="AG1030" i="58"/>
  <c r="AG1034" i="58"/>
  <c r="AG1038" i="58"/>
  <c r="Z1029" i="58"/>
  <c r="AG1027" i="58"/>
  <c r="AG1031" i="58"/>
  <c r="AG1035" i="58"/>
  <c r="AG1039" i="58"/>
  <c r="AG1032" i="58"/>
  <c r="J1103" i="57"/>
  <c r="AD1083" i="58"/>
  <c r="U1083" i="58"/>
  <c r="Z1027" i="58"/>
  <c r="Z1028" i="58"/>
  <c r="Z1026" i="58"/>
  <c r="Z1035" i="58"/>
  <c r="Z1036" i="58"/>
  <c r="AG1023" i="58"/>
  <c r="Z1039" i="58"/>
  <c r="Z1038" i="58"/>
  <c r="Z1033" i="58"/>
  <c r="Z1032" i="58"/>
  <c r="Z1031" i="58"/>
  <c r="Z1030" i="58"/>
  <c r="Z1034" i="58"/>
  <c r="Z1025" i="58"/>
  <c r="Z1024" i="58"/>
  <c r="Z1023" i="58"/>
  <c r="AO1091" i="58"/>
  <c r="H1099" i="58"/>
  <c r="Z1103" i="57"/>
  <c r="Y1103" i="57"/>
  <c r="T1099" i="58"/>
  <c r="AI1091" i="58"/>
  <c r="AE1091" i="58"/>
  <c r="P1099" i="58"/>
  <c r="AL1091" i="58"/>
  <c r="Y1099" i="58"/>
  <c r="AJ1091" i="58"/>
  <c r="U1099" i="58"/>
  <c r="AF1091" i="58"/>
  <c r="Q1099" i="58"/>
  <c r="Q1039" i="58"/>
  <c r="Q1028" i="58"/>
  <c r="Q1029" i="58"/>
  <c r="Q1026" i="58"/>
  <c r="Q1025" i="58"/>
  <c r="Q1032" i="58"/>
  <c r="Q1036" i="58"/>
  <c r="Q1027" i="58"/>
  <c r="Q1031" i="58"/>
  <c r="Q1023" i="58"/>
  <c r="Q1024" i="58"/>
  <c r="Q1035" i="58"/>
  <c r="Q1033" i="58"/>
  <c r="Q1034" i="58"/>
  <c r="Q1030" i="58"/>
  <c r="Q1038" i="58"/>
  <c r="P1023" i="58"/>
  <c r="P1038" i="58"/>
  <c r="P1035" i="58"/>
  <c r="P1028" i="58"/>
  <c r="P1039" i="58"/>
  <c r="P1033" i="58"/>
  <c r="P1036" i="58"/>
  <c r="P1025" i="58"/>
  <c r="P1034" i="58"/>
  <c r="P1032" i="58"/>
  <c r="P1024" i="58"/>
  <c r="P1030" i="58"/>
  <c r="P1027" i="58"/>
  <c r="P1031" i="58"/>
  <c r="P1026" i="58"/>
  <c r="P1029" i="58"/>
  <c r="AH1103" i="57"/>
  <c r="S1111" i="57"/>
  <c r="I1111" i="57" s="1"/>
  <c r="O1111" i="57"/>
  <c r="AD1103" i="57"/>
  <c r="L1103" i="57" s="1"/>
  <c r="AZ1091" i="58" l="1"/>
  <c r="K288" i="58"/>
  <c r="P288" i="58"/>
  <c r="U288" i="58"/>
  <c r="AE300" i="58" s="1"/>
  <c r="AG300" i="58" s="1"/>
  <c r="C288" i="58"/>
  <c r="H288" i="58"/>
  <c r="M288" i="58"/>
  <c r="R288" i="58"/>
  <c r="Y300" i="58" s="1"/>
  <c r="W288" i="58"/>
  <c r="AI300" i="58" s="1"/>
  <c r="E288" i="58"/>
  <c r="J288" i="58"/>
  <c r="O288" i="58"/>
  <c r="T288" i="58"/>
  <c r="AC300" i="58" s="1"/>
  <c r="Y288" i="58"/>
  <c r="G288" i="58"/>
  <c r="L288" i="58"/>
  <c r="Q288" i="58"/>
  <c r="V288" i="58"/>
  <c r="D288" i="58"/>
  <c r="I288" i="58"/>
  <c r="N288" i="58"/>
  <c r="S288" i="58"/>
  <c r="AA300" i="58" s="1"/>
  <c r="X288" i="58"/>
  <c r="F288" i="58"/>
  <c r="M1084" i="58"/>
  <c r="J1084" i="58" s="1"/>
  <c r="U1084" i="58"/>
  <c r="U1085" i="58"/>
  <c r="AA1085" i="58"/>
  <c r="AA1084" i="58"/>
  <c r="AI1084" i="58"/>
  <c r="Z1085" i="58"/>
  <c r="AI1085" i="58"/>
  <c r="Z1084" i="58"/>
  <c r="I1084" i="58"/>
  <c r="F1084" i="58" s="1"/>
  <c r="K1103" i="57"/>
  <c r="N1103" i="57" s="1"/>
  <c r="G1091" i="58"/>
  <c r="AB1103" i="57"/>
  <c r="M1085" i="58"/>
  <c r="J1085" i="58" s="1"/>
  <c r="M1083" i="58"/>
  <c r="AI1083" i="58"/>
  <c r="I1085" i="58"/>
  <c r="F1085" i="58" s="1"/>
  <c r="I1083" i="58"/>
  <c r="Z1083" i="58"/>
  <c r="AE1085" i="58"/>
  <c r="K1111" i="57"/>
  <c r="AX1091" i="58" l="1"/>
  <c r="Y1091" i="58" s="1"/>
  <c r="BG1091" i="58"/>
  <c r="Z1091" i="58" s="1"/>
  <c r="J1111" i="57"/>
  <c r="BB1091" i="58"/>
  <c r="AH1099" i="58"/>
  <c r="G1099" i="58" s="1"/>
  <c r="V1099" i="58"/>
  <c r="AK1091" i="58"/>
  <c r="J1083" i="58"/>
  <c r="S1099" i="58" s="1"/>
  <c r="R1099" i="58"/>
  <c r="AG1091" i="58"/>
  <c r="F1083" i="58"/>
  <c r="AS1091" i="58"/>
  <c r="AB1099" i="58"/>
  <c r="I1099" i="58" l="1"/>
  <c r="J1099" i="58" s="1"/>
  <c r="H1091" i="58"/>
  <c r="F1091" i="58"/>
  <c r="O1099" i="58"/>
  <c r="AD1091" i="58"/>
  <c r="AH1091" i="58"/>
  <c r="L1091" i="58" l="1"/>
  <c r="K1091" i="58"/>
  <c r="N1091" i="58" s="1"/>
  <c r="J1091" i="58"/>
  <c r="AB1091" i="58" s="1"/>
  <c r="K1099" i="58"/>
</calcChain>
</file>

<file path=xl/sharedStrings.xml><?xml version="1.0" encoding="utf-8"?>
<sst xmlns="http://schemas.openxmlformats.org/spreadsheetml/2006/main" count="14118" uniqueCount="2143">
  <si>
    <t>投资者代码</t>
    <phoneticPr fontId="2" type="noConversion"/>
  </si>
  <si>
    <t>产品合约</t>
    <phoneticPr fontId="2" type="noConversion"/>
  </si>
  <si>
    <t>交易所</t>
    <phoneticPr fontId="5" type="noConversion"/>
  </si>
  <si>
    <t>品种</t>
    <phoneticPr fontId="5" type="noConversion"/>
  </si>
  <si>
    <t>合约</t>
    <phoneticPr fontId="5" type="noConversion"/>
  </si>
  <si>
    <t>交易所</t>
    <phoneticPr fontId="2" type="noConversion"/>
  </si>
  <si>
    <t>交易所交割手续费</t>
    <phoneticPr fontId="2" type="noConversion"/>
  </si>
  <si>
    <t>合约乘数</t>
    <phoneticPr fontId="2" type="noConversion"/>
  </si>
  <si>
    <t>开/平</t>
    <phoneticPr fontId="2" type="noConversion"/>
  </si>
  <si>
    <t>投机/套保</t>
    <phoneticPr fontId="2" type="noConversion"/>
  </si>
  <si>
    <t>手数</t>
    <phoneticPr fontId="2" type="noConversion"/>
  </si>
  <si>
    <t>成交价</t>
    <phoneticPr fontId="2" type="noConversion"/>
  </si>
  <si>
    <t>昨结算价</t>
    <phoneticPr fontId="2" type="noConversion"/>
  </si>
  <si>
    <t>结算价</t>
    <phoneticPr fontId="2" type="noConversion"/>
  </si>
  <si>
    <t>持仓盈亏</t>
    <phoneticPr fontId="2" type="noConversion"/>
  </si>
  <si>
    <t>手工交割</t>
    <phoneticPr fontId="2" type="noConversion"/>
  </si>
  <si>
    <t>合约乘数</t>
    <phoneticPr fontId="5" type="noConversion"/>
  </si>
  <si>
    <t>CZCE</t>
    <phoneticPr fontId="5" type="noConversion"/>
  </si>
  <si>
    <t>交割数量</t>
    <phoneticPr fontId="2" type="noConversion"/>
  </si>
  <si>
    <t>投资者</t>
    <phoneticPr fontId="2" type="noConversion"/>
  </si>
  <si>
    <t>保证金率</t>
    <phoneticPr fontId="2" type="noConversion"/>
  </si>
  <si>
    <t>投资者交割手续费</t>
    <phoneticPr fontId="2" type="noConversion"/>
  </si>
  <si>
    <t>TRADINGDAY</t>
  </si>
  <si>
    <t>BROKERID</t>
  </si>
  <si>
    <t>EXCHANGEID</t>
  </si>
  <si>
    <t>INVESTORID</t>
  </si>
  <si>
    <t>INSTRUMENTID</t>
  </si>
  <si>
    <t>HEDGEFLAG</t>
  </si>
  <si>
    <t>VOLUME</t>
  </si>
  <si>
    <t>PRICE</t>
  </si>
  <si>
    <t>CLIENTID</t>
  </si>
  <si>
    <t>EXCHTRANSFEE</t>
  </si>
  <si>
    <t>VOLUMEMULTIPLE</t>
  </si>
  <si>
    <t>1</t>
  </si>
  <si>
    <t xml:space="preserve">CZCE    </t>
  </si>
  <si>
    <t>0</t>
  </si>
  <si>
    <t>3</t>
  </si>
  <si>
    <t>2</t>
  </si>
  <si>
    <t>4</t>
  </si>
  <si>
    <t>7</t>
  </si>
  <si>
    <t>9</t>
  </si>
  <si>
    <r>
      <t>权利金收入：</t>
    </r>
    <r>
      <rPr>
        <sz val="10.5"/>
        <color theme="1"/>
        <rFont val="宋体"/>
        <family val="3"/>
        <charset val="134"/>
        <scheme val="minor"/>
      </rPr>
      <t>∑</t>
    </r>
    <r>
      <rPr>
        <sz val="10.5"/>
        <color theme="1"/>
        <rFont val="Times New Roman"/>
        <family val="1"/>
      </rPr>
      <t>(</t>
    </r>
    <r>
      <rPr>
        <sz val="10.5"/>
        <color theme="1"/>
        <rFont val="宋体"/>
        <family val="3"/>
        <charset val="134"/>
        <scheme val="minor"/>
      </rPr>
      <t>期权卖出成交价</t>
    </r>
    <r>
      <rPr>
        <sz val="10.5"/>
        <color theme="1"/>
        <rFont val="Times New Roman"/>
        <family val="1"/>
      </rPr>
      <t>×</t>
    </r>
    <r>
      <rPr>
        <sz val="10.5"/>
        <color theme="1"/>
        <rFont val="宋体"/>
        <family val="3"/>
        <charset val="134"/>
        <scheme val="minor"/>
      </rPr>
      <t>期权合约乘数</t>
    </r>
    <r>
      <rPr>
        <sz val="10.5"/>
        <color theme="1"/>
        <rFont val="Times New Roman"/>
        <family val="1"/>
      </rPr>
      <t>×</t>
    </r>
    <r>
      <rPr>
        <sz val="10.5"/>
        <color theme="1"/>
        <rFont val="宋体"/>
        <family val="3"/>
        <charset val="134"/>
        <scheme val="minor"/>
      </rPr>
      <t>期权卖出成交手数</t>
    </r>
    <r>
      <rPr>
        <sz val="10.5"/>
        <color theme="1"/>
        <rFont val="Times New Roman"/>
        <family val="1"/>
      </rPr>
      <t>)</t>
    </r>
  </si>
  <si>
    <r>
      <t>权利金支出：</t>
    </r>
    <r>
      <rPr>
        <sz val="10.5"/>
        <color theme="1"/>
        <rFont val="宋体"/>
        <family val="3"/>
        <charset val="134"/>
      </rPr>
      <t>∑</t>
    </r>
    <r>
      <rPr>
        <sz val="10.5"/>
        <color theme="1"/>
        <rFont val="Times New Roman"/>
        <family val="1"/>
      </rPr>
      <t>(</t>
    </r>
    <r>
      <rPr>
        <sz val="10.5"/>
        <color theme="1"/>
        <rFont val="宋体"/>
        <family val="3"/>
        <charset val="134"/>
      </rPr>
      <t>期权买入成交价</t>
    </r>
    <r>
      <rPr>
        <sz val="10.5"/>
        <color theme="1"/>
        <rFont val="Times New Roman"/>
        <family val="1"/>
      </rPr>
      <t>×</t>
    </r>
    <r>
      <rPr>
        <sz val="10.5"/>
        <color theme="1"/>
        <rFont val="宋体"/>
        <family val="3"/>
        <charset val="134"/>
      </rPr>
      <t>期权合约乘数</t>
    </r>
    <r>
      <rPr>
        <sz val="10.5"/>
        <color theme="1"/>
        <rFont val="Times New Roman"/>
        <family val="1"/>
      </rPr>
      <t>×</t>
    </r>
    <r>
      <rPr>
        <sz val="10.5"/>
        <color theme="1"/>
        <rFont val="宋体"/>
        <family val="3"/>
        <charset val="134"/>
      </rPr>
      <t>期权买入成交手数</t>
    </r>
    <r>
      <rPr>
        <sz val="10.5"/>
        <color theme="1"/>
        <rFont val="Times New Roman"/>
        <family val="1"/>
      </rPr>
      <t>)</t>
    </r>
  </si>
  <si>
    <r>
      <t>（每手）卖方交易保证金</t>
    </r>
    <r>
      <rPr>
        <sz val="10.5"/>
        <color theme="1"/>
        <rFont val="Times New Roman"/>
        <family val="1"/>
      </rPr>
      <t xml:space="preserve"> = max</t>
    </r>
    <r>
      <rPr>
        <sz val="10.5"/>
        <color theme="1"/>
        <rFont val="宋体"/>
        <family val="3"/>
        <charset val="134"/>
      </rPr>
      <t>（权利金</t>
    </r>
    <r>
      <rPr>
        <sz val="10.5"/>
        <color theme="1"/>
        <rFont val="Times New Roman"/>
        <family val="1"/>
      </rPr>
      <t xml:space="preserve"> + </t>
    </r>
    <r>
      <rPr>
        <sz val="10.5"/>
        <color theme="1"/>
        <rFont val="宋体"/>
        <family val="3"/>
        <charset val="134"/>
      </rPr>
      <t>标的期货合约保证金</t>
    </r>
    <r>
      <rPr>
        <sz val="10.5"/>
        <color theme="1"/>
        <rFont val="Times New Roman"/>
        <family val="1"/>
      </rPr>
      <t xml:space="preserve"> - </t>
    </r>
    <r>
      <rPr>
        <sz val="10.5"/>
        <color theme="1"/>
        <rFont val="宋体"/>
        <family val="3"/>
        <charset val="134"/>
      </rPr>
      <t>期权虚值额的一半，权利金</t>
    </r>
    <r>
      <rPr>
        <sz val="10.5"/>
        <color theme="1"/>
        <rFont val="Times New Roman"/>
        <family val="1"/>
      </rPr>
      <t xml:space="preserve"> + </t>
    </r>
    <r>
      <rPr>
        <sz val="10.5"/>
        <color theme="1"/>
        <rFont val="宋体"/>
        <family val="3"/>
        <charset val="134"/>
      </rPr>
      <t>标的期货合约保证金的一半）</t>
    </r>
  </si>
  <si>
    <t>交易所：</t>
    <phoneticPr fontId="2" type="noConversion"/>
  </si>
  <si>
    <r>
      <t>1、</t>
    </r>
    <r>
      <rPr>
        <sz val="7"/>
        <color theme="1"/>
        <rFont val="Times New Roman"/>
        <family val="1"/>
      </rPr>
      <t xml:space="preserve">  </t>
    </r>
    <r>
      <rPr>
        <sz val="10.5"/>
        <color theme="1"/>
        <rFont val="宋体"/>
        <family val="3"/>
        <charset val="134"/>
      </rPr>
      <t>权利金</t>
    </r>
    <r>
      <rPr>
        <sz val="10.5"/>
        <color theme="1"/>
        <rFont val="Times New Roman"/>
        <family val="1"/>
      </rPr>
      <t xml:space="preserve">  =  </t>
    </r>
    <r>
      <rPr>
        <sz val="10.5"/>
        <color theme="1"/>
        <rFont val="宋体"/>
        <family val="3"/>
        <charset val="134"/>
      </rPr>
      <t>期权结算价</t>
    </r>
    <r>
      <rPr>
        <sz val="10.5"/>
        <color theme="1"/>
        <rFont val="Times New Roman"/>
        <family val="1"/>
      </rPr>
      <t>*</t>
    </r>
    <r>
      <rPr>
        <sz val="10.5"/>
        <color theme="1"/>
        <rFont val="宋体"/>
        <family val="3"/>
        <charset val="134"/>
      </rPr>
      <t>期权合约乘数</t>
    </r>
  </si>
  <si>
    <r>
      <rPr>
        <sz val="10.5"/>
        <color theme="1"/>
        <rFont val="宋体"/>
        <family val="2"/>
        <charset val="134"/>
      </rPr>
      <t>投资者</t>
    </r>
    <phoneticPr fontId="2" type="noConversion"/>
  </si>
  <si>
    <r>
      <t>2、</t>
    </r>
    <r>
      <rPr>
        <sz val="7"/>
        <color theme="1"/>
        <rFont val="Times New Roman"/>
        <family val="1"/>
      </rPr>
      <t xml:space="preserve">  </t>
    </r>
    <r>
      <rPr>
        <sz val="10.5"/>
        <color theme="1"/>
        <rFont val="宋体"/>
        <family val="3"/>
        <charset val="134"/>
      </rPr>
      <t>标的期货合约保证金</t>
    </r>
    <r>
      <rPr>
        <sz val="10.5"/>
        <color theme="1"/>
        <rFont val="Times New Roman"/>
        <family val="1"/>
      </rPr>
      <t xml:space="preserve">  =  [</t>
    </r>
    <r>
      <rPr>
        <sz val="10.5"/>
        <color theme="1"/>
        <rFont val="宋体"/>
        <family val="3"/>
        <charset val="134"/>
      </rPr>
      <t>标的期货合约结算价×期货合约乘数×标的期货合约</t>
    </r>
    <r>
      <rPr>
        <b/>
        <sz val="10.5"/>
        <color theme="1"/>
        <rFont val="宋体"/>
        <family val="3"/>
        <charset val="134"/>
      </rPr>
      <t>投资者</t>
    </r>
    <r>
      <rPr>
        <sz val="10.5"/>
        <color theme="1"/>
        <rFont val="宋体"/>
        <family val="3"/>
        <charset val="134"/>
      </rPr>
      <t>保证金率</t>
    </r>
    <r>
      <rPr>
        <sz val="10.5"/>
        <color theme="1"/>
        <rFont val="Times New Roman"/>
        <family val="1"/>
      </rPr>
      <t xml:space="preserve"> + </t>
    </r>
    <r>
      <rPr>
        <sz val="10.5"/>
        <color theme="1"/>
        <rFont val="宋体"/>
        <family val="3"/>
        <charset val="134"/>
      </rPr>
      <t>标的期货合约</t>
    </r>
    <r>
      <rPr>
        <b/>
        <sz val="10.5"/>
        <color theme="1"/>
        <rFont val="宋体"/>
        <family val="3"/>
        <charset val="134"/>
      </rPr>
      <t>投资者</t>
    </r>
    <r>
      <rPr>
        <sz val="10.5"/>
        <color theme="1"/>
        <rFont val="宋体"/>
        <family val="3"/>
        <charset val="134"/>
      </rPr>
      <t>保证金率</t>
    </r>
    <r>
      <rPr>
        <sz val="10.5"/>
        <color theme="1"/>
        <rFont val="Times New Roman"/>
        <family val="1"/>
      </rPr>
      <t>(</t>
    </r>
    <r>
      <rPr>
        <sz val="10.5"/>
        <color theme="1"/>
        <rFont val="宋体"/>
        <family val="3"/>
        <charset val="134"/>
      </rPr>
      <t>按手数</t>
    </r>
    <r>
      <rPr>
        <sz val="10.5"/>
        <color theme="1"/>
        <rFont val="Times New Roman"/>
        <family val="1"/>
      </rPr>
      <t xml:space="preserve">)] </t>
    </r>
    <r>
      <rPr>
        <sz val="10.5"/>
        <color theme="1"/>
        <rFont val="宋体"/>
        <family val="3"/>
        <charset val="134"/>
      </rPr>
      <t>×期权基础商品乘数</t>
    </r>
  </si>
  <si>
    <r>
      <t>3、</t>
    </r>
    <r>
      <rPr>
        <sz val="7"/>
        <color theme="1"/>
        <rFont val="Times New Roman"/>
        <family val="1"/>
      </rPr>
      <t xml:space="preserve">  </t>
    </r>
    <r>
      <rPr>
        <sz val="10.5"/>
        <color theme="1"/>
        <rFont val="宋体"/>
        <family val="3"/>
        <charset val="134"/>
      </rPr>
      <t>其他同交易所保证金收取公式</t>
    </r>
  </si>
  <si>
    <r>
      <t>a)</t>
    </r>
    <r>
      <rPr>
        <sz val="7"/>
        <color theme="1"/>
        <rFont val="Times New Roman"/>
        <family val="1"/>
      </rPr>
      <t xml:space="preserve">         </t>
    </r>
    <r>
      <rPr>
        <sz val="10.5"/>
        <color theme="1"/>
        <rFont val="宋体"/>
        <family val="3"/>
        <charset val="134"/>
      </rPr>
      <t>备兑组合规则：盘后组合，只能在结算后交易所发布文件后体现，盘中按照单腿保证金分别计算；盘后将所有投机单一持仓进行组合，前一日结算后的备兑组合的保证金优惠需要带入下一交易日交易。类似于现在的大连组合优惠的规则。</t>
    </r>
  </si>
  <si>
    <t>SR</t>
    <phoneticPr fontId="5" type="noConversion"/>
  </si>
  <si>
    <t>SRP</t>
    <phoneticPr fontId="5" type="noConversion"/>
  </si>
  <si>
    <t>合约</t>
    <phoneticPr fontId="2" type="noConversion"/>
  </si>
  <si>
    <t>投资者执行手续费</t>
    <phoneticPr fontId="2" type="noConversion"/>
  </si>
  <si>
    <t>投资者履约手续费</t>
    <phoneticPr fontId="2" type="noConversion"/>
  </si>
  <si>
    <t>交易所执行手续费</t>
    <phoneticPr fontId="2" type="noConversion"/>
  </si>
  <si>
    <t>交易所履约手续费</t>
    <phoneticPr fontId="2" type="noConversion"/>
  </si>
  <si>
    <t>合约代码</t>
    <phoneticPr fontId="2" type="noConversion"/>
  </si>
  <si>
    <t>交易所保证金率</t>
    <phoneticPr fontId="2" type="noConversion"/>
  </si>
  <si>
    <r>
      <t>1、</t>
    </r>
    <r>
      <rPr>
        <sz val="7"/>
        <color theme="1"/>
        <rFont val="Times New Roman"/>
        <family val="1"/>
      </rPr>
      <t xml:space="preserve"> </t>
    </r>
    <r>
      <rPr>
        <sz val="10.5"/>
        <color theme="1"/>
        <rFont val="宋体"/>
        <family val="3"/>
        <charset val="134"/>
      </rPr>
      <t xml:space="preserve">市值权益 =昨权益 + 入金 – 出金 + 平仓盈亏 + 持仓盈亏[实际值] – 手续费 – 上次质押（昨质押金额） + 质押金额（今日质押金额） + 期权当日权利金收支 </t>
    </r>
    <r>
      <rPr>
        <b/>
        <sz val="10.5"/>
        <color theme="1"/>
        <rFont val="宋体"/>
        <family val="3"/>
        <charset val="134"/>
      </rPr>
      <t>+ 期权NOV（NOV即是期权多头持仓市值 – 期权空头持仓市值）</t>
    </r>
    <phoneticPr fontId="2" type="noConversion"/>
  </si>
  <si>
    <t>交易手续费</t>
    <phoneticPr fontId="2" type="noConversion"/>
  </si>
  <si>
    <t>基础保证金</t>
    <phoneticPr fontId="2" type="noConversion"/>
  </si>
  <si>
    <t>最低权益</t>
    <phoneticPr fontId="2" type="noConversion"/>
  </si>
  <si>
    <t>平仓盈亏(逐日）</t>
    <phoneticPr fontId="2" type="noConversion"/>
  </si>
  <si>
    <t>单一仓买保证金</t>
    <phoneticPr fontId="2" type="noConversion"/>
  </si>
  <si>
    <t>单一持仓卖保证金</t>
    <phoneticPr fontId="2" type="noConversion"/>
  </si>
  <si>
    <t>交易所单一持仓买保证金</t>
    <phoneticPr fontId="2" type="noConversion"/>
  </si>
  <si>
    <t>交易所单一持仓卖保证金</t>
    <phoneticPr fontId="2" type="noConversion"/>
  </si>
  <si>
    <t>备兑看涨</t>
    <phoneticPr fontId="2" type="noConversion"/>
  </si>
  <si>
    <t>卖出某数量、某品种、某合约月份的看涨期权，同时买入同数量的标的期货合约</t>
    <phoneticPr fontId="2" type="noConversion"/>
  </si>
  <si>
    <t>备兑看跌</t>
    <phoneticPr fontId="2" type="noConversion"/>
  </si>
  <si>
    <t>卖出某数量、某品种、某合约月份的看跌期权，同时卖出同数量的标的期货合约</t>
    <phoneticPr fontId="2" type="noConversion"/>
  </si>
  <si>
    <t>交易所仓单折抵保证金</t>
    <phoneticPr fontId="2" type="noConversion"/>
  </si>
  <si>
    <t>投资者仓单折抵保证金</t>
    <phoneticPr fontId="2" type="noConversion"/>
  </si>
  <si>
    <t>交易所实际折抵金额</t>
    <phoneticPr fontId="2" type="noConversion"/>
  </si>
  <si>
    <t>对锁投资者实际折抵金额</t>
    <phoneticPr fontId="2" type="noConversion"/>
  </si>
  <si>
    <t>非对锁投资者实际折抵</t>
    <phoneticPr fontId="2" type="noConversion"/>
  </si>
  <si>
    <r>
      <t>提款限额</t>
    </r>
    <r>
      <rPr>
        <sz val="12"/>
        <color rgb="FFFF00FF"/>
        <rFont val="Times New Roman"/>
        <family val="1"/>
      </rPr>
      <t xml:space="preserve"> </t>
    </r>
    <r>
      <rPr>
        <sz val="12"/>
        <color rgb="FFFF00FF"/>
        <rFont val="宋体"/>
        <family val="3"/>
        <charset val="134"/>
      </rPr>
      <t>（</t>
    </r>
    <r>
      <rPr>
        <sz val="12"/>
        <color rgb="FFFF00FF"/>
        <rFont val="Courier New"/>
        <family val="3"/>
      </rPr>
      <t>WithdrawQuota</t>
    </r>
    <r>
      <rPr>
        <sz val="12"/>
        <color rgb="FFFF00FF"/>
        <rFont val="宋体"/>
        <family val="3"/>
        <charset val="134"/>
      </rPr>
      <t>）（交易所）</t>
    </r>
    <r>
      <rPr>
        <sz val="12"/>
        <color theme="1"/>
        <rFont val="宋体"/>
        <family val="3"/>
        <charset val="134"/>
      </rPr>
      <t>＝</t>
    </r>
    <r>
      <rPr>
        <b/>
        <sz val="12"/>
        <color theme="1"/>
        <rFont val="宋体"/>
        <family val="3"/>
        <charset val="134"/>
      </rPr>
      <t>存款额－总保证金</t>
    </r>
  </si>
  <si>
    <t>到期日</t>
    <phoneticPr fontId="5" type="noConversion"/>
  </si>
  <si>
    <t>可用(投资者）=结存+质押-货币质出—总保证金+货币质押保证金占用</t>
    <phoneticPr fontId="2" type="noConversion"/>
  </si>
  <si>
    <r>
      <t>开仓准备金</t>
    </r>
    <r>
      <rPr>
        <sz val="11"/>
        <color theme="1"/>
        <rFont val="宋体"/>
        <family val="3"/>
        <scheme val="minor"/>
      </rPr>
      <t>(prea)</t>
    </r>
    <r>
      <rPr>
        <sz val="12"/>
        <color theme="1"/>
        <rFont val="宋体"/>
        <family val="3"/>
        <charset val="134"/>
      </rPr>
      <t>＝</t>
    </r>
    <r>
      <rPr>
        <b/>
        <sz val="12"/>
        <color theme="1"/>
        <rFont val="宋体"/>
        <family val="3"/>
        <charset val="134"/>
      </rPr>
      <t>可用资金－基础保证金（</t>
    </r>
    <r>
      <rPr>
        <b/>
        <sz val="12"/>
        <color rgb="FF000000"/>
        <rFont val="Courier New"/>
        <family val="3"/>
      </rPr>
      <t>BaseMargin</t>
    </r>
    <r>
      <rPr>
        <b/>
        <sz val="12"/>
        <color rgb="FF000000"/>
        <rFont val="宋体"/>
        <family val="3"/>
        <charset val="134"/>
      </rPr>
      <t>）</t>
    </r>
    <phoneticPr fontId="2" type="noConversion"/>
  </si>
  <si>
    <r>
      <t>追加保证金</t>
    </r>
    <r>
      <rPr>
        <sz val="12"/>
        <color theme="1"/>
        <rFont val="宋体"/>
        <family val="3"/>
        <charset val="134"/>
      </rPr>
      <t>＝</t>
    </r>
    <r>
      <rPr>
        <b/>
        <sz val="12"/>
        <color theme="1"/>
        <rFont val="Times New Roman"/>
        <family val="1"/>
      </rPr>
      <t>IF(</t>
    </r>
    <r>
      <rPr>
        <b/>
        <sz val="12"/>
        <color theme="1"/>
        <rFont val="宋体"/>
        <family val="3"/>
        <charset val="134"/>
      </rPr>
      <t>可用资金</t>
    </r>
    <r>
      <rPr>
        <b/>
        <sz val="12"/>
        <color theme="1"/>
        <rFont val="Times New Roman"/>
        <family val="1"/>
      </rPr>
      <t>&lt;</t>
    </r>
    <r>
      <rPr>
        <b/>
        <sz val="12"/>
        <color theme="1"/>
        <rFont val="宋体"/>
        <family val="3"/>
        <charset val="134"/>
      </rPr>
      <t>最低权益标准，（最低权益标准－可用资金），</t>
    </r>
    <r>
      <rPr>
        <b/>
        <sz val="12"/>
        <color theme="1"/>
        <rFont val="Times New Roman"/>
        <family val="1"/>
      </rPr>
      <t>0)</t>
    </r>
  </si>
  <si>
    <r>
      <t>可用资金（交易所）</t>
    </r>
    <r>
      <rPr>
        <sz val="12"/>
        <color theme="1"/>
        <rFont val="Times New Roman"/>
        <family val="1"/>
      </rPr>
      <t>=min(remain,0)</t>
    </r>
    <phoneticPr fontId="2" type="noConversion"/>
  </si>
  <si>
    <r>
      <t>存款额逐笔（</t>
    </r>
    <r>
      <rPr>
        <sz val="12"/>
        <color rgb="FFFF00FF"/>
        <rFont val="Times New Roman"/>
        <family val="1"/>
      </rPr>
      <t>DEPOSITBYTRADE</t>
    </r>
    <r>
      <rPr>
        <sz val="12"/>
        <color rgb="FFFF00FF"/>
        <rFont val="宋体"/>
        <family val="3"/>
        <charset val="134"/>
      </rPr>
      <t>）</t>
    </r>
    <r>
      <rPr>
        <sz val="12"/>
        <color theme="1"/>
        <rFont val="宋体"/>
        <family val="3"/>
        <charset val="134"/>
      </rPr>
      <t>＝</t>
    </r>
    <r>
      <rPr>
        <b/>
        <sz val="12"/>
        <color theme="1"/>
        <rFont val="宋体"/>
        <family val="3"/>
        <charset val="134"/>
      </rPr>
      <t>昨日存款额＋平仓盈亏（逐笔）－交易手续费－结算手续费－交割手续费－移仓手续费－出金＋入金</t>
    </r>
    <r>
      <rPr>
        <b/>
        <sz val="12"/>
        <color theme="1"/>
        <rFont val="Times New Roman"/>
        <family val="1"/>
      </rPr>
      <t>-</t>
    </r>
    <r>
      <rPr>
        <b/>
        <sz val="12"/>
        <color theme="1"/>
        <rFont val="宋体"/>
        <family val="3"/>
        <charset val="134"/>
      </rPr>
      <t>期权手续费</t>
    </r>
    <phoneticPr fontId="2" type="noConversion"/>
  </si>
  <si>
    <t>批量行权</t>
    <phoneticPr fontId="2" type="noConversion"/>
  </si>
  <si>
    <t>资金余额=可用资金+（实虚值（当日结算价标准）-执行费用-期货保证金）*行权手数）</t>
    <phoneticPr fontId="7" type="noConversion"/>
  </si>
  <si>
    <t>行权后可用资金=行权前可用资金'+（实虚值（当日结算价标准）-执行费用-期货保证金）*实际行权手数）</t>
    <phoneticPr fontId="7" type="noConversion"/>
  </si>
  <si>
    <t>1.实值额小于执行费用，默认放弃，大于等于的行权</t>
    <phoneticPr fontId="2" type="noConversion"/>
  </si>
  <si>
    <t>2.资金余额小于0时</t>
    <phoneticPr fontId="2" type="noConversion"/>
  </si>
  <si>
    <t>1.按照实值额大的优先行权</t>
    <phoneticPr fontId="2" type="noConversion"/>
  </si>
  <si>
    <t>2.保证金小的优先行权（实值额相同情况相同情况）</t>
    <phoneticPr fontId="2" type="noConversion"/>
  </si>
  <si>
    <r>
      <t>（每手）卖方交易保证金</t>
    </r>
    <r>
      <rPr>
        <sz val="10.5"/>
        <color theme="1"/>
        <rFont val="Times New Roman"/>
        <family val="1"/>
      </rPr>
      <t xml:space="preserve"> = max</t>
    </r>
    <r>
      <rPr>
        <sz val="10.5"/>
        <color theme="1"/>
        <rFont val="宋体"/>
        <family val="3"/>
        <charset val="134"/>
      </rPr>
      <t>（权利金</t>
    </r>
    <r>
      <rPr>
        <sz val="10.5"/>
        <color theme="1"/>
        <rFont val="Times New Roman"/>
        <family val="1"/>
      </rPr>
      <t xml:space="preserve"> + </t>
    </r>
    <r>
      <rPr>
        <sz val="10.5"/>
        <color theme="1"/>
        <rFont val="宋体"/>
        <family val="3"/>
        <charset val="134"/>
      </rPr>
      <t>标的期货合约保证金</t>
    </r>
    <r>
      <rPr>
        <sz val="10.5"/>
        <color theme="1"/>
        <rFont val="Times New Roman"/>
        <family val="1"/>
      </rPr>
      <t xml:space="preserve"> - </t>
    </r>
    <r>
      <rPr>
        <sz val="10.5"/>
        <color theme="1"/>
        <rFont val="宋体"/>
        <family val="3"/>
        <charset val="134"/>
      </rPr>
      <t>期权虚值额的一半，权利金</t>
    </r>
    <r>
      <rPr>
        <sz val="10.5"/>
        <color theme="1"/>
        <rFont val="Times New Roman"/>
        <family val="1"/>
      </rPr>
      <t xml:space="preserve"> + </t>
    </r>
    <r>
      <rPr>
        <sz val="10.5"/>
        <color theme="1"/>
        <rFont val="宋体"/>
        <family val="3"/>
        <charset val="134"/>
      </rPr>
      <t>标的期货合约保证金的一半）</t>
    </r>
    <phoneticPr fontId="2" type="noConversion"/>
  </si>
  <si>
    <r>
      <t>a)</t>
    </r>
    <r>
      <rPr>
        <sz val="7"/>
        <color theme="1"/>
        <rFont val="Times New Roman"/>
        <family val="1"/>
      </rPr>
      <t xml:space="preserve">         </t>
    </r>
    <r>
      <rPr>
        <sz val="10.5"/>
        <color theme="1"/>
        <rFont val="宋体"/>
        <family val="3"/>
        <charset val="134"/>
      </rPr>
      <t>卖出跨式或宽跨式组合，交易保证金收取标准为：卖出看涨期权和卖出看跌期权交易保证金较大者加上另一部位权利金。</t>
    </r>
    <phoneticPr fontId="2" type="noConversion"/>
  </si>
  <si>
    <r>
      <rPr>
        <sz val="10.5"/>
        <color theme="1"/>
        <rFont val="宋体"/>
        <family val="1"/>
        <scheme val="minor"/>
      </rPr>
      <t xml:space="preserve">     </t>
    </r>
    <r>
      <rPr>
        <sz val="10.5"/>
        <color theme="1"/>
        <rFont val="宋体"/>
        <family val="3"/>
        <charset val="134"/>
        <scheme val="minor"/>
      </rPr>
      <t>备兑看涨期权和备兑看跌期权的交易保证金收取标准为权利金</t>
    </r>
    <r>
      <rPr>
        <sz val="10.5"/>
        <color theme="1"/>
        <rFont val="Times New Roman"/>
        <family val="1"/>
      </rPr>
      <t>+</t>
    </r>
    <r>
      <rPr>
        <sz val="10.5"/>
        <color theme="1"/>
        <rFont val="宋体"/>
        <family val="3"/>
        <charset val="134"/>
        <scheme val="minor"/>
      </rPr>
      <t>期货交易保证金</t>
    </r>
    <phoneticPr fontId="2" type="noConversion"/>
  </si>
  <si>
    <t>MEMO</t>
  </si>
  <si>
    <r>
      <t>1</t>
    </r>
    <r>
      <rPr>
        <sz val="10.5"/>
        <color theme="1"/>
        <rFont val="宋体"/>
        <family val="3"/>
        <charset val="134"/>
      </rPr>
      <t>、</t>
    </r>
    <r>
      <rPr>
        <sz val="7"/>
        <color theme="1"/>
        <rFont val="Times New Roman"/>
        <family val="1"/>
      </rPr>
      <t xml:space="preserve">  </t>
    </r>
    <r>
      <rPr>
        <sz val="10.5"/>
        <color theme="1"/>
        <rFont val="宋体"/>
        <family val="3"/>
        <charset val="134"/>
      </rPr>
      <t>权利金</t>
    </r>
    <r>
      <rPr>
        <sz val="10.5"/>
        <color theme="1"/>
        <rFont val="Times New Roman"/>
        <family val="1"/>
      </rPr>
      <t xml:space="preserve">  =  </t>
    </r>
    <r>
      <rPr>
        <sz val="10.5"/>
        <color theme="1"/>
        <rFont val="宋体"/>
        <family val="3"/>
        <charset val="134"/>
      </rPr>
      <t>期权结算价</t>
    </r>
    <r>
      <rPr>
        <sz val="10.5"/>
        <color theme="1"/>
        <rFont val="Times New Roman"/>
        <family val="1"/>
      </rPr>
      <t>*</t>
    </r>
    <r>
      <rPr>
        <sz val="10.5"/>
        <color theme="1"/>
        <rFont val="宋体"/>
        <family val="3"/>
        <charset val="134"/>
      </rPr>
      <t>期权合约乘数</t>
    </r>
    <phoneticPr fontId="2" type="noConversion"/>
  </si>
  <si>
    <r>
      <t>2</t>
    </r>
    <r>
      <rPr>
        <sz val="10.5"/>
        <color theme="1"/>
        <rFont val="宋体"/>
        <family val="3"/>
        <charset val="134"/>
      </rPr>
      <t>、</t>
    </r>
    <r>
      <rPr>
        <sz val="7"/>
        <color theme="1"/>
        <rFont val="Times New Roman"/>
        <family val="1"/>
      </rPr>
      <t xml:space="preserve">  </t>
    </r>
    <r>
      <rPr>
        <sz val="10.5"/>
        <color theme="1"/>
        <rFont val="宋体"/>
        <family val="3"/>
        <charset val="134"/>
      </rPr>
      <t>标的期货合约的保证金</t>
    </r>
    <r>
      <rPr>
        <sz val="10.5"/>
        <color theme="1"/>
        <rFont val="Times New Roman"/>
        <family val="1"/>
      </rPr>
      <t xml:space="preserve"> = [</t>
    </r>
    <r>
      <rPr>
        <sz val="10.5"/>
        <color theme="1"/>
        <rFont val="宋体"/>
        <family val="3"/>
        <charset val="134"/>
      </rPr>
      <t>标的期货合约结算价×期货合约乘数×标的期货合约交易所保证金率</t>
    </r>
    <r>
      <rPr>
        <sz val="10.5"/>
        <color theme="1"/>
        <rFont val="Times New Roman"/>
        <family val="1"/>
      </rPr>
      <t>(</t>
    </r>
    <r>
      <rPr>
        <sz val="10.5"/>
        <color theme="1"/>
        <rFont val="宋体"/>
        <family val="3"/>
        <charset val="134"/>
      </rPr>
      <t>按金额</t>
    </r>
    <r>
      <rPr>
        <sz val="10.5"/>
        <color theme="1"/>
        <rFont val="Times New Roman"/>
        <family val="1"/>
      </rPr>
      <t xml:space="preserve">) + </t>
    </r>
    <r>
      <rPr>
        <sz val="10.5"/>
        <color theme="1"/>
        <rFont val="宋体"/>
        <family val="3"/>
        <charset val="134"/>
      </rPr>
      <t>标的期货合约交易所保证金率</t>
    </r>
    <r>
      <rPr>
        <sz val="10.5"/>
        <color theme="1"/>
        <rFont val="Times New Roman"/>
        <family val="1"/>
      </rPr>
      <t>(</t>
    </r>
    <r>
      <rPr>
        <sz val="10.5"/>
        <color theme="1"/>
        <rFont val="宋体"/>
        <family val="3"/>
        <charset val="134"/>
      </rPr>
      <t>按手数</t>
    </r>
    <r>
      <rPr>
        <sz val="10.5"/>
        <color theme="1"/>
        <rFont val="Times New Roman"/>
        <family val="1"/>
      </rPr>
      <t>) ]</t>
    </r>
    <r>
      <rPr>
        <sz val="10.5"/>
        <color theme="1"/>
        <rFont val="宋体"/>
        <family val="3"/>
        <charset val="134"/>
      </rPr>
      <t>×期权基础商品乘数</t>
    </r>
    <phoneticPr fontId="2" type="noConversion"/>
  </si>
  <si>
    <r>
      <t>3</t>
    </r>
    <r>
      <rPr>
        <sz val="10.5"/>
        <color theme="1"/>
        <rFont val="宋体"/>
        <family val="3"/>
        <charset val="134"/>
      </rPr>
      <t>、</t>
    </r>
    <r>
      <rPr>
        <sz val="7"/>
        <color theme="1"/>
        <rFont val="Times New Roman"/>
        <family val="1"/>
      </rPr>
      <t xml:space="preserve">  </t>
    </r>
    <r>
      <rPr>
        <sz val="10.5"/>
        <color theme="1"/>
        <rFont val="宋体"/>
        <family val="3"/>
        <charset val="134"/>
      </rPr>
      <t>看涨期权虚值额=Max(（期权合约行权价格-标的期货合约结算价） * 期权合约乘数，0)；看跌期权虚值额=Max(（标的期货合约结算价-期权合约行权价格）* 期权合约乘数，0)</t>
    </r>
    <phoneticPr fontId="2" type="noConversion"/>
  </si>
  <si>
    <r>
      <t>结算准备金余额（</t>
    </r>
    <r>
      <rPr>
        <sz val="12"/>
        <color rgb="FFFF00FF"/>
        <rFont val="Times New Roman"/>
        <family val="1"/>
      </rPr>
      <t>remain</t>
    </r>
    <r>
      <rPr>
        <sz val="12"/>
        <color theme="1"/>
        <rFont val="宋体"/>
        <family val="3"/>
        <charset val="134"/>
      </rPr>
      <t>）＝</t>
    </r>
    <r>
      <rPr>
        <b/>
        <sz val="12"/>
        <color theme="1"/>
        <rFont val="宋体"/>
        <family val="3"/>
        <charset val="134"/>
      </rPr>
      <t>结存＋质押</t>
    </r>
    <r>
      <rPr>
        <b/>
        <sz val="12"/>
        <color theme="1"/>
        <rFont val="Times New Roman"/>
        <family val="1"/>
      </rPr>
      <t>+</t>
    </r>
    <r>
      <rPr>
        <b/>
        <sz val="12"/>
        <color theme="1"/>
        <rFont val="宋体"/>
        <family val="3"/>
        <charset val="134"/>
      </rPr>
      <t>货币质入</t>
    </r>
    <r>
      <rPr>
        <b/>
        <sz val="12"/>
        <color theme="1"/>
        <rFont val="Times New Roman"/>
        <family val="1"/>
      </rPr>
      <t>-</t>
    </r>
    <r>
      <rPr>
        <b/>
        <sz val="12"/>
        <color theme="1"/>
        <rFont val="宋体"/>
        <family val="3"/>
        <charset val="134"/>
      </rPr>
      <t>货币质出</t>
    </r>
    <r>
      <rPr>
        <b/>
        <sz val="12"/>
        <color theme="1"/>
        <rFont val="Times New Roman"/>
        <family val="1"/>
      </rPr>
      <t/>
    </r>
    <phoneticPr fontId="2" type="noConversion"/>
  </si>
  <si>
    <r>
      <t>存款额（</t>
    </r>
    <r>
      <rPr>
        <sz val="12"/>
        <color rgb="FFFF00FF"/>
        <rFont val="Times New Roman"/>
        <family val="1"/>
      </rPr>
      <t>deposite</t>
    </r>
    <r>
      <rPr>
        <sz val="12"/>
        <color rgb="FFFF00FF"/>
        <rFont val="宋体"/>
        <family val="3"/>
        <charset val="134"/>
      </rPr>
      <t>）</t>
    </r>
    <r>
      <rPr>
        <sz val="12"/>
        <color theme="1"/>
        <rFont val="宋体"/>
        <family val="3"/>
        <charset val="134"/>
      </rPr>
      <t>＝</t>
    </r>
    <r>
      <rPr>
        <b/>
        <sz val="12"/>
        <color theme="1"/>
        <rFont val="宋体"/>
        <family val="3"/>
        <charset val="134"/>
      </rPr>
      <t>昨日存款额＋当日盈亏－交易手续费－结算手续费－交割手续费－移仓手续费－出金＋入金</t>
    </r>
    <r>
      <rPr>
        <b/>
        <sz val="12"/>
        <color theme="1"/>
        <rFont val="Times New Roman"/>
        <family val="1"/>
      </rPr>
      <t>-</t>
    </r>
    <r>
      <rPr>
        <b/>
        <sz val="12"/>
        <color theme="1"/>
        <rFont val="宋体"/>
        <family val="3"/>
        <charset val="134"/>
      </rPr>
      <t>期权手续费</t>
    </r>
    <r>
      <rPr>
        <b/>
        <sz val="12"/>
        <color theme="1"/>
        <rFont val="Times New Roman"/>
        <family val="1"/>
      </rPr>
      <t>+</t>
    </r>
    <r>
      <rPr>
        <b/>
        <sz val="12"/>
        <color theme="1"/>
        <rFont val="宋体"/>
        <family val="3"/>
        <charset val="134"/>
      </rPr>
      <t>权利金收入</t>
    </r>
    <r>
      <rPr>
        <b/>
        <sz val="12"/>
        <color theme="1"/>
        <rFont val="Times New Roman"/>
        <family val="1"/>
      </rPr>
      <t>-</t>
    </r>
    <r>
      <rPr>
        <b/>
        <sz val="12"/>
        <color theme="1"/>
        <rFont val="宋体"/>
        <family val="3"/>
        <charset val="134"/>
      </rPr>
      <t>权利金支出</t>
    </r>
    <phoneticPr fontId="2" type="noConversion"/>
  </si>
  <si>
    <r>
      <t>提款限额</t>
    </r>
    <r>
      <rPr>
        <sz val="12"/>
        <color rgb="FFFF00FF"/>
        <rFont val="Times New Roman"/>
        <family val="1"/>
      </rPr>
      <t xml:space="preserve"> </t>
    </r>
    <r>
      <rPr>
        <sz val="12"/>
        <color rgb="FFFF00FF"/>
        <rFont val="宋体"/>
        <family val="3"/>
        <charset val="134"/>
      </rPr>
      <t>（</t>
    </r>
    <r>
      <rPr>
        <sz val="12"/>
        <color rgb="FFFF00FF"/>
        <rFont val="Courier New"/>
        <family val="3"/>
      </rPr>
      <t>WithdrawQuota</t>
    </r>
    <r>
      <rPr>
        <sz val="12"/>
        <color rgb="FFFF00FF"/>
        <rFont val="宋体"/>
        <family val="3"/>
        <charset val="134"/>
      </rPr>
      <t>）（投资者）</t>
    </r>
    <r>
      <rPr>
        <sz val="12"/>
        <color theme="1"/>
        <rFont val="宋体"/>
        <family val="3"/>
        <charset val="134"/>
      </rPr>
      <t>＝可用</t>
    </r>
    <r>
      <rPr>
        <sz val="12"/>
        <color theme="1"/>
        <rFont val="Courier New"/>
        <family val="3"/>
      </rPr>
      <t>-</t>
    </r>
    <r>
      <rPr>
        <sz val="12"/>
        <color theme="1"/>
        <rFont val="宋体"/>
        <family val="3"/>
        <charset val="134"/>
      </rPr>
      <t>质押</t>
    </r>
    <r>
      <rPr>
        <sz val="12"/>
        <color theme="1"/>
        <rFont val="Courier New"/>
        <family val="3"/>
      </rPr>
      <t>-</t>
    </r>
    <r>
      <rPr>
        <sz val="12"/>
        <color theme="1"/>
        <rFont val="宋体"/>
        <family val="3"/>
        <charset val="134"/>
      </rPr>
      <t>最低保证金</t>
    </r>
    <r>
      <rPr>
        <sz val="12"/>
        <color theme="1"/>
        <rFont val="Courier New"/>
        <family val="3"/>
      </rPr>
      <t>=</t>
    </r>
    <r>
      <rPr>
        <sz val="12"/>
        <color theme="1"/>
        <rFont val="宋体"/>
        <family val="3"/>
        <charset val="134"/>
      </rPr>
      <t>结存</t>
    </r>
    <r>
      <rPr>
        <sz val="12"/>
        <color theme="1"/>
        <rFont val="Courier New"/>
        <family val="3"/>
      </rPr>
      <t>-</t>
    </r>
    <r>
      <rPr>
        <sz val="12"/>
        <color theme="1"/>
        <rFont val="宋体"/>
        <family val="3"/>
        <charset val="134"/>
      </rPr>
      <t>货币质出</t>
    </r>
    <r>
      <rPr>
        <sz val="12"/>
        <color theme="1"/>
        <rFont val="Courier New"/>
        <family val="3"/>
      </rPr>
      <t>-</t>
    </r>
    <r>
      <rPr>
        <sz val="12"/>
        <color theme="1"/>
        <rFont val="宋体"/>
        <family val="3"/>
        <charset val="134"/>
      </rPr>
      <t>保证金</t>
    </r>
    <r>
      <rPr>
        <sz val="12"/>
        <color theme="1"/>
        <rFont val="Courier New"/>
        <family val="3"/>
      </rPr>
      <t>(</t>
    </r>
    <r>
      <rPr>
        <sz val="12"/>
        <color theme="1"/>
        <rFont val="宋体"/>
        <family val="3"/>
        <charset val="134"/>
      </rPr>
      <t>总</t>
    </r>
    <r>
      <rPr>
        <sz val="12"/>
        <color theme="1"/>
        <rFont val="Courier New"/>
        <family val="3"/>
      </rPr>
      <t>)+</t>
    </r>
    <r>
      <rPr>
        <sz val="12"/>
        <color theme="1"/>
        <rFont val="宋体"/>
        <family val="3"/>
        <charset val="134"/>
      </rPr>
      <t>货币质押保证金占用</t>
    </r>
    <r>
      <rPr>
        <sz val="12"/>
        <color theme="1"/>
        <rFont val="Courier New"/>
        <family val="3"/>
      </rPr>
      <t>-</t>
    </r>
    <r>
      <rPr>
        <sz val="12"/>
        <color theme="1"/>
        <rFont val="宋体"/>
        <family val="3"/>
        <charset val="134"/>
      </rPr>
      <t>最低保证金</t>
    </r>
    <phoneticPr fontId="2" type="noConversion"/>
  </si>
  <si>
    <t>CTP00659     郑商所投资者的组合保证金与交易所保证金计算的高低腿应该保持一致</t>
    <phoneticPr fontId="2" type="noConversion"/>
  </si>
  <si>
    <t>投资者移仓手续费</t>
    <phoneticPr fontId="2" type="noConversion"/>
  </si>
  <si>
    <t>交易所结算手续费</t>
    <phoneticPr fontId="2" type="noConversion"/>
  </si>
  <si>
    <t>交易所移仓手续费</t>
    <phoneticPr fontId="2" type="noConversion"/>
  </si>
  <si>
    <t xml:space="preserve">             在两腿期权保证金一致的情况下，交易所收call那一腿，CTP目前收取的是put，存在问题,建议修改</t>
    <phoneticPr fontId="2" type="noConversion"/>
  </si>
  <si>
    <t>特殊产品保证金</t>
    <phoneticPr fontId="2" type="noConversion"/>
  </si>
  <si>
    <t>特殊产品盈亏</t>
    <phoneticPr fontId="2" type="noConversion"/>
  </si>
  <si>
    <t>SR809</t>
  </si>
  <si>
    <r>
      <rPr>
        <sz val="8"/>
        <color rgb="FF333333"/>
        <rFont val="宋体"/>
        <family val="3"/>
        <charset val="134"/>
      </rPr>
      <t>郑商所期权保证金算法</t>
    </r>
    <r>
      <rPr>
        <sz val="8"/>
        <color rgb="FF333333"/>
        <rFont val="Arial"/>
        <family val="2"/>
      </rPr>
      <t>:</t>
    </r>
    <r>
      <rPr>
        <sz val="8"/>
        <color rgb="FF333333"/>
        <rFont val="宋体"/>
        <family val="3"/>
        <charset val="134"/>
      </rPr>
      <t>算法</t>
    </r>
    <r>
      <rPr>
        <sz val="8"/>
        <color rgb="FF333333"/>
        <rFont val="Arial"/>
        <family val="2"/>
      </rPr>
      <t>A=sum</t>
    </r>
    <r>
      <rPr>
        <sz val="8"/>
        <color rgb="FF333333"/>
        <rFont val="宋体"/>
        <family val="3"/>
        <charset val="134"/>
      </rPr>
      <t>【</t>
    </r>
    <r>
      <rPr>
        <sz val="8"/>
        <color rgb="FF333333"/>
        <rFont val="Arial"/>
        <family val="2"/>
      </rPr>
      <t>round</t>
    </r>
    <r>
      <rPr>
        <sz val="8"/>
        <color rgb="FF333333"/>
        <rFont val="宋体"/>
        <family val="3"/>
        <charset val="134"/>
      </rPr>
      <t>（每手保证金），</t>
    </r>
    <r>
      <rPr>
        <sz val="8"/>
        <color rgb="FF333333"/>
        <rFont val="Arial"/>
        <family val="2"/>
      </rPr>
      <t>2</t>
    </r>
    <r>
      <rPr>
        <sz val="8"/>
        <color rgb="FF333333"/>
        <rFont val="宋体"/>
        <family val="3"/>
        <charset val="134"/>
      </rPr>
      <t>】</t>
    </r>
    <phoneticPr fontId="2" type="noConversion"/>
  </si>
  <si>
    <t xml:space="preserve"> 每笔round ,2)</t>
    <phoneticPr fontId="2" type="noConversion"/>
  </si>
  <si>
    <t>根据交易所高腿标准，保证金放高腿，左右腿相同放左腿</t>
    <phoneticPr fontId="2" type="noConversion"/>
  </si>
  <si>
    <t>投资者代码</t>
  </si>
  <si>
    <t>投资单元</t>
  </si>
  <si>
    <t>资金账号</t>
  </si>
  <si>
    <t xml:space="preserve"> 币种代码</t>
    <phoneticPr fontId="2" type="noConversion"/>
  </si>
  <si>
    <r>
      <t>C</t>
    </r>
    <r>
      <rPr>
        <sz val="10"/>
        <color theme="1"/>
        <rFont val="宋体"/>
        <family val="2"/>
        <charset val="134"/>
        <scheme val="minor"/>
      </rPr>
      <t>NY</t>
    </r>
    <phoneticPr fontId="2" type="noConversion"/>
  </si>
  <si>
    <t>投资者信息</t>
    <phoneticPr fontId="2" type="noConversion"/>
  </si>
  <si>
    <t>资金账号</t>
    <phoneticPr fontId="2" type="noConversion"/>
  </si>
  <si>
    <t>投资者代码</t>
    <phoneticPr fontId="7" type="noConversion"/>
  </si>
  <si>
    <t>资金账号</t>
    <phoneticPr fontId="7" type="noConversion"/>
  </si>
  <si>
    <t>币种代码</t>
    <phoneticPr fontId="7" type="noConversion"/>
  </si>
  <si>
    <t>CNY</t>
    <phoneticPr fontId="7" type="noConversion"/>
  </si>
  <si>
    <t>USD</t>
    <phoneticPr fontId="7" type="noConversion"/>
  </si>
  <si>
    <t>function</t>
    <phoneticPr fontId="2" type="noConversion"/>
  </si>
  <si>
    <t>INVESTORTYPE</t>
  </si>
  <si>
    <t>INVESTORGROUPID</t>
  </si>
  <si>
    <t>DEPARTMENTID</t>
  </si>
  <si>
    <t>INVESTORFLAG</t>
  </si>
  <si>
    <t>OPENDATE</t>
  </si>
  <si>
    <t>CANCELDATE</t>
  </si>
  <si>
    <t>ISEMAIL</t>
  </si>
  <si>
    <t>ISSMS</t>
  </si>
  <si>
    <t>ISUSINGOTP</t>
  </si>
  <si>
    <t>COMMMODELID</t>
  </si>
  <si>
    <t>MARGINMODELID</t>
  </si>
  <si>
    <t>CLIENTREGION</t>
  </si>
  <si>
    <t>CLIENTMODE</t>
  </si>
  <si>
    <t>ASSETMGRCLIENTTYPE</t>
  </si>
  <si>
    <t>RISKLEVEL</t>
  </si>
  <si>
    <t>CONTRACTCODE</t>
  </si>
  <si>
    <t>ISACTIVE</t>
  </si>
  <si>
    <t xml:space="preserve">6001        </t>
  </si>
  <si>
    <t>二级代理商测试</t>
  </si>
  <si>
    <t xml:space="preserve">6666        </t>
  </si>
  <si>
    <t>20170808</t>
  </si>
  <si>
    <t xml:space="preserve">0001        </t>
  </si>
  <si>
    <t xml:space="preserve">4 </t>
  </si>
  <si>
    <t>ADDRESS</t>
  </si>
  <si>
    <t>INVESTUNITID</t>
  </si>
  <si>
    <t>ACCOUNTID</t>
  </si>
  <si>
    <t>CURRENCYID</t>
  </si>
  <si>
    <t>INVESTUNITNAME</t>
  </si>
  <si>
    <t>GROUPID</t>
  </si>
  <si>
    <t>CNY</t>
  </si>
  <si>
    <t>B00101</t>
    <phoneticPr fontId="2" type="noConversion"/>
  </si>
  <si>
    <t>B00102</t>
    <phoneticPr fontId="2" type="noConversion"/>
  </si>
  <si>
    <t>ACCOUNTNAME</t>
  </si>
  <si>
    <t>PASSWORD</t>
  </si>
  <si>
    <t>PRIORITY</t>
  </si>
  <si>
    <t>SETTLEACCFLAG</t>
  </si>
  <si>
    <t xml:space="preserve">6001                                                                            </t>
  </si>
  <si>
    <t>20181024</t>
  </si>
  <si>
    <t>USD</t>
  </si>
  <si>
    <t>ACCOUNTOWNER</t>
  </si>
  <si>
    <t>ACCOUNTOWNERMODE</t>
  </si>
  <si>
    <t>CANCLEDATE</t>
  </si>
  <si>
    <t>OPENCARDTYPE</t>
  </si>
  <si>
    <t>OPENCARDNO</t>
  </si>
  <si>
    <t>CODESOURCETYPE</t>
  </si>
  <si>
    <t>FREEZESTATUS</t>
  </si>
  <si>
    <t>20181030</t>
  </si>
  <si>
    <t>CLIENTIDMODE</t>
  </si>
  <si>
    <t>comment</t>
    <phoneticPr fontId="2" type="noConversion"/>
  </si>
  <si>
    <t>comment</t>
    <phoneticPr fontId="2" type="noConversion"/>
  </si>
  <si>
    <t>INVESTORRANGE</t>
  </si>
  <si>
    <t>VERSIONNO</t>
  </si>
  <si>
    <t>OPENRATIOBYMONEY</t>
  </si>
  <si>
    <t>OPENRATIOBYVOLUME</t>
  </si>
  <si>
    <t>CLOSERATIOBYMONEY</t>
  </si>
  <si>
    <t>CLOSERATIOBYVOLUME</t>
  </si>
  <si>
    <t>CLOSETODAYRATIOBYMONEY</t>
  </si>
  <si>
    <t>CLOSETODAYRATIOBYVOLUME</t>
  </si>
  <si>
    <t>DELIVRATIOBYMONEY</t>
  </si>
  <si>
    <t>DELIVRATIOBYVOLUME</t>
  </si>
  <si>
    <t>OPENCLOSERATIOBYMONEY</t>
  </si>
  <si>
    <t>OPENCLOSERATIOBYVOLUME</t>
  </si>
  <si>
    <t>STRIKERATIOBYMONEY</t>
  </si>
  <si>
    <t>STRIKERATIOBYVOLUME</t>
  </si>
  <si>
    <t>PERFORMRATIOBYMONEY</t>
  </si>
  <si>
    <t>PERFORMRATIOBYVOLUME</t>
  </si>
  <si>
    <t>经纪公司</t>
    <phoneticPr fontId="2" type="noConversion"/>
  </si>
  <si>
    <t>6001</t>
    <phoneticPr fontId="2" type="noConversion"/>
  </si>
  <si>
    <t>6001</t>
    <phoneticPr fontId="2" type="noConversion"/>
  </si>
  <si>
    <t>看涨看跌0：涨，1：跌</t>
    <phoneticPr fontId="5" type="noConversion"/>
  </si>
  <si>
    <t>标的期货合约</t>
    <phoneticPr fontId="5" type="noConversion"/>
  </si>
  <si>
    <t>执行价格</t>
    <phoneticPr fontId="5" type="noConversion"/>
  </si>
  <si>
    <t>是否特殊品种:0正常,1 特殊</t>
    <phoneticPr fontId="5" type="noConversion"/>
  </si>
  <si>
    <t>交易所代码</t>
    <phoneticPr fontId="2" type="noConversion"/>
  </si>
  <si>
    <t>投机套保标志</t>
    <phoneticPr fontId="2" type="noConversion"/>
  </si>
  <si>
    <t>辅助列</t>
    <phoneticPr fontId="7" type="noConversion"/>
  </si>
  <si>
    <t>合约&amp;投机套保&amp;买卖</t>
    <phoneticPr fontId="2" type="noConversion"/>
  </si>
  <si>
    <t>投机套保标志（投机1 套保3 做市商4）</t>
    <phoneticPr fontId="2" type="noConversion"/>
  </si>
  <si>
    <t>多空方向（0多头1空头）</t>
    <phoneticPr fontId="2" type="noConversion"/>
  </si>
  <si>
    <t>开平标志</t>
    <phoneticPr fontId="2" type="noConversion"/>
  </si>
  <si>
    <t>交易所按金额</t>
    <phoneticPr fontId="2" type="noConversion"/>
  </si>
  <si>
    <t>交易所按数</t>
    <phoneticPr fontId="2" type="noConversion"/>
  </si>
  <si>
    <t>投资者按金额</t>
    <phoneticPr fontId="2" type="noConversion"/>
  </si>
  <si>
    <t>投资者按手数</t>
    <phoneticPr fontId="2" type="noConversion"/>
  </si>
  <si>
    <t>标的按金额</t>
    <phoneticPr fontId="2" type="noConversion"/>
  </si>
  <si>
    <t>标的按手数</t>
    <phoneticPr fontId="2" type="noConversion"/>
  </si>
  <si>
    <t>交易所保证金率&amp;投资者保证金率&amp;投资者标的调整</t>
    <phoneticPr fontId="2" type="noConversion"/>
  </si>
  <si>
    <t>期货：交易所手续费率&amp;投资者手续费率</t>
    <phoneticPr fontId="2" type="noConversion"/>
  </si>
  <si>
    <t xml:space="preserve">交易所按手数 </t>
    <phoneticPr fontId="2" type="noConversion"/>
  </si>
  <si>
    <t>投资者按手数</t>
    <phoneticPr fontId="2" type="noConversion"/>
  </si>
  <si>
    <t>投资者按金额</t>
    <phoneticPr fontId="2" type="noConversion"/>
  </si>
  <si>
    <t>期权：交易所手续费率&amp;投资者手续费率</t>
    <phoneticPr fontId="2" type="noConversion"/>
  </si>
  <si>
    <t>投资者手续费率按金额</t>
    <phoneticPr fontId="2" type="noConversion"/>
  </si>
  <si>
    <t>投资者手续费率按手数</t>
    <phoneticPr fontId="2" type="noConversion"/>
  </si>
  <si>
    <t>交易所手续费率按金额</t>
    <phoneticPr fontId="2" type="noConversion"/>
  </si>
  <si>
    <t>交易所手续费率按手数</t>
    <phoneticPr fontId="2" type="noConversion"/>
  </si>
  <si>
    <t>4: 执行5：履约</t>
    <phoneticPr fontId="2" type="noConversion"/>
  </si>
  <si>
    <t xml:space="preserve"> 结算参数</t>
    <phoneticPr fontId="2" type="noConversion"/>
  </si>
  <si>
    <t>投资者交割手续费收取时间</t>
    <phoneticPr fontId="2" type="noConversion"/>
  </si>
  <si>
    <t>交易所交割手续费收取时间</t>
    <phoneticPr fontId="2" type="noConversion"/>
  </si>
  <si>
    <t>投资者结算参数设置</t>
    <phoneticPr fontId="2" type="noConversion"/>
  </si>
  <si>
    <t>币种</t>
    <phoneticPr fontId="2" type="noConversion"/>
  </si>
  <si>
    <t>所有</t>
    <phoneticPr fontId="2" type="noConversion"/>
  </si>
  <si>
    <t>CNY</t>
    <phoneticPr fontId="2" type="noConversion"/>
  </si>
  <si>
    <t>USD</t>
    <phoneticPr fontId="2" type="noConversion"/>
  </si>
  <si>
    <t>虚值期权保证金优惠比率</t>
    <phoneticPr fontId="2" type="noConversion"/>
  </si>
  <si>
    <t>最低保障系数</t>
    <phoneticPr fontId="2" type="noConversion"/>
  </si>
  <si>
    <t xml:space="preserve"> 
郑商所组合持仓保证金收取方式</t>
    <phoneticPr fontId="2" type="noConversion"/>
  </si>
  <si>
    <t>郑商所行权手续费收取方式</t>
    <phoneticPr fontId="2" type="noConversion"/>
  </si>
  <si>
    <t>0:最后交易日收取</t>
    <phoneticPr fontId="2" type="noConversion"/>
  </si>
  <si>
    <t>开仓3：开仓&amp;行权</t>
    <phoneticPr fontId="2" type="noConversion"/>
  </si>
  <si>
    <t>0：双边1：对锁</t>
    <phoneticPr fontId="2" type="noConversion"/>
  </si>
  <si>
    <t>comment</t>
    <phoneticPr fontId="2" type="noConversion"/>
  </si>
  <si>
    <t>comment</t>
    <phoneticPr fontId="2" type="noConversion"/>
  </si>
  <si>
    <t>交易所期货手续费率设置到品种</t>
    <phoneticPr fontId="2" type="noConversion"/>
  </si>
  <si>
    <t>投资者期货手续费率设置到单一投资者</t>
    <phoneticPr fontId="2" type="noConversion"/>
  </si>
  <si>
    <t>交易所期权手续费率设置到品种</t>
    <phoneticPr fontId="2" type="noConversion"/>
  </si>
  <si>
    <t>1</t>
    <phoneticPr fontId="2" type="noConversion"/>
  </si>
  <si>
    <t>3</t>
    <phoneticPr fontId="2" type="noConversion"/>
  </si>
  <si>
    <t>投资者期权续费率设置到单一投资者</t>
    <phoneticPr fontId="2" type="noConversion"/>
  </si>
  <si>
    <t>交易所结算参数设置</t>
    <phoneticPr fontId="2" type="noConversion"/>
  </si>
  <si>
    <t>SETTLEMENTPARAMID</t>
  </si>
  <si>
    <t>SETTLEMENTPARAMVALUE</t>
  </si>
  <si>
    <t>OPERATORID</t>
  </si>
  <si>
    <t>OPDATE</t>
  </si>
  <si>
    <t>OPTIME</t>
  </si>
  <si>
    <t>A</t>
  </si>
  <si>
    <t xml:space="preserve">1                                                                                                                                                                                                                                                              </t>
  </si>
  <si>
    <t xml:space="preserve">郑商所组合持仓保证金收取方式:按高腿收取保证金                                                                                                                   </t>
  </si>
  <si>
    <t>20171122</t>
  </si>
  <si>
    <t>10:00:10</t>
  </si>
  <si>
    <t>c</t>
  </si>
  <si>
    <t xml:space="preserve">3                                                                                                                                                                                                                                                              </t>
  </si>
  <si>
    <t xml:space="preserve">期权行权和期货开仓都收取                                                                                                                                        </t>
  </si>
  <si>
    <t>20180514</t>
  </si>
  <si>
    <t>15:32:02</t>
  </si>
  <si>
    <t>a</t>
  </si>
  <si>
    <t xml:space="preserve">0.5                                                                                                                                                                                                                                                            </t>
  </si>
  <si>
    <t>20190314</t>
  </si>
  <si>
    <t>09:19:03</t>
  </si>
  <si>
    <t>b</t>
  </si>
  <si>
    <t>09:19:10</t>
  </si>
  <si>
    <t xml:space="preserve">0                                                                                                                                                                                                                                                              </t>
  </si>
  <si>
    <t xml:space="preserve">到期交割投资者交割手续费收取方式:最后交易日收取                                                                                                                 </t>
  </si>
  <si>
    <t>20180917</t>
  </si>
  <si>
    <t>14:47:35</t>
  </si>
  <si>
    <t xml:space="preserve">郑商所结算方式:通过上传交易所下发文件结算，以交易所结果为准                                                                                                     </t>
  </si>
  <si>
    <t>15:33:41</t>
  </si>
  <si>
    <t xml:space="preserve">到期交割交易所交割手续费收取方式:最后交易日收取                                                                                                                 </t>
  </si>
  <si>
    <t>14:47:26</t>
  </si>
  <si>
    <t xml:space="preserve">CZCE    </t>
    <phoneticPr fontId="2" type="noConversion"/>
  </si>
  <si>
    <t>投资者结算参数</t>
    <phoneticPr fontId="2" type="noConversion"/>
  </si>
  <si>
    <t xml:space="preserve">1000.0                                                                                                                                                                                                                                                         </t>
  </si>
  <si>
    <t xml:space="preserve">2000                                                                                                                                                                                                                                                           </t>
  </si>
  <si>
    <t>USD</t>
    <phoneticPr fontId="2" type="noConversion"/>
  </si>
  <si>
    <t>0</t>
    <phoneticPr fontId="2" type="noConversion"/>
  </si>
  <si>
    <t>0</t>
    <phoneticPr fontId="2" type="noConversion"/>
  </si>
  <si>
    <t>comment</t>
    <phoneticPr fontId="2" type="noConversion"/>
  </si>
  <si>
    <t>comment</t>
    <phoneticPr fontId="2" type="noConversion"/>
  </si>
  <si>
    <t>SRC</t>
    <phoneticPr fontId="2" type="noConversion"/>
  </si>
  <si>
    <t>投资者代码</t>
    <phoneticPr fontId="2" type="noConversion"/>
  </si>
  <si>
    <t>投资者</t>
    <phoneticPr fontId="7" type="noConversion"/>
  </si>
  <si>
    <t>投资单元</t>
    <phoneticPr fontId="2" type="noConversion"/>
  </si>
  <si>
    <t>资金账号</t>
    <phoneticPr fontId="7" type="noConversion"/>
  </si>
  <si>
    <t>成交编号</t>
    <phoneticPr fontId="7" type="noConversion"/>
  </si>
  <si>
    <t>交易所代码</t>
    <phoneticPr fontId="7" type="noConversion"/>
  </si>
  <si>
    <t>合约</t>
    <phoneticPr fontId="2" type="noConversion"/>
  </si>
  <si>
    <t>合约乘数</t>
    <phoneticPr fontId="2" type="noConversion"/>
  </si>
  <si>
    <t>开/平</t>
    <phoneticPr fontId="2" type="noConversion"/>
  </si>
  <si>
    <t>买/卖</t>
    <phoneticPr fontId="2" type="noConversion"/>
  </si>
  <si>
    <t>手数</t>
    <phoneticPr fontId="2" type="noConversion"/>
  </si>
  <si>
    <t>成交价</t>
    <phoneticPr fontId="2" type="noConversion"/>
  </si>
  <si>
    <t>投资者手续费</t>
    <phoneticPr fontId="2" type="noConversion"/>
  </si>
  <si>
    <t>交易所手续费</t>
    <phoneticPr fontId="2" type="noConversion"/>
  </si>
  <si>
    <t>OI</t>
    <phoneticPr fontId="2" type="noConversion"/>
  </si>
  <si>
    <t>PTA</t>
    <phoneticPr fontId="2" type="noConversion"/>
  </si>
  <si>
    <t>PTA</t>
    <phoneticPr fontId="2" type="noConversion"/>
  </si>
  <si>
    <t xml:space="preserve">CZCE    </t>
    <phoneticPr fontId="2" type="noConversion"/>
  </si>
  <si>
    <t>SR</t>
    <phoneticPr fontId="5" type="noConversion"/>
  </si>
  <si>
    <t>1</t>
    <phoneticPr fontId="2" type="noConversion"/>
  </si>
  <si>
    <t>INVESTORNAME</t>
    <phoneticPr fontId="2" type="noConversion"/>
  </si>
  <si>
    <t>params</t>
    <phoneticPr fontId="2" type="noConversion"/>
  </si>
  <si>
    <t>params</t>
    <phoneticPr fontId="2" type="noConversion"/>
  </si>
  <si>
    <t>#原成交编号</t>
    <phoneticPr fontId="2" type="noConversion"/>
  </si>
  <si>
    <t># 辅助成交编号</t>
    <phoneticPr fontId="2" type="noConversion"/>
  </si>
  <si>
    <t>#昨结算价</t>
    <phoneticPr fontId="2" type="noConversion"/>
  </si>
  <si>
    <t>N</t>
    <phoneticPr fontId="2" type="noConversion"/>
  </si>
  <si>
    <t>O</t>
    <phoneticPr fontId="2" type="noConversion"/>
  </si>
  <si>
    <t>#成交类型</t>
    <phoneticPr fontId="7" type="noConversion"/>
  </si>
  <si>
    <t>#辅助列（合约+投机套保标志+开平仓）</t>
    <phoneticPr fontId="7" type="noConversion"/>
  </si>
  <si>
    <t>#交易所手续费</t>
    <phoneticPr fontId="2" type="noConversion"/>
  </si>
  <si>
    <t>#计算计算投资者手续费</t>
    <phoneticPr fontId="2" type="noConversion"/>
  </si>
  <si>
    <t>S</t>
    <phoneticPr fontId="2" type="noConversion"/>
  </si>
  <si>
    <t>#平仓盈亏（逐日）</t>
    <phoneticPr fontId="2" type="noConversion"/>
  </si>
  <si>
    <t>#平仓盈亏（逐笔）</t>
    <phoneticPr fontId="2" type="noConversion"/>
  </si>
  <si>
    <t>经纪公司</t>
    <phoneticPr fontId="2" type="noConversion"/>
  </si>
  <si>
    <t>investorid</t>
    <phoneticPr fontId="2" type="noConversion"/>
  </si>
  <si>
    <t>investunitid</t>
    <phoneticPr fontId="2" type="noConversion"/>
  </si>
  <si>
    <t>accountid</t>
    <phoneticPr fontId="2" type="noConversion"/>
  </si>
  <si>
    <t>tradeid</t>
    <phoneticPr fontId="2" type="noConversion"/>
  </si>
  <si>
    <t>tradingday</t>
    <phoneticPr fontId="2" type="noConversion"/>
  </si>
  <si>
    <t>#辅助被平仓位的开仓日期</t>
    <phoneticPr fontId="2" type="noConversion"/>
  </si>
  <si>
    <t>exchangeid</t>
    <phoneticPr fontId="2" type="noConversion"/>
  </si>
  <si>
    <t>instrumentid</t>
    <phoneticPr fontId="2" type="noConversion"/>
  </si>
  <si>
    <t>volumemultiple</t>
    <phoneticPr fontId="2" type="noConversion"/>
  </si>
  <si>
    <t>offsetflag</t>
    <phoneticPr fontId="2" type="noConversion"/>
  </si>
  <si>
    <t>posidirection</t>
    <phoneticPr fontId="2" type="noConversion"/>
  </si>
  <si>
    <t>hedgeflag</t>
    <phoneticPr fontId="2" type="noConversion"/>
  </si>
  <si>
    <t>volume</t>
    <phoneticPr fontId="2" type="noConversion"/>
  </si>
  <si>
    <t>price</t>
    <phoneticPr fontId="2" type="noConversion"/>
  </si>
  <si>
    <t>#开仓价</t>
    <phoneticPr fontId="2" type="noConversion"/>
  </si>
  <si>
    <t>#开仓价</t>
    <phoneticPr fontId="2" type="noConversion"/>
  </si>
  <si>
    <t>transfee</t>
    <phoneticPr fontId="2" type="noConversion"/>
  </si>
  <si>
    <t>exchtransfee</t>
    <phoneticPr fontId="2" type="noConversion"/>
  </si>
  <si>
    <t>#投资者手续费率按金额</t>
    <phoneticPr fontId="5" type="noConversion"/>
  </si>
  <si>
    <t>#投资者手续费率按手数</t>
    <phoneticPr fontId="5" type="noConversion"/>
  </si>
  <si>
    <t>#交易所手续费率按金额</t>
    <phoneticPr fontId="5" type="noConversion"/>
  </si>
  <si>
    <t>#交易所手续费率按手数</t>
    <phoneticPr fontId="5" type="noConversion"/>
  </si>
  <si>
    <t>#成交金额</t>
    <phoneticPr fontId="2" type="noConversion"/>
  </si>
  <si>
    <t>#辅助列</t>
    <phoneticPr fontId="7" type="noConversion"/>
  </si>
  <si>
    <t>clientid</t>
    <phoneticPr fontId="2" type="noConversion"/>
  </si>
  <si>
    <t>brokerid</t>
    <phoneticPr fontId="2" type="noConversion"/>
  </si>
  <si>
    <t>客户编码</t>
    <phoneticPr fontId="2" type="noConversion"/>
  </si>
  <si>
    <t>50010001</t>
    <phoneticPr fontId="2" type="noConversion"/>
  </si>
  <si>
    <t>50010002</t>
  </si>
  <si>
    <t>交易编码</t>
    <phoneticPr fontId="2" type="noConversion"/>
  </si>
  <si>
    <t>权利金收入</t>
    <phoneticPr fontId="2" type="noConversion"/>
  </si>
  <si>
    <t>权利金支出</t>
    <phoneticPr fontId="2" type="noConversion"/>
  </si>
  <si>
    <t>optpremiumincome</t>
    <phoneticPr fontId="2" type="noConversion"/>
  </si>
  <si>
    <t>optpremiumpay</t>
    <phoneticPr fontId="2" type="noConversion"/>
  </si>
  <si>
    <t>#是否特殊品种</t>
    <phoneticPr fontId="2" type="noConversion"/>
  </si>
  <si>
    <t>品种类型</t>
    <phoneticPr fontId="5" type="noConversion"/>
  </si>
  <si>
    <t>0：期货，1：期权</t>
    <phoneticPr fontId="2" type="noConversion"/>
  </si>
  <si>
    <t xml:space="preserve">成交方式：N-正常  C-强平 O-期权行权  Q-期转现  P-最后交易日对冲  R-做市商响应 M-做市商对冲    S：手工交割  </t>
    <phoneticPr fontId="2" type="noConversion"/>
  </si>
  <si>
    <t>comment</t>
  </si>
  <si>
    <t>comment</t>
    <phoneticPr fontId="2" type="noConversion"/>
  </si>
  <si>
    <t>币种</t>
    <phoneticPr fontId="2" type="noConversion"/>
  </si>
  <si>
    <t>currencyid</t>
    <phoneticPr fontId="2" type="noConversion"/>
  </si>
  <si>
    <t>原成交编号</t>
    <phoneticPr fontId="2" type="noConversion"/>
  </si>
  <si>
    <t>成交编号</t>
    <phoneticPr fontId="2" type="noConversion"/>
  </si>
  <si>
    <t>交易日</t>
    <phoneticPr fontId="2" type="noConversion"/>
  </si>
  <si>
    <t>closeprice</t>
    <phoneticPr fontId="2" type="noConversion"/>
  </si>
  <si>
    <t>交易日</t>
    <phoneticPr fontId="2" type="noConversion"/>
  </si>
  <si>
    <t>N</t>
    <phoneticPr fontId="2" type="noConversion"/>
  </si>
  <si>
    <t>#统计平仓明细</t>
    <phoneticPr fontId="7" type="noConversion"/>
  </si>
  <si>
    <t>#closedtl</t>
    <phoneticPr fontId="2" type="noConversion"/>
  </si>
  <si>
    <t>#统计平仓明细</t>
    <phoneticPr fontId="2" type="noConversion"/>
  </si>
  <si>
    <t>#closedtl</t>
    <phoneticPr fontId="2" type="noConversion"/>
  </si>
  <si>
    <t>comment</t>
    <phoneticPr fontId="2" type="noConversion"/>
  </si>
  <si>
    <t>comment</t>
    <phoneticPr fontId="2" type="noConversion"/>
  </si>
  <si>
    <t>MARGIN</t>
  </si>
  <si>
    <t>手工交割，CZCE交割是文件上传不需要从前台录入，文件导入结算后会写入t_invstwilldelivfee和t_invstwilldelivvol，前台录入手工交割，结算后会更新手工交割表数据</t>
    <phoneticPr fontId="2" type="noConversion"/>
  </si>
  <si>
    <t>投资者</t>
    <phoneticPr fontId="2" type="noConversion"/>
  </si>
  <si>
    <t>投资单元</t>
    <phoneticPr fontId="2" type="noConversion"/>
  </si>
  <si>
    <t>资金账号</t>
    <phoneticPr fontId="2" type="noConversion"/>
  </si>
  <si>
    <t>交易日</t>
    <phoneticPr fontId="2" type="noConversion"/>
  </si>
  <si>
    <t>合约</t>
    <phoneticPr fontId="2" type="noConversion"/>
  </si>
  <si>
    <t>买/卖</t>
    <phoneticPr fontId="2" type="noConversion"/>
  </si>
  <si>
    <t>投机/套保</t>
    <phoneticPr fontId="2" type="noConversion"/>
  </si>
  <si>
    <t>交割数量</t>
    <phoneticPr fontId="2" type="noConversion"/>
  </si>
  <si>
    <t>交割价格</t>
    <phoneticPr fontId="2" type="noConversion"/>
  </si>
  <si>
    <t>手续费收取方式</t>
    <phoneticPr fontId="2" type="noConversion"/>
  </si>
  <si>
    <t>t_nonexpiredelivery</t>
    <phoneticPr fontId="2" type="noConversion"/>
  </si>
  <si>
    <t>投资者手续费</t>
    <phoneticPr fontId="2" type="noConversion"/>
  </si>
  <si>
    <t>交易所手续费</t>
    <phoneticPr fontId="2" type="noConversion"/>
  </si>
  <si>
    <t>交易所</t>
    <phoneticPr fontId="2" type="noConversion"/>
  </si>
  <si>
    <t>exchtransfee</t>
    <phoneticPr fontId="2" type="noConversion"/>
  </si>
  <si>
    <t>transfee</t>
    <phoneticPr fontId="2" type="noConversion"/>
  </si>
  <si>
    <t>feeacceptstyle</t>
    <phoneticPr fontId="2" type="noConversion"/>
  </si>
  <si>
    <t>deliveryprice</t>
    <phoneticPr fontId="2" type="noConversion"/>
  </si>
  <si>
    <t>deliveryvolume</t>
    <phoneticPr fontId="2" type="noConversion"/>
  </si>
  <si>
    <t>hedgeflag</t>
    <phoneticPr fontId="2" type="noConversion"/>
  </si>
  <si>
    <t>posidirection</t>
    <phoneticPr fontId="2" type="noConversion"/>
  </si>
  <si>
    <t>exchangeid</t>
    <phoneticPr fontId="2" type="noConversion"/>
  </si>
  <si>
    <t>settlementdate</t>
    <phoneticPr fontId="2" type="noConversion"/>
  </si>
  <si>
    <t>deliverydate</t>
    <phoneticPr fontId="2" type="noConversion"/>
  </si>
  <si>
    <t>investorid</t>
    <phoneticPr fontId="2" type="noConversion"/>
  </si>
  <si>
    <t>investunitid</t>
    <phoneticPr fontId="2" type="noConversion"/>
  </si>
  <si>
    <t>#合约乘数</t>
    <phoneticPr fontId="2" type="noConversion"/>
  </si>
  <si>
    <t>volumemultiple</t>
    <phoneticPr fontId="2" type="noConversion"/>
  </si>
  <si>
    <t>#volumemultiple</t>
    <phoneticPr fontId="2" type="noConversion"/>
  </si>
  <si>
    <t>1;按交易收取2：按交割3：不收4：指定手续费收取，买卖：2：买，3：卖</t>
    <phoneticPr fontId="2" type="noConversion"/>
  </si>
  <si>
    <t>交割日</t>
    <phoneticPr fontId="2" type="noConversion"/>
  </si>
  <si>
    <t>t_invstwilldelivfee</t>
    <phoneticPr fontId="2" type="noConversion"/>
  </si>
  <si>
    <t>当日收费数量</t>
    <phoneticPr fontId="2" type="noConversion"/>
  </si>
  <si>
    <t>累计收费数量</t>
    <phoneticPr fontId="2" type="noConversion"/>
  </si>
  <si>
    <t>未收费数量</t>
    <phoneticPr fontId="2" type="noConversion"/>
  </si>
  <si>
    <t>交割手续费率(按金额)</t>
    <phoneticPr fontId="2" type="noConversion"/>
  </si>
  <si>
    <t>交割手续费率(按手数)</t>
    <phoneticPr fontId="2" type="noConversion"/>
  </si>
  <si>
    <t>交割手续费</t>
    <phoneticPr fontId="2" type="noConversion"/>
  </si>
  <si>
    <t>交割是否完成</t>
    <phoneticPr fontId="2" type="noConversion"/>
  </si>
  <si>
    <t>delivfeeclass</t>
    <phoneticPr fontId="2" type="noConversion"/>
  </si>
  <si>
    <t>currchargevolume</t>
    <phoneticPr fontId="2" type="noConversion"/>
  </si>
  <si>
    <t>chargevolume</t>
    <phoneticPr fontId="2" type="noConversion"/>
  </si>
  <si>
    <t>unchargevolume</t>
    <phoneticPr fontId="2" type="noConversion"/>
  </si>
  <si>
    <t>commratiobymoney</t>
    <phoneticPr fontId="2" type="noConversion"/>
  </si>
  <si>
    <t>commratiobyvolume</t>
    <phoneticPr fontId="2" type="noConversion"/>
  </si>
  <si>
    <t>delivfee</t>
    <phoneticPr fontId="2" type="noConversion"/>
  </si>
  <si>
    <t>deliveryflag</t>
    <phoneticPr fontId="2" type="noConversion"/>
  </si>
  <si>
    <t>deliverytype</t>
    <phoneticPr fontId="2" type="noConversion"/>
  </si>
  <si>
    <t>交割类型</t>
    <phoneticPr fontId="2" type="noConversion"/>
  </si>
  <si>
    <t>交割手续费类型</t>
    <phoneticPr fontId="2" type="noConversion"/>
  </si>
  <si>
    <t>交割手续费类型：delivfeeclass1：交易所 2：投资者，交割类型deliverytype：'1'; --手工交割 2：到期交割  交割是否完成：'1'; --交割未完成 2：'1'; --交割完成</t>
    <phoneticPr fontId="2" type="noConversion"/>
  </si>
  <si>
    <t>#开平</t>
    <phoneticPr fontId="2" type="noConversion"/>
  </si>
  <si>
    <t>#辅助列（合约+投机套保标志+开平仓）</t>
    <phoneticPr fontId="2" type="noConversion"/>
  </si>
  <si>
    <t>#辅助列（合约+投机套保标志+开平仓）</t>
    <phoneticPr fontId="2" type="noConversion"/>
  </si>
  <si>
    <t>t_invstwilldelivvol</t>
    <phoneticPr fontId="2" type="noConversion"/>
  </si>
  <si>
    <t>当日释放量</t>
    <phoneticPr fontId="2" type="noConversion"/>
  </si>
  <si>
    <t>累计释放量</t>
    <phoneticPr fontId="2" type="noConversion"/>
  </si>
  <si>
    <t>冻结量</t>
    <phoneticPr fontId="2" type="noConversion"/>
  </si>
  <si>
    <t>交割保证金率(按金额交割保证金率(按手数)</t>
    <phoneticPr fontId="2" type="noConversion"/>
  </si>
  <si>
    <t>交易所交割保证金率(按手数)</t>
    <phoneticPr fontId="2" type="noConversion"/>
  </si>
  <si>
    <t>交割类型</t>
    <phoneticPr fontId="2" type="noConversion"/>
  </si>
  <si>
    <t>交割是否完成</t>
    <phoneticPr fontId="2" type="noConversion"/>
  </si>
  <si>
    <t>交割保证金收取方式</t>
    <phoneticPr fontId="2" type="noConversion"/>
  </si>
  <si>
    <t>currreleasevolume</t>
    <phoneticPr fontId="2" type="noConversion"/>
  </si>
  <si>
    <t>releasevolume</t>
    <phoneticPr fontId="2" type="noConversion"/>
  </si>
  <si>
    <t xml:space="preserve">  frozenvolume     </t>
    <phoneticPr fontId="2" type="noConversion"/>
  </si>
  <si>
    <t>marginratiobymoney</t>
    <phoneticPr fontId="2" type="noConversion"/>
  </si>
  <si>
    <t>marginratiobyvolume</t>
    <phoneticPr fontId="2" type="noConversion"/>
  </si>
  <si>
    <t>exchmarginratiobymoney</t>
    <phoneticPr fontId="2" type="noConversion"/>
  </si>
  <si>
    <t>exchmarginratiobyvolume</t>
    <phoneticPr fontId="2" type="noConversion"/>
  </si>
  <si>
    <t>delivmargstyle</t>
    <phoneticPr fontId="2" type="noConversion"/>
  </si>
  <si>
    <t>#买卖</t>
    <phoneticPr fontId="2" type="noConversion"/>
  </si>
  <si>
    <t>volume</t>
    <phoneticPr fontId="2" type="noConversion"/>
  </si>
  <si>
    <t>#辅助列合约&amp;投保&amp;买卖</t>
    <phoneticPr fontId="2" type="noConversion"/>
  </si>
  <si>
    <t>交割保证金(投资者)</t>
    <phoneticPr fontId="2" type="noConversion"/>
  </si>
  <si>
    <t>交割保证金(交易所)</t>
    <phoneticPr fontId="2" type="noConversion"/>
  </si>
  <si>
    <t>margin</t>
    <phoneticPr fontId="2" type="noConversion"/>
  </si>
  <si>
    <t>exchmargin</t>
    <phoneticPr fontId="2" type="noConversion"/>
  </si>
  <si>
    <t>comment</t>
    <phoneticPr fontId="2" type="noConversion"/>
  </si>
  <si>
    <t>comment</t>
    <phoneticPr fontId="2" type="noConversion"/>
  </si>
  <si>
    <t>成交编号</t>
    <phoneticPr fontId="2" type="noConversion"/>
  </si>
  <si>
    <t>价格</t>
    <phoneticPr fontId="2" type="noConversion"/>
  </si>
  <si>
    <t>行权手续费率按金额</t>
    <phoneticPr fontId="2" type="noConversion"/>
  </si>
  <si>
    <t>行权手续费率按金手数</t>
    <phoneticPr fontId="2" type="noConversion"/>
  </si>
  <si>
    <t>交易所行权手续费率按金额</t>
    <phoneticPr fontId="2" type="noConversion"/>
  </si>
  <si>
    <t>投资者行权手续费</t>
    <phoneticPr fontId="2" type="noConversion"/>
  </si>
  <si>
    <t>交易所行权手续费</t>
    <phoneticPr fontId="2" type="noConversion"/>
  </si>
  <si>
    <t>行权或弃权数量</t>
    <phoneticPr fontId="2" type="noConversion"/>
  </si>
  <si>
    <t>#持仓数量</t>
    <phoneticPr fontId="2" type="noConversion"/>
  </si>
  <si>
    <t>instrumentid</t>
    <phoneticPr fontId="2" type="noConversion"/>
  </si>
  <si>
    <t>instrumentid</t>
    <phoneticPr fontId="2" type="noConversion"/>
  </si>
  <si>
    <t>tradingday</t>
    <phoneticPr fontId="2" type="noConversion"/>
  </si>
  <si>
    <t>strikeratiobymoney</t>
    <phoneticPr fontId="2" type="noConversion"/>
  </si>
  <si>
    <t>strikeratiobyvolume</t>
    <phoneticPr fontId="2" type="noConversion"/>
  </si>
  <si>
    <t>exchstrikeratiobymoney</t>
    <phoneticPr fontId="2" type="noConversion"/>
  </si>
  <si>
    <t>exchstrikeratiobyvolume</t>
    <phoneticPr fontId="2" type="noConversion"/>
  </si>
  <si>
    <t>行权手续费率按手数</t>
    <phoneticPr fontId="2" type="noConversion"/>
  </si>
  <si>
    <t>#offsetflag</t>
    <phoneticPr fontId="2" type="noConversion"/>
  </si>
  <si>
    <t>#开/平</t>
    <phoneticPr fontId="2" type="noConversion"/>
  </si>
  <si>
    <t>t_investoroptstrike</t>
    <phoneticPr fontId="2" type="noConversion"/>
  </si>
  <si>
    <t>strikefee</t>
    <phoneticPr fontId="2" type="noConversion"/>
  </si>
  <si>
    <t>exchstrikefee</t>
    <phoneticPr fontId="2" type="noConversion"/>
  </si>
  <si>
    <t>striketype</t>
    <phoneticPr fontId="2" type="noConversion"/>
  </si>
  <si>
    <t>volume</t>
    <phoneticPr fontId="2" type="noConversion"/>
  </si>
  <si>
    <t>合约乘数</t>
    <phoneticPr fontId="2" type="noConversion"/>
  </si>
  <si>
    <t>tradeid</t>
    <phoneticPr fontId="2" type="noConversion"/>
  </si>
  <si>
    <t>辅助列</t>
    <phoneticPr fontId="2" type="noConversion"/>
  </si>
  <si>
    <t>#辅助列</t>
    <phoneticPr fontId="2" type="noConversion"/>
  </si>
  <si>
    <t>期货开仓量</t>
    <phoneticPr fontId="2" type="noConversion"/>
  </si>
  <si>
    <t>#期货开仓买卖</t>
    <phoneticPr fontId="2" type="noConversion"/>
  </si>
  <si>
    <t>#期货开仓量</t>
    <phoneticPr fontId="2" type="noConversion"/>
  </si>
  <si>
    <t>#涨跌</t>
    <phoneticPr fontId="2" type="noConversion"/>
  </si>
  <si>
    <t>#是否特殊品种</t>
    <phoneticPr fontId="2" type="noConversion"/>
  </si>
  <si>
    <t>#标的期货合约</t>
    <phoneticPr fontId="2" type="noConversion"/>
  </si>
  <si>
    <t>comment</t>
    <phoneticPr fontId="2" type="noConversion"/>
  </si>
  <si>
    <t>组合编号</t>
    <phoneticPr fontId="2" type="noConversion"/>
  </si>
  <si>
    <t>成交编号</t>
    <phoneticPr fontId="2" type="noConversion"/>
  </si>
  <si>
    <t>合约</t>
    <phoneticPr fontId="2" type="noConversion"/>
  </si>
  <si>
    <t>投机套保</t>
    <phoneticPr fontId="2" type="noConversion"/>
  </si>
  <si>
    <t>腿方向</t>
    <phoneticPr fontId="2" type="noConversion"/>
  </si>
  <si>
    <t>腿数量</t>
    <phoneticPr fontId="2" type="noConversion"/>
  </si>
  <si>
    <t>期权/期货结算价格</t>
    <phoneticPr fontId="2" type="noConversion"/>
  </si>
  <si>
    <t>SR807&amp;SR809</t>
    <phoneticPr fontId="2" type="noConversion"/>
  </si>
  <si>
    <t>SR807&amp;OI811</t>
    <phoneticPr fontId="2" type="noConversion"/>
  </si>
  <si>
    <t>SR807&amp;SR807P6500</t>
    <phoneticPr fontId="2" type="noConversion"/>
  </si>
  <si>
    <t>SR807C6500&amp;SR807P6500</t>
    <phoneticPr fontId="2" type="noConversion"/>
  </si>
  <si>
    <t>SR807C6500&amp;SR807P6400</t>
    <phoneticPr fontId="2" type="noConversion"/>
  </si>
  <si>
    <t>同品种跨期</t>
    <phoneticPr fontId="2" type="noConversion"/>
  </si>
  <si>
    <t>不同品种跨期</t>
    <phoneticPr fontId="2" type="noConversion"/>
  </si>
  <si>
    <t>备兑看跌</t>
    <phoneticPr fontId="2" type="noConversion"/>
  </si>
  <si>
    <t>跨式</t>
    <phoneticPr fontId="2" type="noConversion"/>
  </si>
  <si>
    <t>宽跨式</t>
    <phoneticPr fontId="2" type="noConversion"/>
  </si>
  <si>
    <t>STD</t>
    <phoneticPr fontId="2" type="noConversion"/>
  </si>
  <si>
    <t>STG</t>
    <phoneticPr fontId="2" type="noConversion"/>
  </si>
  <si>
    <t>PRT</t>
    <phoneticPr fontId="2" type="noConversion"/>
  </si>
  <si>
    <t>SPD</t>
    <phoneticPr fontId="2" type="noConversion"/>
  </si>
  <si>
    <t>组合类型</t>
    <phoneticPr fontId="2" type="noConversion"/>
  </si>
  <si>
    <t>SR807&amp;SR807C6500</t>
    <phoneticPr fontId="2" type="noConversion"/>
  </si>
  <si>
    <t>交易所</t>
    <phoneticPr fontId="7" type="noConversion"/>
  </si>
  <si>
    <t>组合合约</t>
    <phoneticPr fontId="7" type="noConversion"/>
  </si>
  <si>
    <t>组合类型</t>
    <phoneticPr fontId="7" type="noConversion"/>
  </si>
  <si>
    <t>左腿合约</t>
    <phoneticPr fontId="7" type="noConversion"/>
  </si>
  <si>
    <t>左腿方向</t>
    <phoneticPr fontId="7" type="noConversion"/>
  </si>
  <si>
    <t>右腿合约</t>
    <phoneticPr fontId="7" type="noConversion"/>
  </si>
  <si>
    <t>右腿方向</t>
    <phoneticPr fontId="7" type="noConversion"/>
  </si>
  <si>
    <t>SPD</t>
    <phoneticPr fontId="2" type="noConversion"/>
  </si>
  <si>
    <t>组合方向</t>
    <phoneticPr fontId="2" type="noConversion"/>
  </si>
  <si>
    <t>持仓明细</t>
    <phoneticPr fontId="2" type="noConversion"/>
  </si>
  <si>
    <r>
      <t>S</t>
    </r>
    <r>
      <rPr>
        <sz val="10"/>
        <color theme="1"/>
        <rFont val="宋体"/>
        <family val="2"/>
        <charset val="134"/>
        <scheme val="minor"/>
      </rPr>
      <t>R809</t>
    </r>
    <phoneticPr fontId="2" type="noConversion"/>
  </si>
  <si>
    <t>交易所</t>
    <phoneticPr fontId="2" type="noConversion"/>
  </si>
  <si>
    <t>合约</t>
    <phoneticPr fontId="2" type="noConversion"/>
  </si>
  <si>
    <t>昨结算价</t>
    <phoneticPr fontId="2" type="noConversion"/>
  </si>
  <si>
    <t>结算价</t>
    <phoneticPr fontId="2" type="noConversion"/>
  </si>
  <si>
    <t>类型期货期权</t>
    <phoneticPr fontId="2" type="noConversion"/>
  </si>
  <si>
    <t>保证金率按金额投资者</t>
    <phoneticPr fontId="2" type="noConversion"/>
  </si>
  <si>
    <t>保证金率按手数投资者</t>
    <phoneticPr fontId="2" type="noConversion"/>
  </si>
  <si>
    <t>辅助列</t>
    <phoneticPr fontId="2" type="noConversion"/>
  </si>
  <si>
    <t>组合手数</t>
    <phoneticPr fontId="2" type="noConversion"/>
  </si>
  <si>
    <t>投资者4仓保证金</t>
    <phoneticPr fontId="7" type="noConversion"/>
  </si>
  <si>
    <t>投资者0仓保证金</t>
    <phoneticPr fontId="2" type="noConversion"/>
  </si>
  <si>
    <t>交易所0仓保证金</t>
    <phoneticPr fontId="2" type="noConversion"/>
  </si>
  <si>
    <t>交易所4仓保证金</t>
    <phoneticPr fontId="7" type="noConversion"/>
  </si>
  <si>
    <t>结算明细</t>
    <phoneticPr fontId="2" type="noConversion"/>
  </si>
  <si>
    <t>交易所</t>
    <phoneticPr fontId="7" type="noConversion"/>
  </si>
  <si>
    <t>合约</t>
    <phoneticPr fontId="7" type="noConversion"/>
  </si>
  <si>
    <t>投保</t>
    <phoneticPr fontId="7" type="noConversion"/>
  </si>
  <si>
    <t>合约乘数</t>
    <phoneticPr fontId="7" type="noConversion"/>
  </si>
  <si>
    <t>买持</t>
    <phoneticPr fontId="7" type="noConversion"/>
  </si>
  <si>
    <t>卖持</t>
    <phoneticPr fontId="7" type="noConversion"/>
  </si>
  <si>
    <t>投资者买总保证金</t>
    <phoneticPr fontId="2" type="noConversion"/>
  </si>
  <si>
    <t>投资者卖总保证金</t>
    <phoneticPr fontId="2" type="noConversion"/>
  </si>
  <si>
    <t>交买总保证金</t>
    <phoneticPr fontId="2" type="noConversion"/>
  </si>
  <si>
    <t>交卖总保证金</t>
    <phoneticPr fontId="2" type="noConversion"/>
  </si>
  <si>
    <t>多头期权市值</t>
    <phoneticPr fontId="2" type="noConversion"/>
  </si>
  <si>
    <t>空头期权市值</t>
    <phoneticPr fontId="2" type="noConversion"/>
  </si>
  <si>
    <t>辅助列</t>
    <phoneticPr fontId="2" type="noConversion"/>
  </si>
  <si>
    <t>买入成量</t>
    <phoneticPr fontId="7" type="noConversion"/>
  </si>
  <si>
    <t>买成交额</t>
    <phoneticPr fontId="7" type="noConversion"/>
  </si>
  <si>
    <t>买开仓量</t>
    <phoneticPr fontId="7" type="noConversion"/>
  </si>
  <si>
    <t>买开仓额</t>
    <phoneticPr fontId="7" type="noConversion"/>
  </si>
  <si>
    <t>买入平仓量</t>
    <phoneticPr fontId="7" type="noConversion"/>
  </si>
  <si>
    <t>买入平仓额</t>
    <phoneticPr fontId="7" type="noConversion"/>
  </si>
  <si>
    <t>买平今量</t>
    <phoneticPr fontId="7" type="noConversion"/>
  </si>
  <si>
    <t>买平今额</t>
    <phoneticPr fontId="7" type="noConversion"/>
  </si>
  <si>
    <t>卖出成量</t>
    <phoneticPr fontId="7" type="noConversion"/>
  </si>
  <si>
    <t>卖出交额</t>
    <phoneticPr fontId="7" type="noConversion"/>
  </si>
  <si>
    <t>卖开仓量</t>
    <phoneticPr fontId="7" type="noConversion"/>
  </si>
  <si>
    <t>卖开仓额</t>
    <phoneticPr fontId="7" type="noConversion"/>
  </si>
  <si>
    <t>卖出平仓量</t>
    <phoneticPr fontId="7" type="noConversion"/>
  </si>
  <si>
    <t>卖出平仓额</t>
    <phoneticPr fontId="7" type="noConversion"/>
  </si>
  <si>
    <t>卖平今量</t>
    <phoneticPr fontId="7" type="noConversion"/>
  </si>
  <si>
    <t>卖平今额</t>
    <phoneticPr fontId="7" type="noConversion"/>
  </si>
  <si>
    <t>交割手续费</t>
    <phoneticPr fontId="2" type="noConversion"/>
  </si>
  <si>
    <t>结算手续费</t>
    <phoneticPr fontId="2" type="noConversion"/>
  </si>
  <si>
    <t>交易手续费</t>
    <phoneticPr fontId="7" type="noConversion"/>
  </si>
  <si>
    <t>t_investorewarrantoffset</t>
    <phoneticPr fontId="2" type="noConversion"/>
  </si>
  <si>
    <t>comment</t>
    <phoneticPr fontId="2" type="noConversion"/>
  </si>
  <si>
    <t>tradingday</t>
    <phoneticPr fontId="2" type="noConversion"/>
  </si>
  <si>
    <t>brokerid</t>
    <phoneticPr fontId="2" type="noConversion"/>
  </si>
  <si>
    <t>exchangeid</t>
    <phoneticPr fontId="2" type="noConversion"/>
  </si>
  <si>
    <t>investorid</t>
    <phoneticPr fontId="2" type="noConversion"/>
  </si>
  <si>
    <t>investunitid</t>
    <phoneticPr fontId="2" type="noConversion"/>
  </si>
  <si>
    <t>accountid</t>
    <phoneticPr fontId="2" type="noConversion"/>
  </si>
  <si>
    <t>instrumentid</t>
    <phoneticPr fontId="2" type="noConversion"/>
  </si>
  <si>
    <t>posidirection</t>
    <phoneticPr fontId="2" type="noConversion"/>
  </si>
  <si>
    <t>hedgeflag</t>
    <phoneticPr fontId="2" type="noConversion"/>
  </si>
  <si>
    <t>交易所</t>
    <phoneticPr fontId="2" type="noConversion"/>
  </si>
  <si>
    <t>投机/套保</t>
    <phoneticPr fontId="2" type="noConversion"/>
  </si>
  <si>
    <t>投机/套保</t>
    <phoneticPr fontId="2" type="noConversion"/>
  </si>
  <si>
    <t>volume</t>
    <phoneticPr fontId="2" type="noConversion"/>
  </si>
  <si>
    <t>买/卖</t>
    <phoneticPr fontId="2" type="noConversion"/>
  </si>
  <si>
    <t>买/卖</t>
    <phoneticPr fontId="2" type="noConversion"/>
  </si>
  <si>
    <t>合约</t>
    <phoneticPr fontId="2" type="noConversion"/>
  </si>
  <si>
    <t>合约</t>
    <phoneticPr fontId="2" type="noConversion"/>
  </si>
  <si>
    <t>币种t</t>
    <phoneticPr fontId="2" type="noConversion"/>
  </si>
  <si>
    <t>仓单折抵量</t>
    <phoneticPr fontId="2" type="noConversion"/>
  </si>
  <si>
    <t>仓单折抵量</t>
    <phoneticPr fontId="2" type="noConversion"/>
  </si>
  <si>
    <t>CNY</t>
    <phoneticPr fontId="2" type="noConversion"/>
  </si>
  <si>
    <t>交易日</t>
    <phoneticPr fontId="2" type="noConversion"/>
  </si>
  <si>
    <t>经纪公司</t>
    <phoneticPr fontId="2" type="noConversion"/>
  </si>
  <si>
    <t>多头平仓盈亏</t>
    <phoneticPr fontId="2" type="noConversion"/>
  </si>
  <si>
    <t>空头平仓盈亏</t>
    <phoneticPr fontId="2" type="noConversion"/>
  </si>
  <si>
    <t>多头平仓盈亏（逐笔）</t>
    <phoneticPr fontId="2" type="noConversion"/>
  </si>
  <si>
    <t>空头平仓盈亏(逐笔）</t>
    <phoneticPr fontId="2" type="noConversion"/>
  </si>
  <si>
    <t>BUYAMT</t>
  </si>
  <si>
    <t>BUYSUM</t>
  </si>
  <si>
    <t>BOPENAMT</t>
  </si>
  <si>
    <t>BOPENSUM</t>
  </si>
  <si>
    <t>BCLOSEAMT</t>
  </si>
  <si>
    <t>BCLOSESUM</t>
  </si>
  <si>
    <t>BCLOSETODAYAMT</t>
  </si>
  <si>
    <t>BCLOSETODAYSUM</t>
  </si>
  <si>
    <t>SELLAMT</t>
  </si>
  <si>
    <t>SELLSUM</t>
  </si>
  <si>
    <t>SOPENAMT</t>
  </si>
  <si>
    <t>SOPENSUM</t>
  </si>
  <si>
    <t>SCLOSEAMT</t>
  </si>
  <si>
    <t>SCLOSESUM</t>
  </si>
  <si>
    <t>SCLOSETODAYAMT</t>
  </si>
  <si>
    <t>SCLOSETODAYSUM</t>
  </si>
  <si>
    <t>BCLOSEPROFITBYDATE</t>
  </si>
  <si>
    <t>SCLOSEPROFITBYDATE</t>
  </si>
  <si>
    <t>BCLOSEPROFITBYTRADE</t>
  </si>
  <si>
    <t>SCLOSEPROFITBYTRADE</t>
  </si>
  <si>
    <t>TRANSFEE</t>
  </si>
  <si>
    <t>TRANSFERPOSFEE</t>
  </si>
  <si>
    <t>STRIKEFEE</t>
  </si>
  <si>
    <t>PERFORMFEE</t>
  </si>
  <si>
    <t>EXCHSETTLEMENTFEE</t>
  </si>
  <si>
    <t>EXCHDELIVFEE</t>
  </si>
  <si>
    <t>EXCHTRANSFERPOSFEE</t>
  </si>
  <si>
    <t>EXCHSTRIKEFEE</t>
  </si>
  <si>
    <t>EXCHPERFORMFEE</t>
  </si>
  <si>
    <t>执行手续费</t>
    <phoneticPr fontId="2" type="noConversion"/>
  </si>
  <si>
    <t>交易所手续费</t>
    <phoneticPr fontId="2" type="noConversion"/>
  </si>
  <si>
    <t>履约手续费</t>
    <phoneticPr fontId="2" type="noConversion"/>
  </si>
  <si>
    <t>移仓手续费</t>
    <phoneticPr fontId="2" type="noConversion"/>
  </si>
  <si>
    <t>SAVGCOST</t>
  </si>
  <si>
    <t>买成本</t>
    <phoneticPr fontId="2" type="noConversion"/>
  </si>
  <si>
    <t>卖成本</t>
    <phoneticPr fontId="2" type="noConversion"/>
  </si>
  <si>
    <t>SETTLEMENTPRICE</t>
    <phoneticPr fontId="2" type="noConversion"/>
  </si>
  <si>
    <t>结算价</t>
    <phoneticPr fontId="2" type="noConversion"/>
  </si>
  <si>
    <t>OPTPREMIUMINCOME</t>
  </si>
  <si>
    <t>OPTPREMIUMPAY</t>
  </si>
  <si>
    <t>权利金收入</t>
    <phoneticPr fontId="2" type="noConversion"/>
  </si>
  <si>
    <t>权利金支出</t>
    <phoneticPr fontId="2" type="noConversion"/>
  </si>
  <si>
    <t>#投资者折抵保证金</t>
    <phoneticPr fontId="2" type="noConversion"/>
  </si>
  <si>
    <t>#交易所折抵保证金</t>
    <phoneticPr fontId="2" type="noConversion"/>
  </si>
  <si>
    <t>BOPTMARKETVALUE</t>
  </si>
  <si>
    <t>SOPTMARKETVALUE</t>
  </si>
  <si>
    <t>BTOTALAMT</t>
    <phoneticPr fontId="2" type="noConversion"/>
  </si>
  <si>
    <t>STOTALAMT</t>
    <phoneticPr fontId="2" type="noConversion"/>
  </si>
  <si>
    <t>VOLUMEMULTIPLE</t>
    <phoneticPr fontId="2" type="noConversion"/>
  </si>
  <si>
    <t>HEDGEFLAG</t>
    <phoneticPr fontId="2" type="noConversion"/>
  </si>
  <si>
    <t>INSTRUMENTID</t>
    <phoneticPr fontId="2" type="noConversion"/>
  </si>
  <si>
    <t>EXCHANGEID</t>
    <phoneticPr fontId="2" type="noConversion"/>
  </si>
  <si>
    <t>交易日</t>
    <phoneticPr fontId="2" type="noConversion"/>
  </si>
  <si>
    <t>经纪公司</t>
    <phoneticPr fontId="2" type="noConversion"/>
  </si>
  <si>
    <t>#投资者单一买保证金</t>
    <phoneticPr fontId="2" type="noConversion"/>
  </si>
  <si>
    <t>#投资者单一卖保证金</t>
    <phoneticPr fontId="2" type="noConversion"/>
  </si>
  <si>
    <t>#交易所单一卖保证金</t>
    <phoneticPr fontId="2" type="noConversion"/>
  </si>
  <si>
    <t>#交易所单一买保证金</t>
    <phoneticPr fontId="2" type="noConversion"/>
  </si>
  <si>
    <t>#交易所单一买保证金</t>
    <phoneticPr fontId="2" type="noConversion"/>
  </si>
  <si>
    <t>#投资者买组合保证金</t>
    <phoneticPr fontId="2" type="noConversion"/>
  </si>
  <si>
    <t>#投资者卖组合保证金</t>
    <phoneticPr fontId="2" type="noConversion"/>
  </si>
  <si>
    <t>#交易所卖组合保证金</t>
    <phoneticPr fontId="2" type="noConversion"/>
  </si>
  <si>
    <t>#交易所买组合保证金</t>
    <phoneticPr fontId="2" type="noConversion"/>
  </si>
  <si>
    <t>交易所执行手续费</t>
    <phoneticPr fontId="2" type="noConversion"/>
  </si>
  <si>
    <t>交易所履约手续费</t>
    <phoneticPr fontId="7" type="noConversion"/>
  </si>
  <si>
    <t>交易所结算手续费</t>
    <phoneticPr fontId="2" type="noConversion"/>
  </si>
  <si>
    <t>BPOSITIONPROFITBYDATE</t>
  </si>
  <si>
    <t>SPOSITIONPROFITBYDATE</t>
  </si>
  <si>
    <t>BPOSITIONPROFITBYTRADE</t>
  </si>
  <si>
    <t>SPOSITIONPROFITBYTRADE</t>
  </si>
  <si>
    <t>多头持仓盈亏</t>
  </si>
  <si>
    <t>空头持仓盈亏</t>
  </si>
  <si>
    <t>多头持仓盈亏（逐笔）</t>
  </si>
  <si>
    <t>空头持仓盈亏(逐笔）</t>
  </si>
  <si>
    <t>#行权额度</t>
    <phoneticPr fontId="2" type="noConversion"/>
  </si>
  <si>
    <t>开仓日期</t>
    <phoneticPr fontId="2" type="noConversion"/>
  </si>
  <si>
    <t>持仓盈亏逐日0</t>
    <phoneticPr fontId="2" type="noConversion"/>
  </si>
  <si>
    <t>持仓盈亏逐笔0</t>
    <phoneticPr fontId="2" type="noConversion"/>
  </si>
  <si>
    <t>持仓盈亏逐日4</t>
    <phoneticPr fontId="2" type="noConversion"/>
  </si>
  <si>
    <t>持仓盈亏逐笔4</t>
    <phoneticPr fontId="2" type="noConversion"/>
  </si>
  <si>
    <t>昨结算价</t>
    <phoneticPr fontId="2" type="noConversion"/>
  </si>
  <si>
    <t>开仓价格</t>
    <phoneticPr fontId="2" type="noConversion"/>
  </si>
  <si>
    <t>投机保证金</t>
    <phoneticPr fontId="2" type="noConversion"/>
  </si>
  <si>
    <t>保值保证金</t>
    <phoneticPr fontId="2" type="noConversion"/>
  </si>
  <si>
    <t>货币质押变化金额</t>
    <phoneticPr fontId="2" type="noConversion"/>
  </si>
  <si>
    <t>资金账号</t>
    <phoneticPr fontId="2" type="noConversion"/>
  </si>
  <si>
    <t>币种</t>
    <phoneticPr fontId="2" type="noConversion"/>
  </si>
  <si>
    <t>币种</t>
    <phoneticPr fontId="2" type="noConversion"/>
  </si>
  <si>
    <t>投资者结算手续费</t>
    <phoneticPr fontId="2" type="noConversion"/>
  </si>
  <si>
    <t>EXCHMARGIN</t>
  </si>
  <si>
    <t>POSITIONPROFITBYTRADE</t>
  </si>
  <si>
    <t>持仓盈亏（逐笔）</t>
    <phoneticPr fontId="2" type="noConversion"/>
  </si>
  <si>
    <t>平仓盈亏逐笔</t>
    <phoneticPr fontId="2" type="noConversion"/>
  </si>
  <si>
    <t>当日盈亏</t>
    <phoneticPr fontId="2" type="noConversion"/>
  </si>
  <si>
    <t>持仓盈亏（逐日）</t>
    <phoneticPr fontId="2" type="noConversion"/>
  </si>
  <si>
    <t>浮动盈亏</t>
    <phoneticPr fontId="2" type="noConversion"/>
  </si>
  <si>
    <t>#否特殊品种</t>
    <phoneticPr fontId="2" type="noConversion"/>
  </si>
  <si>
    <t>特殊产品手续费</t>
    <phoneticPr fontId="2" type="noConversion"/>
  </si>
  <si>
    <t>特殊产品交易所保证金</t>
    <phoneticPr fontId="2" type="noConversion"/>
  </si>
  <si>
    <t>期权执行盈亏</t>
    <phoneticPr fontId="2" type="noConversion"/>
  </si>
  <si>
    <t>期权多头持仓市值</t>
    <phoneticPr fontId="2" type="noConversion"/>
  </si>
  <si>
    <t>期权空头持仓市值</t>
    <phoneticPr fontId="2" type="noConversion"/>
  </si>
  <si>
    <t>保证金总额</t>
    <phoneticPr fontId="2" type="noConversion"/>
  </si>
  <si>
    <t>交割保证金</t>
    <phoneticPr fontId="2" type="noConversion"/>
  </si>
  <si>
    <t>交易所保证金总额</t>
    <phoneticPr fontId="2" type="noConversion"/>
  </si>
  <si>
    <t>交易所投机保证金</t>
    <phoneticPr fontId="2" type="noConversion"/>
  </si>
  <si>
    <t>交易所保值保证金</t>
    <phoneticPr fontId="2" type="noConversion"/>
  </si>
  <si>
    <t>交易所交割保证金</t>
    <phoneticPr fontId="2" type="noConversion"/>
  </si>
  <si>
    <t>CURRENCYID</t>
    <phoneticPr fontId="2" type="noConversion"/>
  </si>
  <si>
    <t>ACCOUNTID</t>
    <phoneticPr fontId="2" type="noConversion"/>
  </si>
  <si>
    <t>#投资者交割保证金</t>
    <phoneticPr fontId="2" type="noConversion"/>
  </si>
  <si>
    <t>#交易所交割保证金</t>
    <phoneticPr fontId="2" type="noConversion"/>
  </si>
  <si>
    <t>t_investorfunddtl</t>
    <phoneticPr fontId="2" type="noConversion"/>
  </si>
  <si>
    <t>分交易所资金</t>
    <phoneticPr fontId="2" type="noConversion"/>
  </si>
  <si>
    <t>投资者资金</t>
    <phoneticPr fontId="2" type="noConversion"/>
  </si>
  <si>
    <t>t_investorfund</t>
    <phoneticPr fontId="2" type="noConversion"/>
  </si>
  <si>
    <t>CNY</t>
    <phoneticPr fontId="2" type="noConversion"/>
  </si>
  <si>
    <t xml:space="preserve">           WithDrawQuota = Deposit- Margin - Reserve - FundMortgageOut + FundMortgageMargin</t>
    <phoneticPr fontId="2" type="noConversion"/>
  </si>
  <si>
    <t xml:space="preserve">           Prepa         =  Deposit + Mortgage - Margin - FundMortgageOut + FundMortgageIn </t>
    <phoneticPr fontId="2" type="noConversion"/>
  </si>
  <si>
    <t>a.LastDeposit        + b.Actual             - b.TransFee - b.DelivFee - b.SettlementFee - b.TransferPosFee - b.StrikeFee - b.PerformFee - b.StkTransFee - b.StkSettlementFee - b.StkStrikeSettlementFee - b.StkTransferFee + a.FundIn - a.FundOut + b.OptPremiumIncome - b.OptPremiumPay + b.StkStrikeActReceivSum - b.StkStrikeActPaySum + b.StkReceivSumByCash - b.StkPaySumByCash ,</t>
  </si>
  <si>
    <t xml:space="preserve">                    a.LastDepositByTrade + b.CloseProfitByTrade - b.TransFee - b.DelivFee - b.SettlementFee - b.TransferPosFee - b.StrikeFee - b.PerformFee - b.StkTransFee - b.StkSettlementFee - b.StkStrikeSettlementFee - b.StkTransferFee + a.FundIn - a.FundOut + b.OptPremiumIncome - b.OptPremiumPay + b.OptStrikeProfit + b.StkStrikeActReceivSum - b.StkStrikeActPaySum + b.StkReceivSumByCash - b.StkPaySumByCash,</t>
  </si>
  <si>
    <t xml:space="preserve">                    a.LastDeposit        + b.Actual             - b.Transfee - b.DelivFee - b.SettlementFee - b.TransferPosFee - b.StrikeFee - b.PerformFee - b.StkTransFee - b.StkSettlementFee - b.StkStrikeSettlementFee - b.StkTransferFee + a.FundIn - a.FundOut + b.OptPremiumIncome - b.OptPremiumPay + b.BOptMarketValue - b.SOptMarketValue + a.Mortgage + b.StkStrikeActReceivSum - b.StkStrikeActPaySum + b.StkReceivSumByCash - b.StkPaySumByCash + a.FundMortgageIn - a.FundMortgageOut,</t>
  </si>
  <si>
    <t>deposite</t>
    <phoneticPr fontId="2" type="noConversion"/>
  </si>
  <si>
    <t>DEPOSITBYTRADE</t>
    <phoneticPr fontId="2" type="noConversion"/>
  </si>
  <si>
    <t>MARKETDEPOSIT</t>
    <phoneticPr fontId="2" type="noConversion"/>
  </si>
  <si>
    <t>MARGIN</t>
    <phoneticPr fontId="2" type="noConversion"/>
  </si>
  <si>
    <t>SMARGIN</t>
    <phoneticPr fontId="2" type="noConversion"/>
  </si>
  <si>
    <t>投资者交易手续费</t>
    <phoneticPr fontId="2" type="noConversion"/>
  </si>
  <si>
    <t>交易所交易手续费</t>
    <phoneticPr fontId="2" type="noConversion"/>
  </si>
  <si>
    <t>交易所移仓手续费</t>
    <phoneticPr fontId="2" type="noConversion"/>
  </si>
  <si>
    <t>HMARGIN</t>
    <phoneticPr fontId="2" type="noConversion"/>
  </si>
  <si>
    <t>DELIVMARGIN</t>
    <phoneticPr fontId="2" type="noConversion"/>
  </si>
  <si>
    <t>EXCHMARGIN</t>
    <phoneticPr fontId="2" type="noConversion"/>
  </si>
  <si>
    <t>EXCHSMARGIN</t>
    <phoneticPr fontId="2" type="noConversion"/>
  </si>
  <si>
    <t>EXCHHMARGIN</t>
    <phoneticPr fontId="2" type="noConversion"/>
  </si>
  <si>
    <t>EXCHDELIVMARGIN</t>
    <phoneticPr fontId="2" type="noConversion"/>
  </si>
  <si>
    <t>ACTUAL</t>
    <phoneticPr fontId="2" type="noConversion"/>
  </si>
  <si>
    <t>CLOSEPROFIT</t>
    <phoneticPr fontId="2" type="noConversion"/>
  </si>
  <si>
    <t>POSITIONPROFIT</t>
    <phoneticPr fontId="2" type="noConversion"/>
  </si>
  <si>
    <t>FLOATPROFIT</t>
    <phoneticPr fontId="2" type="noConversion"/>
  </si>
  <si>
    <t>CLOSEPROFITBYTRADE</t>
    <phoneticPr fontId="2" type="noConversion"/>
  </si>
  <si>
    <t>POSITIONPROFITBYTRADE</t>
    <phoneticPr fontId="2" type="noConversion"/>
  </si>
  <si>
    <t>TRANSFEE</t>
    <phoneticPr fontId="2" type="noConversion"/>
  </si>
  <si>
    <t>DELIVFEE</t>
    <phoneticPr fontId="2" type="noConversion"/>
  </si>
  <si>
    <t>SETTLEMENTFEE</t>
    <phoneticPr fontId="2" type="noConversion"/>
  </si>
  <si>
    <t>TRANSFERPOSFEE</t>
    <phoneticPr fontId="2" type="noConversion"/>
  </si>
  <si>
    <t>STRIKEFEE</t>
    <phoneticPr fontId="2" type="noConversion"/>
  </si>
  <si>
    <t>PERFORMFEE</t>
    <phoneticPr fontId="2" type="noConversion"/>
  </si>
  <si>
    <t>SPECMARGIN</t>
    <phoneticPr fontId="2" type="noConversion"/>
  </si>
  <si>
    <t>SPECACTUAL</t>
    <phoneticPr fontId="2" type="noConversion"/>
  </si>
  <si>
    <t>SPECFEE</t>
    <phoneticPr fontId="2" type="noConversion"/>
  </si>
  <si>
    <t>EXCHTRANSFEE</t>
    <phoneticPr fontId="2" type="noConversion"/>
  </si>
  <si>
    <t>EXCHDELIVFEE</t>
    <phoneticPr fontId="2" type="noConversion"/>
  </si>
  <si>
    <t>EXCHSETTLEMENTFEE</t>
    <phoneticPr fontId="2" type="noConversion"/>
  </si>
  <si>
    <t>EXCHTRANSFERPOSFEE</t>
    <phoneticPr fontId="2" type="noConversion"/>
  </si>
  <si>
    <t>EXCHSTRIKEFEE</t>
    <phoneticPr fontId="2" type="noConversion"/>
  </si>
  <si>
    <t>EXCHPERFORMFEE</t>
    <phoneticPr fontId="2" type="noConversion"/>
  </si>
  <si>
    <t>SPECEXCHMARGIN</t>
    <phoneticPr fontId="2" type="noConversion"/>
  </si>
  <si>
    <t>OPTPREMIUMINCOME</t>
    <phoneticPr fontId="2" type="noConversion"/>
  </si>
  <si>
    <t>OPTPREMIUMPAY</t>
    <phoneticPr fontId="2" type="noConversion"/>
  </si>
  <si>
    <t>OPTSTRIKEPROFIT</t>
    <phoneticPr fontId="2" type="noConversion"/>
  </si>
  <si>
    <t>BOPTMARKETVALUE</t>
    <phoneticPr fontId="2" type="noConversion"/>
  </si>
  <si>
    <t>SOPTMARKETVALUE</t>
    <phoneticPr fontId="2" type="noConversion"/>
  </si>
  <si>
    <t>存款额</t>
    <phoneticPr fontId="2" type="noConversion"/>
  </si>
  <si>
    <t>昨日存款额</t>
    <phoneticPr fontId="2" type="noConversion"/>
  </si>
  <si>
    <t>存款额(逐笔)</t>
    <phoneticPr fontId="2" type="noConversion"/>
  </si>
  <si>
    <t>昨日存款额(逐笔)</t>
    <phoneticPr fontId="2" type="noConversion"/>
  </si>
  <si>
    <t>结算准备金余额</t>
    <phoneticPr fontId="2" type="noConversion"/>
  </si>
  <si>
    <t>开仓准备金</t>
    <phoneticPr fontId="2" type="noConversion"/>
  </si>
  <si>
    <t>提款限额</t>
    <phoneticPr fontId="2" type="noConversion"/>
  </si>
  <si>
    <t>资金冻结</t>
    <phoneticPr fontId="2" type="noConversion"/>
  </si>
  <si>
    <t>追加保证金</t>
    <phoneticPr fontId="2" type="noConversion"/>
  </si>
  <si>
    <t>基础准备金</t>
    <phoneticPr fontId="2" type="noConversion"/>
  </si>
  <si>
    <t>最低权益标准</t>
    <phoneticPr fontId="2" type="noConversion"/>
  </si>
  <si>
    <t>质押金额</t>
    <phoneticPr fontId="2" type="noConversion"/>
  </si>
  <si>
    <t>昨日质押金额</t>
    <phoneticPr fontId="2" type="noConversion"/>
  </si>
  <si>
    <t>出金金额</t>
    <phoneticPr fontId="2" type="noConversion"/>
  </si>
  <si>
    <t>入金金额</t>
    <phoneticPr fontId="2" type="noConversion"/>
  </si>
  <si>
    <t>货币质入金额</t>
    <phoneticPr fontId="2" type="noConversion"/>
  </si>
  <si>
    <t>货币质出金额</t>
    <phoneticPr fontId="2" type="noConversion"/>
  </si>
  <si>
    <t>货币质押保证金占用</t>
    <phoneticPr fontId="2" type="noConversion"/>
  </si>
  <si>
    <t>货币质押交易所保证金占用</t>
    <phoneticPr fontId="2" type="noConversion"/>
  </si>
  <si>
    <t>利息基数</t>
    <phoneticPr fontId="2" type="noConversion"/>
  </si>
  <si>
    <t>市值权益</t>
    <phoneticPr fontId="2" type="noConversion"/>
  </si>
  <si>
    <t>DEPOSIT</t>
    <phoneticPr fontId="2" type="noConversion"/>
  </si>
  <si>
    <t>LASTDEPOSIT</t>
    <phoneticPr fontId="2" type="noConversion"/>
  </si>
  <si>
    <t>DEPOSITBYTRADE</t>
    <phoneticPr fontId="2" type="noConversion"/>
  </si>
  <si>
    <t>LASTDEPOSITBYTRADE</t>
    <phoneticPr fontId="2" type="noConversion"/>
  </si>
  <si>
    <t>REMAIN</t>
    <phoneticPr fontId="2" type="noConversion"/>
  </si>
  <si>
    <t>PREPA</t>
    <phoneticPr fontId="2" type="noConversion"/>
  </si>
  <si>
    <t>WITHDRAWQUOTA</t>
    <phoneticPr fontId="2" type="noConversion"/>
  </si>
  <si>
    <t>CREDIT</t>
    <phoneticPr fontId="2" type="noConversion"/>
  </si>
  <si>
    <t>CALLMARGIN</t>
    <phoneticPr fontId="2" type="noConversion"/>
  </si>
  <si>
    <t>RESERVE</t>
    <phoneticPr fontId="2" type="noConversion"/>
  </si>
  <si>
    <t>LOWESTINTEREST</t>
    <phoneticPr fontId="2" type="noConversion"/>
  </si>
  <si>
    <t>MORTGAGE</t>
    <phoneticPr fontId="2" type="noConversion"/>
  </si>
  <si>
    <t>LASTMORTGAGE</t>
    <phoneticPr fontId="2" type="noConversion"/>
  </si>
  <si>
    <t>FUNDOUT</t>
    <phoneticPr fontId="2" type="noConversion"/>
  </si>
  <si>
    <t>FUNDIN</t>
    <phoneticPr fontId="2" type="noConversion"/>
  </si>
  <si>
    <t>FUNDMORTGAGEIN</t>
    <phoneticPr fontId="2" type="noConversion"/>
  </si>
  <si>
    <t>FUNDMORTGAGEOUT</t>
    <phoneticPr fontId="2" type="noConversion"/>
  </si>
  <si>
    <t>LASTFUNDMORTGAGEIN</t>
    <phoneticPr fontId="2" type="noConversion"/>
  </si>
  <si>
    <t>LASTFUNDMORTGAGEOUT</t>
    <phoneticPr fontId="2" type="noConversion"/>
  </si>
  <si>
    <t>FUNDMORTGAGEMARGIN</t>
    <phoneticPr fontId="2" type="noConversion"/>
  </si>
  <si>
    <t>FUNDMORTGAGEEXCHMARGIN</t>
    <phoneticPr fontId="2" type="noConversion"/>
  </si>
  <si>
    <t>INTERESTBASE</t>
    <phoneticPr fontId="2" type="noConversion"/>
  </si>
  <si>
    <t>MARKETDEPOSIT</t>
    <phoneticPr fontId="2" type="noConversion"/>
  </si>
  <si>
    <t>FUNDMORTGAGECHANGE</t>
    <phoneticPr fontId="2" type="noConversion"/>
  </si>
  <si>
    <t>EXCHDELIVMARGIN</t>
    <phoneticPr fontId="2" type="noConversion"/>
  </si>
  <si>
    <t>ACTUAL</t>
    <phoneticPr fontId="2" type="noConversion"/>
  </si>
  <si>
    <t>CLOSEPROFIT</t>
    <phoneticPr fontId="2" type="noConversion"/>
  </si>
  <si>
    <t>POSITIONPROFIT</t>
    <phoneticPr fontId="2" type="noConversion"/>
  </si>
  <si>
    <t>FLOATPROFIT</t>
    <phoneticPr fontId="2" type="noConversion"/>
  </si>
  <si>
    <t>CLOSEPROFITBYTRADE</t>
    <phoneticPr fontId="2" type="noConversion"/>
  </si>
  <si>
    <t>POSITIONPROFITBYTRADE</t>
    <phoneticPr fontId="2" type="noConversion"/>
  </si>
  <si>
    <t>TRANSFEE</t>
    <phoneticPr fontId="2" type="noConversion"/>
  </si>
  <si>
    <t>DELIVFEE</t>
    <phoneticPr fontId="2" type="noConversion"/>
  </si>
  <si>
    <t>SETTLEMENTFEE</t>
    <phoneticPr fontId="2" type="noConversion"/>
  </si>
  <si>
    <t>TRANSFERPOSFEE</t>
    <phoneticPr fontId="2" type="noConversion"/>
  </si>
  <si>
    <t>STRIKEFEE</t>
    <phoneticPr fontId="2" type="noConversion"/>
  </si>
  <si>
    <t>PERFORMFEE</t>
    <phoneticPr fontId="2" type="noConversion"/>
  </si>
  <si>
    <t>SPECMARGIN</t>
    <phoneticPr fontId="2" type="noConversion"/>
  </si>
  <si>
    <t>SPECACTUAL</t>
    <phoneticPr fontId="2" type="noConversion"/>
  </si>
  <si>
    <t>SPECFEE</t>
    <phoneticPr fontId="2" type="noConversion"/>
  </si>
  <si>
    <t>EXCHTRANSFEE</t>
    <phoneticPr fontId="2" type="noConversion"/>
  </si>
  <si>
    <t>EXCHDELIVFEE</t>
    <phoneticPr fontId="2" type="noConversion"/>
  </si>
  <si>
    <t>EXCHSETTLEMENTFEE</t>
    <phoneticPr fontId="2" type="noConversion"/>
  </si>
  <si>
    <t>EXCHTRANSFERPOSFEE</t>
    <phoneticPr fontId="2" type="noConversion"/>
  </si>
  <si>
    <t>EXCHSTRIKEFEE</t>
    <phoneticPr fontId="2" type="noConversion"/>
  </si>
  <si>
    <t>EXCHPERFORMFEE</t>
    <phoneticPr fontId="2" type="noConversion"/>
  </si>
  <si>
    <t>SPECEXCHMARGIN</t>
    <phoneticPr fontId="2" type="noConversion"/>
  </si>
  <si>
    <t>OPTPREMIUMINCOME</t>
    <phoneticPr fontId="2" type="noConversion"/>
  </si>
  <si>
    <t>OPTPREMIUMPAY</t>
    <phoneticPr fontId="2" type="noConversion"/>
  </si>
  <si>
    <t>OPTSTRIKEPROFIT</t>
    <phoneticPr fontId="2" type="noConversion"/>
  </si>
  <si>
    <t>BOPTMARKETVALUE</t>
    <phoneticPr fontId="2" type="noConversion"/>
  </si>
  <si>
    <t>SOPTMARKETVALUE</t>
    <phoneticPr fontId="2" type="noConversion"/>
  </si>
  <si>
    <t>交易所资金</t>
    <phoneticPr fontId="2" type="noConversion"/>
  </si>
  <si>
    <t>t_brokerfund</t>
    <phoneticPr fontId="2" type="noConversion"/>
  </si>
  <si>
    <t>币种</t>
    <phoneticPr fontId="2" type="noConversion"/>
  </si>
  <si>
    <t>交易所代码</t>
  </si>
  <si>
    <t>交易日</t>
  </si>
  <si>
    <t>经纪公司代码</t>
  </si>
  <si>
    <t>经纪公司代码</t>
    <phoneticPr fontId="2" type="noConversion"/>
  </si>
  <si>
    <t>TRADINGDAY</t>
    <phoneticPr fontId="2" type="noConversion"/>
  </si>
  <si>
    <t>BROKERID</t>
    <phoneticPr fontId="2" type="noConversion"/>
  </si>
  <si>
    <t>交易所代码</t>
    <phoneticPr fontId="2" type="noConversion"/>
  </si>
  <si>
    <t>EXCHANGEID</t>
    <phoneticPr fontId="2" type="noConversion"/>
  </si>
  <si>
    <t>交易所代码</t>
    <phoneticPr fontId="2" type="noConversion"/>
  </si>
  <si>
    <t>资金账号币种</t>
    <phoneticPr fontId="2" type="noConversion"/>
  </si>
  <si>
    <t>平仓盈亏</t>
    <phoneticPr fontId="2" type="noConversion"/>
  </si>
  <si>
    <t>交割手续费</t>
    <phoneticPr fontId="2" type="noConversion"/>
  </si>
  <si>
    <t>结算手续费</t>
    <phoneticPr fontId="2" type="noConversion"/>
  </si>
  <si>
    <t>期权权利金收入</t>
    <phoneticPr fontId="2" type="noConversion"/>
  </si>
  <si>
    <t>期权权利金支出</t>
    <phoneticPr fontId="2" type="noConversion"/>
  </si>
  <si>
    <t>CNY</t>
    <phoneticPr fontId="2" type="noConversion"/>
  </si>
  <si>
    <t xml:space="preserve">  IF l_Mortgage + l_FundMortgage &gt; l_ExchMargin THEN</t>
  </si>
  <si>
    <t xml:space="preserve">          l_Remain := l_Deposit;</t>
  </si>
  <si>
    <t xml:space="preserve">        ELSE</t>
  </si>
  <si>
    <t xml:space="preserve">          l_Remain := l_Deposit - l_ExchMargin + l_Mortgage + l_FundMortgage;</t>
  </si>
  <si>
    <t>PRODUCTID</t>
  </si>
  <si>
    <t>COMMODITYID</t>
  </si>
  <si>
    <t>PRODUCTNAME</t>
  </si>
  <si>
    <t>PRODUCTCLASS</t>
  </si>
  <si>
    <t>PRODUCTLIFEPHASE</t>
  </si>
  <si>
    <t>QUOTECURRENCYID</t>
  </si>
  <si>
    <t>POSITIONMODE</t>
  </si>
  <si>
    <t>POSITIONDATETYPE</t>
  </si>
  <si>
    <t>PRICEDECIMAL</t>
  </si>
  <si>
    <t>DELIVMODE</t>
  </si>
  <si>
    <t>DELIVUNIT</t>
  </si>
  <si>
    <t>PCTDELIVTYPE</t>
  </si>
  <si>
    <t>STRIKEMODE</t>
  </si>
  <si>
    <t xml:space="preserve">SR                            </t>
  </si>
  <si>
    <t xml:space="preserve">白砂糖              </t>
  </si>
  <si>
    <t xml:space="preserve">OI                            </t>
  </si>
  <si>
    <t xml:space="preserve">菜油                </t>
  </si>
  <si>
    <t xml:space="preserve">PTA                           </t>
  </si>
  <si>
    <t xml:space="preserve">精对苯二甲酸        </t>
  </si>
  <si>
    <t>MAXMARKETORDERVOLUME</t>
  </si>
  <si>
    <t>MINMARKETORDERVOLUME</t>
  </si>
  <si>
    <t>MAXLIMITORDERVOLUME</t>
  </si>
  <si>
    <t>MINLIMITORDERVOLUME</t>
  </si>
  <si>
    <t>PRICETICK</t>
  </si>
  <si>
    <t>UNDERLYINGMULTIPLE</t>
  </si>
  <si>
    <t xml:space="preserve">白糖期权            </t>
  </si>
  <si>
    <t xml:space="preserve">白糖期权SRP         </t>
  </si>
  <si>
    <t>PTA809</t>
    <phoneticPr fontId="2" type="noConversion"/>
  </si>
  <si>
    <t>INSTRUMENTNAME</t>
  </si>
  <si>
    <t>CREATEDATE</t>
  </si>
  <si>
    <t>EXPIREDATE</t>
  </si>
  <si>
    <t>DELIVERYYEAR</t>
  </si>
  <si>
    <t>DELIVERYMONTH</t>
  </si>
  <si>
    <t>STARTDELIVDATE</t>
  </si>
  <si>
    <t>ENDDELIVDATE</t>
  </si>
  <si>
    <t>DELISTINGDATE</t>
  </si>
  <si>
    <t>BASISPRICE</t>
  </si>
  <si>
    <t>INSTLIFEPHASE</t>
  </si>
  <si>
    <t xml:space="preserve">菜油811             </t>
  </si>
  <si>
    <t>20180108</t>
  </si>
  <si>
    <t>20171101</t>
  </si>
  <si>
    <t>20181115</t>
  </si>
  <si>
    <t>20170701</t>
  </si>
  <si>
    <t>20180114</t>
  </si>
  <si>
    <t xml:space="preserve">精对苯二甲酸809     </t>
  </si>
  <si>
    <t>20170901</t>
  </si>
  <si>
    <t>20180915</t>
  </si>
  <si>
    <t xml:space="preserve">白糖7月             </t>
  </si>
  <si>
    <t>20170117</t>
  </si>
  <si>
    <t>20180713</t>
  </si>
  <si>
    <t xml:space="preserve">白砂糖809           </t>
  </si>
  <si>
    <t>OPTIONSTYPE</t>
  </si>
  <si>
    <t>STRIKEPRICE</t>
  </si>
  <si>
    <t>TARGETINSTRID</t>
  </si>
  <si>
    <t xml:space="preserve">白糖807买权         </t>
  </si>
  <si>
    <t>20170118</t>
  </si>
  <si>
    <t>20180525</t>
  </si>
  <si>
    <t xml:space="preserve">白糖期权SRP807P6400 </t>
  </si>
  <si>
    <t>20170809</t>
  </si>
  <si>
    <t>20180813</t>
  </si>
  <si>
    <t xml:space="preserve">白糖807卖权         </t>
  </si>
  <si>
    <t xml:space="preserve">白糖期权809C6500    </t>
  </si>
  <si>
    <t>ISTRADING</t>
  </si>
  <si>
    <t>BEGINDATEEXPR</t>
  </si>
  <si>
    <t>BEGINDATEEXPRNAME</t>
  </si>
  <si>
    <t>SEQUENCEID</t>
  </si>
  <si>
    <t>EXPRSETMODE</t>
  </si>
  <si>
    <t>RELATEDATEEXPR</t>
  </si>
  <si>
    <t>OPERATEDATE</t>
  </si>
  <si>
    <t>OPERATETIME</t>
  </si>
  <si>
    <t>OPN-000&lt;001TRA</t>
  </si>
  <si>
    <t>上市月前0月前1交易日</t>
  </si>
  <si>
    <t xml:space="preserve">0000_admin                                                      </t>
  </si>
  <si>
    <t>20190326</t>
  </si>
  <si>
    <t>10:51:04</t>
  </si>
  <si>
    <t>10:50:53</t>
  </si>
  <si>
    <t xml:space="preserve">0000.0000_admin                                                 </t>
  </si>
  <si>
    <t>10:51:20</t>
  </si>
  <si>
    <t>BEGINDATE</t>
  </si>
  <si>
    <t>20170630</t>
  </si>
  <si>
    <t>20170831</t>
  </si>
  <si>
    <t>20171031</t>
  </si>
  <si>
    <t>20161230</t>
  </si>
  <si>
    <t>t_exchfutmarginrate</t>
    <phoneticPr fontId="2" type="noConversion"/>
  </si>
  <si>
    <t>LONGMARGINRATIOBYMONEY</t>
  </si>
  <si>
    <t>LONGMARGINRATIOBYVOLUME</t>
  </si>
  <si>
    <t>SHORTMARGINRATIOBYMONEY</t>
  </si>
  <si>
    <t>SHORTMARGINRATIOBYVOLUME</t>
  </si>
  <si>
    <t>RATIOATTR</t>
  </si>
  <si>
    <t>SOURCEBEGINDATEEXPR</t>
  </si>
  <si>
    <t>当前交易所期货保证金率</t>
    <phoneticPr fontId="2" type="noConversion"/>
  </si>
  <si>
    <t>ISRELATIVE</t>
  </si>
  <si>
    <t>当前投资者期货合约保证金率</t>
    <phoneticPr fontId="2" type="noConversion"/>
  </si>
  <si>
    <t xml:space="preserve">SR                            </t>
    <phoneticPr fontId="2" type="noConversion"/>
  </si>
  <si>
    <t>CZCE</t>
    <phoneticPr fontId="5" type="noConversion"/>
  </si>
  <si>
    <t>交易所期货保证金率属性交易所设置到产品级别</t>
    <phoneticPr fontId="2" type="noConversion"/>
  </si>
  <si>
    <t>投资者期货保证金率属性设置到投资者级别</t>
    <phoneticPr fontId="2" type="noConversion"/>
  </si>
  <si>
    <t>comment</t>
    <phoneticPr fontId="2" type="noConversion"/>
  </si>
  <si>
    <t>comment</t>
    <phoneticPr fontId="2" type="noConversion"/>
  </si>
  <si>
    <t>comment</t>
    <phoneticPr fontId="2" type="noConversion"/>
  </si>
  <si>
    <t>comment</t>
    <phoneticPr fontId="2" type="noConversion"/>
  </si>
  <si>
    <t>期权标的合约保证金率调整设置到投资者级别</t>
    <phoneticPr fontId="2" type="noConversion"/>
  </si>
  <si>
    <t>params</t>
    <phoneticPr fontId="2" type="noConversion"/>
  </si>
  <si>
    <t>params</t>
    <phoneticPr fontId="2" type="noConversion"/>
  </si>
  <si>
    <t>params</t>
    <phoneticPr fontId="2" type="noConversion"/>
  </si>
  <si>
    <t>params</t>
    <phoneticPr fontId="2" type="noConversion"/>
  </si>
  <si>
    <t>params</t>
    <phoneticPr fontId="2" type="noConversion"/>
  </si>
  <si>
    <t>params</t>
    <phoneticPr fontId="2" type="noConversion"/>
  </si>
  <si>
    <t>params</t>
    <phoneticPr fontId="2" type="noConversion"/>
  </si>
  <si>
    <t>params</t>
    <phoneticPr fontId="2" type="noConversion"/>
  </si>
  <si>
    <t>function</t>
  </si>
  <si>
    <t>sys.checkdb</t>
  </si>
  <si>
    <t>平仓明细汇总</t>
    <phoneticPr fontId="2" type="noConversion"/>
  </si>
  <si>
    <t>params</t>
    <phoneticPr fontId="2" type="noConversion"/>
  </si>
  <si>
    <t>params</t>
    <phoneticPr fontId="2" type="noConversion"/>
  </si>
  <si>
    <t>params</t>
    <phoneticPr fontId="2" type="noConversion"/>
  </si>
  <si>
    <t>params</t>
    <phoneticPr fontId="2" type="noConversion"/>
  </si>
  <si>
    <t>params</t>
    <phoneticPr fontId="2" type="noConversion"/>
  </si>
  <si>
    <t>comment</t>
    <phoneticPr fontId="2" type="noConversion"/>
  </si>
  <si>
    <t>t_invstinstrsettleinfo</t>
    <phoneticPr fontId="2" type="noConversion"/>
  </si>
  <si>
    <t>sys.checkdb</t>
    <phoneticPr fontId="2" type="noConversion"/>
  </si>
  <si>
    <t>sys.checkdb</t>
    <phoneticPr fontId="2" type="noConversion"/>
  </si>
  <si>
    <t>instrumentid</t>
    <phoneticPr fontId="2" type="noConversion"/>
  </si>
  <si>
    <t>currdelta</t>
    <phoneticPr fontId="2" type="noConversion"/>
  </si>
  <si>
    <t>今收盘</t>
    <phoneticPr fontId="2" type="noConversion"/>
  </si>
  <si>
    <t>今虚实度</t>
    <phoneticPr fontId="2" type="noConversion"/>
  </si>
  <si>
    <t>经纪公司代码</t>
    <phoneticPr fontId="2" type="noConversion"/>
  </si>
  <si>
    <t>#执行价格</t>
    <phoneticPr fontId="2" type="noConversion"/>
  </si>
  <si>
    <t>#标的合约结算价格</t>
    <phoneticPr fontId="2" type="noConversion"/>
  </si>
  <si>
    <t>t_settlementprice</t>
    <phoneticPr fontId="2" type="noConversion"/>
  </si>
  <si>
    <t>comment</t>
    <phoneticPr fontId="2" type="noConversion"/>
  </si>
  <si>
    <t>comment</t>
    <phoneticPr fontId="2" type="noConversion"/>
  </si>
  <si>
    <t>持仓汇总</t>
    <phoneticPr fontId="2" type="noConversion"/>
  </si>
  <si>
    <t>comment</t>
    <phoneticPr fontId="2" type="noConversion"/>
  </si>
  <si>
    <t>POSIDIRECTION</t>
  </si>
  <si>
    <t>LASTSETTLEMENTPRICE</t>
  </si>
  <si>
    <t>SETTLEMENTPRICE</t>
  </si>
  <si>
    <t>POSITIONPROFITBYDATE</t>
  </si>
  <si>
    <t>投资单元代码</t>
  </si>
  <si>
    <t>合约代码</t>
  </si>
  <si>
    <t>投机套保标志</t>
  </si>
  <si>
    <t>多空方向</t>
  </si>
  <si>
    <t>数量</t>
  </si>
  <si>
    <t>昨结算价</t>
  </si>
  <si>
    <t>结算价</t>
  </si>
  <si>
    <t>逐日盯市持仓盈亏</t>
  </si>
  <si>
    <t>逐笔对冲持仓盈亏</t>
  </si>
  <si>
    <t>投资者保证金</t>
  </si>
  <si>
    <t>交易所保证金</t>
  </si>
  <si>
    <t>合约数量乘数</t>
  </si>
  <si>
    <t xml:space="preserve">  currencyid  
</t>
    <phoneticPr fontId="2" type="noConversion"/>
  </si>
  <si>
    <t xml:space="preserve">  currencyid </t>
    <phoneticPr fontId="2" type="noConversion"/>
  </si>
  <si>
    <t>#类型</t>
    <phoneticPr fontId="2" type="noConversion"/>
  </si>
  <si>
    <t>#品种类型0：期货1： 期权</t>
    <phoneticPr fontId="2" type="noConversion"/>
  </si>
  <si>
    <t>#交易所手续费率按手数</t>
    <phoneticPr fontId="5" type="noConversion"/>
  </si>
  <si>
    <t>#投资者手续费率按手数</t>
    <phoneticPr fontId="5" type="noConversion"/>
  </si>
  <si>
    <t>#投资者手续费率按金额</t>
    <phoneticPr fontId="5" type="noConversion"/>
  </si>
  <si>
    <t>#是否特殊品种</t>
    <phoneticPr fontId="2" type="noConversion"/>
  </si>
  <si>
    <t>交割盈亏</t>
    <phoneticPr fontId="2" type="noConversion"/>
  </si>
  <si>
    <t>comment</t>
    <phoneticPr fontId="2" type="noConversion"/>
  </si>
  <si>
    <t>comment</t>
    <phoneticPr fontId="2" type="noConversion"/>
  </si>
  <si>
    <t>行权10000092合约 行权和弃权是两条记录，测试一条成交多次行权和弃权情况，结算文件中体现，用例中是据结算汇总后的</t>
    <phoneticPr fontId="2" type="noConversion"/>
  </si>
  <si>
    <t>产品分段</t>
    <phoneticPr fontId="2" type="noConversion"/>
  </si>
  <si>
    <t>comment</t>
    <phoneticPr fontId="2" type="noConversion"/>
  </si>
  <si>
    <t>comment</t>
    <phoneticPr fontId="2" type="noConversion"/>
  </si>
  <si>
    <t>组合类型</t>
    <phoneticPr fontId="2" type="noConversion"/>
  </si>
  <si>
    <t>合约乘数</t>
    <phoneticPr fontId="2" type="noConversion"/>
  </si>
  <si>
    <t>开仓价</t>
    <phoneticPr fontId="2" type="noConversion"/>
  </si>
  <si>
    <t>逐日盯市平仓盈亏</t>
    <phoneticPr fontId="2" type="noConversion"/>
  </si>
  <si>
    <t>逐笔对冲平仓盈亏</t>
    <phoneticPr fontId="2" type="noConversion"/>
  </si>
  <si>
    <t>客户编码</t>
    <phoneticPr fontId="2" type="noConversion"/>
  </si>
  <si>
    <t>#成交类型</t>
    <phoneticPr fontId="2" type="noConversion"/>
  </si>
  <si>
    <t>orgtradeid</t>
    <phoneticPr fontId="2" type="noConversion"/>
  </si>
  <si>
    <t>opendate</t>
    <phoneticPr fontId="2" type="noConversion"/>
  </si>
  <si>
    <t>volumemultiple</t>
    <phoneticPr fontId="2" type="noConversion"/>
  </si>
  <si>
    <t>offsetflag</t>
    <phoneticPr fontId="2" type="noConversion"/>
  </si>
  <si>
    <t>posidirection</t>
    <phoneticPr fontId="2" type="noConversion"/>
  </si>
  <si>
    <t>hedgeflag</t>
    <phoneticPr fontId="2" type="noConversion"/>
  </si>
  <si>
    <t>volume</t>
    <phoneticPr fontId="2" type="noConversion"/>
  </si>
  <si>
    <t>openprice</t>
    <phoneticPr fontId="2" type="noConversion"/>
  </si>
  <si>
    <t>closeprice</t>
    <phoneticPr fontId="2" type="noConversion"/>
  </si>
  <si>
    <t>lastsettlementprice</t>
    <phoneticPr fontId="2" type="noConversion"/>
  </si>
  <si>
    <t>settlementprice</t>
    <phoneticPr fontId="2" type="noConversion"/>
  </si>
  <si>
    <t>closeprofitbydate</t>
    <phoneticPr fontId="2" type="noConversion"/>
  </si>
  <si>
    <t>closeprofitbytrade</t>
    <phoneticPr fontId="2" type="noConversion"/>
  </si>
  <si>
    <t>brokerid</t>
    <phoneticPr fontId="2" type="noConversion"/>
  </si>
  <si>
    <t>clientid</t>
    <phoneticPr fontId="2" type="noConversion"/>
  </si>
  <si>
    <t>#成交类型</t>
    <phoneticPr fontId="2" type="noConversion"/>
  </si>
  <si>
    <t>BMARGIN</t>
    <phoneticPr fontId="2" type="noConversion"/>
  </si>
  <si>
    <t>EXCHBMARGIN</t>
    <phoneticPr fontId="2" type="noConversion"/>
  </si>
  <si>
    <t>行权类型0：行1：弃权2：不行权</t>
    <phoneticPr fontId="2" type="noConversion"/>
  </si>
  <si>
    <t>买看涨行权后对应标的合约 买期货开仓，卖看涨行权后对应卖期货开仓， 买看跌行权后对应卖期货开仓，卖看跌期权行权后对应买期货开仓</t>
    <phoneticPr fontId="2" type="noConversion"/>
  </si>
  <si>
    <t>仓单折抵，折抵净卖持仓保证金</t>
    <phoneticPr fontId="2" type="noConversion"/>
  </si>
  <si>
    <t>#方向</t>
    <phoneticPr fontId="2" type="noConversion"/>
  </si>
  <si>
    <t>结算日期</t>
    <phoneticPr fontId="2" type="noConversion"/>
  </si>
  <si>
    <t>交割日期</t>
    <phoneticPr fontId="2" type="noConversion"/>
  </si>
  <si>
    <t>投资单元代码</t>
    <phoneticPr fontId="2" type="noConversion"/>
  </si>
  <si>
    <t>投资者资金账号</t>
    <phoneticPr fontId="2" type="noConversion"/>
  </si>
  <si>
    <t>投资者资金账号币种</t>
    <phoneticPr fontId="2" type="noConversion"/>
  </si>
  <si>
    <t>合约代码</t>
    <phoneticPr fontId="2" type="noConversion"/>
  </si>
  <si>
    <t>投机套保标志</t>
    <phoneticPr fontId="2" type="noConversion"/>
  </si>
  <si>
    <t>多空方向</t>
    <phoneticPr fontId="2" type="noConversion"/>
  </si>
  <si>
    <t>交割价格</t>
    <phoneticPr fontId="2" type="noConversion"/>
  </si>
  <si>
    <t>合约数量乘数</t>
    <phoneticPr fontId="2" type="noConversion"/>
  </si>
  <si>
    <t>投资者交割盈亏（逐日）</t>
    <phoneticPr fontId="2" type="noConversion"/>
  </si>
  <si>
    <t>投资者交割盈亏（逐笔）</t>
    <phoneticPr fontId="2" type="noConversion"/>
  </si>
  <si>
    <t>成本</t>
    <phoneticPr fontId="2" type="noConversion"/>
  </si>
  <si>
    <t>合约到期日</t>
    <phoneticPr fontId="2" type="noConversion"/>
  </si>
  <si>
    <t>交割类型</t>
    <phoneticPr fontId="2" type="noConversion"/>
  </si>
  <si>
    <t>SETTLEMENTDATE</t>
    <phoneticPr fontId="2" type="noConversion"/>
  </si>
  <si>
    <t>DELIVERYDATE</t>
    <phoneticPr fontId="2" type="noConversion"/>
  </si>
  <si>
    <t>INVESTORID</t>
    <phoneticPr fontId="2" type="noConversion"/>
  </si>
  <si>
    <t>INVESTUNITID</t>
    <phoneticPr fontId="2" type="noConversion"/>
  </si>
  <si>
    <t>POSIDIRECTION</t>
    <phoneticPr fontId="2" type="noConversion"/>
  </si>
  <si>
    <t>VOLUME</t>
    <phoneticPr fontId="2" type="noConversion"/>
  </si>
  <si>
    <t>DELIVERYPRICE</t>
    <phoneticPr fontId="2" type="noConversion"/>
  </si>
  <si>
    <t>DELIVPROFITBYDATE</t>
    <phoneticPr fontId="2" type="noConversion"/>
  </si>
  <si>
    <t>DELIVPROFITBYTRADE</t>
    <phoneticPr fontId="2" type="noConversion"/>
  </si>
  <si>
    <t>AVGCOST</t>
    <phoneticPr fontId="2" type="noConversion"/>
  </si>
  <si>
    <t>EXPIREDATE</t>
    <phoneticPr fontId="2" type="noConversion"/>
  </si>
  <si>
    <t>DELIVERYTYPE</t>
    <phoneticPr fontId="2" type="noConversion"/>
  </si>
  <si>
    <t>t_investortradefeedtl</t>
    <phoneticPr fontId="2" type="noConversion"/>
  </si>
  <si>
    <t>t_investorclosedtl</t>
    <phoneticPr fontId="2" type="noConversion"/>
  </si>
  <si>
    <t>t_invstpositioncomdtl</t>
    <phoneticPr fontId="2" type="noConversion"/>
  </si>
  <si>
    <t>t_invstpositiondtl</t>
    <phoneticPr fontId="2" type="noConversion"/>
  </si>
  <si>
    <t>t_investordelivprofit</t>
    <phoneticPr fontId="2" type="noConversion"/>
  </si>
  <si>
    <t>params</t>
    <phoneticPr fontId="2" type="noConversion"/>
  </si>
  <si>
    <t>params</t>
    <phoneticPr fontId="2" type="noConversion"/>
  </si>
  <si>
    <t>投资者结算按金额</t>
    <phoneticPr fontId="2" type="noConversion"/>
  </si>
  <si>
    <t>投资者结算按手数</t>
    <phoneticPr fontId="2" type="noConversion"/>
  </si>
  <si>
    <t>#结算手续费率按金额</t>
    <phoneticPr fontId="2" type="noConversion"/>
  </si>
  <si>
    <t>#结算手续费率按手数</t>
    <phoneticPr fontId="2" type="noConversion"/>
  </si>
  <si>
    <t>#投资者结算手续费</t>
    <phoneticPr fontId="2" type="noConversion"/>
  </si>
  <si>
    <t>SETTLERATIOBYMONEY</t>
  </si>
  <si>
    <t>SETTLERATIOBYVOLUME</t>
  </si>
  <si>
    <t>params</t>
  </si>
  <si>
    <t>params</t>
    <phoneticPr fontId="2" type="noConversion"/>
  </si>
  <si>
    <t>params</t>
    <phoneticPr fontId="2" type="noConversion"/>
  </si>
  <si>
    <t>CLOSEDEALTYPE</t>
  </si>
  <si>
    <t>SPECPRODUCTTYPE</t>
  </si>
  <si>
    <t>MORTGAGEFUNDUSERANGE</t>
  </si>
  <si>
    <t>PRODUCTGROUPID</t>
  </si>
  <si>
    <t>params</t>
    <phoneticPr fontId="2" type="noConversion"/>
  </si>
  <si>
    <t>SPD</t>
    <phoneticPr fontId="2" type="noConversion"/>
  </si>
  <si>
    <t>PRT</t>
    <phoneticPr fontId="2" type="noConversion"/>
  </si>
  <si>
    <t>STD</t>
    <phoneticPr fontId="2" type="noConversion"/>
  </si>
  <si>
    <t>STG</t>
    <phoneticPr fontId="2" type="noConversion"/>
  </si>
  <si>
    <t>o_nRetCode</t>
    <phoneticPr fontId="2" type="noConversion"/>
  </si>
  <si>
    <t>o_varRetMsg</t>
    <phoneticPr fontId="2" type="noConversion"/>
  </si>
  <si>
    <t>BrokerID</t>
  </si>
  <si>
    <t>db.settleadmin.PKGI_DeliveryMgrt.up_InsNonExpireDelivery</t>
    <phoneticPr fontId="2" type="noConversion"/>
  </si>
  <si>
    <t>SettlementDate</t>
    <phoneticPr fontId="2" type="noConversion"/>
  </si>
  <si>
    <t>InvestorID</t>
    <phoneticPr fontId="2" type="noConversion"/>
  </si>
  <si>
    <t>DeliveryDate</t>
    <phoneticPr fontId="2" type="noConversion"/>
  </si>
  <si>
    <t>InvestUnitID</t>
    <phoneticPr fontId="2" type="noConversion"/>
  </si>
  <si>
    <t>AccountID</t>
    <phoneticPr fontId="2" type="noConversion"/>
  </si>
  <si>
    <t>CurrencyID</t>
    <phoneticPr fontId="2" type="noConversion"/>
  </si>
  <si>
    <t>ExchangeID</t>
    <phoneticPr fontId="2" type="noConversion"/>
  </si>
  <si>
    <t>InstrumentID</t>
    <phoneticPr fontId="2" type="noConversion"/>
  </si>
  <si>
    <t>HedgeFlag</t>
    <phoneticPr fontId="2" type="noConversion"/>
  </si>
  <si>
    <t>PosiDirection</t>
    <phoneticPr fontId="2" type="noConversion"/>
  </si>
  <si>
    <t>DeliveryVolume</t>
    <phoneticPr fontId="2" type="noConversion"/>
  </si>
  <si>
    <t>DeliveryPrice</t>
    <phoneticPr fontId="2" type="noConversion"/>
  </si>
  <si>
    <t>FeeAcceptStyle</t>
    <phoneticPr fontId="2" type="noConversion"/>
  </si>
  <si>
    <t>TransFee</t>
    <phoneticPr fontId="2" type="noConversion"/>
  </si>
  <si>
    <t>ExchTransFee</t>
    <phoneticPr fontId="2" type="noConversion"/>
  </si>
  <si>
    <t>i_chOperatorID</t>
    <phoneticPr fontId="2" type="noConversion"/>
  </si>
  <si>
    <t>i_chCommit</t>
    <phoneticPr fontId="2" type="noConversion"/>
  </si>
  <si>
    <t>0000.0000_admin</t>
    <phoneticPr fontId="2" type="noConversion"/>
  </si>
  <si>
    <t>comment</t>
    <phoneticPr fontId="2" type="noConversion"/>
  </si>
  <si>
    <t>手工交割</t>
    <phoneticPr fontId="2" type="noConversion"/>
  </si>
  <si>
    <t>仓单折抵</t>
    <phoneticPr fontId="2" type="noConversion"/>
  </si>
  <si>
    <t>function</t>
    <phoneticPr fontId="2" type="noConversion"/>
  </si>
  <si>
    <t>TradingDay</t>
    <phoneticPr fontId="2" type="noConversion"/>
  </si>
  <si>
    <t>BrokerID</t>
    <phoneticPr fontId="2" type="noConversion"/>
  </si>
  <si>
    <t>db.settleadmin.PKGI_FundChangeMgrt.up_InsInvestorEWarrantOffset</t>
    <phoneticPr fontId="2" type="noConversion"/>
  </si>
  <si>
    <t>Volume</t>
    <phoneticPr fontId="2" type="noConversion"/>
  </si>
  <si>
    <t>投资者</t>
    <phoneticPr fontId="2" type="noConversion"/>
  </si>
  <si>
    <t>资金账户</t>
    <phoneticPr fontId="2" type="noConversion"/>
  </si>
  <si>
    <t>币种</t>
    <phoneticPr fontId="2" type="noConversion"/>
  </si>
  <si>
    <t>金额</t>
    <phoneticPr fontId="2" type="noConversion"/>
  </si>
  <si>
    <t>投资者入金</t>
    <phoneticPr fontId="2" type="noConversion"/>
  </si>
  <si>
    <t>db.settleadmin.PKGI_FundChangeMgrt.up_InsO_InvestorFundChange</t>
    <phoneticPr fontId="2" type="noConversion"/>
  </si>
  <si>
    <t>params</t>
    <phoneticPr fontId="2" type="noConversion"/>
  </si>
  <si>
    <t>params</t>
    <phoneticPr fontId="2" type="noConversion"/>
  </si>
  <si>
    <t>OperateNo</t>
    <phoneticPr fontId="2" type="noConversion"/>
  </si>
  <si>
    <t>OperateType</t>
    <phoneticPr fontId="2" type="noConversion"/>
  </si>
  <si>
    <t>OperatorID</t>
    <phoneticPr fontId="2" type="noConversion"/>
  </si>
  <si>
    <t>OperateDate</t>
    <phoneticPr fontId="2" type="noConversion"/>
  </si>
  <si>
    <t>OperateTime</t>
    <phoneticPr fontId="2" type="noConversion"/>
  </si>
  <si>
    <t>CheckerID</t>
    <phoneticPr fontId="2" type="noConversion"/>
  </si>
  <si>
    <t>CheckDate</t>
    <phoneticPr fontId="2" type="noConversion"/>
  </si>
  <si>
    <t>CheckTime</t>
    <phoneticPr fontId="2" type="noConversion"/>
  </si>
  <si>
    <t>CheckComment</t>
    <phoneticPr fontId="2" type="noConversion"/>
  </si>
  <si>
    <t>ProcessStatus</t>
    <phoneticPr fontId="2" type="noConversion"/>
  </si>
  <si>
    <t>BusinessSeqNo</t>
    <phoneticPr fontId="2" type="noConversion"/>
  </si>
  <si>
    <t>BillNo</t>
    <phoneticPr fontId="2" type="noConversion"/>
  </si>
  <si>
    <t>FundIOType</t>
    <phoneticPr fontId="2" type="noConversion"/>
  </si>
  <si>
    <t>FundType</t>
    <phoneticPr fontId="2" type="noConversion"/>
  </si>
  <si>
    <t>FundDirection</t>
    <phoneticPr fontId="2" type="noConversion"/>
  </si>
  <si>
    <t>BankFlag</t>
    <phoneticPr fontId="2" type="noConversion"/>
  </si>
  <si>
    <t>Deposite</t>
    <phoneticPr fontId="2" type="noConversion"/>
  </si>
  <si>
    <t>OperationMemo</t>
    <phoneticPr fontId="2" type="noConversion"/>
  </si>
  <si>
    <t>银行存款 入金(人民币)</t>
    <phoneticPr fontId="2" type="noConversion"/>
  </si>
  <si>
    <t>FundStatus</t>
    <phoneticPr fontId="2" type="noConversion"/>
  </si>
  <si>
    <t>CommandNo</t>
    <phoneticPr fontId="2" type="noConversion"/>
  </si>
  <si>
    <t>FundProjectID</t>
    <phoneticPr fontId="2" type="noConversion"/>
  </si>
  <si>
    <t>OrgVersionNo</t>
    <phoneticPr fontId="2" type="noConversion"/>
  </si>
  <si>
    <t>VersionNo</t>
    <phoneticPr fontId="2" type="noConversion"/>
  </si>
  <si>
    <t>ClientID</t>
    <phoneticPr fontId="2" type="noConversion"/>
  </si>
  <si>
    <t>DataSource</t>
    <phoneticPr fontId="2" type="noConversion"/>
  </si>
  <si>
    <t>经纪公司</t>
    <phoneticPr fontId="2" type="noConversion"/>
  </si>
  <si>
    <t>db.settleadmin.PKGI_FundChangeMgrt.up_CheckO_InvestorFundChange</t>
    <phoneticPr fontId="2" type="noConversion"/>
  </si>
  <si>
    <t>0000_admin</t>
    <phoneticPr fontId="2" type="noConversion"/>
  </si>
  <si>
    <t>汇率</t>
    <phoneticPr fontId="2" type="noConversion"/>
  </si>
  <si>
    <t>投资者货币质押折扣率</t>
    <phoneticPr fontId="2" type="noConversion"/>
  </si>
  <si>
    <t>交易所货币质押折扣率</t>
    <phoneticPr fontId="2" type="noConversion"/>
  </si>
  <si>
    <t>USD-&gt;CNY</t>
    <phoneticPr fontId="2" type="noConversion"/>
  </si>
  <si>
    <t>CNY-&gt;USD</t>
    <phoneticPr fontId="2" type="noConversion"/>
  </si>
  <si>
    <t>行存款 入金(人民币)</t>
    <phoneticPr fontId="2" type="noConversion"/>
  </si>
  <si>
    <t>行存款 入金(美元)</t>
    <phoneticPr fontId="2" type="noConversion"/>
  </si>
  <si>
    <t>comment</t>
    <phoneticPr fontId="2" type="noConversion"/>
  </si>
  <si>
    <t xml:space="preserve">commentCNY 入金 </t>
    <phoneticPr fontId="2" type="noConversion"/>
  </si>
  <si>
    <t>commentCNY 入金 复核</t>
    <phoneticPr fontId="2" type="noConversion"/>
  </si>
  <si>
    <t xml:space="preserve">commentCUSD 入金 </t>
    <phoneticPr fontId="2" type="noConversion"/>
  </si>
  <si>
    <t>commentUSD 入金 复核</t>
    <phoneticPr fontId="2" type="noConversion"/>
  </si>
  <si>
    <t xml:space="preserve">commentCNY 出金 </t>
    <phoneticPr fontId="2" type="noConversion"/>
  </si>
  <si>
    <t>commentCNY 出金  复核</t>
    <phoneticPr fontId="2" type="noConversion"/>
  </si>
  <si>
    <t xml:space="preserve">commentUSD 出金 </t>
    <phoneticPr fontId="2" type="noConversion"/>
  </si>
  <si>
    <t>银行存款 入金(美元)</t>
    <phoneticPr fontId="2" type="noConversion"/>
  </si>
  <si>
    <t>银行存款 入金(美元)</t>
    <phoneticPr fontId="2" type="noConversion"/>
  </si>
  <si>
    <t>行存款 出金(人民币)</t>
    <phoneticPr fontId="2" type="noConversion"/>
  </si>
  <si>
    <t>行存款 出金(美元)</t>
    <phoneticPr fontId="2" type="noConversion"/>
  </si>
  <si>
    <t>银行存款 出金(人民币)</t>
    <phoneticPr fontId="2" type="noConversion"/>
  </si>
  <si>
    <t>银行存款 出金(人民币)</t>
    <phoneticPr fontId="2" type="noConversion"/>
  </si>
  <si>
    <t>银行存款 出金(美元)</t>
    <phoneticPr fontId="2" type="noConversion"/>
  </si>
  <si>
    <t>USD 出金  复核</t>
    <phoneticPr fontId="2" type="noConversion"/>
  </si>
  <si>
    <t>comment</t>
    <phoneticPr fontId="2" type="noConversion"/>
  </si>
  <si>
    <t>t_investormortgage</t>
    <phoneticPr fontId="2" type="noConversion"/>
  </si>
  <si>
    <t>params</t>
    <phoneticPr fontId="2" type="noConversion"/>
  </si>
  <si>
    <t>MORTGAGEID</t>
  </si>
  <si>
    <t>MORTGAGEDATE</t>
  </si>
  <si>
    <t>DISCOUNTRATE</t>
  </si>
  <si>
    <t>DEPOSIT</t>
  </si>
  <si>
    <t>USD</t>
    <phoneticPr fontId="2" type="noConversion"/>
  </si>
  <si>
    <t>#汇率usd-&gt;cny</t>
    <phoneticPr fontId="2" type="noConversion"/>
  </si>
  <si>
    <t>#折扣率USD-&gt;CNY</t>
    <phoneticPr fontId="2" type="noConversion"/>
  </si>
  <si>
    <t>FROMCURRENCYID</t>
  </si>
  <si>
    <t>FROMCURRENCYUNIT</t>
  </si>
  <si>
    <t>TOCURRENCYID</t>
  </si>
  <si>
    <t>EXCHANGERATE</t>
  </si>
  <si>
    <t xml:space="preserve">INE     </t>
  </si>
  <si>
    <t>SOURCECURRENCYID</t>
  </si>
  <si>
    <t>TARGETCURRENCYID</t>
  </si>
  <si>
    <t>params</t>
    <phoneticPr fontId="2" type="noConversion"/>
  </si>
  <si>
    <t>params</t>
    <phoneticPr fontId="2" type="noConversion"/>
  </si>
  <si>
    <t>调用SP结算</t>
    <phoneticPr fontId="2" type="noConversion"/>
  </si>
  <si>
    <t>CurrTradingDay</t>
    <phoneticPr fontId="2" type="noConversion"/>
  </si>
  <si>
    <t>SettlementStatus</t>
    <phoneticPr fontId="2" type="noConversion"/>
  </si>
  <si>
    <t>FileGenStatus</t>
    <phoneticPr fontId="2" type="noConversion"/>
  </si>
  <si>
    <t>BillGenStatus</t>
    <phoneticPr fontId="2" type="noConversion"/>
  </si>
  <si>
    <t>SettArchiveStatus</t>
    <phoneticPr fontId="2" type="noConversion"/>
  </si>
  <si>
    <t>LastSettleDate</t>
    <phoneticPr fontId="2" type="noConversion"/>
  </si>
  <si>
    <t>BackUpStatus</t>
    <phoneticPr fontId="2" type="noConversion"/>
  </si>
  <si>
    <t>InitSettlement</t>
    <phoneticPr fontId="2" type="noConversion"/>
  </si>
  <si>
    <t>ReportStatus</t>
    <phoneticPr fontId="2" type="noConversion"/>
  </si>
  <si>
    <t>SaveStatus</t>
    <phoneticPr fontId="2" type="noConversion"/>
  </si>
  <si>
    <t>OpDate</t>
    <phoneticPr fontId="2" type="noConversion"/>
  </si>
  <si>
    <t>OpTime</t>
    <phoneticPr fontId="2" type="noConversion"/>
  </si>
  <si>
    <t>投资者出入金序列号</t>
    <phoneticPr fontId="2" type="noConversion"/>
  </si>
  <si>
    <t>交易所出入金序列号</t>
    <phoneticPr fontId="2" type="noConversion"/>
  </si>
  <si>
    <t>OperateNo</t>
    <phoneticPr fontId="2" type="noConversion"/>
  </si>
  <si>
    <t>交易所资金账号</t>
    <phoneticPr fontId="2" type="noConversion"/>
  </si>
  <si>
    <t>交易所账号</t>
    <phoneticPr fontId="2" type="noConversion"/>
  </si>
  <si>
    <t>币种代码</t>
    <phoneticPr fontId="2" type="noConversion"/>
  </si>
  <si>
    <t>交易所代码</t>
    <phoneticPr fontId="2" type="noConversion"/>
  </si>
  <si>
    <t>CZCE</t>
    <phoneticPr fontId="2" type="noConversion"/>
  </si>
  <si>
    <t>交易所出入金</t>
    <phoneticPr fontId="2" type="noConversion"/>
  </si>
  <si>
    <t>function</t>
    <phoneticPr fontId="2" type="noConversion"/>
  </si>
  <si>
    <t>db.settleadmin.PKGI_FundChangeMgrt.up_InsO_ExchangeFundChange</t>
    <phoneticPr fontId="2" type="noConversion"/>
  </si>
  <si>
    <t>DepositSeqNo</t>
    <phoneticPr fontId="2" type="noConversion"/>
  </si>
  <si>
    <t>FundProjectID</t>
    <phoneticPr fontId="2" type="noConversion"/>
  </si>
  <si>
    <t>db.settleadmin.PKGI_FundChangeMgrt.up_CheckO_ExchangeFundChange</t>
    <phoneticPr fontId="2" type="noConversion"/>
  </si>
  <si>
    <t>银行存款 入金</t>
    <phoneticPr fontId="2" type="noConversion"/>
  </si>
  <si>
    <t xml:space="preserve">commentUSD 入金 </t>
    <phoneticPr fontId="2" type="noConversion"/>
  </si>
  <si>
    <t>commentCNY 出金 复核</t>
    <phoneticPr fontId="2" type="noConversion"/>
  </si>
  <si>
    <t>commentUSD 出金 复核</t>
    <phoneticPr fontId="2" type="noConversion"/>
  </si>
  <si>
    <t>银行存款 出金</t>
    <phoneticPr fontId="2" type="noConversion"/>
  </si>
  <si>
    <t>银行存款 出金(美元)</t>
    <phoneticPr fontId="2" type="noConversion"/>
  </si>
  <si>
    <t>#开仓价格</t>
    <phoneticPr fontId="2" type="noConversion"/>
  </si>
  <si>
    <t>params</t>
    <phoneticPr fontId="2" type="noConversion"/>
  </si>
  <si>
    <t>db.settleadmin.PKGI_SettleMgrt.up_ParallelSettleInputClear</t>
  </si>
  <si>
    <t>i_chOperatorID</t>
    <phoneticPr fontId="2" type="noConversion"/>
  </si>
  <si>
    <t>o_nRetCode</t>
    <phoneticPr fontId="2" type="noConversion"/>
  </si>
  <si>
    <t>o_varRetMsg</t>
    <phoneticPr fontId="2" type="noConversion"/>
  </si>
  <si>
    <t>i_chCommit</t>
    <phoneticPr fontId="2" type="noConversion"/>
  </si>
  <si>
    <t>TRADEID</t>
    <phoneticPr fontId="2" type="noConversion"/>
  </si>
  <si>
    <t>INVESTORID</t>
    <phoneticPr fontId="2" type="noConversion"/>
  </si>
  <si>
    <t>INVESTUNITID</t>
    <phoneticPr fontId="2" type="noConversion"/>
  </si>
  <si>
    <t>ACCOUNTID</t>
    <phoneticPr fontId="2" type="noConversion"/>
  </si>
  <si>
    <t>TRADINGDAY</t>
    <phoneticPr fontId="2" type="noConversion"/>
  </si>
  <si>
    <t>OPENDATE</t>
    <phoneticPr fontId="2" type="noConversion"/>
  </si>
  <si>
    <t>EXCHANGEID</t>
    <phoneticPr fontId="2" type="noConversion"/>
  </si>
  <si>
    <t>INSTRUMENTID</t>
    <phoneticPr fontId="2" type="noConversion"/>
  </si>
  <si>
    <t>POSIDIRECTION</t>
    <phoneticPr fontId="2" type="noConversion"/>
  </si>
  <si>
    <t>HEDGEFLAG</t>
    <phoneticPr fontId="2" type="noConversion"/>
  </si>
  <si>
    <t>#POSIDIRECTION</t>
    <phoneticPr fontId="2" type="noConversion"/>
  </si>
  <si>
    <t>买/卖</t>
    <phoneticPr fontId="2" type="noConversion"/>
  </si>
  <si>
    <t>#买/卖计算用</t>
    <phoneticPr fontId="2" type="noConversion"/>
  </si>
  <si>
    <t>#0期权市值</t>
    <phoneticPr fontId="2" type="noConversion"/>
  </si>
  <si>
    <t>#4期权市值</t>
    <phoneticPr fontId="2" type="noConversion"/>
  </si>
  <si>
    <t>MARGINRATEBYMONEY</t>
    <phoneticPr fontId="2" type="noConversion"/>
  </si>
  <si>
    <t>MARGINRATEBYVOLUME</t>
    <phoneticPr fontId="2" type="noConversion"/>
  </si>
  <si>
    <t>#保证金率按金额(交易所）</t>
    <phoneticPr fontId="2" type="noConversion"/>
  </si>
  <si>
    <t>#手数金额(交易所）</t>
    <phoneticPr fontId="2" type="noConversion"/>
  </si>
  <si>
    <t>VOLUMEMULTIPLE</t>
    <phoneticPr fontId="2" type="noConversion"/>
  </si>
  <si>
    <t>#期权执行价格</t>
    <phoneticPr fontId="2" type="noConversion"/>
  </si>
  <si>
    <t>SETTLEMENTPRICE</t>
    <phoneticPr fontId="2" type="noConversion"/>
  </si>
  <si>
    <t>#标的期货合约结算</t>
    <phoneticPr fontId="2" type="noConversion"/>
  </si>
  <si>
    <t>OPENPRICE</t>
    <phoneticPr fontId="2" type="noConversion"/>
  </si>
  <si>
    <t>LASTSETTLEMENTPRICE</t>
    <phoneticPr fontId="2" type="noConversion"/>
  </si>
  <si>
    <t>#虚值期权保证金优惠比率</t>
    <phoneticPr fontId="2" type="noConversion"/>
  </si>
  <si>
    <t>#最低保障系数</t>
    <phoneticPr fontId="2" type="noConversion"/>
  </si>
  <si>
    <t>#虚值额</t>
    <phoneticPr fontId="2" type="noConversion"/>
  </si>
  <si>
    <t>#看涨看跌</t>
    <phoneticPr fontId="2" type="noConversion"/>
  </si>
  <si>
    <t>#权利金1手</t>
    <phoneticPr fontId="7" type="noConversion"/>
  </si>
  <si>
    <t>#安全保障系数</t>
    <phoneticPr fontId="2" type="noConversion"/>
  </si>
  <si>
    <t>#类型期货期权</t>
    <phoneticPr fontId="2" type="noConversion"/>
  </si>
  <si>
    <t>#权利金2手</t>
  </si>
  <si>
    <t>#是否特殊品种</t>
    <phoneticPr fontId="2" type="noConversion"/>
  </si>
  <si>
    <t>#标的合约</t>
    <phoneticPr fontId="2" type="noConversion"/>
  </si>
  <si>
    <t>#辅助列期货保证金率</t>
    <phoneticPr fontId="2" type="noConversion"/>
  </si>
  <si>
    <t>经纪公司</t>
    <phoneticPr fontId="2" type="noConversion"/>
  </si>
  <si>
    <t>资金账号币种</t>
    <phoneticPr fontId="2" type="noConversion"/>
  </si>
  <si>
    <t>CURRENCYID</t>
    <phoneticPr fontId="2" type="noConversion"/>
  </si>
  <si>
    <t>客户编码</t>
    <phoneticPr fontId="2" type="noConversion"/>
  </si>
  <si>
    <t>CLIENTID</t>
    <phoneticPr fontId="2" type="noConversion"/>
  </si>
  <si>
    <t>CNY</t>
    <phoneticPr fontId="2" type="noConversion"/>
  </si>
  <si>
    <t>COMBINETYPE</t>
    <phoneticPr fontId="2" type="noConversion"/>
  </si>
  <si>
    <t>#组合合约</t>
    <phoneticPr fontId="2" type="noConversion"/>
  </si>
  <si>
    <t>#买卖（组合方向）</t>
    <phoneticPr fontId="2" type="noConversion"/>
  </si>
  <si>
    <t>TOTALAMT</t>
    <phoneticPr fontId="2" type="noConversion"/>
  </si>
  <si>
    <t>#备兑组合单腿乘数系数</t>
    <phoneticPr fontId="2" type="noConversion"/>
  </si>
  <si>
    <t>#虚值额</t>
    <phoneticPr fontId="2" type="noConversion"/>
  </si>
  <si>
    <t>#期权市值</t>
    <phoneticPr fontId="2" type="noConversion"/>
  </si>
  <si>
    <t>#类型期货期权</t>
    <phoneticPr fontId="2" type="noConversion"/>
  </si>
  <si>
    <t>#今日汇率</t>
    <phoneticPr fontId="2" type="noConversion"/>
  </si>
  <si>
    <t>#是否特殊品种</t>
    <phoneticPr fontId="2" type="noConversion"/>
  </si>
  <si>
    <t>#客户编码</t>
    <phoneticPr fontId="2" type="noConversion"/>
  </si>
  <si>
    <t>#CLIENTID</t>
    <phoneticPr fontId="2" type="noConversion"/>
  </si>
  <si>
    <t>LEFTTRADEID，RIGHTTRADEID</t>
    <phoneticPr fontId="2" type="noConversion"/>
  </si>
  <si>
    <t>LEFTINSTRUMENTID，RIGHTINSTRUMENTID</t>
    <phoneticPr fontId="2" type="noConversion"/>
  </si>
  <si>
    <t>HEDGEFLAG，RIGHTHEDGEFLAG</t>
    <phoneticPr fontId="2" type="noConversion"/>
  </si>
  <si>
    <t>POSIDIRECTION，RIGHTPOSIDIRECTION</t>
    <phoneticPr fontId="2" type="noConversion"/>
  </si>
  <si>
    <t>LMARGINRATEBYMONEY，RMARGINRATEBYMONEY</t>
    <phoneticPr fontId="2" type="noConversion"/>
  </si>
  <si>
    <t>LMARGINRATEBYVOLUME，RMARGINRATEBYVOLUME</t>
    <phoneticPr fontId="2" type="noConversion"/>
  </si>
  <si>
    <t>#期权/期货结算价格</t>
    <phoneticPr fontId="2" type="noConversion"/>
  </si>
  <si>
    <t>#标的期货合约结算</t>
    <phoneticPr fontId="2" type="noConversion"/>
  </si>
  <si>
    <t>LEFTMARGIN，RIGHTMARGIN</t>
    <phoneticPr fontId="7" type="noConversion"/>
  </si>
  <si>
    <t>LEFTEXCHMARGIN，RIGHTEXCHMARGIN</t>
    <phoneticPr fontId="7" type="noConversion"/>
  </si>
  <si>
    <t>#交易所保证金</t>
    <phoneticPr fontId="2" type="noConversion"/>
  </si>
  <si>
    <t>投资者组合保证金</t>
    <phoneticPr fontId="7" type="noConversion"/>
  </si>
  <si>
    <t>交易所组合保证金</t>
    <phoneticPr fontId="7" type="noConversion"/>
  </si>
  <si>
    <t>#投资者保证金</t>
    <phoneticPr fontId="2" type="noConversion"/>
  </si>
  <si>
    <t>#MARGIN，</t>
    <phoneticPr fontId="2" type="noConversion"/>
  </si>
  <si>
    <t>#EXCHMARGIN</t>
    <phoneticPr fontId="2" type="noConversion"/>
  </si>
  <si>
    <t>LEFTVOLUMEMULTIPLE，RIGHTVOLUMEMULTIPLE</t>
    <phoneticPr fontId="2" type="noConversion"/>
  </si>
  <si>
    <t>开仓日期</t>
    <phoneticPr fontId="2" type="noConversion"/>
  </si>
  <si>
    <t>LEFTOPENDATE，RIGHTOPENDATE</t>
    <phoneticPr fontId="2" type="noConversion"/>
  </si>
  <si>
    <t>交易日</t>
    <phoneticPr fontId="2" type="noConversion"/>
  </si>
  <si>
    <t>经纪公司</t>
    <phoneticPr fontId="2" type="noConversion"/>
  </si>
  <si>
    <t>TRADINGDAY</t>
    <phoneticPr fontId="2" type="noConversion"/>
  </si>
  <si>
    <t>BROKERID</t>
    <phoneticPr fontId="2" type="noConversion"/>
  </si>
  <si>
    <t>TRADEGROUPID</t>
    <phoneticPr fontId="2" type="noConversion"/>
  </si>
  <si>
    <t>sys.chekcdb:2to1:TRADEGROUPID</t>
    <phoneticPr fontId="2" type="noConversion"/>
  </si>
  <si>
    <t>sys.checkdb:1to2:tradetype[0,4]</t>
    <phoneticPr fontId="2" type="noConversion"/>
  </si>
  <si>
    <t>4-VOLUME</t>
    <phoneticPr fontId="2" type="noConversion"/>
  </si>
  <si>
    <t>0-VOLUME</t>
    <phoneticPr fontId="2" type="noConversion"/>
  </si>
  <si>
    <t>0-MARGIN</t>
    <phoneticPr fontId="2" type="noConversion"/>
  </si>
  <si>
    <t>0-EXCHMARGIN</t>
    <phoneticPr fontId="2" type="noConversion"/>
  </si>
  <si>
    <t>4-MARGIN</t>
    <phoneticPr fontId="2" type="noConversion"/>
  </si>
  <si>
    <t>4-EXCHMARGIN</t>
    <phoneticPr fontId="2" type="noConversion"/>
  </si>
  <si>
    <t>0-POSITIONPROFITBYDATE</t>
    <phoneticPr fontId="2" type="noConversion"/>
  </si>
  <si>
    <t>0-POSITIONPROFITBYTRADE</t>
    <phoneticPr fontId="2" type="noConversion"/>
  </si>
  <si>
    <t>4-POSITIONPROFITBYDATE</t>
    <phoneticPr fontId="2" type="noConversion"/>
  </si>
  <si>
    <t>4-POSITIONPROFITBYTRADE</t>
    <phoneticPr fontId="2" type="noConversion"/>
  </si>
  <si>
    <t>function</t>
    <phoneticPr fontId="2" type="noConversion"/>
  </si>
  <si>
    <t>sys.read</t>
    <phoneticPr fontId="2" type="noConversion"/>
  </si>
  <si>
    <t>params</t>
    <phoneticPr fontId="2" type="noConversion"/>
  </si>
  <si>
    <t>value</t>
    <phoneticPr fontId="2" type="noConversion"/>
  </si>
  <si>
    <t>return</t>
    <phoneticPr fontId="2" type="noConversion"/>
  </si>
  <si>
    <t xml:space="preserve">settlementdate </t>
    <phoneticPr fontId="2" type="noConversion"/>
  </si>
  <si>
    <t>function</t>
    <phoneticPr fontId="2" type="noConversion"/>
  </si>
  <si>
    <t>sys.read</t>
    <phoneticPr fontId="2" type="noConversion"/>
  </si>
  <si>
    <t>params</t>
    <phoneticPr fontId="2" type="noConversion"/>
  </si>
  <si>
    <t>value</t>
    <phoneticPr fontId="2" type="noConversion"/>
  </si>
  <si>
    <t>return</t>
    <phoneticPr fontId="2" type="noConversion"/>
  </si>
  <si>
    <t xml:space="preserve">
select settlementdate  From t_settledate   where brokerid='0000' and exchangeid='0000'</t>
    <phoneticPr fontId="2" type="noConversion"/>
  </si>
  <si>
    <r>
      <t>组合持仓,</t>
    </r>
    <r>
      <rPr>
        <sz val="11"/>
        <color rgb="FFFF0000"/>
        <rFont val="宋体"/>
        <family val="3"/>
        <charset val="134"/>
        <scheme val="minor"/>
      </rPr>
      <t>备兑期货仓保证金率要加上期权标的调整</t>
    </r>
    <phoneticPr fontId="2" type="noConversion"/>
  </si>
  <si>
    <t>USD</t>
    <phoneticPr fontId="2" type="noConversion"/>
  </si>
  <si>
    <t>#期货开仓买卖</t>
    <phoneticPr fontId="2" type="noConversion"/>
  </si>
  <si>
    <t>#权利金1手</t>
    <phoneticPr fontId="2" type="noConversion"/>
  </si>
  <si>
    <t>BROKERID</t>
    <phoneticPr fontId="2" type="noConversion"/>
  </si>
  <si>
    <t>交易所交割保证金率(按金额)</t>
    <phoneticPr fontId="2" type="noConversion"/>
  </si>
  <si>
    <t>comment</t>
    <phoneticPr fontId="2" type="noConversion"/>
  </si>
  <si>
    <t>comment</t>
    <phoneticPr fontId="2" type="noConversion"/>
  </si>
  <si>
    <t>comment</t>
    <phoneticPr fontId="2" type="noConversion"/>
  </si>
  <si>
    <t>comment</t>
    <phoneticPr fontId="2" type="noConversion"/>
  </si>
  <si>
    <t>仓单质押</t>
    <phoneticPr fontId="2" type="noConversion"/>
  </si>
  <si>
    <t>comment</t>
    <phoneticPr fontId="2" type="noConversion"/>
  </si>
  <si>
    <t>comment</t>
    <phoneticPr fontId="2" type="noConversion"/>
  </si>
  <si>
    <t>comment</t>
    <phoneticPr fontId="2" type="noConversion"/>
  </si>
  <si>
    <t>#腿方向</t>
    <phoneticPr fontId="2" type="noConversion"/>
  </si>
  <si>
    <t>#POSIDIRECTION，RIGHTPOSIDIRECTION</t>
    <phoneticPr fontId="2" type="noConversion"/>
  </si>
  <si>
    <t>t_investorposition</t>
    <phoneticPr fontId="2" type="noConversion"/>
  </si>
  <si>
    <t>1.0 版本，期货套保盘中开仓不收手续费</t>
    <phoneticPr fontId="2" type="noConversion"/>
  </si>
  <si>
    <t>交割保证金收取方式:'1'; --按冻结量收取,'2'; --按指定保证金收取,卖持仓交割默认不收</t>
    <phoneticPr fontId="2" type="noConversion"/>
  </si>
  <si>
    <t>PTA807&amp;PTA809</t>
    <phoneticPr fontId="2" type="noConversion"/>
  </si>
  <si>
    <t>PTA807&amp;PTA809</t>
    <phoneticPr fontId="2" type="noConversion"/>
  </si>
  <si>
    <t>期货期权成交，平仓顺序：先投机后套保，先开先平，用例中把平仓顺序列出来，测试平仓顺序可以修改用例中数量,PTA品种手工交割中套保仓按实际是先交割投机在交割套保</t>
    <phoneticPr fontId="2" type="noConversion"/>
  </si>
  <si>
    <t>昨日货币质入</t>
    <phoneticPr fontId="2" type="noConversion"/>
  </si>
  <si>
    <t>昨日货币质出金额</t>
    <phoneticPr fontId="2" type="noConversion"/>
  </si>
  <si>
    <t>交易所资金FLOATPROFIT=0, 未计算值</t>
    <phoneticPr fontId="2" type="noConversion"/>
  </si>
  <si>
    <t>期货期权成交，平仓顺序：先投机后套保，先开先平，用例中把平仓顺序列出来，测试平仓顺序可以修改用例中数量，当日开仓后平仓，平仓数量&lt;=开仓数量的，按平今费率收取</t>
    <phoneticPr fontId="2" type="noConversion"/>
  </si>
  <si>
    <t>#上日持仓量</t>
    <phoneticPr fontId="2" type="noConversion"/>
  </si>
  <si>
    <r>
      <t>组合持仓,</t>
    </r>
    <r>
      <rPr>
        <sz val="11"/>
        <color rgb="FFFF0000"/>
        <rFont val="宋体"/>
        <family val="3"/>
        <charset val="134"/>
        <scheme val="minor"/>
      </rPr>
      <t>备兑期货仓保证金率要加上期权标的调整</t>
    </r>
    <r>
      <rPr>
        <sz val="11"/>
        <color rgb="FFFF0000"/>
        <rFont val="宋体"/>
        <family val="2"/>
        <charset val="134"/>
        <scheme val="minor"/>
      </rPr>
      <t>,期权都已经到期，用例中保留后续其他合约用</t>
    </r>
    <phoneticPr fontId="2" type="noConversion"/>
  </si>
  <si>
    <t>平仓明细汇总，成交中 同一个原成交编号的数量要汇总</t>
    <phoneticPr fontId="2" type="noConversion"/>
  </si>
  <si>
    <t>comment</t>
    <phoneticPr fontId="2" type="noConversion"/>
  </si>
  <si>
    <t>Remain        = Deposit + Mortgage + FundMortgageIn - FundMortgageOut,                                    ---- 权益</t>
    <phoneticPr fontId="2" type="noConversion"/>
  </si>
  <si>
    <t>SR807</t>
    <phoneticPr fontId="2" type="noConversion"/>
  </si>
  <si>
    <t>OI811</t>
    <phoneticPr fontId="2" type="noConversion"/>
  </si>
  <si>
    <t>PTA807</t>
    <phoneticPr fontId="2" type="noConversion"/>
  </si>
  <si>
    <t xml:space="preserve"> #左右腿</t>
    <phoneticPr fontId="2" type="noConversion"/>
  </si>
  <si>
    <t>comment</t>
    <phoneticPr fontId="2" type="noConversion"/>
  </si>
  <si>
    <t xml:space="preserve">BrokerID          </t>
  </si>
  <si>
    <t xml:space="preserve">SettlementDate    </t>
  </si>
  <si>
    <t xml:space="preserve">DeliveryDate      </t>
  </si>
  <si>
    <t xml:space="preserve">InvestorID        </t>
  </si>
  <si>
    <t xml:space="preserve">InvestUnitID      </t>
  </si>
  <si>
    <t xml:space="preserve">AccountID         </t>
  </si>
  <si>
    <t xml:space="preserve">CurrencyID        </t>
  </si>
  <si>
    <t xml:space="preserve">ExchangeID        </t>
  </si>
  <si>
    <t xml:space="preserve">InstrumentID      </t>
  </si>
  <si>
    <t xml:space="preserve">HedgeFlag         </t>
  </si>
  <si>
    <t xml:space="preserve">PosiDirection     </t>
  </si>
  <si>
    <t xml:space="preserve">DelivFeeClass     </t>
  </si>
  <si>
    <t xml:space="preserve">Volume            </t>
  </si>
  <si>
    <t xml:space="preserve">CurrChargeVolume  </t>
  </si>
  <si>
    <t xml:space="preserve">ChargeVolume      </t>
  </si>
  <si>
    <t xml:space="preserve">UnChargeVolume    </t>
  </si>
  <si>
    <t xml:space="preserve">DeliveryPrice     </t>
  </si>
  <si>
    <t xml:space="preserve">VolumeMultiple    </t>
  </si>
  <si>
    <t xml:space="preserve">CommRatioByMoney  </t>
  </si>
  <si>
    <t xml:space="preserve">CommRatioByVolume </t>
  </si>
  <si>
    <t xml:space="preserve">DelivFee          </t>
  </si>
  <si>
    <t xml:space="preserve">ExpireDate        </t>
  </si>
  <si>
    <t xml:space="preserve">DeliveryType      </t>
  </si>
  <si>
    <t xml:space="preserve">DeliveryFlag      </t>
  </si>
  <si>
    <t>function</t>
    <phoneticPr fontId="2" type="noConversion"/>
  </si>
  <si>
    <t>params</t>
    <phoneticPr fontId="2" type="noConversion"/>
  </si>
  <si>
    <t>db.settleadmin.PKGI_DeliveryMgrt.up_UpdInvstWillDelivFee</t>
    <phoneticPr fontId="2" type="noConversion"/>
  </si>
  <si>
    <t>0000.0000_admin</t>
    <phoneticPr fontId="2" type="noConversion"/>
  </si>
  <si>
    <t>结算日期</t>
    <phoneticPr fontId="2" type="noConversion"/>
  </si>
  <si>
    <t>结算日期</t>
    <phoneticPr fontId="2" type="noConversion"/>
  </si>
  <si>
    <t>结算日期</t>
    <phoneticPr fontId="2" type="noConversion"/>
  </si>
  <si>
    <t>交割处理手续费</t>
    <phoneticPr fontId="2" type="noConversion"/>
  </si>
  <si>
    <t>交割处理冻结保证金</t>
    <phoneticPr fontId="2" type="noConversion"/>
  </si>
  <si>
    <t>function</t>
    <phoneticPr fontId="2" type="noConversion"/>
  </si>
  <si>
    <t>db.settleadmin.PKGI_DeliveryMgrt.up_UpdInvstWillDelivVol</t>
    <phoneticPr fontId="2" type="noConversion"/>
  </si>
  <si>
    <t>params</t>
    <phoneticPr fontId="2" type="noConversion"/>
  </si>
  <si>
    <t>币种</t>
    <phoneticPr fontId="2" type="noConversion"/>
  </si>
  <si>
    <t xml:space="preserve">InstrumentID </t>
    <phoneticPr fontId="2" type="noConversion"/>
  </si>
  <si>
    <t xml:space="preserve">ExchangeID </t>
    <phoneticPr fontId="2" type="noConversion"/>
  </si>
  <si>
    <t xml:space="preserve">CurrencyID </t>
    <phoneticPr fontId="2" type="noConversion"/>
  </si>
  <si>
    <t xml:space="preserve">AccountID </t>
    <phoneticPr fontId="2" type="noConversion"/>
  </si>
  <si>
    <t xml:space="preserve">InvestUnitID </t>
    <phoneticPr fontId="2" type="noConversion"/>
  </si>
  <si>
    <t xml:space="preserve">InvestorID </t>
    <phoneticPr fontId="2" type="noConversion"/>
  </si>
  <si>
    <t>DeliveryDate</t>
    <phoneticPr fontId="2" type="noConversion"/>
  </si>
  <si>
    <t xml:space="preserve">BrokerID </t>
    <phoneticPr fontId="2" type="noConversion"/>
  </si>
  <si>
    <t>SettlementDate</t>
    <phoneticPr fontId="2" type="noConversion"/>
  </si>
  <si>
    <t xml:space="preserve">HedgeFlag </t>
    <phoneticPr fontId="2" type="noConversion"/>
  </si>
  <si>
    <t xml:space="preserve">PosiDirection </t>
    <phoneticPr fontId="2" type="noConversion"/>
  </si>
  <si>
    <t xml:space="preserve">Volume </t>
    <phoneticPr fontId="2" type="noConversion"/>
  </si>
  <si>
    <t xml:space="preserve">CurrReleaseVolume </t>
    <phoneticPr fontId="2" type="noConversion"/>
  </si>
  <si>
    <t>ReleaseVolume</t>
    <phoneticPr fontId="2" type="noConversion"/>
  </si>
  <si>
    <t xml:space="preserve">FrozenVolume </t>
    <phoneticPr fontId="2" type="noConversion"/>
  </si>
  <si>
    <t xml:space="preserve"> DeliveryPrice </t>
    <phoneticPr fontId="2" type="noConversion"/>
  </si>
  <si>
    <t xml:space="preserve">VolumeMultiple </t>
    <phoneticPr fontId="2" type="noConversion"/>
  </si>
  <si>
    <t xml:space="preserve">Margin </t>
    <phoneticPr fontId="2" type="noConversion"/>
  </si>
  <si>
    <t xml:space="preserve">ExchMargin </t>
    <phoneticPr fontId="2" type="noConversion"/>
  </si>
  <si>
    <t xml:space="preserve">MarginRatioByMoney </t>
    <phoneticPr fontId="2" type="noConversion"/>
  </si>
  <si>
    <t xml:space="preserve">MarginRatioByVolume </t>
    <phoneticPr fontId="2" type="noConversion"/>
  </si>
  <si>
    <t xml:space="preserve"> ExchMarginRatioByMoney </t>
    <phoneticPr fontId="2" type="noConversion"/>
  </si>
  <si>
    <t xml:space="preserve">ExchMarginRatioByVolume </t>
    <phoneticPr fontId="2" type="noConversion"/>
  </si>
  <si>
    <t>ExpireDate</t>
    <phoneticPr fontId="2" type="noConversion"/>
  </si>
  <si>
    <t xml:space="preserve">DeliveryType </t>
    <phoneticPr fontId="2" type="noConversion"/>
  </si>
  <si>
    <t xml:space="preserve">DeliveryFlag </t>
    <phoneticPr fontId="2" type="noConversion"/>
  </si>
  <si>
    <t xml:space="preserve"> DelivMargStyle </t>
    <phoneticPr fontId="2" type="noConversion"/>
  </si>
  <si>
    <t>comment</t>
    <phoneticPr fontId="2" type="noConversion"/>
  </si>
  <si>
    <t>comment</t>
    <phoneticPr fontId="2" type="noConversion"/>
  </si>
  <si>
    <t>实提SR807  2手，交割完成</t>
    <phoneticPr fontId="2" type="noConversion"/>
  </si>
  <si>
    <t>实提PTA807 套保  3手，交割未完成</t>
    <phoneticPr fontId="2" type="noConversion"/>
  </si>
  <si>
    <t>经纪公司</t>
    <phoneticPr fontId="2" type="noConversion"/>
  </si>
  <si>
    <t>方向0:入 1：出</t>
    <phoneticPr fontId="2" type="noConversion"/>
  </si>
  <si>
    <t>昨日货币质出金额</t>
    <phoneticPr fontId="2" type="noConversion"/>
  </si>
  <si>
    <t>仓单质押无划线流水号问题，就直接写表</t>
    <phoneticPr fontId="2" type="noConversion"/>
  </si>
  <si>
    <t>集中交割明细</t>
    <phoneticPr fontId="2" type="noConversion"/>
  </si>
  <si>
    <t>成交编号</t>
    <phoneticPr fontId="2" type="noConversion"/>
  </si>
  <si>
    <t>买卖计算</t>
    <phoneticPr fontId="2" type="noConversion"/>
  </si>
  <si>
    <t>合约代码</t>
    <phoneticPr fontId="2" type="noConversion"/>
  </si>
  <si>
    <t>合约乘数</t>
    <phoneticPr fontId="2" type="noConversion"/>
  </si>
  <si>
    <t>CNY</t>
    <phoneticPr fontId="2" type="noConversion"/>
  </si>
  <si>
    <t>CNY</t>
    <phoneticPr fontId="2" type="noConversion"/>
  </si>
  <si>
    <t>#到期日</t>
    <phoneticPr fontId="2" type="noConversion"/>
  </si>
  <si>
    <t>质押金额，质押金额为0.</t>
    <phoneticPr fontId="2" type="noConversion"/>
  </si>
  <si>
    <t>仓单折抵，删除折抵</t>
    <phoneticPr fontId="2" type="noConversion"/>
  </si>
  <si>
    <t>comment</t>
    <phoneticPr fontId="2" type="noConversion"/>
  </si>
  <si>
    <t>comment</t>
    <phoneticPr fontId="2" type="noConversion"/>
  </si>
  <si>
    <t xml:space="preserve">TradingDay </t>
  </si>
  <si>
    <t xml:space="preserve">BrokerID </t>
  </si>
  <si>
    <t xml:space="preserve">ExchangeID </t>
  </si>
  <si>
    <t>InvestorID</t>
  </si>
  <si>
    <t>InvestUnitID</t>
  </si>
  <si>
    <t xml:space="preserve">AccountID </t>
  </si>
  <si>
    <t>CurrencyID</t>
  </si>
  <si>
    <t>InstrumentID</t>
  </si>
  <si>
    <t xml:space="preserve">PosiDirection </t>
  </si>
  <si>
    <t>HedgeFlag</t>
  </si>
  <si>
    <t xml:space="preserve">Volume </t>
  </si>
  <si>
    <t>function</t>
    <phoneticPr fontId="2" type="noConversion"/>
  </si>
  <si>
    <t>db.settleadmin.PKGI_FundChangeMgrt.up_DelInvestorEWarrantOffset</t>
    <phoneticPr fontId="2" type="noConversion"/>
  </si>
  <si>
    <t>params</t>
    <phoneticPr fontId="2" type="noConversion"/>
  </si>
  <si>
    <t>params</t>
    <phoneticPr fontId="2" type="noConversion"/>
  </si>
  <si>
    <t>i_chOperatorID</t>
    <phoneticPr fontId="2" type="noConversion"/>
  </si>
  <si>
    <t>o_nRetCode</t>
    <phoneticPr fontId="2" type="noConversion"/>
  </si>
  <si>
    <t>o_varRetMsg</t>
    <phoneticPr fontId="2" type="noConversion"/>
  </si>
  <si>
    <t>i_chCommit</t>
    <phoneticPr fontId="2" type="noConversion"/>
  </si>
  <si>
    <t>DELIVFEE</t>
    <phoneticPr fontId="2" type="noConversion"/>
  </si>
  <si>
    <t>SETTLEMENTFEE</t>
    <phoneticPr fontId="2" type="noConversion"/>
  </si>
  <si>
    <t>t_investordelivprofit</t>
    <phoneticPr fontId="2" type="noConversion"/>
  </si>
  <si>
    <t>成本</t>
    <phoneticPr fontId="2" type="noConversion"/>
  </si>
  <si>
    <t>comment</t>
    <phoneticPr fontId="2" type="noConversion"/>
  </si>
  <si>
    <t>function</t>
    <phoneticPr fontId="7" type="noConversion"/>
  </si>
  <si>
    <t>params</t>
    <phoneticPr fontId="7" type="noConversion"/>
  </si>
  <si>
    <t>filename</t>
    <phoneticPr fontId="7" type="noConversion"/>
  </si>
  <si>
    <t>t_invstfutcommrate</t>
    <phoneticPr fontId="2" type="noConversion"/>
  </si>
  <si>
    <t>t_invstoptcommrate</t>
    <phoneticPr fontId="2" type="noConversion"/>
  </si>
  <si>
    <t>t_exchangesettleparam</t>
    <phoneticPr fontId="2" type="noConversion"/>
  </si>
  <si>
    <t>PRODUCTID</t>
    <phoneticPr fontId="2" type="noConversion"/>
  </si>
  <si>
    <t>t_instrumenttradeattr</t>
    <phoneticPr fontId="2" type="noConversion"/>
  </si>
  <si>
    <t>t_productliferule</t>
    <phoneticPr fontId="2" type="noConversion"/>
  </si>
  <si>
    <t>t_instrumentexprdate</t>
    <phoneticPr fontId="2" type="noConversion"/>
  </si>
  <si>
    <t>t_invstoptmarginrateul</t>
    <phoneticPr fontId="2" type="noConversion"/>
  </si>
  <si>
    <t>T_EXCHANGERATE</t>
    <phoneticPr fontId="2" type="noConversion"/>
  </si>
  <si>
    <t>MORTGAGENAME</t>
  </si>
  <si>
    <t>PRICERANGE</t>
  </si>
  <si>
    <t>INTERESTRATE</t>
  </si>
  <si>
    <t>MORTGAGEUNIT</t>
  </si>
  <si>
    <t>params</t>
    <phoneticPr fontId="2" type="noConversion"/>
  </si>
  <si>
    <t>params</t>
    <phoneticPr fontId="2" type="noConversion"/>
  </si>
  <si>
    <t>params</t>
    <phoneticPr fontId="2" type="noConversion"/>
  </si>
  <si>
    <t>t_futinstrument</t>
    <phoneticPr fontId="2" type="noConversion"/>
  </si>
  <si>
    <t>INSTRUMENTID</t>
    <phoneticPr fontId="2" type="noConversion"/>
  </si>
  <si>
    <t>DELIVERYMONTH</t>
    <phoneticPr fontId="2" type="noConversion"/>
  </si>
  <si>
    <t>UNDERLYINGMULTIPLE</t>
    <phoneticPr fontId="2" type="noConversion"/>
  </si>
  <si>
    <t>t_currexchfutmarginrate</t>
    <phoneticPr fontId="2" type="noConversion"/>
  </si>
  <si>
    <t>t_invstfutmarginrate</t>
    <phoneticPr fontId="2" type="noConversion"/>
  </si>
  <si>
    <t>t_invstfutsettlecommrate</t>
    <phoneticPr fontId="2" type="noConversion"/>
  </si>
  <si>
    <t>T_SPECDEALPRODUCT</t>
    <phoneticPr fontId="2" type="noConversion"/>
  </si>
  <si>
    <t>t_investoroptstrike</t>
    <phoneticPr fontId="2" type="noConversion"/>
  </si>
  <si>
    <t>t_settlementprice</t>
    <phoneticPr fontId="2" type="noConversion"/>
  </si>
  <si>
    <t>t_invstwilldelivvol</t>
    <phoneticPr fontId="2" type="noConversion"/>
  </si>
  <si>
    <t>OPENDATE</t>
    <phoneticPr fontId="2" type="noConversion"/>
  </si>
  <si>
    <t>#开仓价格</t>
    <phoneticPr fontId="2" type="noConversion"/>
  </si>
  <si>
    <t>t_invstpositiondtl</t>
    <phoneticPr fontId="2" type="noConversion"/>
  </si>
  <si>
    <t>t_investorewarrantoffset</t>
    <phoneticPr fontId="2" type="noConversion"/>
  </si>
  <si>
    <t>t_investorposition</t>
    <phoneticPr fontId="2" type="noConversion"/>
  </si>
  <si>
    <t>params</t>
    <phoneticPr fontId="2" type="noConversion"/>
  </si>
  <si>
    <t>comment</t>
    <phoneticPr fontId="2" type="noConversion"/>
  </si>
  <si>
    <t>#类型期货期权</t>
    <phoneticPr fontId="2" type="noConversion"/>
  </si>
  <si>
    <t>settlementprice</t>
    <phoneticPr fontId="2" type="noConversion"/>
  </si>
  <si>
    <t>#开仓价格</t>
    <phoneticPr fontId="2" type="noConversion"/>
  </si>
  <si>
    <t>#左右腿</t>
    <phoneticPr fontId="2" type="noConversion"/>
  </si>
  <si>
    <t xml:space="preserve"> #左右腿</t>
    <phoneticPr fontId="2" type="noConversion"/>
  </si>
  <si>
    <t>PTAC</t>
    <phoneticPr fontId="2" type="noConversion"/>
  </si>
  <si>
    <t>PTA807&amp;PTA807C6500</t>
    <phoneticPr fontId="2" type="noConversion"/>
  </si>
  <si>
    <t>PTA807&amp;PTA807C6500</t>
    <phoneticPr fontId="2" type="noConversion"/>
  </si>
  <si>
    <t xml:space="preserve">精对苯二甲酸        </t>
    <phoneticPr fontId="2" type="noConversion"/>
  </si>
  <si>
    <t>精对苯二甲酸期权</t>
    <phoneticPr fontId="2" type="noConversion"/>
  </si>
  <si>
    <t xml:space="preserve">精对苯二甲酸807     </t>
    <phoneticPr fontId="2" type="noConversion"/>
  </si>
  <si>
    <t xml:space="preserve">精对苯二甲酸807 </t>
    <phoneticPr fontId="2" type="noConversion"/>
  </si>
  <si>
    <t xml:space="preserve">精对苯二甲酸807 </t>
    <phoneticPr fontId="2" type="noConversion"/>
  </si>
  <si>
    <t>PTA807C6500&amp;PTA807P6500</t>
    <phoneticPr fontId="2" type="noConversion"/>
  </si>
  <si>
    <t>PTA807C6500&amp;PTA807P6500</t>
    <phoneticPr fontId="2" type="noConversion"/>
  </si>
  <si>
    <t>PTA807C6500&amp;PTA807P6200</t>
    <phoneticPr fontId="2" type="noConversion"/>
  </si>
  <si>
    <t>PRT</t>
    <phoneticPr fontId="2" type="noConversion"/>
  </si>
  <si>
    <t>#开仓价格</t>
    <phoneticPr fontId="2" type="noConversion"/>
  </si>
  <si>
    <t>sys.initdb</t>
  </si>
  <si>
    <t>sys.initdb</t>
    <phoneticPr fontId="2" type="noConversion"/>
  </si>
  <si>
    <t>currentseqno</t>
    <phoneticPr fontId="2" type="noConversion"/>
  </si>
  <si>
    <t>USD</t>
    <phoneticPr fontId="2" type="noConversion"/>
  </si>
  <si>
    <t>#特殊权利金收入</t>
    <phoneticPr fontId="2" type="noConversion"/>
  </si>
  <si>
    <t>#特殊权利金收入</t>
    <phoneticPr fontId="2" type="noConversion"/>
  </si>
  <si>
    <t>#特殊权利金支出</t>
    <phoneticPr fontId="2" type="noConversion"/>
  </si>
  <si>
    <t>SPD</t>
    <phoneticPr fontId="2" type="noConversion"/>
  </si>
  <si>
    <t>params</t>
    <phoneticPr fontId="2" type="noConversion"/>
  </si>
  <si>
    <t>io_tyInvestorFundChange</t>
  </si>
  <si>
    <t>io_tyInvestorFundChange</t>
    <phoneticPr fontId="2" type="noConversion"/>
  </si>
  <si>
    <t>io_tyExchangeFundChange</t>
  </si>
  <si>
    <t>io_tyInvestorEWarrantOffset</t>
  </si>
  <si>
    <t xml:space="preserve">                      io_tyInvestorEWarrantOffset</t>
  </si>
  <si>
    <t>i_tyInvstWillDelivVol</t>
  </si>
  <si>
    <t>i_tyInvstWillDelivFee</t>
  </si>
  <si>
    <t>i_tyNonExpireDelivery</t>
  </si>
  <si>
    <t>#到期日</t>
    <phoneticPr fontId="2" type="noConversion"/>
  </si>
  <si>
    <t>2</t>
    <phoneticPr fontId="2" type="noConversion"/>
  </si>
  <si>
    <t>2</t>
    <phoneticPr fontId="2" type="noConversion"/>
  </si>
  <si>
    <t>20170118</t>
    <phoneticPr fontId="2" type="noConversion"/>
  </si>
  <si>
    <t>20170119</t>
    <phoneticPr fontId="2" type="noConversion"/>
  </si>
  <si>
    <t>20170801</t>
    <phoneticPr fontId="2" type="noConversion"/>
  </si>
  <si>
    <t>io_tyExchangeFundChange</t>
    <phoneticPr fontId="2" type="noConversion"/>
  </si>
  <si>
    <t>db.settleadmin.PKGI_SettleMgrt.up_ParallelSettleInputClear</t>
    <phoneticPr fontId="2" type="noConversion"/>
  </si>
  <si>
    <t xml:space="preserve">                      i_TytSettleDate</t>
    <phoneticPr fontId="2" type="noConversion"/>
  </si>
  <si>
    <t xml:space="preserve">                          i_TytSettleDate</t>
    <phoneticPr fontId="2" type="noConversion"/>
  </si>
  <si>
    <t xml:space="preserve">                           i_TytSettleDate</t>
    <phoneticPr fontId="2" type="noConversion"/>
  </si>
  <si>
    <t>db.settleadmin.PKGI_FundChangeMgrt.up_CheckO_InvestorFundChange</t>
    <phoneticPr fontId="2" type="noConversion"/>
  </si>
  <si>
    <t>20180915</t>
    <phoneticPr fontId="2" type="noConversion"/>
  </si>
  <si>
    <t>20180915</t>
    <phoneticPr fontId="2" type="noConversion"/>
  </si>
  <si>
    <t>投资者手续费每笔3位(期权2位）</t>
    <phoneticPr fontId="2" type="noConversion"/>
  </si>
  <si>
    <t>1.1 版本，套保收取手续费； 期货每笔到3位小数，期权到2位小数</t>
    <phoneticPr fontId="2" type="noConversion"/>
  </si>
  <si>
    <t>lastsettlementprice</t>
    <phoneticPr fontId="2" type="noConversion"/>
  </si>
  <si>
    <t>t_invstwilldelivvol</t>
    <phoneticPr fontId="2" type="noConversion"/>
  </si>
  <si>
    <t>#delivfeeclass</t>
    <phoneticPr fontId="2" type="noConversion"/>
  </si>
  <si>
    <t>#deliveryprice</t>
    <phoneticPr fontId="2" type="noConversion"/>
  </si>
  <si>
    <t>#delivfeeclass</t>
    <phoneticPr fontId="2" type="noConversion"/>
  </si>
  <si>
    <t>#deliveryprice</t>
    <phoneticPr fontId="2" type="noConversion"/>
  </si>
  <si>
    <t>t_investoroptstrike</t>
    <phoneticPr fontId="2" type="noConversion"/>
  </si>
  <si>
    <t>#deliveryprice</t>
    <phoneticPr fontId="2" type="noConversion"/>
  </si>
  <si>
    <t>#类型期货期权</t>
    <phoneticPr fontId="2" type="noConversion"/>
  </si>
  <si>
    <t>#类型期货期权</t>
    <phoneticPr fontId="2" type="noConversion"/>
  </si>
  <si>
    <r>
      <t>e</t>
    </r>
    <r>
      <rPr>
        <sz val="10"/>
        <color theme="1"/>
        <rFont val="宋体"/>
        <family val="2"/>
        <charset val="134"/>
        <scheme val="minor"/>
      </rPr>
      <t>xchangeid</t>
    </r>
    <phoneticPr fontId="2" type="noConversion"/>
  </si>
  <si>
    <r>
      <t>C</t>
    </r>
    <r>
      <rPr>
        <sz val="10"/>
        <color theme="1"/>
        <rFont val="宋体"/>
        <family val="2"/>
        <charset val="134"/>
        <scheme val="minor"/>
      </rPr>
      <t>ZCE</t>
    </r>
    <phoneticPr fontId="2" type="noConversion"/>
  </si>
  <si>
    <r>
      <t>上传结算文件至服务器指定目录，并调用upload工具进行导入
此处需要特别说明的是，文件支持zip、txt、dbf等多种格式，系统会根据文件名来判断文件类型并进行相应处理，所以不管是zip格式文件还是其他格式文件，其对文件名的要求均与</t>
    </r>
    <r>
      <rPr>
        <sz val="11"/>
        <color theme="4" tint="-0.249977111117893"/>
        <rFont val="宋体"/>
        <family val="3"/>
        <charset val="134"/>
        <scheme val="minor"/>
      </rPr>
      <t>交易所结算文件上传界面</t>
    </r>
    <r>
      <rPr>
        <sz val="11"/>
        <color theme="1"/>
        <rFont val="宋体"/>
        <family val="2"/>
        <charset val="134"/>
        <scheme val="minor"/>
      </rPr>
      <t xml:space="preserve">对压缩包内文件名的要求一致。另外，exchangeid处所填值应为交易所简称
</t>
    </r>
    <phoneticPr fontId="2" type="noConversion"/>
  </si>
  <si>
    <t>web.settlefileupload</t>
    <phoneticPr fontId="2" type="noConversion"/>
  </si>
  <si>
    <t>tradingday</t>
    <phoneticPr fontId="7" type="noConversion"/>
  </si>
  <si>
    <t>brokerid</t>
    <phoneticPr fontId="7" type="noConversion"/>
  </si>
  <si>
    <t>exchangeid</t>
    <phoneticPr fontId="7" type="noConversion"/>
  </si>
  <si>
    <t>unzipflag</t>
    <phoneticPr fontId="7" type="noConversion"/>
  </si>
  <si>
    <t>comment</t>
    <phoneticPr fontId="2" type="noConversion"/>
  </si>
  <si>
    <t>SYSTEMPARAMID</t>
  </si>
  <si>
    <t>SYSTEMPARAMVALUE</t>
  </si>
  <si>
    <t xml:space="preserve">0000      </t>
  </si>
  <si>
    <t>U</t>
  </si>
  <si>
    <t xml:space="preserve">upload                                                                                                                                                          </t>
  </si>
  <si>
    <t>params</t>
    <phoneticPr fontId="2" type="noConversion"/>
  </si>
  <si>
    <t>unzipflag</t>
    <phoneticPr fontId="7" type="noConversion"/>
  </si>
  <si>
    <r>
      <t>上传结算文件至服务器指定目录，并调用upload工具进行导入
此处需要特别说明的是，文件支持zip、txt、dbf等多种格式，系统会根据文件名来判断文件类型并进行相应处理，所以不管是zip格式文件还是其他格式文件，其对文件名的要求均与</t>
    </r>
    <r>
      <rPr>
        <sz val="11"/>
        <color theme="4" tint="-0.249977111117893"/>
        <rFont val="宋体"/>
        <family val="3"/>
        <charset val="134"/>
        <scheme val="minor"/>
      </rPr>
      <t>交易所结算文件上传界面</t>
    </r>
    <r>
      <rPr>
        <sz val="11"/>
        <color theme="1"/>
        <rFont val="宋体"/>
        <family val="2"/>
        <charset val="134"/>
        <scheme val="minor"/>
      </rPr>
      <t xml:space="preserve">对压缩包内文件名的要求一致。另外，exchangeid处所填值应为交易所简称
</t>
    </r>
    <phoneticPr fontId="2" type="noConversion"/>
  </si>
  <si>
    <t>params</t>
    <phoneticPr fontId="2" type="noConversion"/>
  </si>
  <si>
    <t>function</t>
    <phoneticPr fontId="2" type="noConversion"/>
  </si>
  <si>
    <t>comment</t>
    <phoneticPr fontId="2" type="noConversion"/>
  </si>
  <si>
    <t>更新结算价脚本</t>
    <phoneticPr fontId="2" type="noConversion"/>
  </si>
  <si>
    <t>sys.sqlfile</t>
  </si>
  <si>
    <t>value</t>
  </si>
  <si>
    <t>./data/day1/settlementprice.sql</t>
    <phoneticPr fontId="2" type="noConversion"/>
  </si>
  <si>
    <t>调用SP结算,结算5家交易所</t>
    <phoneticPr fontId="2" type="noConversion"/>
  </si>
  <si>
    <t>PKGI_SettleMgrt.up_ParallelSettleMain</t>
  </si>
  <si>
    <t>PKGI_SettleMgrt.up_ParallelSettleInputEx</t>
  </si>
  <si>
    <t>调用SP结算</t>
  </si>
  <si>
    <t>params</t>
    <phoneticPr fontId="2" type="noConversion"/>
  </si>
  <si>
    <t>i_chOperatorID</t>
    <phoneticPr fontId="2" type="noConversion"/>
  </si>
  <si>
    <t>o_nRetCode</t>
    <phoneticPr fontId="2" type="noConversion"/>
  </si>
  <si>
    <t>o_varRetMsg</t>
    <phoneticPr fontId="2" type="noConversion"/>
  </si>
  <si>
    <t>SettlementDate</t>
    <phoneticPr fontId="2" type="noConversion"/>
  </si>
  <si>
    <t>CurrTradingDay</t>
    <phoneticPr fontId="2" type="noConversion"/>
  </si>
  <si>
    <t>BrokerID</t>
    <phoneticPr fontId="2" type="noConversion"/>
  </si>
  <si>
    <t>ExchangeID</t>
    <phoneticPr fontId="2" type="noConversion"/>
  </si>
  <si>
    <t>SettlementStatus</t>
    <phoneticPr fontId="2" type="noConversion"/>
  </si>
  <si>
    <t>FileGenStatus</t>
    <phoneticPr fontId="2" type="noConversion"/>
  </si>
  <si>
    <t>BillGenStatus</t>
    <phoneticPr fontId="2" type="noConversion"/>
  </si>
  <si>
    <t>SettArchiveStatus</t>
    <phoneticPr fontId="2" type="noConversion"/>
  </si>
  <si>
    <t>LastSettleDate</t>
    <phoneticPr fontId="2" type="noConversion"/>
  </si>
  <si>
    <t>SystemStatus</t>
    <phoneticPr fontId="2" type="noConversion"/>
  </si>
  <si>
    <t>BackUpStatus</t>
    <phoneticPr fontId="2" type="noConversion"/>
  </si>
  <si>
    <t>InitSettlement</t>
    <phoneticPr fontId="2" type="noConversion"/>
  </si>
  <si>
    <t>ReportStatus</t>
    <phoneticPr fontId="2" type="noConversion"/>
  </si>
  <si>
    <t>SaveStatus</t>
    <phoneticPr fontId="2" type="noConversion"/>
  </si>
  <si>
    <t>OperatorID</t>
    <phoneticPr fontId="2" type="noConversion"/>
  </si>
  <si>
    <t>OpDate</t>
    <phoneticPr fontId="2" type="noConversion"/>
  </si>
  <si>
    <t>OpTime</t>
    <phoneticPr fontId="2" type="noConversion"/>
  </si>
  <si>
    <t>0000.0000_admin</t>
    <phoneticPr fontId="2" type="noConversion"/>
  </si>
  <si>
    <t>i_chOperatorID</t>
    <phoneticPr fontId="2" type="noConversion"/>
  </si>
  <si>
    <t>o_nRetCode</t>
    <phoneticPr fontId="2" type="noConversion"/>
  </si>
  <si>
    <t>o_varRetMsg</t>
    <phoneticPr fontId="2" type="noConversion"/>
  </si>
  <si>
    <t>SettlementDate</t>
    <phoneticPr fontId="2" type="noConversion"/>
  </si>
  <si>
    <t>CurrTradingDay</t>
    <phoneticPr fontId="2" type="noConversion"/>
  </si>
  <si>
    <t>BrokerID</t>
    <phoneticPr fontId="2" type="noConversion"/>
  </si>
  <si>
    <t>ExchangeID</t>
    <phoneticPr fontId="2" type="noConversion"/>
  </si>
  <si>
    <t>SettlementStatus</t>
    <phoneticPr fontId="2" type="noConversion"/>
  </si>
  <si>
    <t>FileGenStatus</t>
    <phoneticPr fontId="2" type="noConversion"/>
  </si>
  <si>
    <t>BillGenStatus</t>
    <phoneticPr fontId="2" type="noConversion"/>
  </si>
  <si>
    <t>SettArchiveStatus</t>
    <phoneticPr fontId="2" type="noConversion"/>
  </si>
  <si>
    <t>LastSettleDate</t>
    <phoneticPr fontId="2" type="noConversion"/>
  </si>
  <si>
    <t>SystemStatus</t>
    <phoneticPr fontId="2" type="noConversion"/>
  </si>
  <si>
    <t>BackUpStatus</t>
    <phoneticPr fontId="2" type="noConversion"/>
  </si>
  <si>
    <t>InitSettlement</t>
    <phoneticPr fontId="2" type="noConversion"/>
  </si>
  <si>
    <t>ReportStatus</t>
    <phoneticPr fontId="2" type="noConversion"/>
  </si>
  <si>
    <t>SaveStatus</t>
    <phoneticPr fontId="2" type="noConversion"/>
  </si>
  <si>
    <t>OperatorID</t>
    <phoneticPr fontId="2" type="noConversion"/>
  </si>
  <si>
    <t>OpDate</t>
    <phoneticPr fontId="2" type="noConversion"/>
  </si>
  <si>
    <t>OpTime</t>
    <phoneticPr fontId="2" type="noConversion"/>
  </si>
  <si>
    <t>db.settleadmin.PKGI_SettleMgrt.up_ParallelSettleInputEx</t>
    <phoneticPr fontId="7" type="noConversion"/>
  </si>
  <si>
    <t>db.settleadmin.PKGI_SettleMgrt.up_ParallelSettleMain</t>
    <phoneticPr fontId="7" type="noConversion"/>
  </si>
  <si>
    <t xml:space="preserve">                          i_TySettleDate</t>
    <phoneticPr fontId="2" type="noConversion"/>
  </si>
  <si>
    <t>comment</t>
    <phoneticPr fontId="2" type="noConversion"/>
  </si>
  <si>
    <t>comment</t>
    <phoneticPr fontId="2" type="noConversion"/>
  </si>
  <si>
    <t>SHFE</t>
    <phoneticPr fontId="2" type="noConversion"/>
  </si>
  <si>
    <t>SHFE</t>
    <phoneticPr fontId="2" type="noConversion"/>
  </si>
  <si>
    <t>INE</t>
    <phoneticPr fontId="2" type="noConversion"/>
  </si>
  <si>
    <t>INE</t>
    <phoneticPr fontId="2" type="noConversion"/>
  </si>
  <si>
    <t>DCE</t>
    <phoneticPr fontId="2" type="noConversion"/>
  </si>
  <si>
    <t>CFFEX</t>
    <phoneticPr fontId="2" type="noConversion"/>
  </si>
  <si>
    <t>CFFEX</t>
    <phoneticPr fontId="2" type="noConversion"/>
  </si>
  <si>
    <t>结算确认</t>
    <phoneticPr fontId="2" type="noConversion"/>
  </si>
  <si>
    <t>db.settleadmin.PKGI_SettleMgrt.up_SetFinishedSettlement</t>
    <phoneticPr fontId="2" type="noConversion"/>
  </si>
  <si>
    <t xml:space="preserve">CurrTradingDay    </t>
  </si>
  <si>
    <t xml:space="preserve">SettlementStatus  </t>
  </si>
  <si>
    <t xml:space="preserve">FileGenStatus     </t>
  </si>
  <si>
    <t xml:space="preserve">BillGenStatus     </t>
  </si>
  <si>
    <t xml:space="preserve">SettArchiveStatus </t>
  </si>
  <si>
    <t xml:space="preserve">LastSettleDate    </t>
  </si>
  <si>
    <t xml:space="preserve">SystemStatus      </t>
  </si>
  <si>
    <t xml:space="preserve">BackUpStatus      </t>
  </si>
  <si>
    <t xml:space="preserve">InitSettlement    </t>
  </si>
  <si>
    <t xml:space="preserve">ReportStatus      </t>
  </si>
  <si>
    <t xml:space="preserve">SaveStatus        </t>
  </si>
  <si>
    <t xml:space="preserve">OperatorID        </t>
  </si>
  <si>
    <t xml:space="preserve">OpDate            </t>
  </si>
  <si>
    <t xml:space="preserve">OpTime            </t>
  </si>
  <si>
    <t>params</t>
    <phoneticPr fontId="2" type="noConversion"/>
  </si>
  <si>
    <t>i_TytSettleDate</t>
    <phoneticPr fontId="2" type="noConversion"/>
  </si>
  <si>
    <t>i_chOperatorID</t>
  </si>
  <si>
    <t>DCE</t>
    <phoneticPr fontId="2" type="noConversion"/>
  </si>
  <si>
    <t>批量归档</t>
    <phoneticPr fontId="2" type="noConversion"/>
  </si>
  <si>
    <t>db.settleadmin.PKGI_Status.up_SaveFilesWhenSettFinished</t>
    <phoneticPr fontId="2" type="noConversion"/>
  </si>
  <si>
    <t>CZCE</t>
    <phoneticPr fontId="2" type="noConversion"/>
  </si>
  <si>
    <t>SHFE</t>
    <phoneticPr fontId="2" type="noConversion"/>
  </si>
  <si>
    <t>CFFEX</t>
    <phoneticPr fontId="2" type="noConversion"/>
  </si>
  <si>
    <t>INE</t>
    <phoneticPr fontId="2" type="noConversion"/>
  </si>
  <si>
    <t>CFFEX</t>
    <phoneticPr fontId="2" type="noConversion"/>
  </si>
  <si>
    <t>SHFE</t>
    <phoneticPr fontId="2" type="noConversion"/>
  </si>
  <si>
    <t>INE</t>
    <phoneticPr fontId="2" type="noConversion"/>
  </si>
  <si>
    <t>comment</t>
    <phoneticPr fontId="2" type="noConversion"/>
  </si>
  <si>
    <t>切启动</t>
    <phoneticPr fontId="2" type="noConversion"/>
  </si>
  <si>
    <t>db.settleadmin.PKGI_Status.up_GetSysStatus</t>
    <phoneticPr fontId="2" type="noConversion"/>
  </si>
  <si>
    <t>params</t>
    <phoneticPr fontId="2" type="noConversion"/>
  </si>
  <si>
    <t>params</t>
    <phoneticPr fontId="2" type="noConversion"/>
  </si>
  <si>
    <t>db.settleadmin.PKGI_Status.up_SwitchSystemStatus</t>
    <phoneticPr fontId="2" type="noConversion"/>
  </si>
  <si>
    <t>i_TradingDay</t>
  </si>
  <si>
    <t>i_TradingDay</t>
    <phoneticPr fontId="2" type="noConversion"/>
  </si>
  <si>
    <t>i_chExchangeID</t>
    <phoneticPr fontId="2" type="noConversion"/>
  </si>
  <si>
    <t>i_CurrStatus</t>
    <phoneticPr fontId="2" type="noConversion"/>
  </si>
  <si>
    <t>i_NextStatus</t>
    <phoneticPr fontId="2" type="noConversion"/>
  </si>
  <si>
    <t>o_nRetCode</t>
    <phoneticPr fontId="2" type="noConversion"/>
  </si>
  <si>
    <t>i_ExchangeID</t>
    <phoneticPr fontId="2" type="noConversion"/>
  </si>
  <si>
    <t>o_sysStatus</t>
    <phoneticPr fontId="2" type="noConversion"/>
  </si>
  <si>
    <t>o_backupstatus</t>
    <phoneticPr fontId="2" type="noConversion"/>
  </si>
  <si>
    <t>o_initsettlement</t>
    <phoneticPr fontId="2" type="noConversion"/>
  </si>
  <si>
    <t>o_reportstatus</t>
    <phoneticPr fontId="2" type="noConversion"/>
  </si>
  <si>
    <t>o_savestatus</t>
    <phoneticPr fontId="2" type="noConversion"/>
  </si>
  <si>
    <t>o_currTradingDay</t>
    <phoneticPr fontId="2" type="noConversion"/>
  </si>
  <si>
    <t>o_preTradingDay</t>
    <phoneticPr fontId="2" type="noConversion"/>
  </si>
  <si>
    <t>o_NextTradingDay</t>
    <phoneticPr fontId="2" type="noConversion"/>
  </si>
  <si>
    <t>i_chOperatorID</t>
    <phoneticPr fontId="2" type="noConversion"/>
  </si>
  <si>
    <t>更新增量备份状态为已备份</t>
    <phoneticPr fontId="2" type="noConversion"/>
  </si>
  <si>
    <t>update t_settledate  set  backupstatus='2'</t>
    <phoneticPr fontId="2" type="noConversion"/>
  </si>
  <si>
    <t>sys.sql</t>
    <phoneticPr fontId="2" type="noConversion"/>
  </si>
  <si>
    <t>update t_settledate set filegenstatus='1',billgenstatus='2'</t>
    <phoneticPr fontId="2" type="noConversion"/>
  </si>
  <si>
    <t>comment</t>
    <phoneticPr fontId="2" type="noConversion"/>
  </si>
  <si>
    <t>结算数据初始化</t>
    <phoneticPr fontId="2" type="noConversion"/>
  </si>
  <si>
    <t>启动切到结算</t>
    <phoneticPr fontId="2" type="noConversion"/>
  </si>
  <si>
    <t>db.settleadmin.PKGI_Status.up_InitSettlementExchange</t>
    <phoneticPr fontId="2" type="noConversion"/>
  </si>
  <si>
    <t>0000</t>
    <phoneticPr fontId="2" type="noConversion"/>
  </si>
  <si>
    <t>0000</t>
    <phoneticPr fontId="2" type="noConversion"/>
  </si>
  <si>
    <t>i_TradingDay</t>
    <phoneticPr fontId="2" type="noConversion"/>
  </si>
  <si>
    <t>0000</t>
    <phoneticPr fontId="2" type="noConversion"/>
  </si>
  <si>
    <t>0000</t>
    <phoneticPr fontId="2" type="noConversion"/>
  </si>
  <si>
    <t>系统状态为结算状态</t>
    <phoneticPr fontId="2" type="noConversion"/>
  </si>
  <si>
    <t>update t_settledate  set systemstatus='7'</t>
    <phoneticPr fontId="2" type="noConversion"/>
  </si>
  <si>
    <t>./data/day2/settlementprice.sql</t>
    <phoneticPr fontId="2" type="noConversion"/>
  </si>
  <si>
    <t>置结算单邮寄和生成报送状态</t>
    <phoneticPr fontId="2" type="noConversion"/>
  </si>
  <si>
    <t>./data/day3/settlementprice.sql</t>
    <phoneticPr fontId="2" type="noConversion"/>
  </si>
  <si>
    <t>comment</t>
    <phoneticPr fontId="2" type="noConversion"/>
  </si>
  <si>
    <t>comment</t>
    <phoneticPr fontId="2" type="noConversion"/>
  </si>
  <si>
    <t>H</t>
    <phoneticPr fontId="2" type="noConversion"/>
  </si>
  <si>
    <t>SystemStatus</t>
    <phoneticPr fontId="2" type="noConversion"/>
  </si>
  <si>
    <t>SystemStatus</t>
    <phoneticPr fontId="2" type="noConversion"/>
  </si>
  <si>
    <t>SystemStatus</t>
    <phoneticPr fontId="2" type="noConversion"/>
  </si>
  <si>
    <t>SystemStatus</t>
    <phoneticPr fontId="2" type="noConversion"/>
  </si>
  <si>
    <t>SystemStatus</t>
    <phoneticPr fontId="2" type="noConversion"/>
  </si>
  <si>
    <t>SystemStatus</t>
    <phoneticPr fontId="2" type="noConversion"/>
  </si>
  <si>
    <t>t_product</t>
    <phoneticPr fontId="2" type="noConversion"/>
  </si>
  <si>
    <t>t_productattr</t>
    <phoneticPr fontId="2" type="noConversion"/>
  </si>
  <si>
    <t>db.settleadmin.PKGI_SettleMgrt.up_ParallelSettleOutputEx</t>
    <phoneticPr fontId="7" type="noConversion"/>
  </si>
  <si>
    <t xml:space="preserve">                         i_TytSettleDate</t>
    <phoneticPr fontId="2" type="noConversion"/>
  </si>
  <si>
    <t>调用SP结算</t>
    <phoneticPr fontId="2" type="noConversion"/>
  </si>
  <si>
    <t>基础商品乘数</t>
    <phoneticPr fontId="2" type="noConversion"/>
  </si>
  <si>
    <t>#基础商品乘数</t>
    <phoneticPr fontId="2" type="noConversion"/>
  </si>
  <si>
    <t>#标的合约</t>
    <phoneticPr fontId="2" type="noConversion"/>
  </si>
  <si>
    <t>#交易日</t>
    <phoneticPr fontId="2" type="noConversion"/>
  </si>
  <si>
    <t>#是否当日交割当日实提</t>
    <phoneticPr fontId="2" type="noConversion"/>
  </si>
  <si>
    <t>accountid</t>
    <phoneticPr fontId="2" type="noConversion"/>
  </si>
  <si>
    <t>#辅助列</t>
    <phoneticPr fontId="2" type="noConversion"/>
  </si>
  <si>
    <t>#辅助列(1-平仓量统计,3平尽量统计)</t>
    <phoneticPr fontId="2" type="noConversion"/>
  </si>
  <si>
    <t>结算明细 买卖成交量，买卖成交额，买卖平仓量，买卖平今量，统计期权行权量（与期权持仓 方向相反）</t>
    <phoneticPr fontId="2" type="noConversion"/>
  </si>
  <si>
    <t>ACCOUNTID</t>
    <phoneticPr fontId="2" type="noConversion"/>
  </si>
  <si>
    <t>striketype</t>
    <phoneticPr fontId="2" type="noConversion"/>
  </si>
  <si>
    <t>行权类型0：行1：弃权2：不行权</t>
    <phoneticPr fontId="2" type="noConversion"/>
  </si>
  <si>
    <t>1</t>
    <phoneticPr fontId="2" type="noConversion"/>
  </si>
  <si>
    <t>1</t>
    <phoneticPr fontId="2" type="noConversion"/>
  </si>
  <si>
    <t>i_commFlag</t>
    <phoneticPr fontId="2" type="noConversion"/>
  </si>
  <si>
    <t>t_invstwilldelivfee</t>
    <phoneticPr fontId="2" type="noConversion"/>
  </si>
  <si>
    <t>#TRADEGROUPID</t>
    <phoneticPr fontId="2" type="noConversion"/>
  </si>
  <si>
    <t>sys.checkdb:2to1:#TRADEGROUPID</t>
    <phoneticPr fontId="2" type="noConversion"/>
  </si>
  <si>
    <t>#LMARGINRATEBYVOLUME，RMARGINRATEBYVOLUME</t>
    <phoneticPr fontId="2" type="noConversion"/>
  </si>
  <si>
    <t>#MARGINRATEBYMONEY</t>
    <phoneticPr fontId="2" type="noConversion"/>
  </si>
  <si>
    <t>#MARGINRATEBYVOLUME</t>
    <phoneticPr fontId="2" type="noConversion"/>
  </si>
  <si>
    <t>#成本</t>
    <phoneticPr fontId="2" type="noConversion"/>
  </si>
  <si>
    <t>#chengben</t>
    <phoneticPr fontId="2" type="noConversion"/>
  </si>
  <si>
    <t>郑州锁仓保证金 1：单边收取</t>
    <phoneticPr fontId="2" type="noConversion"/>
  </si>
  <si>
    <t>v</t>
    <phoneticPr fontId="2" type="noConversion"/>
  </si>
  <si>
    <t>2</t>
    <phoneticPr fontId="2" type="noConversion"/>
  </si>
  <si>
    <t>comment</t>
    <phoneticPr fontId="2" type="noConversion"/>
  </si>
  <si>
    <t>function</t>
    <phoneticPr fontId="2" type="noConversion"/>
  </si>
  <si>
    <t>db.settleadmin.PKGI_TradeMgrt.up_InsSysSettleParam</t>
    <phoneticPr fontId="2" type="noConversion"/>
  </si>
  <si>
    <t>SystemParamID</t>
  </si>
  <si>
    <t>SystemParamValue</t>
  </si>
  <si>
    <t>Memo</t>
  </si>
  <si>
    <t xml:space="preserve">手续费算法开关 1：与CTP1手续费逻辑相同，存在留存为负问题  2：CTP2新的手续费计算逻辑，无留存为负问题                                                             
</t>
    <phoneticPr fontId="2" type="noConversion"/>
  </si>
  <si>
    <t xml:space="preserve">手续费算法开关 1：与CTP1手续费逻辑相同，存在留存为负问题  2：CTP2新的手续费计算逻辑，无留存为负问题   </t>
    <phoneticPr fontId="2" type="noConversion"/>
  </si>
  <si>
    <t>brokerid</t>
    <phoneticPr fontId="2" type="noConversion"/>
  </si>
  <si>
    <t>io_tySysSettleParam</t>
    <phoneticPr fontId="2" type="noConversion"/>
  </si>
  <si>
    <t>BAVGCOST</t>
    <phoneticPr fontId="2" type="noConversion"/>
  </si>
  <si>
    <t>params</t>
    <phoneticPr fontId="2" type="noConversion"/>
  </si>
  <si>
    <t>CNY</t>
    <phoneticPr fontId="2" type="noConversion"/>
  </si>
  <si>
    <t>t_invstoptsettlecommrate</t>
    <phoneticPr fontId="2" type="noConversion"/>
  </si>
  <si>
    <t>o_sysStatus</t>
    <phoneticPr fontId="2" type="noConversion"/>
  </si>
  <si>
    <t>#POSIDIRECTION</t>
    <phoneticPr fontId="2" type="noConversion"/>
  </si>
  <si>
    <t>#POSIDIRECTION</t>
    <phoneticPr fontId="2" type="noConversion"/>
  </si>
  <si>
    <t>POSIDIRECTION</t>
    <phoneticPr fontId="2" type="noConversion"/>
  </si>
  <si>
    <t>POSIDIRECTION</t>
    <phoneticPr fontId="2" type="noConversion"/>
  </si>
  <si>
    <t>#POSIDIRECTION</t>
    <phoneticPr fontId="2" type="noConversion"/>
  </si>
  <si>
    <t>v</t>
    <phoneticPr fontId="2" type="noConversion"/>
  </si>
  <si>
    <t>db.settleadmin.PKGI_Status.up_SaveFilesWhenSettFinished</t>
    <phoneticPr fontId="2" type="noConversion"/>
  </si>
  <si>
    <t>db.settleadmin.PKGI_SettleMgrt.up_SetFinishedSettlement</t>
    <phoneticPr fontId="2" type="noConversion"/>
  </si>
  <si>
    <t>db.settleadmin.PKGI_Status.up_GetSysStatus</t>
    <phoneticPr fontId="2" type="noConversion"/>
  </si>
  <si>
    <t>i_TytSettleDats</t>
    <phoneticPr fontId="2" type="noConversion"/>
  </si>
  <si>
    <t>0000</t>
    <phoneticPr fontId="2" type="noConversion"/>
  </si>
  <si>
    <t>params</t>
    <phoneticPr fontId="2" type="noConversion"/>
  </si>
  <si>
    <t xml:space="preserve">SHFE    </t>
    <phoneticPr fontId="2" type="noConversion"/>
  </si>
  <si>
    <t xml:space="preserve">CFFEX    </t>
    <phoneticPr fontId="2" type="noConversion"/>
  </si>
  <si>
    <t xml:space="preserve">CFFEX </t>
    <phoneticPr fontId="2" type="noConversion"/>
  </si>
  <si>
    <t xml:space="preserve">DCE    </t>
    <phoneticPr fontId="2" type="noConversion"/>
  </si>
  <si>
    <t xml:space="preserve">DCE  </t>
    <phoneticPr fontId="2" type="noConversion"/>
  </si>
  <si>
    <t>0.5</t>
    <phoneticPr fontId="2" type="noConversion"/>
  </si>
  <si>
    <t>t_invstfundmortdiscount</t>
    <phoneticPr fontId="2" type="noConversion"/>
  </si>
  <si>
    <t>t_fundmortgage</t>
    <phoneticPr fontId="2" type="noConversion"/>
  </si>
  <si>
    <t>i_Brokerid</t>
    <phoneticPr fontId="2" type="noConversion"/>
  </si>
  <si>
    <t>i_chOperatorID</t>
    <phoneticPr fontId="2" type="noConversion"/>
  </si>
  <si>
    <t>o_nRetCode</t>
  </si>
  <si>
    <t>i_chCommit</t>
  </si>
  <si>
    <t>db.epayment2.PKGI_Status.up_SwitchPlatformStatus</t>
    <phoneticPr fontId="2" type="noConversion"/>
  </si>
  <si>
    <t>i_Opertype</t>
    <phoneticPr fontId="2" type="noConversion"/>
  </si>
  <si>
    <t>资金平台应用</t>
    <phoneticPr fontId="2" type="noConversion"/>
  </si>
  <si>
    <t>资金平台日切</t>
    <phoneticPr fontId="2" type="noConversion"/>
  </si>
  <si>
    <t>db.settleadmin.PKGI_Status.up_GetSysStatus</t>
    <phoneticPr fontId="2" type="noConversion"/>
  </si>
  <si>
    <t>db.epayment2.PKGI_Status.up_SendBankSerials</t>
    <phoneticPr fontId="2" type="noConversion"/>
  </si>
  <si>
    <t>db.settleadmin.PKGI_Status.up_InitSettlementExchange</t>
    <phoneticPr fontId="2" type="noConversion"/>
  </si>
  <si>
    <t>day1-1</t>
    <phoneticPr fontId="2" type="noConversion"/>
  </si>
  <si>
    <t>day1</t>
    <phoneticPr fontId="2" type="noConversion"/>
  </si>
  <si>
    <t>day2</t>
    <phoneticPr fontId="2" type="noConversion"/>
  </si>
  <si>
    <t>day3</t>
    <phoneticPr fontId="2" type="noConversion"/>
  </si>
  <si>
    <t>day2</t>
    <phoneticPr fontId="2" type="noConversion"/>
  </si>
  <si>
    <t>day3</t>
    <phoneticPr fontId="2" type="noConversion"/>
  </si>
  <si>
    <t>db.settleadmin.PKGI_FundChangeMgrt.up_InsO_ExchangeFundChange</t>
    <phoneticPr fontId="2" type="noConversion"/>
  </si>
  <si>
    <t>#LMARGINRATEBYMONEY，RMARGINRATEBYMONEY</t>
    <phoneticPr fontId="2" type="noConversion"/>
  </si>
  <si>
    <t>t_mortgage</t>
    <phoneticPr fontId="2" type="noConversion"/>
  </si>
  <si>
    <t>#LMARGINRATEBYMONEY，RMARGINRATEBYMONEY</t>
    <phoneticPr fontId="2" type="noConversion"/>
  </si>
  <si>
    <t>#LMARGINRATEBYVOLUME，RMARGINRATEBYVOLUME</t>
    <phoneticPr fontId="2" type="noConversion"/>
  </si>
  <si>
    <t>#MARGINRATEBYMONEY</t>
    <phoneticPr fontId="2" type="noConversion"/>
  </si>
  <si>
    <t>accountid</t>
    <phoneticPr fontId="2" type="noConversion"/>
  </si>
  <si>
    <t>accountid</t>
    <phoneticPr fontId="2" type="noConversion"/>
  </si>
  <si>
    <t>PTAP</t>
    <phoneticPr fontId="2" type="noConversion"/>
  </si>
  <si>
    <t>PTAP</t>
    <phoneticPr fontId="2" type="noConversion"/>
  </si>
  <si>
    <t>sys.checkdb:2to1:#TRADEGROUPID</t>
    <phoneticPr fontId="2" type="noConversion"/>
  </si>
  <si>
    <t>组合仓开仓日期</t>
    <phoneticPr fontId="2" type="noConversion"/>
  </si>
  <si>
    <t>组合仓开仓日期</t>
    <phoneticPr fontId="2" type="noConversion"/>
  </si>
  <si>
    <t>t_invstinstrsettleinfo</t>
    <phoneticPr fontId="2" type="noConversion"/>
  </si>
  <si>
    <t>#是否特殊产品</t>
    <phoneticPr fontId="2" type="noConversion"/>
  </si>
  <si>
    <t>t_investorfund</t>
    <phoneticPr fontId="2" type="noConversion"/>
  </si>
  <si>
    <t>i_TytSettleDats</t>
    <phoneticPr fontId="2" type="noConversion"/>
  </si>
  <si>
    <t>params</t>
    <phoneticPr fontId="2" type="noConversion"/>
  </si>
  <si>
    <t>0000</t>
    <phoneticPr fontId="2" type="noConversion"/>
  </si>
  <si>
    <t>0000</t>
    <phoneticPr fontId="2" type="noConversion"/>
  </si>
  <si>
    <t xml:space="preserve">/home/ctp203/data/settlementfile/                                                                                                                                                                                                                  </t>
    <phoneticPr fontId="2" type="noConversion"/>
  </si>
  <si>
    <t xml:space="preserve">/home/ctp203/tools/settlement_tools/                                                                                                                                                                                                                              </t>
    <phoneticPr fontId="2" type="noConversion"/>
  </si>
  <si>
    <t>t_optinstrument</t>
    <phoneticPr fontId="2" type="noConversion"/>
  </si>
  <si>
    <t>HKD</t>
    <phoneticPr fontId="2" type="noConversion"/>
  </si>
  <si>
    <t>CZCE</t>
    <phoneticPr fontId="2" type="noConversion"/>
  </si>
  <si>
    <t>HKD</t>
    <phoneticPr fontId="2" type="noConversion"/>
  </si>
  <si>
    <t>所有</t>
    <phoneticPr fontId="2" type="noConversion"/>
  </si>
  <si>
    <t>HKD-&gt;CNY</t>
    <phoneticPr fontId="2" type="noConversion"/>
  </si>
  <si>
    <t>CNY-&gt;HKD</t>
    <phoneticPr fontId="2" type="noConversion"/>
  </si>
  <si>
    <t>CNY</t>
    <phoneticPr fontId="2" type="noConversion"/>
  </si>
  <si>
    <t>commentHKD 入金</t>
    <phoneticPr fontId="2" type="noConversion"/>
  </si>
  <si>
    <t>银行存款 入金(港币)</t>
    <phoneticPr fontId="2" type="noConversion"/>
  </si>
  <si>
    <t>commentHKD 入金 复核</t>
    <phoneticPr fontId="2" type="noConversion"/>
  </si>
  <si>
    <t>行存款 入金(港币)</t>
    <phoneticPr fontId="2" type="noConversion"/>
  </si>
  <si>
    <t xml:space="preserve">commentHKD 出金 </t>
    <phoneticPr fontId="2" type="noConversion"/>
  </si>
  <si>
    <t>银行存款 出金(港币)</t>
    <phoneticPr fontId="2" type="noConversion"/>
  </si>
  <si>
    <t>commentHKD 出金  复核</t>
    <phoneticPr fontId="2" type="noConversion"/>
  </si>
  <si>
    <t>行存款 出金(港币)</t>
    <phoneticPr fontId="2" type="noConversion"/>
  </si>
  <si>
    <t xml:space="preserve">commentHKD 交易所入金 </t>
    <phoneticPr fontId="2" type="noConversion"/>
  </si>
  <si>
    <t>commentHKD 交易所入金 复核</t>
    <phoneticPr fontId="2" type="noConversion"/>
  </si>
  <si>
    <t>银行存款 HKD入金</t>
    <phoneticPr fontId="2" type="noConversion"/>
  </si>
  <si>
    <t xml:space="preserve">commentHKD 交易所出金 </t>
    <phoneticPr fontId="2" type="noConversion"/>
  </si>
  <si>
    <t>commentHKD 交易所出金 复核</t>
    <phoneticPr fontId="2" type="noConversion"/>
  </si>
  <si>
    <t>HKD</t>
    <phoneticPr fontId="2" type="noConversion"/>
  </si>
  <si>
    <t>交割手续费</t>
    <phoneticPr fontId="2" type="noConversion"/>
  </si>
  <si>
    <t>#汇率hkd-&gt;cny</t>
    <phoneticPr fontId="2" type="noConversion"/>
  </si>
  <si>
    <t>#折扣率HKD-&gt;CNY</t>
    <phoneticPr fontId="2" type="noConversion"/>
  </si>
  <si>
    <t>#汇率hkd-&gt;cny</t>
    <phoneticPr fontId="2" type="noConversion"/>
  </si>
  <si>
    <t>#汇率hkd-&gt;cny</t>
    <phoneticPr fontId="2" type="noConversion"/>
  </si>
  <si>
    <t xml:space="preserve">commentHKD入金 </t>
    <phoneticPr fontId="2" type="noConversion"/>
  </si>
  <si>
    <t>commentHKD 入金 复核</t>
    <phoneticPr fontId="2" type="noConversion"/>
  </si>
  <si>
    <t>commentHKD出金  复核</t>
    <phoneticPr fontId="2" type="noConversion"/>
  </si>
  <si>
    <t xml:space="preserve">commentHKD 入金 </t>
    <phoneticPr fontId="2" type="noConversion"/>
  </si>
  <si>
    <t xml:space="preserve">commentHKD 出金 </t>
    <phoneticPr fontId="2" type="noConversion"/>
  </si>
  <si>
    <t>commentHKD 出金 复核</t>
    <phoneticPr fontId="2" type="noConversion"/>
  </si>
  <si>
    <t>HKD</t>
    <phoneticPr fontId="2" type="noConversion"/>
  </si>
  <si>
    <t>HKD</t>
    <phoneticPr fontId="2" type="noConversion"/>
  </si>
  <si>
    <t>#汇率hkd-&gt;cny</t>
    <phoneticPr fontId="2" type="noConversion"/>
  </si>
  <si>
    <t>USD-&gt;CNY</t>
    <phoneticPr fontId="2" type="noConversion"/>
  </si>
  <si>
    <t>#折扣率HKD-&gt;CNY</t>
    <phoneticPr fontId="2" type="noConversion"/>
  </si>
  <si>
    <t>HKD-&gt;CNY</t>
    <phoneticPr fontId="2" type="noConversion"/>
  </si>
  <si>
    <t>CNY-&gt;HKD</t>
    <phoneticPr fontId="2" type="noConversion"/>
  </si>
  <si>
    <t xml:space="preserve">commentHKD 入金 </t>
    <phoneticPr fontId="2" type="noConversion"/>
  </si>
  <si>
    <t>银行存款 入金(港币)</t>
    <phoneticPr fontId="2" type="noConversion"/>
  </si>
  <si>
    <t>行存款 入金(港币)</t>
    <phoneticPr fontId="2" type="noConversion"/>
  </si>
  <si>
    <t xml:space="preserve">commentHKD 出金 </t>
    <phoneticPr fontId="2" type="noConversion"/>
  </si>
  <si>
    <t>银行存款 出金(港币)</t>
    <phoneticPr fontId="2" type="noConversion"/>
  </si>
  <si>
    <t>comment HKD 入金复核</t>
    <phoneticPr fontId="2" type="noConversion"/>
  </si>
  <si>
    <t>commentHKD 入金 复核</t>
    <phoneticPr fontId="2" type="noConversion"/>
  </si>
  <si>
    <t>HKD</t>
    <phoneticPr fontId="2" type="noConversion"/>
  </si>
  <si>
    <t>HKD</t>
    <phoneticPr fontId="2" type="noConversion"/>
  </si>
  <si>
    <t>#汇率hkd-&gt;cny</t>
    <phoneticPr fontId="2" type="noConversion"/>
  </si>
  <si>
    <t>#汇率hkd&gt;cny</t>
    <phoneticPr fontId="2" type="noConversion"/>
  </si>
  <si>
    <t>t_investortradefeedtl</t>
    <phoneticPr fontId="2" type="noConversion"/>
  </si>
  <si>
    <t>t_exchfutcommrate</t>
    <phoneticPr fontId="2" type="noConversion"/>
  </si>
  <si>
    <r>
      <t>c</t>
    </r>
    <r>
      <rPr>
        <sz val="10"/>
        <color theme="1"/>
        <rFont val="宋体"/>
        <family val="2"/>
        <charset val="134"/>
        <scheme val="minor"/>
      </rPr>
      <t>omment</t>
    </r>
    <phoneticPr fontId="2" type="noConversion"/>
  </si>
  <si>
    <t>day2日期</t>
    <phoneticPr fontId="2" type="noConversion"/>
  </si>
  <si>
    <t>function</t>
    <phoneticPr fontId="2" type="noConversion"/>
  </si>
  <si>
    <t>sys.read</t>
    <phoneticPr fontId="2" type="noConversion"/>
  </si>
  <si>
    <t>params</t>
    <phoneticPr fontId="2" type="noConversion"/>
  </si>
  <si>
    <t>value</t>
    <phoneticPr fontId="2" type="noConversion"/>
  </si>
  <si>
    <t>select min(day) day from  t_calendar t where t.day&gt;(select settlementdate  From t_settledate   where brokerid='0000' and exchangeid='0000') and t.exchangeid='0000' and t.wrk='1'</t>
    <phoneticPr fontId="2" type="noConversion"/>
  </si>
  <si>
    <t>return</t>
    <phoneticPr fontId="2" type="noConversion"/>
  </si>
  <si>
    <t>day</t>
    <phoneticPr fontId="2" type="noConversion"/>
  </si>
  <si>
    <t>day3日期</t>
    <phoneticPr fontId="2" type="noConversion"/>
  </si>
  <si>
    <t>t_investormortgage</t>
    <phoneticPr fontId="2" type="noConversion"/>
  </si>
  <si>
    <t>function</t>
    <phoneticPr fontId="2" type="noConversion"/>
  </si>
  <si>
    <t>db.settleadmin.PKGI_MortgageMgrt.up_UpdInvestorMortgage</t>
    <phoneticPr fontId="2" type="noConversion"/>
  </si>
  <si>
    <t>params</t>
    <phoneticPr fontId="2" type="noConversion"/>
  </si>
  <si>
    <t>io_tyInvestorMortgage</t>
  </si>
  <si>
    <t>i_chOperatorID</t>
    <phoneticPr fontId="2" type="noConversion"/>
  </si>
  <si>
    <t>i_chCommit</t>
    <phoneticPr fontId="2" type="noConversion"/>
  </si>
  <si>
    <t>MortgageID</t>
  </si>
  <si>
    <t>MortgageDate</t>
  </si>
  <si>
    <t>Price</t>
  </si>
  <si>
    <t>DiscountRate</t>
  </si>
  <si>
    <t>Volume</t>
  </si>
  <si>
    <t>Deposit</t>
  </si>
  <si>
    <t>AccountID</t>
  </si>
  <si>
    <t>VersionNo</t>
  </si>
  <si>
    <t>0000.0000_admin</t>
  </si>
  <si>
    <t>./data/day2/czceday2.zip</t>
    <phoneticPr fontId="7" type="noConversion"/>
  </si>
  <si>
    <t>./data/day3/czceday3.zip</t>
    <phoneticPr fontId="7" type="noConversion"/>
  </si>
  <si>
    <t>i_chOperatorID</t>
    <phoneticPr fontId="2" type="noConversion"/>
  </si>
  <si>
    <t>o_varRetMsg</t>
    <phoneticPr fontId="2" type="noConversion"/>
  </si>
  <si>
    <t>0000.0000_admin</t>
    <phoneticPr fontId="2" type="noConversion"/>
  </si>
  <si>
    <t>db.settleadmin.PKGI_SettleMgrt.up_ParallelSettleOutputEx</t>
    <phoneticPr fontId="7" type="noConversion"/>
  </si>
  <si>
    <t>o_nRetCode</t>
    <phoneticPr fontId="2" type="noConversion"/>
  </si>
  <si>
    <t>ExchangeID</t>
    <phoneticPr fontId="2" type="noConversion"/>
  </si>
  <si>
    <t>SystemStatus</t>
    <phoneticPr fontId="2" type="noConversion"/>
  </si>
  <si>
    <t>InitSettlement</t>
    <phoneticPr fontId="2" type="noConversion"/>
  </si>
  <si>
    <t>SaveStatus</t>
    <phoneticPr fontId="2" type="noConversion"/>
  </si>
  <si>
    <t>OperatorID</t>
    <phoneticPr fontId="2" type="noConversion"/>
  </si>
  <si>
    <t>0000.0000_admin</t>
    <phoneticPr fontId="2" type="noConversion"/>
  </si>
  <si>
    <t>db.settleadmin.PKGI_SettleMgrt.up_ParallelSettleOutputEx</t>
    <phoneticPr fontId="7" type="noConversion"/>
  </si>
  <si>
    <t xml:space="preserve">                          i_TytSettleDate</t>
    <phoneticPr fontId="2" type="noConversion"/>
  </si>
  <si>
    <t>o_nRetCode</t>
    <phoneticPr fontId="2" type="noConversion"/>
  </si>
  <si>
    <t>SettlementDate</t>
    <phoneticPr fontId="2" type="noConversion"/>
  </si>
  <si>
    <t>CurrTradingDay</t>
    <phoneticPr fontId="2" type="noConversion"/>
  </si>
  <si>
    <t>BrokerID</t>
    <phoneticPr fontId="2" type="noConversion"/>
  </si>
  <si>
    <t>ExchangeID</t>
    <phoneticPr fontId="2" type="noConversion"/>
  </si>
  <si>
    <t>SettlementStatus</t>
    <phoneticPr fontId="2" type="noConversion"/>
  </si>
  <si>
    <t>FileGenStatus</t>
    <phoneticPr fontId="2" type="noConversion"/>
  </si>
  <si>
    <t>BillGenStatus</t>
    <phoneticPr fontId="2" type="noConversion"/>
  </si>
  <si>
    <t>SettArchiveStatus</t>
    <phoneticPr fontId="2" type="noConversion"/>
  </si>
  <si>
    <t>LastSettleDate</t>
    <phoneticPr fontId="2" type="noConversion"/>
  </si>
  <si>
    <t>SystemStatus</t>
    <phoneticPr fontId="2" type="noConversion"/>
  </si>
  <si>
    <t>BackUpStatus</t>
    <phoneticPr fontId="2" type="noConversion"/>
  </si>
  <si>
    <t>InitSettlement</t>
    <phoneticPr fontId="2" type="noConversion"/>
  </si>
  <si>
    <t>ReportStatus</t>
    <phoneticPr fontId="2" type="noConversion"/>
  </si>
  <si>
    <t>SaveStatus</t>
    <phoneticPr fontId="2" type="noConversion"/>
  </si>
  <si>
    <t>OperatorID</t>
    <phoneticPr fontId="2" type="noConversion"/>
  </si>
  <si>
    <t>OpDate</t>
    <phoneticPr fontId="2" type="noConversion"/>
  </si>
  <si>
    <t>OpTime</t>
    <phoneticPr fontId="2" type="noConversion"/>
  </si>
  <si>
    <t>INE</t>
    <phoneticPr fontId="2" type="noConversion"/>
  </si>
  <si>
    <t>DCE</t>
    <phoneticPr fontId="2" type="noConversion"/>
  </si>
  <si>
    <t>CFFEX</t>
    <phoneticPr fontId="2" type="noConversion"/>
  </si>
  <si>
    <t>comment</t>
    <phoneticPr fontId="2" type="noConversion"/>
  </si>
  <si>
    <t>i_commFlag</t>
    <phoneticPr fontId="2" type="noConversion"/>
  </si>
  <si>
    <t>accountid</t>
    <phoneticPr fontId="2" type="noConversion"/>
  </si>
  <si>
    <t>HKD</t>
    <phoneticPr fontId="2" type="noConversion"/>
  </si>
  <si>
    <t>t_invstinstrsettleinfo</t>
    <phoneticPr fontId="2" type="noConversion"/>
  </si>
  <si>
    <t>t_syssettleparam</t>
    <phoneticPr fontId="2" type="noConversion"/>
  </si>
  <si>
    <t>先删除数据</t>
    <phoneticPr fontId="7" type="noConversion"/>
  </si>
  <si>
    <t>t_exchoptcommrate</t>
    <phoneticPr fontId="2" type="noConversion"/>
  </si>
  <si>
    <t>comment</t>
    <phoneticPr fontId="2" type="noConversion"/>
  </si>
  <si>
    <t>PTA807C6500</t>
    <phoneticPr fontId="2" type="noConversion"/>
  </si>
  <si>
    <t>PTA807P6200</t>
    <phoneticPr fontId="2" type="noConversion"/>
  </si>
  <si>
    <t>PTA807P6500</t>
    <phoneticPr fontId="2" type="noConversion"/>
  </si>
  <si>
    <t>SR807C6500</t>
    <phoneticPr fontId="2" type="noConversion"/>
  </si>
  <si>
    <t>SR807P6500</t>
    <phoneticPr fontId="2" type="noConversion"/>
  </si>
  <si>
    <t>SR807P6400</t>
    <phoneticPr fontId="2" type="noConversion"/>
  </si>
  <si>
    <t>SR809C6500</t>
    <phoneticPr fontId="2" type="noConversion"/>
  </si>
  <si>
    <t>comment</t>
    <phoneticPr fontId="2" type="noConversion"/>
  </si>
  <si>
    <t>comment</t>
    <phoneticPr fontId="2" type="noConversion"/>
  </si>
  <si>
    <t>SRC</t>
    <phoneticPr fontId="5" type="noConversion"/>
  </si>
  <si>
    <t>SRC</t>
    <phoneticPr fontId="2" type="noConversion"/>
  </si>
  <si>
    <t>备兑看涨</t>
    <phoneticPr fontId="2" type="noConversion"/>
  </si>
  <si>
    <t>备兑看涨</t>
    <phoneticPr fontId="2" type="noConversion"/>
  </si>
  <si>
    <t>PRT</t>
    <phoneticPr fontId="2" type="noConversion"/>
  </si>
  <si>
    <t>PRT</t>
    <phoneticPr fontId="2" type="noConversion"/>
  </si>
  <si>
    <t>SR809C6600</t>
    <phoneticPr fontId="2" type="noConversion"/>
  </si>
  <si>
    <t>SR809&amp;SR809C6600</t>
    <phoneticPr fontId="2" type="noConversion"/>
  </si>
  <si>
    <t>comment</t>
    <phoneticPr fontId="2" type="noConversion"/>
  </si>
  <si>
    <t>comment</t>
    <phoneticPr fontId="2" type="noConversion"/>
  </si>
  <si>
    <t>白糖期权809C6600</t>
    <phoneticPr fontId="2" type="noConversion"/>
  </si>
  <si>
    <t>S</t>
    <phoneticPr fontId="2" type="noConversion"/>
  </si>
  <si>
    <t>N</t>
    <phoneticPr fontId="2" type="noConversion"/>
  </si>
  <si>
    <t>#EXPIREDATE</t>
    <phoneticPr fontId="2" type="noConversion"/>
  </si>
  <si>
    <t>手工交割 第二天不从前台录入，从文件导入结算</t>
    <phoneticPr fontId="2" type="noConversion"/>
  </si>
  <si>
    <t>SR807p6500,PTA807P6200当日无成交无持仓行权 ,SR809c660 当日无成交有持仓</t>
    <phoneticPr fontId="2" type="noConversion"/>
  </si>
  <si>
    <t>comment</t>
    <phoneticPr fontId="2" type="noConversion"/>
  </si>
  <si>
    <t>comment</t>
    <phoneticPr fontId="2" type="noConversion"/>
  </si>
  <si>
    <t>sys.checkdb</t>
    <phoneticPr fontId="2" type="noConversion"/>
  </si>
  <si>
    <t>#到期日</t>
    <phoneticPr fontId="2" type="noConversion"/>
  </si>
  <si>
    <t>SUMPRODUCT(($D$733:$D$760=C907)*($E$733:$E$760=D907)*($H$733:$H$760=G907)*($L$733:$L$760=H907)*($K$733:$K$760=1)*($O$733:$O$760=0)*($W$733:$W$760))</t>
    <phoneticPr fontId="2" type="noConversion"/>
  </si>
  <si>
    <t>day1</t>
    <phoneticPr fontId="2" type="noConversion"/>
  </si>
  <si>
    <t>comment</t>
    <phoneticPr fontId="2" type="noConversion"/>
  </si>
  <si>
    <t>comment</t>
    <phoneticPr fontId="2" type="noConversion"/>
  </si>
  <si>
    <t>select min(day) day from  t_calendar t where t.day&gt;(select min(day) day from  t_calendar t where t.day&gt;(select settlementdate  From t_settledate   where brokerid='0000' and exchangeid='0000') and t.exchangeid='0000' and t.wrk='1')  and t.exchangeid='0000' and t.wrk='1'</t>
    <phoneticPr fontId="2" type="noConversion"/>
  </si>
  <si>
    <t>清当日数据</t>
    <phoneticPr fontId="2" type="noConversion"/>
  </si>
  <si>
    <t>./data/day1/delday1.sql</t>
    <phoneticPr fontId="2" type="noConversion"/>
  </si>
  <si>
    <t>./data/day2/delday2.sql</t>
    <phoneticPr fontId="2" type="noConversion"/>
  </si>
  <si>
    <t>./data/day3/delday3.sql</t>
    <phoneticPr fontId="2" type="noConversion"/>
  </si>
  <si>
    <t>./data/day1/settlementprice.sql</t>
    <phoneticPr fontId="2" type="noConversion"/>
  </si>
  <si>
    <t>t_investormortgage</t>
    <phoneticPr fontId="2" type="noConversion"/>
  </si>
  <si>
    <t>CFFEX</t>
    <phoneticPr fontId="2" type="noConversion"/>
  </si>
  <si>
    <t>CZCE</t>
    <phoneticPr fontId="2" type="noConversion"/>
  </si>
  <si>
    <t>t_investorsettleparam</t>
    <phoneticPr fontId="2" type="noConversion"/>
  </si>
  <si>
    <t>3</t>
    <phoneticPr fontId="2" type="noConversion"/>
  </si>
  <si>
    <t>./data/delinitdata.sql</t>
    <phoneticPr fontId="2" type="noConversion"/>
  </si>
  <si>
    <t>公司调整 入金(人民币)</t>
    <phoneticPr fontId="2" type="noConversion"/>
  </si>
  <si>
    <t>公司调整 入金(人民币)</t>
    <phoneticPr fontId="2" type="noConversion"/>
  </si>
  <si>
    <t>公司调整 入金(港币)</t>
    <phoneticPr fontId="2" type="noConversion"/>
  </si>
  <si>
    <t>公司调整 入金(美元)</t>
    <phoneticPr fontId="2" type="noConversion"/>
  </si>
  <si>
    <t>公司调整 出金(人民币)</t>
    <phoneticPr fontId="2" type="noConversion"/>
  </si>
  <si>
    <t>公司调整 出金(港币)</t>
    <phoneticPr fontId="2" type="noConversion"/>
  </si>
  <si>
    <t>公司调整 出金(港币)</t>
    <phoneticPr fontId="2" type="noConversion"/>
  </si>
  <si>
    <t>公司调整 出金(美元)</t>
    <phoneticPr fontId="2" type="noConversion"/>
  </si>
  <si>
    <t>./data/day1/czceday.zip</t>
    <phoneticPr fontId="7" type="noConversion"/>
  </si>
  <si>
    <t>9999</t>
  </si>
  <si>
    <t>select currentseqno From t_businessseq ta where ta.brokerid='9999' and ta.businesstype = 'O_InvestorFundChange'</t>
  </si>
  <si>
    <t>select currentseqno From t_businessseq ta where ta.brokerid='9999' and ta.businesstype = 'O_ExchangeFundChange'</t>
  </si>
  <si>
    <t>select currentseqno From t_businessseq ta where ta.brokerid='9999' and ta.businesstype = 'O_InvestorFundChange'</t>
    <phoneticPr fontId="2" type="noConversion"/>
  </si>
  <si>
    <t>t_currinvstfutmarginrate</t>
    <phoneticPr fontId="2" type="noConversion"/>
  </si>
  <si>
    <t>INVESTORID</t>
    <phoneticPr fontId="2" type="noConversion"/>
  </si>
  <si>
    <t>t_investor</t>
    <phoneticPr fontId="2" type="noConversion"/>
  </si>
  <si>
    <t>t_investunit</t>
    <phoneticPr fontId="2" type="noConversion"/>
  </si>
  <si>
    <t>t_account</t>
    <phoneticPr fontId="2" type="noConversion"/>
  </si>
  <si>
    <t>t_accountownership</t>
    <phoneticPr fontId="2" type="noConversion"/>
  </si>
  <si>
    <t>t_tradingcode</t>
    <phoneticPr fontId="2" type="noConversion"/>
  </si>
  <si>
    <t>t_tradingcodemap</t>
    <phoneticPr fontId="2" type="noConversion"/>
  </si>
  <si>
    <t>00</t>
    <phoneticPr fontId="2" type="noConversion"/>
  </si>
  <si>
    <t>comment</t>
    <phoneticPr fontId="2" type="noConversion"/>
  </si>
  <si>
    <t>读取出入金操作序列号</t>
    <phoneticPr fontId="2" type="noConversion"/>
  </si>
  <si>
    <t>结算价</t>
    <phoneticPr fontId="2" type="noConversion"/>
  </si>
  <si>
    <t>comment</t>
    <phoneticPr fontId="2" type="noConversion"/>
  </si>
  <si>
    <t>comment</t>
    <phoneticPr fontId="2" type="noConversion"/>
  </si>
  <si>
    <t>经纪公司代码</t>
    <phoneticPr fontId="2" type="noConversion"/>
  </si>
  <si>
    <t>投资者代码</t>
    <phoneticPr fontId="2" type="noConversion"/>
  </si>
  <si>
    <t>质押品代码</t>
    <phoneticPr fontId="2" type="noConversion"/>
  </si>
  <si>
    <t>质押日期</t>
    <phoneticPr fontId="2" type="noConversion"/>
  </si>
  <si>
    <t>质押价格</t>
    <phoneticPr fontId="2" type="noConversion"/>
  </si>
  <si>
    <t>质押抵扣率</t>
    <phoneticPr fontId="2" type="noConversion"/>
  </si>
  <si>
    <t>质押数量</t>
    <phoneticPr fontId="2" type="noConversion"/>
  </si>
  <si>
    <t>质押金额</t>
    <phoneticPr fontId="2" type="noConversion"/>
  </si>
  <si>
    <t>币种</t>
    <phoneticPr fontId="2" type="noConversion"/>
  </si>
  <si>
    <t>投资者账号</t>
    <phoneticPr fontId="2" type="noConversion"/>
  </si>
  <si>
    <t>版本号</t>
    <phoneticPr fontId="2" type="noConversion"/>
  </si>
  <si>
    <t>买/卖（1净2多头3空头）</t>
    <phoneticPr fontId="2" type="noConversion"/>
  </si>
  <si>
    <t>comment</t>
    <phoneticPr fontId="2" type="noConversion"/>
  </si>
  <si>
    <t>comment</t>
    <phoneticPr fontId="2" type="noConversion"/>
  </si>
  <si>
    <t>comment</t>
    <phoneticPr fontId="2" type="noConversion"/>
  </si>
  <si>
    <t>CZCE</t>
    <phoneticPr fontId="2" type="noConversion"/>
  </si>
  <si>
    <t>删除仓单折抵记录改为脚本删除（多次删除）</t>
    <phoneticPr fontId="2" type="noConversion"/>
  </si>
  <si>
    <t>交易所结算参数 只导入结算的交易所数据</t>
    <phoneticPr fontId="2" type="noConversion"/>
  </si>
  <si>
    <t>SettlementDate</t>
  </si>
  <si>
    <t xml:space="preserve">DeliveryDate </t>
  </si>
  <si>
    <t xml:space="preserve">InvestorID </t>
  </si>
  <si>
    <t xml:space="preserve">InvestUnitID </t>
  </si>
  <si>
    <t xml:space="preserve">CurrencyID </t>
  </si>
  <si>
    <t xml:space="preserve">InstrumentID </t>
  </si>
  <si>
    <t xml:space="preserve">HedgeFlag </t>
  </si>
  <si>
    <t xml:space="preserve">DeliveryPrice </t>
  </si>
  <si>
    <t xml:space="preserve">VolumeMultiple </t>
  </si>
  <si>
    <t xml:space="preserve">ExpireDate </t>
  </si>
  <si>
    <t xml:space="preserve">DeliveryType </t>
  </si>
  <si>
    <t xml:space="preserve">DelivFeeClass </t>
  </si>
  <si>
    <t xml:space="preserve">PayVolume </t>
  </si>
  <si>
    <t xml:space="preserve">PayVolumeExch </t>
  </si>
  <si>
    <t xml:space="preserve">CurrChargeVolumeExch </t>
  </si>
  <si>
    <t xml:space="preserve">ChargeVolume </t>
  </si>
  <si>
    <t xml:space="preserve">ChargeVolumeExch </t>
  </si>
  <si>
    <t xml:space="preserve">UnChargeVolume </t>
  </si>
  <si>
    <t xml:space="preserve">UnChargeVolumeExch </t>
  </si>
  <si>
    <t>CommRatioByMoney</t>
  </si>
  <si>
    <t xml:space="preserve">CommRatioByMoneyExch </t>
  </si>
  <si>
    <t>CommRatioByVolume</t>
  </si>
  <si>
    <t xml:space="preserve">CommRatioByVolumeExch </t>
  </si>
  <si>
    <t xml:space="preserve">PayFee </t>
  </si>
  <si>
    <t xml:space="preserve">PayFeeExch </t>
  </si>
  <si>
    <t xml:space="preserve">DelivFee </t>
  </si>
  <si>
    <t xml:space="preserve">DelivFeeExch </t>
  </si>
  <si>
    <t xml:space="preserve">DeliveryFlag </t>
  </si>
  <si>
    <t xml:space="preserve">DeliveryFlagExch </t>
  </si>
  <si>
    <t xml:space="preserve">Volume </t>
    <phoneticPr fontId="2" type="noConversion"/>
  </si>
  <si>
    <t xml:space="preserve">CurrChargeVolume </t>
    <phoneticPr fontId="2" type="noConversion"/>
  </si>
  <si>
    <t>db.settleadmin.PKGI_DeliveryMgrt.up_UpdInvstWillDelivFee</t>
    <phoneticPr fontId="2" type="noConversion"/>
  </si>
  <si>
    <t>i_tyInvstWillDelivFee</t>
    <phoneticPr fontId="2" type="noConversion"/>
  </si>
  <si>
    <t>params</t>
    <phoneticPr fontId="2" type="noConversion"/>
  </si>
  <si>
    <t>交割处理手续费 标识颜色的是当日实提情况</t>
    <phoneticPr fontId="2" type="noConversion"/>
  </si>
  <si>
    <t>当日交割SR809 交割交易所，PTA 809 交割投资者，SR807（交割完成），PTA807 上日交割数据</t>
    <phoneticPr fontId="2" type="noConversion"/>
  </si>
  <si>
    <t>当日交割当日实提SR809 投机  3手，交割未完成</t>
    <phoneticPr fontId="2" type="noConversion"/>
  </si>
  <si>
    <t>SR807,PTA807上日交割实提，SR809当日交割实提</t>
    <phoneticPr fontId="2" type="noConversion"/>
  </si>
  <si>
    <t>comment</t>
    <phoneticPr fontId="2" type="noConversion"/>
  </si>
  <si>
    <t>#上日累计收费数量</t>
    <phoneticPr fontId="2" type="noConversion"/>
  </si>
  <si>
    <t>#上日累计释放数量</t>
    <phoneticPr fontId="2" type="noConversion"/>
  </si>
  <si>
    <t>#实提记录</t>
    <phoneticPr fontId="2" type="noConversion"/>
  </si>
  <si>
    <t>comment</t>
    <phoneticPr fontId="2" type="noConversion"/>
  </si>
  <si>
    <t>到期交割当日处理交割状态（手续费最后交易日收取）</t>
    <phoneticPr fontId="2" type="noConversion"/>
  </si>
  <si>
    <t>comment</t>
    <phoneticPr fontId="2" type="noConversion"/>
  </si>
  <si>
    <t xml:space="preserve">ChargeVolumeExch </t>
    <phoneticPr fontId="2" type="noConversion"/>
  </si>
  <si>
    <t>ChargeVolumeExch</t>
    <phoneticPr fontId="2" type="noConversion"/>
  </si>
  <si>
    <t xml:space="preserve">UnChargeVolume </t>
    <phoneticPr fontId="2" type="noConversion"/>
  </si>
  <si>
    <t xml:space="preserve">UnChargeVolumeExch </t>
    <phoneticPr fontId="2" type="noConversion"/>
  </si>
  <si>
    <t>UnChargeVolumeExch</t>
    <phoneticPr fontId="2" type="noConversion"/>
  </si>
  <si>
    <t>0000.0000_admin</t>
    <phoneticPr fontId="2" type="noConversion"/>
  </si>
  <si>
    <t>comment</t>
    <phoneticPr fontId="2" type="noConversion"/>
  </si>
  <si>
    <t>day1</t>
    <phoneticPr fontId="2" type="noConversion"/>
  </si>
  <si>
    <t>comment</t>
    <phoneticPr fontId="2" type="noConversion"/>
  </si>
  <si>
    <t>结算回退，为了做交割处理</t>
    <phoneticPr fontId="2" type="noConversion"/>
  </si>
  <si>
    <t>db.settleadmin.PKGI_SettleMgrt.up_ReturnSettlement</t>
    <phoneticPr fontId="7" type="noConversion"/>
  </si>
  <si>
    <t>comment</t>
    <phoneticPr fontId="2" type="noConversion"/>
  </si>
  <si>
    <t>comment</t>
    <phoneticPr fontId="2" type="noConversion"/>
  </si>
  <si>
    <t>comment</t>
    <phoneticPr fontId="2" type="noConversion"/>
  </si>
  <si>
    <t>第一次做结算为了做实提当日交割数据</t>
    <phoneticPr fontId="2" type="noConversion"/>
  </si>
  <si>
    <t>t_invstwilldelivfee</t>
    <phoneticPr fontId="2" type="noConversion"/>
  </si>
  <si>
    <t>#是否特殊品种</t>
    <phoneticPr fontId="2" type="noConversion"/>
  </si>
  <si>
    <t>第一次做结算为了做实提当日交割数据,非平仓了结表结算后进入交割处理表</t>
    <phoneticPr fontId="2" type="noConversion"/>
  </si>
  <si>
    <t>9999excel插入一行文本变化测试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</si>
</sst>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76" formatCode="0.00000_ "/>
    <numFmt numFmtId="177" formatCode="0.00000000"/>
    <numFmt numFmtId="178" formatCode="0.000000"/>
    <numFmt numFmtId="179" formatCode="0.00_ "/>
    <numFmt numFmtId="180" formatCode="0.00_);[Red]\(0.00\)"/>
    <numFmt numFmtId="181" formatCode="0_ "/>
    <numFmt numFmtId="182" formatCode="0_);[Red]\(0\)"/>
    <numFmt numFmtId="183" formatCode="0.000000_ "/>
    <numFmt numFmtId="184" formatCode="0.0000000000"/>
    <numFmt numFmtId="185" formatCode="#,##0_);[Red]\(#,##0\)"/>
    <numFmt numFmtId="186" formatCode="h:mm:ss;@"/>
    <numFmt numFmtId="187" formatCode="0.000_ "/>
    <numFmt numFmtId="188" formatCode="0.00_ ;[Red]\-0.00\ "/>
    <numFmt numFmtId="189" formatCode="#,##0.00_);[Red]\(#,##0.00\)"/>
    <numFmt numFmtId="190" formatCode="[$-F400]h:mm:ss\ AM/PM"/>
    <numFmt numFmtId="191" formatCode="0_ ;[Red]\-0\ "/>
    <numFmt numFmtId="192" formatCode="yyyy/m/d;@"/>
  </numFmts>
  <fonts count="52" x14ac:knownFonts="1">
    <font>
      <sz val="11"/>
      <color theme="1"/>
      <name val="宋体"/>
      <family val="2"/>
      <charset val="134"/>
      <scheme val="minor"/>
    </font>
    <font>
      <sz val="10"/>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9"/>
      <name val="宋体"/>
      <family val="3"/>
      <charset val="134"/>
    </font>
    <font>
      <sz val="12"/>
      <color theme="1"/>
      <name val="宋体"/>
      <family val="2"/>
      <charset val="134"/>
      <scheme val="minor"/>
    </font>
    <font>
      <sz val="9"/>
      <name val="宋体"/>
      <family val="3"/>
      <charset val="134"/>
      <scheme val="minor"/>
    </font>
    <font>
      <b/>
      <sz val="10.5"/>
      <color theme="1"/>
      <name val="宋体"/>
      <family val="3"/>
      <charset val="134"/>
      <scheme val="minor"/>
    </font>
    <font>
      <sz val="10.5"/>
      <color theme="1"/>
      <name val="宋体"/>
      <family val="3"/>
      <charset val="134"/>
      <scheme val="minor"/>
    </font>
    <font>
      <sz val="10.5"/>
      <color theme="1"/>
      <name val="Times New Roman"/>
      <family val="1"/>
    </font>
    <font>
      <b/>
      <sz val="10.5"/>
      <color theme="1"/>
      <name val="宋体"/>
      <family val="3"/>
      <charset val="134"/>
    </font>
    <font>
      <sz val="10.5"/>
      <color theme="1"/>
      <name val="宋体"/>
      <family val="3"/>
      <charset val="134"/>
    </font>
    <font>
      <sz val="7"/>
      <color theme="1"/>
      <name val="Times New Roman"/>
      <family val="1"/>
    </font>
    <font>
      <sz val="10.5"/>
      <color theme="1"/>
      <name val="宋体"/>
      <family val="2"/>
      <charset val="134"/>
    </font>
    <font>
      <sz val="10.5"/>
      <color theme="1"/>
      <name val="宋体"/>
      <family val="1"/>
      <scheme val="minor"/>
    </font>
    <font>
      <sz val="11"/>
      <color theme="1"/>
      <name val="宋体"/>
      <family val="2"/>
      <scheme val="minor"/>
    </font>
    <font>
      <sz val="12"/>
      <color rgb="FFFF00FF"/>
      <name val="宋体"/>
      <family val="3"/>
      <charset val="134"/>
    </font>
    <font>
      <sz val="12"/>
      <color theme="1"/>
      <name val="Times New Roman"/>
      <family val="1"/>
    </font>
    <font>
      <sz val="12"/>
      <color theme="1"/>
      <name val="宋体"/>
      <family val="3"/>
      <charset val="134"/>
    </font>
    <font>
      <b/>
      <sz val="12"/>
      <color rgb="FF000000"/>
      <name val="宋体"/>
      <family val="3"/>
      <charset val="134"/>
    </font>
    <font>
      <sz val="12"/>
      <color rgb="FFFF00FF"/>
      <name val="Times New Roman"/>
      <family val="1"/>
    </font>
    <font>
      <sz val="12"/>
      <color rgb="FFFF00FF"/>
      <name val="Courier New"/>
      <family val="3"/>
    </font>
    <font>
      <b/>
      <sz val="12"/>
      <color theme="1"/>
      <name val="宋体"/>
      <family val="3"/>
      <charset val="134"/>
    </font>
    <font>
      <b/>
      <sz val="12"/>
      <color rgb="FF000000"/>
      <name val="Courier New"/>
      <family val="3"/>
    </font>
    <font>
      <sz val="10"/>
      <color rgb="FFFF0000"/>
      <name val="宋体"/>
      <family val="3"/>
      <charset val="134"/>
      <scheme val="minor"/>
    </font>
    <font>
      <b/>
      <sz val="12"/>
      <color theme="1"/>
      <name val="Times New Roman"/>
      <family val="1"/>
    </font>
    <font>
      <sz val="11"/>
      <color theme="1"/>
      <name val="宋体"/>
      <family val="3"/>
      <scheme val="minor"/>
    </font>
    <font>
      <sz val="10.5"/>
      <name val="宋体"/>
      <family val="3"/>
      <charset val="134"/>
      <scheme val="minor"/>
    </font>
    <font>
      <sz val="12"/>
      <name val="宋体"/>
      <family val="3"/>
      <charset val="134"/>
      <scheme val="minor"/>
    </font>
    <font>
      <sz val="11"/>
      <name val="宋体"/>
      <family val="3"/>
      <charset val="134"/>
      <scheme val="minor"/>
    </font>
    <font>
      <sz val="10"/>
      <name val="宋体"/>
      <family val="2"/>
      <charset val="134"/>
      <scheme val="minor"/>
    </font>
    <font>
      <sz val="12"/>
      <color theme="1"/>
      <name val="Courier New"/>
      <family val="3"/>
    </font>
    <font>
      <sz val="10.5"/>
      <color rgb="FFFF0000"/>
      <name val="宋体"/>
      <family val="3"/>
      <charset val="134"/>
      <scheme val="minor"/>
    </font>
    <font>
      <sz val="8"/>
      <color rgb="FF333333"/>
      <name val="Arial"/>
      <family val="2"/>
    </font>
    <font>
      <sz val="8"/>
      <color rgb="FF333333"/>
      <name val="宋体"/>
      <family val="3"/>
      <charset val="134"/>
    </font>
    <font>
      <b/>
      <sz val="9"/>
      <name val="Segoe UI"/>
      <family val="2"/>
    </font>
    <font>
      <b/>
      <sz val="9"/>
      <name val="Segoe UI"/>
      <family val="2"/>
    </font>
    <font>
      <b/>
      <sz val="9"/>
      <name val="宋体"/>
      <family val="3"/>
      <charset val="134"/>
    </font>
    <font>
      <sz val="11"/>
      <name val="宋体"/>
      <family val="2"/>
      <charset val="134"/>
      <scheme val="minor"/>
    </font>
    <font>
      <sz val="10"/>
      <name val="宋体"/>
      <family val="3"/>
      <charset val="134"/>
      <scheme val="minor"/>
    </font>
    <font>
      <sz val="11"/>
      <color rgb="FF000000"/>
      <name val="宋体"/>
      <family val="3"/>
      <charset val="134"/>
      <scheme val="minor"/>
    </font>
    <font>
      <b/>
      <sz val="9"/>
      <name val="Segoe UI"/>
      <family val="2"/>
    </font>
    <font>
      <sz val="11"/>
      <color theme="1"/>
      <name val="宋体"/>
      <family val="3"/>
      <charset val="134"/>
      <scheme val="minor"/>
    </font>
    <font>
      <sz val="11"/>
      <color rgb="FFFF0000"/>
      <name val="宋体"/>
      <family val="3"/>
      <charset val="134"/>
      <scheme val="minor"/>
    </font>
    <font>
      <sz val="11"/>
      <color rgb="FFFF0000"/>
      <name val="宋体"/>
      <family val="2"/>
      <charset val="134"/>
      <scheme val="minor"/>
    </font>
    <font>
      <sz val="11"/>
      <name val="宋体"/>
      <family val="2"/>
      <scheme val="minor"/>
    </font>
    <font>
      <sz val="11"/>
      <color theme="4" tint="-0.249977111117893"/>
      <name val="宋体"/>
      <family val="3"/>
      <charset val="134"/>
      <scheme val="minor"/>
    </font>
    <font>
      <u/>
      <sz val="11"/>
      <color theme="10"/>
      <name val="宋体"/>
      <family val="2"/>
      <charset val="134"/>
      <scheme val="minor"/>
    </font>
    <font>
      <sz val="10"/>
      <color theme="1"/>
      <name val="宋体"/>
      <family val="2"/>
      <scheme val="minor"/>
    </font>
    <font>
      <b/>
      <sz val="11"/>
      <color theme="1"/>
      <name val="宋体"/>
      <family val="3"/>
      <charset val="134"/>
      <scheme val="minor"/>
    </font>
    <font>
      <sz val="10"/>
      <color rgb="FFFF0000"/>
      <name val="宋体"/>
      <family val="2"/>
      <charset val="134"/>
      <scheme val="minor"/>
    </font>
  </fonts>
  <fills count="21">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CC99FF"/>
        <bgColor indexed="64"/>
      </patternFill>
    </fill>
    <fill>
      <patternFill patternType="solid">
        <fgColor rgb="FF00B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CC"/>
        <bgColor indexed="64"/>
      </patternFill>
    </fill>
    <fill>
      <patternFill patternType="solid">
        <fgColor theme="6" tint="0.59999389629810485"/>
        <bgColor indexed="64"/>
      </patternFill>
    </fill>
    <fill>
      <patternFill patternType="solid">
        <fgColor theme="4"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bottom/>
      <diagonal/>
    </border>
  </borders>
  <cellStyleXfs count="3">
    <xf numFmtId="0" fontId="0" fillId="0" borderId="0">
      <alignment vertical="center"/>
    </xf>
    <xf numFmtId="0" fontId="16" fillId="0" borderId="0"/>
    <xf numFmtId="0" fontId="48" fillId="0" borderId="0" applyNumberFormat="0" applyFill="0" applyBorder="0" applyAlignment="0" applyProtection="0">
      <alignment vertical="center"/>
    </xf>
  </cellStyleXfs>
  <cellXfs count="763">
    <xf numFmtId="0" fontId="0" fillId="0" borderId="0" xfId="0">
      <alignment vertical="center"/>
    </xf>
    <xf numFmtId="0" fontId="3" fillId="0" borderId="0" xfId="0" applyFont="1">
      <alignment vertical="center"/>
    </xf>
    <xf numFmtId="176" fontId="4" fillId="0" borderId="0" xfId="0" applyNumberFormat="1" applyFont="1" applyBorder="1" applyAlignment="1">
      <alignment vertical="center"/>
    </xf>
    <xf numFmtId="176" fontId="4" fillId="0" borderId="0" xfId="0" applyNumberFormat="1" applyFont="1" applyFill="1" applyBorder="1" applyAlignment="1">
      <alignment vertical="center"/>
    </xf>
    <xf numFmtId="0" fontId="0" fillId="3" borderId="0" xfId="0" applyFill="1">
      <alignment vertical="center"/>
    </xf>
    <xf numFmtId="0" fontId="6" fillId="0" borderId="0" xfId="0" applyFont="1">
      <alignment vertical="center"/>
    </xf>
    <xf numFmtId="0" fontId="0" fillId="0" borderId="0" xfId="0" applyFill="1">
      <alignment vertical="center"/>
    </xf>
    <xf numFmtId="176" fontId="4" fillId="2" borderId="1" xfId="0" applyNumberFormat="1" applyFont="1" applyFill="1" applyBorder="1" applyAlignment="1">
      <alignment vertical="center"/>
    </xf>
    <xf numFmtId="176" fontId="4" fillId="0" borderId="1" xfId="0" applyNumberFormat="1" applyFont="1" applyBorder="1" applyAlignment="1">
      <alignment vertical="center"/>
    </xf>
    <xf numFmtId="0" fontId="0" fillId="0" borderId="0" xfId="0" applyAlignment="1"/>
    <xf numFmtId="0" fontId="8" fillId="0" borderId="0" xfId="0" applyFont="1">
      <alignment vertical="center"/>
    </xf>
    <xf numFmtId="0" fontId="10" fillId="3" borderId="0" xfId="0" applyFont="1" applyFill="1" applyAlignment="1">
      <alignment horizontal="left" vertical="center" indent="1"/>
    </xf>
    <xf numFmtId="176" fontId="4" fillId="0" borderId="1" xfId="0" applyNumberFormat="1" applyFont="1" applyFill="1" applyBorder="1" applyAlignment="1">
      <alignment vertical="center"/>
    </xf>
    <xf numFmtId="0" fontId="0" fillId="6" borderId="0" xfId="0" applyFill="1">
      <alignment vertical="center"/>
    </xf>
    <xf numFmtId="179" fontId="0" fillId="0" borderId="0" xfId="0" applyNumberFormat="1" applyAlignment="1">
      <alignment vertical="center" wrapText="1"/>
    </xf>
    <xf numFmtId="0" fontId="3" fillId="0" borderId="1" xfId="0" applyFont="1" applyBorder="1">
      <alignment vertical="center"/>
    </xf>
    <xf numFmtId="0" fontId="3" fillId="3" borderId="0" xfId="0" applyFont="1" applyFill="1">
      <alignment vertical="center"/>
    </xf>
    <xf numFmtId="0" fontId="25" fillId="0" borderId="0" xfId="0" applyFont="1" applyFill="1">
      <alignment vertical="center"/>
    </xf>
    <xf numFmtId="0" fontId="12" fillId="0" borderId="0" xfId="0" applyFont="1" applyFill="1" applyAlignment="1">
      <alignment horizontal="left" vertical="center"/>
    </xf>
    <xf numFmtId="0" fontId="10" fillId="0" borderId="0" xfId="0" applyFont="1" applyFill="1" applyAlignment="1">
      <alignment horizontal="left" vertical="center" indent="1"/>
    </xf>
    <xf numFmtId="179" fontId="0" fillId="0" borderId="0" xfId="0" applyNumberFormat="1" applyFill="1" applyAlignment="1">
      <alignment vertical="center" wrapText="1"/>
    </xf>
    <xf numFmtId="0" fontId="3" fillId="0" borderId="0" xfId="0" applyFont="1" applyFill="1">
      <alignment vertical="center"/>
    </xf>
    <xf numFmtId="176" fontId="3" fillId="0" borderId="0" xfId="0" applyNumberFormat="1" applyFont="1">
      <alignment vertical="center"/>
    </xf>
    <xf numFmtId="176" fontId="4" fillId="2" borderId="0" xfId="0" applyNumberFormat="1" applyFont="1" applyFill="1" applyBorder="1" applyAlignment="1">
      <alignment vertical="center"/>
    </xf>
    <xf numFmtId="176" fontId="3" fillId="0" borderId="1" xfId="0" applyNumberFormat="1" applyFont="1" applyFill="1" applyBorder="1">
      <alignment vertical="center"/>
    </xf>
    <xf numFmtId="176" fontId="3" fillId="0" borderId="1" xfId="0" applyNumberFormat="1" applyFont="1" applyBorder="1">
      <alignment vertical="center"/>
    </xf>
    <xf numFmtId="0" fontId="4" fillId="2" borderId="1" xfId="0" applyFont="1" applyFill="1" applyBorder="1" applyAlignment="1">
      <alignment vertical="center" wrapText="1"/>
    </xf>
    <xf numFmtId="0" fontId="3" fillId="0" borderId="1" xfId="0" applyFont="1" applyFill="1" applyBorder="1">
      <alignment vertical="center"/>
    </xf>
    <xf numFmtId="0" fontId="3" fillId="0" borderId="1" xfId="0" applyFont="1" applyFill="1" applyBorder="1" applyAlignment="1">
      <alignment vertical="center" wrapText="1"/>
    </xf>
    <xf numFmtId="176" fontId="4" fillId="3" borderId="1" xfId="0" applyNumberFormat="1" applyFont="1" applyFill="1" applyBorder="1" applyAlignment="1">
      <alignment vertical="center"/>
    </xf>
    <xf numFmtId="49" fontId="4" fillId="0" borderId="0" xfId="0" applyNumberFormat="1" applyFont="1">
      <alignment vertical="center"/>
    </xf>
    <xf numFmtId="0" fontId="4" fillId="0" borderId="1" xfId="0" applyFont="1" applyBorder="1">
      <alignment vertical="center"/>
    </xf>
    <xf numFmtId="0" fontId="4" fillId="0" borderId="0" xfId="0" applyFont="1">
      <alignment vertical="center"/>
    </xf>
    <xf numFmtId="180" fontId="4" fillId="2" borderId="1" xfId="0" applyNumberFormat="1" applyFont="1" applyFill="1" applyBorder="1" applyAlignment="1">
      <alignment vertical="center"/>
    </xf>
    <xf numFmtId="182" fontId="4" fillId="0" borderId="1" xfId="0" applyNumberFormat="1" applyFont="1" applyFill="1" applyBorder="1" applyAlignment="1">
      <alignment vertical="center"/>
    </xf>
    <xf numFmtId="0" fontId="4" fillId="0" borderId="0" xfId="0" applyFont="1" applyFill="1">
      <alignment vertical="center"/>
    </xf>
    <xf numFmtId="176" fontId="4" fillId="3" borderId="0" xfId="0" applyNumberFormat="1" applyFont="1" applyFill="1" applyBorder="1" applyAlignment="1">
      <alignment vertical="center"/>
    </xf>
    <xf numFmtId="176" fontId="4" fillId="2" borderId="1" xfId="0" applyNumberFormat="1" applyFont="1" applyFill="1" applyBorder="1" applyAlignment="1">
      <alignment vertical="center" wrapText="1"/>
    </xf>
    <xf numFmtId="176" fontId="3" fillId="0" borderId="0" xfId="0" applyNumberFormat="1" applyFont="1" applyBorder="1">
      <alignment vertical="center"/>
    </xf>
    <xf numFmtId="176" fontId="3" fillId="0" borderId="0" xfId="0" applyNumberFormat="1" applyFont="1" applyFill="1" applyBorder="1">
      <alignment vertical="center"/>
    </xf>
    <xf numFmtId="0" fontId="3" fillId="0" borderId="0" xfId="0" applyFont="1" applyFill="1" applyBorder="1">
      <alignment vertical="center"/>
    </xf>
    <xf numFmtId="0" fontId="28" fillId="0" borderId="0" xfId="0" applyFont="1">
      <alignment vertical="center"/>
    </xf>
    <xf numFmtId="0" fontId="29" fillId="0" borderId="0" xfId="0" applyFont="1">
      <alignment vertical="center"/>
    </xf>
    <xf numFmtId="0" fontId="30" fillId="0" borderId="0" xfId="0" applyFont="1">
      <alignment vertical="center"/>
    </xf>
    <xf numFmtId="0" fontId="0" fillId="3" borderId="0" xfId="0" applyFill="1" applyAlignment="1"/>
    <xf numFmtId="179" fontId="0" fillId="3" borderId="0" xfId="0" applyNumberFormat="1" applyFill="1" applyAlignment="1">
      <alignment vertical="center" wrapText="1"/>
    </xf>
    <xf numFmtId="0" fontId="9" fillId="3" borderId="0" xfId="0" applyFont="1" applyFill="1">
      <alignment vertical="center"/>
    </xf>
    <xf numFmtId="0" fontId="31" fillId="0" borderId="0" xfId="0" applyFont="1">
      <alignment vertical="center"/>
    </xf>
    <xf numFmtId="0" fontId="33" fillId="3" borderId="0" xfId="0" applyFont="1" applyFill="1">
      <alignment vertical="center"/>
    </xf>
    <xf numFmtId="0" fontId="1" fillId="0" borderId="0" xfId="0" applyFont="1">
      <alignment vertical="center"/>
    </xf>
    <xf numFmtId="176" fontId="4" fillId="8" borderId="1" xfId="0" applyNumberFormat="1" applyFont="1" applyFill="1" applyBorder="1" applyAlignment="1">
      <alignment vertical="center"/>
    </xf>
    <xf numFmtId="0" fontId="34" fillId="0" borderId="0" xfId="0" applyFont="1">
      <alignment vertical="center"/>
    </xf>
    <xf numFmtId="0" fontId="0" fillId="9" borderId="1" xfId="0" applyNumberFormat="1" applyFill="1" applyBorder="1" applyAlignment="1"/>
    <xf numFmtId="0" fontId="0" fillId="0" borderId="1" xfId="0" applyNumberFormat="1" applyBorder="1" applyAlignment="1"/>
    <xf numFmtId="49" fontId="0" fillId="0" borderId="1" xfId="0" applyNumberFormat="1" applyBorder="1" applyAlignment="1"/>
    <xf numFmtId="0" fontId="0" fillId="0" borderId="0" xfId="0" applyNumberFormat="1" applyBorder="1" applyAlignment="1"/>
    <xf numFmtId="0" fontId="36" fillId="0" borderId="0" xfId="0" applyFont="1" applyAlignment="1"/>
    <xf numFmtId="0" fontId="0" fillId="3" borderId="0" xfId="0" applyNumberFormat="1" applyFill="1" applyBorder="1" applyAlignment="1"/>
    <xf numFmtId="0" fontId="37" fillId="0" borderId="0" xfId="0" applyFont="1" applyAlignment="1"/>
    <xf numFmtId="177" fontId="0" fillId="0" borderId="0" xfId="0" applyNumberFormat="1" applyAlignment="1">
      <alignment horizontal="right"/>
    </xf>
    <xf numFmtId="178" fontId="0" fillId="0" borderId="0" xfId="0" applyNumberFormat="1" applyAlignment="1">
      <alignment horizontal="right"/>
    </xf>
    <xf numFmtId="0" fontId="1" fillId="0" borderId="1" xfId="0" applyFont="1" applyBorder="1">
      <alignment vertical="center"/>
    </xf>
    <xf numFmtId="0" fontId="1" fillId="0" borderId="1" xfId="0" quotePrefix="1" applyFont="1" applyBorder="1">
      <alignment vertical="center"/>
    </xf>
    <xf numFmtId="0" fontId="0" fillId="0" borderId="1" xfId="0" quotePrefix="1" applyNumberFormat="1" applyBorder="1" applyAlignment="1"/>
    <xf numFmtId="49" fontId="0" fillId="0" borderId="0" xfId="0" applyNumberFormat="1" applyAlignment="1"/>
    <xf numFmtId="0" fontId="4" fillId="2" borderId="1" xfId="0" applyFont="1" applyFill="1" applyBorder="1" applyAlignment="1"/>
    <xf numFmtId="0" fontId="4" fillId="0" borderId="1" xfId="0" applyFont="1" applyFill="1" applyBorder="1" applyAlignment="1"/>
    <xf numFmtId="0" fontId="4" fillId="0" borderId="0" xfId="0" applyFont="1" applyAlignment="1"/>
    <xf numFmtId="183" fontId="4" fillId="5" borderId="1" xfId="0" applyNumberFormat="1" applyFont="1" applyFill="1" applyBorder="1" applyAlignment="1">
      <alignment vertical="center"/>
    </xf>
    <xf numFmtId="0" fontId="4" fillId="5" borderId="0" xfId="0" applyFont="1" applyFill="1" applyAlignment="1"/>
    <xf numFmtId="176" fontId="4" fillId="0" borderId="1" xfId="0" applyNumberFormat="1" applyFont="1" applyBorder="1" applyAlignment="1"/>
    <xf numFmtId="0" fontId="4" fillId="0" borderId="1" xfId="0" applyFont="1" applyBorder="1" applyAlignment="1"/>
    <xf numFmtId="176" fontId="4" fillId="0" borderId="0" xfId="0" applyNumberFormat="1" applyFont="1" applyBorder="1" applyAlignment="1"/>
    <xf numFmtId="0" fontId="4" fillId="0" borderId="0" xfId="0" applyFont="1" applyBorder="1" applyAlignment="1"/>
    <xf numFmtId="183" fontId="4" fillId="5" borderId="0" xfId="0" applyNumberFormat="1" applyFont="1" applyFill="1" applyBorder="1" applyAlignment="1">
      <alignment vertical="center"/>
    </xf>
    <xf numFmtId="183" fontId="4" fillId="0" borderId="0" xfId="0" applyNumberFormat="1" applyFont="1" applyFill="1" applyBorder="1" applyAlignment="1">
      <alignment vertical="center"/>
    </xf>
    <xf numFmtId="176" fontId="4" fillId="3" borderId="0" xfId="0" applyNumberFormat="1" applyFont="1" applyFill="1" applyBorder="1" applyAlignment="1"/>
    <xf numFmtId="0" fontId="4" fillId="3" borderId="0" xfId="0" applyFont="1" applyFill="1" applyBorder="1" applyAlignment="1"/>
    <xf numFmtId="183" fontId="4" fillId="0" borderId="1" xfId="0" applyNumberFormat="1" applyFont="1" applyFill="1" applyBorder="1" applyAlignment="1"/>
    <xf numFmtId="182" fontId="4" fillId="0" borderId="0" xfId="0" applyNumberFormat="1" applyFont="1" applyBorder="1" applyAlignment="1"/>
    <xf numFmtId="183" fontId="4" fillId="0" borderId="0" xfId="0" applyNumberFormat="1" applyFont="1" applyBorder="1" applyAlignment="1"/>
    <xf numFmtId="176" fontId="4" fillId="3" borderId="2" xfId="0" applyNumberFormat="1" applyFont="1" applyFill="1" applyBorder="1" applyAlignment="1">
      <alignment vertical="center"/>
    </xf>
    <xf numFmtId="182" fontId="4" fillId="0" borderId="1" xfId="0" applyNumberFormat="1" applyFont="1" applyFill="1" applyBorder="1" applyAlignment="1"/>
    <xf numFmtId="0" fontId="4" fillId="2" borderId="1" xfId="0" applyFont="1" applyFill="1" applyBorder="1" applyAlignment="1">
      <alignment vertical="center"/>
    </xf>
    <xf numFmtId="180" fontId="4" fillId="0" borderId="1" xfId="0" applyNumberFormat="1" applyFont="1" applyBorder="1" applyAlignment="1">
      <alignment vertical="center"/>
    </xf>
    <xf numFmtId="0" fontId="4" fillId="0" borderId="1" xfId="0" applyFont="1" applyBorder="1" applyAlignment="1">
      <alignment vertical="center"/>
    </xf>
    <xf numFmtId="176" fontId="0" fillId="0" borderId="0" xfId="0" applyNumberFormat="1" applyAlignment="1"/>
    <xf numFmtId="0" fontId="38" fillId="0" borderId="0" xfId="0" applyFont="1" applyAlignment="1"/>
    <xf numFmtId="0" fontId="0" fillId="0" borderId="0" xfId="0" quotePrefix="1" applyAlignment="1"/>
    <xf numFmtId="0" fontId="4" fillId="3" borderId="1" xfId="0" applyFont="1" applyFill="1" applyBorder="1" applyAlignment="1"/>
    <xf numFmtId="183" fontId="4" fillId="3" borderId="0" xfId="0" applyNumberFormat="1" applyFont="1" applyFill="1" applyBorder="1" applyAlignment="1">
      <alignment vertical="center"/>
    </xf>
    <xf numFmtId="183" fontId="4" fillId="3" borderId="1" xfId="0" applyNumberFormat="1" applyFont="1" applyFill="1" applyBorder="1" applyAlignment="1"/>
    <xf numFmtId="0" fontId="0" fillId="0" borderId="1" xfId="0" applyBorder="1">
      <alignment vertical="center"/>
    </xf>
    <xf numFmtId="0" fontId="0" fillId="10" borderId="1" xfId="0" applyFill="1" applyBorder="1">
      <alignment vertical="center"/>
    </xf>
    <xf numFmtId="0" fontId="0" fillId="10" borderId="0" xfId="0" applyFill="1">
      <alignment vertical="center"/>
    </xf>
    <xf numFmtId="0" fontId="0" fillId="0" borderId="11" xfId="0" applyBorder="1">
      <alignment vertical="center"/>
    </xf>
    <xf numFmtId="0" fontId="0" fillId="0" borderId="3" xfId="0" applyBorder="1">
      <alignment vertical="center"/>
    </xf>
    <xf numFmtId="0" fontId="0" fillId="0" borderId="7" xfId="0" applyBorder="1">
      <alignment vertical="center"/>
    </xf>
    <xf numFmtId="0" fontId="0" fillId="0" borderId="6" xfId="0" applyBorder="1">
      <alignment vertical="center"/>
    </xf>
    <xf numFmtId="0" fontId="0" fillId="0" borderId="10" xfId="0" applyBorder="1">
      <alignment vertical="center"/>
    </xf>
    <xf numFmtId="176" fontId="4" fillId="6" borderId="1" xfId="0" applyNumberFormat="1" applyFont="1" applyFill="1" applyBorder="1" applyAlignment="1">
      <alignment vertical="center"/>
    </xf>
    <xf numFmtId="181" fontId="4" fillId="0" borderId="1" xfId="0" applyNumberFormat="1" applyFont="1" applyFill="1" applyBorder="1" applyAlignment="1">
      <alignment vertical="center"/>
    </xf>
    <xf numFmtId="176" fontId="4" fillId="0" borderId="1" xfId="0" applyNumberFormat="1" applyFont="1" applyBorder="1" applyAlignment="1">
      <alignment vertical="center" wrapText="1"/>
    </xf>
    <xf numFmtId="0" fontId="0" fillId="0" borderId="0" xfId="0" quotePrefix="1">
      <alignment vertical="center"/>
    </xf>
    <xf numFmtId="181" fontId="4" fillId="0" borderId="1" xfId="0" quotePrefix="1" applyNumberFormat="1" applyFont="1" applyFill="1" applyBorder="1" applyAlignment="1">
      <alignment vertical="center"/>
    </xf>
    <xf numFmtId="181" fontId="0" fillId="0" borderId="0" xfId="0" applyNumberFormat="1">
      <alignment vertical="center"/>
    </xf>
    <xf numFmtId="181" fontId="4" fillId="0" borderId="2" xfId="0" applyNumberFormat="1" applyFont="1" applyFill="1" applyBorder="1" applyAlignment="1">
      <alignment vertical="center"/>
    </xf>
    <xf numFmtId="181" fontId="4" fillId="0" borderId="0" xfId="0" applyNumberFormat="1" applyFont="1" applyFill="1" applyBorder="1" applyAlignment="1">
      <alignment vertical="center"/>
    </xf>
    <xf numFmtId="0" fontId="0" fillId="0" borderId="1" xfId="0" quotePrefix="1" applyBorder="1">
      <alignment vertical="center"/>
    </xf>
    <xf numFmtId="181" fontId="0" fillId="0" borderId="1"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39" fillId="0" borderId="1" xfId="0" applyFont="1" applyFill="1" applyBorder="1">
      <alignment vertical="center"/>
    </xf>
    <xf numFmtId="181" fontId="0" fillId="0" borderId="1" xfId="0" applyNumberFormat="1" applyFill="1" applyBorder="1">
      <alignment vertical="center"/>
    </xf>
    <xf numFmtId="0" fontId="0" fillId="0" borderId="1" xfId="0" applyNumberFormat="1" applyFill="1" applyBorder="1">
      <alignment vertical="center"/>
    </xf>
    <xf numFmtId="0" fontId="0" fillId="3" borderId="1" xfId="0" applyFill="1" applyBorder="1">
      <alignment vertical="center"/>
    </xf>
    <xf numFmtId="181" fontId="4" fillId="3" borderId="1" xfId="0" applyNumberFormat="1" applyFont="1" applyFill="1" applyBorder="1" applyAlignment="1">
      <alignment vertical="center"/>
    </xf>
    <xf numFmtId="181" fontId="4" fillId="3" borderId="1" xfId="0" quotePrefix="1" applyNumberFormat="1" applyFont="1" applyFill="1" applyBorder="1" applyAlignment="1">
      <alignment vertical="center"/>
    </xf>
    <xf numFmtId="181" fontId="0" fillId="3" borderId="1" xfId="0" applyNumberFormat="1" applyFill="1" applyBorder="1">
      <alignment vertical="center"/>
    </xf>
    <xf numFmtId="176" fontId="0" fillId="3" borderId="1" xfId="0" applyNumberFormat="1" applyFill="1" applyBorder="1">
      <alignment vertical="center"/>
    </xf>
    <xf numFmtId="184" fontId="0" fillId="0" borderId="0" xfId="0" applyNumberFormat="1" applyAlignment="1">
      <alignment horizontal="right"/>
    </xf>
    <xf numFmtId="176" fontId="1" fillId="0" borderId="1" xfId="0" applyNumberFormat="1" applyFont="1" applyBorder="1">
      <alignment vertical="center"/>
    </xf>
    <xf numFmtId="176" fontId="1" fillId="0" borderId="0" xfId="0" applyNumberFormat="1" applyFont="1" applyFill="1" applyBorder="1">
      <alignment vertical="center"/>
    </xf>
    <xf numFmtId="176" fontId="4" fillId="2" borderId="2" xfId="0" applyNumberFormat="1" applyFont="1" applyFill="1" applyBorder="1" applyAlignment="1">
      <alignment vertical="center"/>
    </xf>
    <xf numFmtId="182" fontId="0" fillId="0" borderId="1" xfId="0" applyNumberFormat="1" applyBorder="1">
      <alignment vertical="center"/>
    </xf>
    <xf numFmtId="176" fontId="1" fillId="0" borderId="1" xfId="0" applyNumberFormat="1" applyFont="1" applyFill="1" applyBorder="1">
      <alignment vertical="center"/>
    </xf>
    <xf numFmtId="0" fontId="0" fillId="0" borderId="0" xfId="0" applyBorder="1">
      <alignment vertical="center"/>
    </xf>
    <xf numFmtId="182" fontId="0" fillId="0" borderId="0" xfId="0" applyNumberFormat="1" applyBorder="1">
      <alignment vertical="center"/>
    </xf>
    <xf numFmtId="176" fontId="1" fillId="0" borderId="0" xfId="0" applyNumberFormat="1" applyFont="1" applyBorder="1">
      <alignment vertical="center"/>
    </xf>
    <xf numFmtId="0" fontId="1" fillId="2" borderId="1" xfId="0" applyFont="1" applyFill="1" applyBorder="1">
      <alignment vertical="center"/>
    </xf>
    <xf numFmtId="0" fontId="1" fillId="2" borderId="2" xfId="0" applyFont="1" applyFill="1" applyBorder="1">
      <alignment vertical="center"/>
    </xf>
    <xf numFmtId="0" fontId="0" fillId="6" borderId="1" xfId="0" applyFill="1" applyBorder="1">
      <alignment vertical="center"/>
    </xf>
    <xf numFmtId="181" fontId="4" fillId="6" borderId="1" xfId="0" applyNumberFormat="1" applyFont="1" applyFill="1" applyBorder="1" applyAlignment="1">
      <alignment vertical="center"/>
    </xf>
    <xf numFmtId="181" fontId="4" fillId="6" borderId="1" xfId="0" quotePrefix="1" applyNumberFormat="1" applyFont="1" applyFill="1" applyBorder="1" applyAlignment="1">
      <alignment vertical="center"/>
    </xf>
    <xf numFmtId="181" fontId="0" fillId="6" borderId="1" xfId="0" applyNumberFormat="1" applyFill="1" applyBorder="1">
      <alignment vertical="center"/>
    </xf>
    <xf numFmtId="0" fontId="3" fillId="0" borderId="0" xfId="0" applyFont="1" applyBorder="1">
      <alignment vertical="center"/>
    </xf>
    <xf numFmtId="181" fontId="4" fillId="2" borderId="1" xfId="0" applyNumberFormat="1" applyFont="1" applyFill="1" applyBorder="1" applyAlignment="1">
      <alignment vertical="center"/>
    </xf>
    <xf numFmtId="181" fontId="4" fillId="0" borderId="0" xfId="0" applyNumberFormat="1" applyFont="1" applyBorder="1" applyAlignment="1">
      <alignment vertical="center"/>
    </xf>
    <xf numFmtId="181" fontId="4" fillId="0" borderId="1" xfId="0" applyNumberFormat="1" applyFont="1" applyBorder="1" applyAlignment="1">
      <alignment vertical="center"/>
    </xf>
    <xf numFmtId="176" fontId="40" fillId="0" borderId="1" xfId="0" applyNumberFormat="1" applyFont="1" applyBorder="1" applyAlignment="1">
      <alignment vertical="center"/>
    </xf>
    <xf numFmtId="181" fontId="0" fillId="0" borderId="0" xfId="0" applyNumberFormat="1" applyFill="1">
      <alignment vertical="center"/>
    </xf>
    <xf numFmtId="176" fontId="4" fillId="7" borderId="0" xfId="0" applyNumberFormat="1" applyFont="1" applyFill="1" applyBorder="1" applyAlignment="1">
      <alignment vertical="center"/>
    </xf>
    <xf numFmtId="176" fontId="0" fillId="0" borderId="0" xfId="0" applyNumberFormat="1">
      <alignment vertical="center"/>
    </xf>
    <xf numFmtId="0" fontId="3" fillId="0" borderId="0" xfId="0" applyFont="1" applyFill="1" applyBorder="1" applyAlignment="1">
      <alignment vertical="center" wrapText="1"/>
    </xf>
    <xf numFmtId="176" fontId="1" fillId="2" borderId="1" xfId="0" applyNumberFormat="1" applyFont="1" applyFill="1" applyBorder="1">
      <alignment vertical="center"/>
    </xf>
    <xf numFmtId="181" fontId="1" fillId="0" borderId="1" xfId="0" applyNumberFormat="1" applyFont="1" applyFill="1" applyBorder="1">
      <alignment vertical="center"/>
    </xf>
    <xf numFmtId="0" fontId="36" fillId="0" borderId="1" xfId="0" applyFont="1" applyBorder="1" applyAlignment="1"/>
    <xf numFmtId="176" fontId="4" fillId="7" borderId="1" xfId="0" applyNumberFormat="1" applyFont="1" applyFill="1" applyBorder="1" applyAlignment="1">
      <alignment vertical="center"/>
    </xf>
    <xf numFmtId="176" fontId="1" fillId="2" borderId="1" xfId="0" applyNumberFormat="1" applyFont="1" applyFill="1" applyBorder="1" applyAlignment="1">
      <alignment vertical="center"/>
    </xf>
    <xf numFmtId="0" fontId="40" fillId="0" borderId="0" xfId="0" applyFont="1" applyFill="1">
      <alignment vertical="center"/>
    </xf>
    <xf numFmtId="0" fontId="0" fillId="0" borderId="1" xfId="0" applyBorder="1" applyAlignment="1"/>
    <xf numFmtId="176" fontId="0" fillId="0" borderId="1" xfId="0" applyNumberFormat="1" applyBorder="1" applyAlignment="1"/>
    <xf numFmtId="177" fontId="0" fillId="0" borderId="1" xfId="0" applyNumberFormat="1" applyBorder="1" applyAlignment="1">
      <alignment horizontal="right"/>
    </xf>
    <xf numFmtId="49" fontId="0" fillId="0" borderId="1" xfId="0" applyNumberFormat="1" applyFill="1" applyBorder="1">
      <alignment vertical="center"/>
    </xf>
    <xf numFmtId="181" fontId="31" fillId="0" borderId="1" xfId="0" applyNumberFormat="1" applyFont="1" applyFill="1" applyBorder="1" applyAlignment="1">
      <alignment vertical="center"/>
    </xf>
    <xf numFmtId="181" fontId="39" fillId="0" borderId="1" xfId="0" applyNumberFormat="1" applyFont="1" applyFill="1" applyBorder="1">
      <alignment vertical="center"/>
    </xf>
    <xf numFmtId="0" fontId="39" fillId="0" borderId="0" xfId="0" applyFont="1" applyFill="1">
      <alignment vertical="center"/>
    </xf>
    <xf numFmtId="0" fontId="41" fillId="3" borderId="1" xfId="0" applyFont="1" applyFill="1" applyBorder="1" applyAlignment="1">
      <alignment horizontal="left" vertical="center"/>
    </xf>
    <xf numFmtId="176" fontId="4" fillId="3" borderId="1" xfId="0" applyNumberFormat="1" applyFont="1" applyFill="1" applyBorder="1" applyAlignment="1">
      <alignment vertical="center" wrapText="1"/>
    </xf>
    <xf numFmtId="176" fontId="4" fillId="8" borderId="0" xfId="0" applyNumberFormat="1" applyFont="1" applyFill="1" applyBorder="1" applyAlignment="1">
      <alignment vertical="center"/>
    </xf>
    <xf numFmtId="181" fontId="0" fillId="0" borderId="0" xfId="0" applyNumberFormat="1" applyBorder="1">
      <alignment vertical="center"/>
    </xf>
    <xf numFmtId="181" fontId="1" fillId="0" borderId="0" xfId="0" applyNumberFormat="1" applyFont="1" applyFill="1" applyBorder="1">
      <alignment vertical="center"/>
    </xf>
    <xf numFmtId="176" fontId="4" fillId="8" borderId="10" xfId="0" applyNumberFormat="1" applyFont="1" applyFill="1" applyBorder="1" applyAlignment="1">
      <alignment vertical="center"/>
    </xf>
    <xf numFmtId="0" fontId="0" fillId="0" borderId="1" xfId="0" quotePrefix="1" applyBorder="1" applyAlignment="1"/>
    <xf numFmtId="184" fontId="0" fillId="0" borderId="1" xfId="0" applyNumberFormat="1" applyBorder="1" applyAlignment="1">
      <alignment horizontal="right"/>
    </xf>
    <xf numFmtId="176" fontId="0" fillId="0" borderId="0" xfId="0" applyNumberFormat="1" applyBorder="1" applyAlignment="1"/>
    <xf numFmtId="185" fontId="4" fillId="0" borderId="0" xfId="0" applyNumberFormat="1" applyFont="1" applyBorder="1">
      <alignment vertical="center"/>
    </xf>
    <xf numFmtId="0" fontId="0" fillId="0" borderId="0" xfId="0" applyFill="1" applyBorder="1">
      <alignment vertical="center"/>
    </xf>
    <xf numFmtId="0" fontId="41" fillId="3" borderId="0" xfId="0" applyFont="1" applyFill="1" applyBorder="1" applyAlignment="1">
      <alignment horizontal="left" vertical="center"/>
    </xf>
    <xf numFmtId="0" fontId="41" fillId="3" borderId="3" xfId="0" applyFont="1" applyFill="1" applyBorder="1" applyAlignment="1">
      <alignment horizontal="left" vertical="center"/>
    </xf>
    <xf numFmtId="0" fontId="43" fillId="0" borderId="1" xfId="0" applyFont="1" applyBorder="1" applyAlignment="1">
      <alignment horizontal="left" vertical="center"/>
    </xf>
    <xf numFmtId="0" fontId="41" fillId="0" borderId="1" xfId="0" applyFont="1" applyBorder="1" applyAlignment="1">
      <alignment vertical="center"/>
    </xf>
    <xf numFmtId="0" fontId="41" fillId="6" borderId="1" xfId="0" applyFont="1" applyFill="1" applyBorder="1" applyAlignment="1">
      <alignment horizontal="center" vertical="center"/>
    </xf>
    <xf numFmtId="0" fontId="43" fillId="11" borderId="1" xfId="0" applyFont="1" applyFill="1" applyBorder="1" applyAlignment="1">
      <alignment horizontal="left" vertical="center"/>
    </xf>
    <xf numFmtId="0" fontId="43" fillId="0" borderId="1" xfId="0" applyFont="1" applyFill="1" applyBorder="1" applyAlignment="1">
      <alignment horizontal="left" vertical="center"/>
    </xf>
    <xf numFmtId="182" fontId="43" fillId="11" borderId="1" xfId="0" applyNumberFormat="1" applyFont="1" applyFill="1" applyBorder="1" applyAlignment="1">
      <alignment horizontal="left" vertical="center"/>
    </xf>
    <xf numFmtId="0" fontId="0" fillId="11" borderId="1" xfId="0" applyFill="1" applyBorder="1">
      <alignment vertical="center"/>
    </xf>
    <xf numFmtId="176" fontId="0" fillId="11" borderId="1" xfId="0" applyNumberFormat="1" applyFill="1" applyBorder="1">
      <alignment vertical="center"/>
    </xf>
    <xf numFmtId="181" fontId="0" fillId="11" borderId="1" xfId="0" applyNumberFormat="1" applyFill="1" applyBorder="1">
      <alignment vertical="center"/>
    </xf>
    <xf numFmtId="0" fontId="43" fillId="0" borderId="0" xfId="0" applyFont="1" applyFill="1" applyBorder="1" applyAlignment="1">
      <alignment horizontal="left" vertical="center"/>
    </xf>
    <xf numFmtId="182" fontId="43" fillId="0" borderId="0" xfId="0" applyNumberFormat="1" applyFont="1" applyFill="1" applyBorder="1" applyAlignment="1">
      <alignment horizontal="left" vertical="center"/>
    </xf>
    <xf numFmtId="176" fontId="0" fillId="0" borderId="0" xfId="0" applyNumberFormat="1" applyFill="1" applyBorder="1">
      <alignment vertical="center"/>
    </xf>
    <xf numFmtId="181" fontId="0" fillId="0" borderId="0" xfId="0" applyNumberFormat="1" applyFill="1" applyBorder="1">
      <alignment vertical="center"/>
    </xf>
    <xf numFmtId="0" fontId="43" fillId="3" borderId="1" xfId="0" applyFont="1" applyFill="1" applyBorder="1" applyAlignment="1">
      <alignment horizontal="left" vertical="center"/>
    </xf>
    <xf numFmtId="0" fontId="41" fillId="3" borderId="1" xfId="0" applyFont="1" applyFill="1" applyBorder="1" applyAlignment="1">
      <alignment vertical="center"/>
    </xf>
    <xf numFmtId="0" fontId="0" fillId="0" borderId="0" xfId="0" applyAlignment="1">
      <alignment vertical="center"/>
    </xf>
    <xf numFmtId="181" fontId="43" fillId="11" borderId="1" xfId="0" applyNumberFormat="1" applyFont="1" applyFill="1" applyBorder="1" applyAlignment="1">
      <alignment horizontal="left" vertical="center"/>
    </xf>
    <xf numFmtId="0" fontId="41" fillId="0" borderId="1" xfId="0" applyFont="1" applyFill="1" applyBorder="1" applyAlignment="1">
      <alignment horizontal="center" vertical="center"/>
    </xf>
    <xf numFmtId="181" fontId="43" fillId="0" borderId="0" xfId="0" applyNumberFormat="1" applyFont="1" applyFill="1" applyBorder="1" applyAlignment="1">
      <alignment horizontal="left" vertical="center"/>
    </xf>
    <xf numFmtId="181" fontId="43" fillId="0" borderId="1" xfId="0" applyNumberFormat="1" applyFont="1" applyFill="1" applyBorder="1" applyAlignment="1">
      <alignment horizontal="left" vertical="center"/>
    </xf>
    <xf numFmtId="0" fontId="44" fillId="0" borderId="1" xfId="0" applyFont="1" applyFill="1" applyBorder="1" applyAlignment="1">
      <alignment horizontal="left" vertical="center"/>
    </xf>
    <xf numFmtId="186" fontId="43" fillId="0" borderId="1" xfId="0" applyNumberFormat="1" applyFont="1" applyFill="1" applyBorder="1" applyAlignment="1">
      <alignment horizontal="left" vertical="center"/>
    </xf>
    <xf numFmtId="0" fontId="0" fillId="0" borderId="0" xfId="0" applyNumberFormat="1" applyFill="1" applyBorder="1" applyAlignment="1"/>
    <xf numFmtId="0" fontId="44" fillId="0" borderId="0" xfId="0" applyFont="1" applyFill="1" applyBorder="1" applyAlignment="1">
      <alignment horizontal="left" vertical="center"/>
    </xf>
    <xf numFmtId="186" fontId="43" fillId="0" borderId="0" xfId="0" applyNumberFormat="1" applyFont="1" applyFill="1" applyBorder="1" applyAlignment="1">
      <alignment horizontal="left" vertical="center"/>
    </xf>
    <xf numFmtId="0" fontId="43" fillId="3" borderId="0" xfId="0" applyFont="1" applyFill="1" applyBorder="1" applyAlignment="1">
      <alignment horizontal="left" vertical="center"/>
    </xf>
    <xf numFmtId="181" fontId="43" fillId="3" borderId="0" xfId="0" applyNumberFormat="1" applyFont="1" applyFill="1" applyBorder="1" applyAlignment="1">
      <alignment horizontal="left" vertical="center"/>
    </xf>
    <xf numFmtId="0" fontId="0" fillId="3" borderId="0" xfId="0" applyFill="1" applyBorder="1">
      <alignment vertical="center"/>
    </xf>
    <xf numFmtId="181" fontId="0" fillId="3" borderId="0" xfId="0" applyNumberFormat="1" applyFill="1" applyBorder="1">
      <alignment vertical="center"/>
    </xf>
    <xf numFmtId="178" fontId="0" fillId="0" borderId="1" xfId="0" applyNumberFormat="1" applyBorder="1" applyAlignment="1">
      <alignment horizontal="right"/>
    </xf>
    <xf numFmtId="178" fontId="0" fillId="0" borderId="1" xfId="0" applyNumberFormat="1" applyBorder="1">
      <alignment vertical="center"/>
    </xf>
    <xf numFmtId="176" fontId="1" fillId="2" borderId="2" xfId="0" applyNumberFormat="1" applyFont="1" applyFill="1" applyBorder="1" applyAlignment="1">
      <alignment vertical="center"/>
    </xf>
    <xf numFmtId="176" fontId="1" fillId="2" borderId="3" xfId="0" applyNumberFormat="1" applyFont="1" applyFill="1" applyBorder="1" applyAlignment="1">
      <alignment vertical="center"/>
    </xf>
    <xf numFmtId="0" fontId="43" fillId="3" borderId="3" xfId="0" applyFont="1" applyFill="1" applyBorder="1" applyAlignment="1">
      <alignment horizontal="left" vertical="center"/>
    </xf>
    <xf numFmtId="0" fontId="41" fillId="3" borderId="3" xfId="0" applyFont="1" applyFill="1" applyBorder="1" applyAlignment="1">
      <alignment vertical="center"/>
    </xf>
    <xf numFmtId="21" fontId="0" fillId="0" borderId="1" xfId="0" applyNumberFormat="1" applyFill="1" applyBorder="1">
      <alignment vertical="center"/>
    </xf>
    <xf numFmtId="0" fontId="0" fillId="0" borderId="1" xfId="0" applyNumberFormat="1" applyFill="1" applyBorder="1" applyAlignment="1"/>
    <xf numFmtId="176" fontId="4" fillId="0" borderId="2" xfId="0" applyNumberFormat="1" applyFont="1" applyFill="1" applyBorder="1" applyAlignment="1">
      <alignment vertical="center"/>
    </xf>
    <xf numFmtId="0" fontId="30" fillId="0" borderId="0" xfId="0" applyFont="1" applyFill="1" applyBorder="1" applyAlignment="1">
      <alignment horizontal="left" vertical="center"/>
    </xf>
    <xf numFmtId="181" fontId="30" fillId="0" borderId="0" xfId="0" applyNumberFormat="1" applyFont="1" applyFill="1" applyBorder="1" applyAlignment="1">
      <alignment horizontal="left" vertical="center"/>
    </xf>
    <xf numFmtId="186" fontId="30" fillId="0" borderId="0" xfId="0" applyNumberFormat="1" applyFont="1" applyFill="1" applyBorder="1" applyAlignment="1">
      <alignment horizontal="left" vertical="center"/>
    </xf>
    <xf numFmtId="0" fontId="30" fillId="0" borderId="0" xfId="0" applyFont="1" applyFill="1" applyBorder="1">
      <alignment vertical="center"/>
    </xf>
    <xf numFmtId="181" fontId="30" fillId="0" borderId="0" xfId="0" applyNumberFormat="1" applyFont="1" applyFill="1" applyBorder="1">
      <alignment vertical="center"/>
    </xf>
    <xf numFmtId="0" fontId="30" fillId="0" borderId="1" xfId="0" applyFont="1" applyFill="1" applyBorder="1" applyAlignment="1">
      <alignment horizontal="left" vertical="center"/>
    </xf>
    <xf numFmtId="181" fontId="30" fillId="0" borderId="1" xfId="0" applyNumberFormat="1" applyFont="1" applyFill="1" applyBorder="1" applyAlignment="1">
      <alignment horizontal="left" vertical="center"/>
    </xf>
    <xf numFmtId="186" fontId="30" fillId="0" borderId="1" xfId="0" applyNumberFormat="1" applyFont="1" applyFill="1" applyBorder="1" applyAlignment="1">
      <alignment horizontal="left" vertical="center"/>
    </xf>
    <xf numFmtId="181" fontId="30" fillId="0" borderId="1" xfId="0" applyNumberFormat="1" applyFont="1" applyFill="1" applyBorder="1">
      <alignment vertical="center"/>
    </xf>
    <xf numFmtId="0" fontId="30" fillId="0" borderId="1" xfId="0" applyFont="1" applyFill="1" applyBorder="1">
      <alignment vertical="center"/>
    </xf>
    <xf numFmtId="0" fontId="30" fillId="3" borderId="0" xfId="0" applyFont="1" applyFill="1" applyBorder="1" applyAlignment="1">
      <alignment horizontal="left" vertical="center"/>
    </xf>
    <xf numFmtId="181" fontId="30" fillId="3" borderId="0" xfId="0" applyNumberFormat="1" applyFont="1" applyFill="1" applyBorder="1" applyAlignment="1">
      <alignment horizontal="left" vertical="center"/>
    </xf>
    <xf numFmtId="176" fontId="4" fillId="6" borderId="1" xfId="0" applyNumberFormat="1" applyFont="1" applyFill="1" applyBorder="1" applyAlignment="1">
      <alignment vertical="center" wrapText="1"/>
    </xf>
    <xf numFmtId="176" fontId="4" fillId="6" borderId="0" xfId="0" applyNumberFormat="1" applyFont="1" applyFill="1" applyBorder="1" applyAlignment="1">
      <alignment vertical="center"/>
    </xf>
    <xf numFmtId="0" fontId="0" fillId="0" borderId="2" xfId="0" applyFill="1" applyBorder="1" applyAlignment="1">
      <alignment vertical="center"/>
    </xf>
    <xf numFmtId="176" fontId="4" fillId="11" borderId="1" xfId="0" applyNumberFormat="1" applyFont="1" applyFill="1" applyBorder="1" applyAlignment="1">
      <alignment vertical="center"/>
    </xf>
    <xf numFmtId="0" fontId="41" fillId="0" borderId="1" xfId="0" applyFont="1" applyFill="1" applyBorder="1" applyAlignment="1">
      <alignment horizontal="left" vertical="center"/>
    </xf>
    <xf numFmtId="0" fontId="41" fillId="11" borderId="1" xfId="0" applyFont="1" applyFill="1" applyBorder="1" applyAlignment="1">
      <alignment horizontal="left" vertical="center"/>
    </xf>
    <xf numFmtId="0" fontId="41" fillId="11" borderId="1" xfId="0" applyFont="1" applyFill="1" applyBorder="1" applyAlignment="1">
      <alignment horizontal="left" vertical="center" wrapText="1"/>
    </xf>
    <xf numFmtId="181" fontId="0" fillId="6" borderId="0" xfId="0" applyNumberFormat="1" applyFill="1">
      <alignment vertical="center"/>
    </xf>
    <xf numFmtId="176" fontId="0" fillId="6" borderId="0" xfId="0" applyNumberFormat="1" applyFill="1">
      <alignment vertical="center"/>
    </xf>
    <xf numFmtId="176" fontId="0" fillId="0" borderId="0" xfId="0" applyNumberFormat="1" applyFill="1">
      <alignment vertical="center"/>
    </xf>
    <xf numFmtId="0" fontId="30" fillId="0" borderId="0" xfId="0" applyFont="1" applyFill="1" applyBorder="1" applyAlignment="1">
      <alignment horizontal="left" vertical="center"/>
    </xf>
    <xf numFmtId="0" fontId="43" fillId="0" borderId="0" xfId="0" applyFont="1" applyFill="1" applyBorder="1" applyAlignment="1">
      <alignment horizontal="left" vertical="center"/>
    </xf>
    <xf numFmtId="0" fontId="0" fillId="0" borderId="0" xfId="0" applyAlignment="1">
      <alignment vertical="center"/>
    </xf>
    <xf numFmtId="0" fontId="43" fillId="0" borderId="1" xfId="0" applyFont="1" applyFill="1" applyBorder="1" applyAlignment="1">
      <alignment horizontal="left" vertical="center"/>
    </xf>
    <xf numFmtId="176" fontId="4" fillId="0" borderId="2" xfId="0" applyNumberFormat="1" applyFont="1" applyFill="1" applyBorder="1" applyAlignment="1">
      <alignment vertical="center"/>
    </xf>
    <xf numFmtId="0" fontId="41" fillId="0" borderId="3" xfId="0" applyFont="1" applyBorder="1" applyAlignment="1">
      <alignment vertical="center"/>
    </xf>
    <xf numFmtId="180" fontId="43" fillId="0" borderId="1" xfId="0" applyNumberFormat="1" applyFont="1" applyFill="1" applyBorder="1" applyAlignment="1">
      <alignment horizontal="left" vertical="center"/>
    </xf>
    <xf numFmtId="179" fontId="0" fillId="0" borderId="1" xfId="0" applyNumberFormat="1" applyBorder="1">
      <alignment vertical="center"/>
    </xf>
    <xf numFmtId="179" fontId="0" fillId="0" borderId="0" xfId="0" applyNumberFormat="1">
      <alignment vertical="center"/>
    </xf>
    <xf numFmtId="176" fontId="1" fillId="3" borderId="1" xfId="0" applyNumberFormat="1" applyFont="1" applyFill="1" applyBorder="1" applyAlignment="1">
      <alignment vertical="center"/>
    </xf>
    <xf numFmtId="176" fontId="1" fillId="3" borderId="3" xfId="0" applyNumberFormat="1" applyFont="1" applyFill="1" applyBorder="1" applyAlignment="1">
      <alignment vertical="center"/>
    </xf>
    <xf numFmtId="179" fontId="0" fillId="3" borderId="1" xfId="0" applyNumberFormat="1" applyFill="1" applyBorder="1">
      <alignment vertical="center"/>
    </xf>
    <xf numFmtId="183" fontId="0" fillId="0" borderId="0" xfId="0" applyNumberFormat="1">
      <alignment vertical="center"/>
    </xf>
    <xf numFmtId="176" fontId="1" fillId="4" borderId="1" xfId="0" applyNumberFormat="1" applyFont="1" applyFill="1" applyBorder="1" applyAlignment="1">
      <alignment vertical="center"/>
    </xf>
    <xf numFmtId="0" fontId="0" fillId="4" borderId="1" xfId="0" applyFill="1" applyBorder="1">
      <alignment vertical="center"/>
    </xf>
    <xf numFmtId="176" fontId="4" fillId="12" borderId="1" xfId="0" applyNumberFormat="1" applyFont="1" applyFill="1" applyBorder="1" applyAlignment="1">
      <alignment vertical="center"/>
    </xf>
    <xf numFmtId="178" fontId="0" fillId="0" borderId="0" xfId="0" applyNumberFormat="1" applyAlignment="1"/>
    <xf numFmtId="0" fontId="0" fillId="0" borderId="1" xfId="0" quotePrefix="1" applyFill="1" applyBorder="1">
      <alignment vertical="center"/>
    </xf>
    <xf numFmtId="176" fontId="0" fillId="0" borderId="1" xfId="0" applyNumberFormat="1" applyFill="1" applyBorder="1">
      <alignment vertical="center"/>
    </xf>
    <xf numFmtId="0" fontId="4" fillId="0" borderId="3" xfId="0" applyNumberFormat="1" applyFont="1" applyFill="1" applyBorder="1" applyAlignment="1">
      <alignment vertical="center"/>
    </xf>
    <xf numFmtId="179" fontId="4" fillId="0" borderId="1" xfId="0" applyNumberFormat="1" applyFont="1" applyFill="1" applyBorder="1" applyAlignment="1">
      <alignment vertical="center"/>
    </xf>
    <xf numFmtId="179" fontId="4" fillId="6" borderId="1" xfId="0" applyNumberFormat="1" applyFont="1" applyFill="1" applyBorder="1" applyAlignment="1">
      <alignment vertical="center"/>
    </xf>
    <xf numFmtId="176" fontId="43" fillId="0" borderId="0" xfId="0" applyNumberFormat="1" applyFont="1" applyFill="1" applyBorder="1" applyAlignment="1">
      <alignment horizontal="left" vertical="center"/>
    </xf>
    <xf numFmtId="176" fontId="43" fillId="0" borderId="1" xfId="0" applyNumberFormat="1" applyFont="1" applyFill="1" applyBorder="1" applyAlignment="1">
      <alignment horizontal="left" vertical="center"/>
    </xf>
    <xf numFmtId="176" fontId="43" fillId="3" borderId="0" xfId="0" applyNumberFormat="1" applyFont="1" applyFill="1" applyBorder="1" applyAlignment="1">
      <alignment horizontal="left" vertical="center"/>
    </xf>
    <xf numFmtId="0" fontId="43" fillId="0" borderId="1" xfId="0" applyFont="1" applyFill="1" applyBorder="1" applyAlignment="1">
      <alignment horizontal="left" vertical="center"/>
    </xf>
    <xf numFmtId="0" fontId="30" fillId="0" borderId="0" xfId="0" applyFont="1" applyFill="1" applyBorder="1" applyAlignment="1">
      <alignment horizontal="left" vertical="center"/>
    </xf>
    <xf numFmtId="176" fontId="4" fillId="0" borderId="2" xfId="0" applyNumberFormat="1" applyFont="1" applyFill="1" applyBorder="1" applyAlignment="1">
      <alignment vertical="center"/>
    </xf>
    <xf numFmtId="0" fontId="0" fillId="0" borderId="0" xfId="0" applyAlignment="1">
      <alignment vertical="center"/>
    </xf>
    <xf numFmtId="0" fontId="43" fillId="0" borderId="0" xfId="0" applyFont="1" applyFill="1" applyBorder="1" applyAlignment="1">
      <alignment horizontal="left" vertical="center"/>
    </xf>
    <xf numFmtId="0" fontId="0" fillId="0" borderId="2" xfId="0" applyFill="1" applyBorder="1">
      <alignment vertical="center"/>
    </xf>
    <xf numFmtId="0" fontId="45" fillId="0" borderId="1" xfId="0" applyFont="1" applyBorder="1">
      <alignment vertical="center"/>
    </xf>
    <xf numFmtId="0" fontId="41" fillId="0" borderId="0" xfId="0" applyFont="1" applyFill="1" applyBorder="1" applyAlignment="1">
      <alignment horizontal="left" vertical="center"/>
    </xf>
    <xf numFmtId="0" fontId="30" fillId="0" borderId="0" xfId="0" applyFont="1" applyFill="1" applyBorder="1" applyAlignment="1">
      <alignment horizontal="left" vertical="center"/>
    </xf>
    <xf numFmtId="0" fontId="43" fillId="0" borderId="0" xfId="0" applyFont="1" applyFill="1" applyBorder="1" applyAlignment="1">
      <alignment horizontal="left" vertical="center"/>
    </xf>
    <xf numFmtId="0" fontId="43" fillId="0" borderId="1" xfId="0" applyFont="1" applyFill="1" applyBorder="1" applyAlignment="1">
      <alignment horizontal="left" vertical="center"/>
    </xf>
    <xf numFmtId="180" fontId="4" fillId="0" borderId="1" xfId="0" applyNumberFormat="1" applyFont="1" applyFill="1" applyBorder="1" applyAlignment="1">
      <alignment vertical="center"/>
    </xf>
    <xf numFmtId="180" fontId="4" fillId="6" borderId="1" xfId="0" applyNumberFormat="1" applyFont="1" applyFill="1" applyBorder="1" applyAlignment="1">
      <alignment vertical="center"/>
    </xf>
    <xf numFmtId="182" fontId="0" fillId="0" borderId="0" xfId="0" applyNumberFormat="1" applyFill="1">
      <alignment vertical="center"/>
    </xf>
    <xf numFmtId="178" fontId="0" fillId="0" borderId="0" xfId="0" applyNumberFormat="1">
      <alignment vertical="center"/>
    </xf>
    <xf numFmtId="182" fontId="0" fillId="0" borderId="1" xfId="0" applyNumberFormat="1" applyFill="1" applyBorder="1">
      <alignment vertical="center"/>
    </xf>
    <xf numFmtId="179" fontId="0" fillId="0" borderId="1" xfId="0" applyNumberFormat="1" applyFill="1" applyBorder="1">
      <alignment vertical="center"/>
    </xf>
    <xf numFmtId="176" fontId="4" fillId="0" borderId="2" xfId="0" applyNumberFormat="1" applyFont="1" applyFill="1" applyBorder="1" applyAlignment="1">
      <alignment vertical="center"/>
    </xf>
    <xf numFmtId="0" fontId="41" fillId="11" borderId="1" xfId="0" applyFont="1" applyFill="1" applyBorder="1" applyAlignment="1">
      <alignment horizontal="center" vertical="center"/>
    </xf>
    <xf numFmtId="181" fontId="4" fillId="11" borderId="1" xfId="0" applyNumberFormat="1" applyFont="1" applyFill="1" applyBorder="1" applyAlignment="1">
      <alignment vertical="center"/>
    </xf>
    <xf numFmtId="0" fontId="36" fillId="0" borderId="1" xfId="0" applyFont="1" applyFill="1" applyBorder="1" applyAlignment="1"/>
    <xf numFmtId="0" fontId="36" fillId="0" borderId="0" xfId="0" applyFont="1" applyFill="1" applyAlignment="1"/>
    <xf numFmtId="0" fontId="43" fillId="0" borderId="0" xfId="0" applyFont="1" applyFill="1" applyBorder="1" applyAlignment="1">
      <alignment horizontal="left" vertical="center"/>
    </xf>
    <xf numFmtId="0" fontId="43" fillId="0" borderId="1" xfId="0" applyFont="1" applyFill="1" applyBorder="1" applyAlignment="1">
      <alignment horizontal="left" vertical="center"/>
    </xf>
    <xf numFmtId="0" fontId="0" fillId="0" borderId="1" xfId="0" applyBorder="1" applyAlignment="1"/>
    <xf numFmtId="49" fontId="4" fillId="0" borderId="0" xfId="0" applyNumberFormat="1" applyFont="1" applyFill="1">
      <alignment vertical="center"/>
    </xf>
    <xf numFmtId="0" fontId="42" fillId="0" borderId="1" xfId="0" applyFont="1" applyBorder="1" applyAlignment="1"/>
    <xf numFmtId="0" fontId="1" fillId="0" borderId="1" xfId="0" applyFont="1" applyFill="1" applyBorder="1">
      <alignment vertical="center"/>
    </xf>
    <xf numFmtId="176" fontId="1" fillId="2" borderId="4" xfId="0" applyNumberFormat="1" applyFont="1" applyFill="1" applyBorder="1" applyAlignment="1">
      <alignment vertical="center"/>
    </xf>
    <xf numFmtId="0" fontId="0" fillId="0" borderId="1" xfId="0" applyBorder="1" applyAlignment="1"/>
    <xf numFmtId="0" fontId="1" fillId="3" borderId="0" xfId="0" applyFont="1" applyFill="1">
      <alignment vertical="center"/>
    </xf>
    <xf numFmtId="0" fontId="3" fillId="3" borderId="1" xfId="0" applyFont="1" applyFill="1" applyBorder="1">
      <alignment vertical="center"/>
    </xf>
    <xf numFmtId="176" fontId="3" fillId="3" borderId="1" xfId="0" applyNumberFormat="1" applyFont="1" applyFill="1" applyBorder="1">
      <alignment vertical="center"/>
    </xf>
    <xf numFmtId="0" fontId="4" fillId="0" borderId="0" xfId="0" applyFont="1" applyFill="1" applyBorder="1" applyAlignment="1"/>
    <xf numFmtId="177" fontId="0" fillId="0" borderId="0" xfId="0" applyNumberFormat="1" applyBorder="1" applyAlignment="1">
      <alignment horizontal="right"/>
    </xf>
    <xf numFmtId="0" fontId="0" fillId="0" borderId="1" xfId="0" applyFill="1" applyBorder="1" applyAlignment="1"/>
    <xf numFmtId="0" fontId="0" fillId="3" borderId="2" xfId="0" applyFill="1" applyBorder="1">
      <alignment vertical="center"/>
    </xf>
    <xf numFmtId="0" fontId="1" fillId="2" borderId="0" xfId="0" applyFont="1" applyFill="1" applyBorder="1">
      <alignment vertical="center"/>
    </xf>
    <xf numFmtId="0" fontId="1" fillId="3" borderId="1" xfId="0" applyFont="1" applyFill="1" applyBorder="1">
      <alignment vertical="center"/>
    </xf>
    <xf numFmtId="0" fontId="0" fillId="13" borderId="0" xfId="0" applyFill="1">
      <alignment vertical="center"/>
    </xf>
    <xf numFmtId="0" fontId="0" fillId="13" borderId="1" xfId="0" applyFill="1" applyBorder="1">
      <alignment vertical="center"/>
    </xf>
    <xf numFmtId="0" fontId="0" fillId="13" borderId="0" xfId="0" applyFill="1" applyBorder="1">
      <alignment vertical="center"/>
    </xf>
    <xf numFmtId="181" fontId="4" fillId="13" borderId="1" xfId="0" quotePrefix="1" applyNumberFormat="1" applyFont="1" applyFill="1" applyBorder="1" applyAlignment="1">
      <alignment vertical="center"/>
    </xf>
    <xf numFmtId="181" fontId="0" fillId="13" borderId="1" xfId="0" applyNumberFormat="1" applyFill="1" applyBorder="1">
      <alignment vertical="center"/>
    </xf>
    <xf numFmtId="0" fontId="0" fillId="13" borderId="2" xfId="0" applyFill="1" applyBorder="1">
      <alignment vertical="center"/>
    </xf>
    <xf numFmtId="176" fontId="4" fillId="13" borderId="1" xfId="0" applyNumberFormat="1" applyFont="1" applyFill="1" applyBorder="1" applyAlignment="1">
      <alignment vertical="center"/>
    </xf>
    <xf numFmtId="176" fontId="0" fillId="13" borderId="1" xfId="0" applyNumberFormat="1" applyFill="1" applyBorder="1">
      <alignment vertical="center"/>
    </xf>
    <xf numFmtId="181" fontId="4" fillId="13" borderId="1" xfId="0" applyNumberFormat="1" applyFont="1" applyFill="1" applyBorder="1" applyAlignment="1">
      <alignment vertical="center"/>
    </xf>
    <xf numFmtId="179" fontId="4" fillId="3" borderId="1" xfId="0" applyNumberFormat="1" applyFont="1" applyFill="1" applyBorder="1" applyAlignment="1">
      <alignment vertical="center"/>
    </xf>
    <xf numFmtId="187" fontId="4" fillId="3" borderId="1" xfId="0" applyNumberFormat="1" applyFont="1" applyFill="1" applyBorder="1" applyAlignment="1">
      <alignment vertical="center"/>
    </xf>
    <xf numFmtId="180" fontId="39" fillId="0" borderId="1" xfId="0" applyNumberFormat="1" applyFont="1" applyFill="1" applyBorder="1">
      <alignment vertical="center"/>
    </xf>
    <xf numFmtId="188" fontId="0" fillId="0" borderId="1" xfId="0" applyNumberFormat="1" applyBorder="1">
      <alignment vertical="center"/>
    </xf>
    <xf numFmtId="179" fontId="0" fillId="13" borderId="1" xfId="0" applyNumberFormat="1" applyFill="1" applyBorder="1">
      <alignment vertical="center"/>
    </xf>
    <xf numFmtId="181" fontId="0" fillId="3" borderId="0" xfId="0" applyNumberFormat="1" applyFill="1">
      <alignment vertical="center"/>
    </xf>
    <xf numFmtId="176" fontId="0" fillId="3" borderId="0" xfId="0" applyNumberFormat="1" applyFill="1">
      <alignment vertical="center"/>
    </xf>
    <xf numFmtId="179" fontId="0" fillId="0" borderId="0" xfId="0" applyNumberFormat="1" applyFill="1">
      <alignment vertical="center"/>
    </xf>
    <xf numFmtId="180" fontId="4" fillId="11" borderId="1" xfId="0" applyNumberFormat="1" applyFont="1" applyFill="1" applyBorder="1" applyAlignment="1">
      <alignment vertical="center"/>
    </xf>
    <xf numFmtId="180" fontId="1" fillId="2" borderId="1" xfId="0" applyNumberFormat="1" applyFont="1" applyFill="1" applyBorder="1" applyAlignment="1">
      <alignment vertical="center"/>
    </xf>
    <xf numFmtId="180" fontId="4" fillId="8" borderId="1" xfId="0" applyNumberFormat="1" applyFont="1" applyFill="1" applyBorder="1" applyAlignment="1">
      <alignment vertical="center"/>
    </xf>
    <xf numFmtId="176" fontId="0" fillId="6" borderId="1" xfId="0" applyNumberFormat="1" applyFill="1" applyBorder="1">
      <alignment vertical="center"/>
    </xf>
    <xf numFmtId="0" fontId="1" fillId="0" borderId="0" xfId="0" applyFont="1" applyFill="1">
      <alignment vertical="center"/>
    </xf>
    <xf numFmtId="183" fontId="4" fillId="0" borderId="0" xfId="0" applyNumberFormat="1" applyFont="1" applyFill="1" applyBorder="1" applyAlignment="1"/>
    <xf numFmtId="176" fontId="4" fillId="0" borderId="0" xfId="0" applyNumberFormat="1" applyFont="1" applyFill="1" applyBorder="1" applyAlignment="1"/>
    <xf numFmtId="182" fontId="4" fillId="0" borderId="0" xfId="0" applyNumberFormat="1" applyFont="1" applyFill="1" applyBorder="1" applyAlignment="1"/>
    <xf numFmtId="182" fontId="4" fillId="3" borderId="1" xfId="0" applyNumberFormat="1" applyFont="1" applyFill="1" applyBorder="1" applyAlignment="1"/>
    <xf numFmtId="0" fontId="0" fillId="0" borderId="1" xfId="0" applyBorder="1" applyAlignment="1"/>
    <xf numFmtId="0" fontId="0" fillId="0" borderId="1" xfId="0" applyBorder="1" applyAlignment="1"/>
    <xf numFmtId="0" fontId="0" fillId="0" borderId="0" xfId="0" applyAlignment="1">
      <alignment vertical="center"/>
    </xf>
    <xf numFmtId="0" fontId="43" fillId="0" borderId="0" xfId="0" applyFont="1" applyFill="1" applyBorder="1" applyAlignment="1">
      <alignment horizontal="left" vertical="center"/>
    </xf>
    <xf numFmtId="176" fontId="31" fillId="0" borderId="1" xfId="0" applyNumberFormat="1" applyFont="1" applyFill="1" applyBorder="1" applyAlignment="1">
      <alignment vertical="center"/>
    </xf>
    <xf numFmtId="180" fontId="40" fillId="0" borderId="1" xfId="0" applyNumberFormat="1" applyFont="1" applyFill="1" applyBorder="1" applyAlignment="1">
      <alignment vertical="center"/>
    </xf>
    <xf numFmtId="176" fontId="40" fillId="0" borderId="1" xfId="0" applyNumberFormat="1" applyFont="1" applyFill="1" applyBorder="1">
      <alignment vertical="center"/>
    </xf>
    <xf numFmtId="180" fontId="30" fillId="0" borderId="1" xfId="0" applyNumberFormat="1" applyFont="1" applyFill="1" applyBorder="1">
      <alignment vertical="center"/>
    </xf>
    <xf numFmtId="181" fontId="40" fillId="0" borderId="1" xfId="0" applyNumberFormat="1" applyFont="1" applyFill="1" applyBorder="1">
      <alignment vertical="center"/>
    </xf>
    <xf numFmtId="0" fontId="30" fillId="0" borderId="0" xfId="0" applyFont="1" applyFill="1">
      <alignment vertical="center"/>
    </xf>
    <xf numFmtId="176" fontId="40" fillId="0" borderId="1" xfId="0" applyNumberFormat="1" applyFont="1" applyFill="1" applyBorder="1" applyAlignment="1">
      <alignment vertical="center"/>
    </xf>
    <xf numFmtId="0" fontId="0" fillId="0" borderId="0" xfId="0" applyProtection="1">
      <alignment vertical="center"/>
      <protection locked="0"/>
    </xf>
    <xf numFmtId="176" fontId="4" fillId="2" borderId="1" xfId="0" applyNumberFormat="1" applyFont="1" applyFill="1" applyBorder="1" applyAlignment="1" applyProtection="1">
      <alignment vertical="center"/>
      <protection locked="0"/>
    </xf>
    <xf numFmtId="176" fontId="1" fillId="0" borderId="1" xfId="0" applyNumberFormat="1" applyFont="1" applyBorder="1" applyProtection="1">
      <alignment vertical="center"/>
      <protection locked="0"/>
    </xf>
    <xf numFmtId="0" fontId="0" fillId="0" borderId="1" xfId="0" applyBorder="1" applyProtection="1">
      <alignment vertical="center"/>
      <protection locked="0"/>
    </xf>
    <xf numFmtId="0" fontId="0" fillId="6" borderId="1" xfId="0" applyFill="1" applyBorder="1" applyProtection="1">
      <alignment vertical="center"/>
      <protection locked="0"/>
    </xf>
    <xf numFmtId="181" fontId="4" fillId="8" borderId="1" xfId="0" applyNumberFormat="1" applyFont="1" applyFill="1" applyBorder="1" applyAlignment="1">
      <alignment vertical="center"/>
    </xf>
    <xf numFmtId="183" fontId="4" fillId="0" borderId="1" xfId="0" applyNumberFormat="1" applyFont="1" applyBorder="1" applyAlignment="1"/>
    <xf numFmtId="21" fontId="0" fillId="0" borderId="0" xfId="0" applyNumberFormat="1" applyFill="1" applyBorder="1">
      <alignment vertical="center"/>
    </xf>
    <xf numFmtId="176" fontId="4" fillId="0" borderId="4" xfId="0" applyNumberFormat="1" applyFont="1" applyFill="1" applyBorder="1" applyAlignment="1">
      <alignment vertical="center"/>
    </xf>
    <xf numFmtId="189" fontId="0" fillId="0" borderId="1" xfId="0" applyNumberFormat="1" applyBorder="1" applyAlignment="1">
      <alignment horizontal="right"/>
    </xf>
    <xf numFmtId="189" fontId="0" fillId="0" borderId="1" xfId="0" applyNumberFormat="1" applyBorder="1" applyAlignment="1"/>
    <xf numFmtId="0" fontId="0" fillId="14" borderId="0" xfId="0" applyFill="1">
      <alignment vertical="center"/>
    </xf>
    <xf numFmtId="0" fontId="43" fillId="14" borderId="0" xfId="0" applyFont="1" applyFill="1" applyBorder="1" applyAlignment="1">
      <alignment horizontal="left" vertical="center"/>
    </xf>
    <xf numFmtId="181" fontId="43" fillId="14" borderId="0" xfId="0" applyNumberFormat="1" applyFont="1" applyFill="1" applyBorder="1" applyAlignment="1">
      <alignment horizontal="left" vertical="center"/>
    </xf>
    <xf numFmtId="0" fontId="0" fillId="14" borderId="0" xfId="0" applyFill="1" applyBorder="1">
      <alignment vertical="center"/>
    </xf>
    <xf numFmtId="181" fontId="0" fillId="14" borderId="0" xfId="0" applyNumberFormat="1" applyFill="1" applyBorder="1">
      <alignment vertical="center"/>
    </xf>
    <xf numFmtId="0" fontId="0" fillId="0" borderId="1" xfId="0" applyBorder="1" applyAlignment="1"/>
    <xf numFmtId="0" fontId="41" fillId="0" borderId="1" xfId="0" applyFont="1" applyBorder="1" applyAlignment="1">
      <alignment horizontal="left" vertical="center"/>
    </xf>
    <xf numFmtId="0" fontId="30" fillId="0" borderId="0" xfId="0" applyNumberFormat="1" applyFont="1" applyFill="1" applyBorder="1" applyAlignment="1">
      <alignment horizontal="left" vertical="center"/>
    </xf>
    <xf numFmtId="0" fontId="30" fillId="0" borderId="1" xfId="0" applyNumberFormat="1" applyFont="1" applyFill="1" applyBorder="1" applyAlignment="1">
      <alignment horizontal="left" vertical="center"/>
    </xf>
    <xf numFmtId="0" fontId="0" fillId="0" borderId="0" xfId="0" applyBorder="1" applyAlignment="1"/>
    <xf numFmtId="184" fontId="0" fillId="0" borderId="0" xfId="0" applyNumberFormat="1" applyBorder="1" applyAlignment="1">
      <alignment horizontal="right"/>
    </xf>
    <xf numFmtId="188" fontId="0" fillId="0" borderId="0" xfId="0" applyNumberFormat="1">
      <alignment vertical="center"/>
    </xf>
    <xf numFmtId="188" fontId="0" fillId="3" borderId="1" xfId="0" applyNumberFormat="1" applyFill="1" applyBorder="1">
      <alignment vertical="center"/>
    </xf>
    <xf numFmtId="188" fontId="0" fillId="0" borderId="1" xfId="0" applyNumberFormat="1" applyFill="1" applyBorder="1">
      <alignment vertical="center"/>
    </xf>
    <xf numFmtId="188" fontId="0" fillId="4" borderId="1" xfId="0" applyNumberFormat="1" applyFill="1" applyBorder="1">
      <alignment vertical="center"/>
    </xf>
    <xf numFmtId="191" fontId="0" fillId="0" borderId="1" xfId="0" applyNumberFormat="1" applyBorder="1">
      <alignment vertical="center"/>
    </xf>
    <xf numFmtId="0" fontId="43" fillId="0" borderId="1" xfId="0" applyFont="1" applyFill="1" applyBorder="1" applyAlignment="1">
      <alignment horizontal="left" vertical="center"/>
    </xf>
    <xf numFmtId="0" fontId="30" fillId="3" borderId="1" xfId="0" applyFont="1" applyFill="1" applyBorder="1" applyAlignment="1">
      <alignment horizontal="left" vertical="center"/>
    </xf>
    <xf numFmtId="0" fontId="41" fillId="6" borderId="1" xfId="0" applyFont="1" applyFill="1" applyBorder="1" applyAlignment="1">
      <alignment horizontal="left" vertical="center"/>
    </xf>
    <xf numFmtId="0" fontId="49" fillId="0" borderId="0" xfId="0" applyFont="1" applyAlignment="1"/>
    <xf numFmtId="0" fontId="4" fillId="0" borderId="0" xfId="0" applyFont="1" applyFill="1" applyBorder="1" applyAlignment="1">
      <alignment vertical="center"/>
    </xf>
    <xf numFmtId="0" fontId="4" fillId="0" borderId="0" xfId="0" applyFont="1" applyFill="1" applyAlignment="1">
      <alignment vertical="center"/>
    </xf>
    <xf numFmtId="0" fontId="4" fillId="0" borderId="0" xfId="0" applyFont="1" applyAlignment="1">
      <alignment vertical="center"/>
    </xf>
    <xf numFmtId="0" fontId="4" fillId="0" borderId="1" xfId="0" applyFont="1" applyFill="1" applyBorder="1" applyAlignment="1">
      <alignment horizontal="left" vertical="center"/>
    </xf>
    <xf numFmtId="181" fontId="4" fillId="0" borderId="1" xfId="0" applyNumberFormat="1" applyFont="1" applyFill="1" applyBorder="1" applyAlignment="1">
      <alignment horizontal="left" vertical="center"/>
    </xf>
    <xf numFmtId="0" fontId="4" fillId="0" borderId="1" xfId="0" applyFont="1" applyFill="1" applyBorder="1" applyAlignment="1">
      <alignment vertical="center"/>
    </xf>
    <xf numFmtId="21" fontId="4" fillId="0" borderId="1" xfId="0" applyNumberFormat="1" applyFont="1" applyFill="1" applyBorder="1" applyAlignment="1">
      <alignment vertical="center"/>
    </xf>
    <xf numFmtId="0" fontId="49" fillId="3" borderId="0" xfId="0" applyFont="1" applyFill="1" applyAlignment="1"/>
    <xf numFmtId="183" fontId="0" fillId="0" borderId="1" xfId="0" applyNumberFormat="1" applyBorder="1">
      <alignment vertical="center"/>
    </xf>
    <xf numFmtId="21" fontId="0" fillId="0" borderId="1" xfId="0" applyNumberFormat="1" applyBorder="1">
      <alignment vertical="center"/>
    </xf>
    <xf numFmtId="183" fontId="0" fillId="0" borderId="0" xfId="0" applyNumberFormat="1" applyBorder="1">
      <alignment vertical="center"/>
    </xf>
    <xf numFmtId="21" fontId="0" fillId="0" borderId="0" xfId="0" applyNumberFormat="1" applyBorder="1">
      <alignment vertical="center"/>
    </xf>
    <xf numFmtId="0" fontId="0" fillId="0" borderId="1" xfId="0" quotePrefix="1" applyNumberFormat="1" applyBorder="1">
      <alignment vertical="center"/>
    </xf>
    <xf numFmtId="0" fontId="48" fillId="0" borderId="0" xfId="2" applyBorder="1">
      <alignment vertical="center"/>
    </xf>
    <xf numFmtId="0" fontId="1" fillId="0" borderId="0" xfId="0" quotePrefix="1" applyFont="1" applyBorder="1">
      <alignment vertical="center"/>
    </xf>
    <xf numFmtId="0" fontId="1" fillId="0" borderId="0" xfId="0" applyFont="1" applyBorder="1">
      <alignment vertical="center"/>
    </xf>
    <xf numFmtId="0" fontId="0" fillId="11" borderId="0" xfId="0" applyFill="1" applyBorder="1">
      <alignment vertical="center"/>
    </xf>
    <xf numFmtId="0" fontId="0" fillId="0" borderId="1" xfId="0" applyBorder="1" applyAlignment="1"/>
    <xf numFmtId="0" fontId="0" fillId="0" borderId="0" xfId="0" quotePrefix="1" applyBorder="1" applyAlignment="1"/>
    <xf numFmtId="0" fontId="0" fillId="15" borderId="1" xfId="0" applyFill="1" applyBorder="1">
      <alignment vertical="center"/>
    </xf>
    <xf numFmtId="0" fontId="0" fillId="16" borderId="1" xfId="0" applyFill="1" applyBorder="1">
      <alignment vertical="center"/>
    </xf>
    <xf numFmtId="0" fontId="0" fillId="0" borderId="1" xfId="0" applyBorder="1" applyAlignment="1"/>
    <xf numFmtId="182" fontId="0" fillId="3" borderId="0" xfId="0" applyNumberFormat="1" applyFill="1">
      <alignment vertical="center"/>
    </xf>
    <xf numFmtId="180" fontId="4" fillId="3" borderId="1" xfId="0" applyNumberFormat="1" applyFont="1" applyFill="1" applyBorder="1" applyAlignment="1">
      <alignment vertical="center"/>
    </xf>
    <xf numFmtId="0" fontId="45" fillId="3" borderId="1" xfId="0" applyFont="1" applyFill="1" applyBorder="1" applyAlignment="1"/>
    <xf numFmtId="0" fontId="4" fillId="0" borderId="1" xfId="0" applyNumberFormat="1" applyFont="1" applyFill="1" applyBorder="1" applyAlignment="1">
      <alignment vertical="center"/>
    </xf>
    <xf numFmtId="0" fontId="0" fillId="11" borderId="0" xfId="0" applyFill="1">
      <alignment vertical="center"/>
    </xf>
    <xf numFmtId="0" fontId="0" fillId="11" borderId="2" xfId="0" applyFill="1" applyBorder="1">
      <alignment vertical="center"/>
    </xf>
    <xf numFmtId="0" fontId="1" fillId="11" borderId="1" xfId="0" applyFont="1" applyFill="1" applyBorder="1">
      <alignment vertical="center"/>
    </xf>
    <xf numFmtId="176" fontId="4" fillId="11" borderId="0" xfId="0" applyNumberFormat="1" applyFont="1" applyFill="1" applyBorder="1" applyAlignment="1">
      <alignment vertical="center"/>
    </xf>
    <xf numFmtId="0" fontId="0" fillId="0" borderId="1" xfId="0" applyBorder="1" applyAlignment="1"/>
    <xf numFmtId="181" fontId="0" fillId="11" borderId="0" xfId="0" applyNumberFormat="1" applyFill="1">
      <alignment vertical="center"/>
    </xf>
    <xf numFmtId="0" fontId="0" fillId="0" borderId="2" xfId="0" applyFill="1" applyBorder="1" applyAlignment="1"/>
    <xf numFmtId="176" fontId="4" fillId="0" borderId="1" xfId="0" quotePrefix="1" applyNumberFormat="1" applyFont="1" applyBorder="1" applyAlignment="1"/>
    <xf numFmtId="0" fontId="1" fillId="0" borderId="1" xfId="0" applyFont="1" applyBorder="1" applyAlignment="1">
      <alignment vertical="center"/>
    </xf>
    <xf numFmtId="0" fontId="0" fillId="0" borderId="1" xfId="0" applyBorder="1" applyAlignment="1"/>
    <xf numFmtId="0" fontId="0" fillId="0" borderId="0" xfId="0" applyBorder="1" applyAlignment="1">
      <alignment vertical="center"/>
    </xf>
    <xf numFmtId="0" fontId="0" fillId="16" borderId="0" xfId="0" applyFill="1" applyBorder="1">
      <alignment vertical="center"/>
    </xf>
    <xf numFmtId="0" fontId="0" fillId="0" borderId="1" xfId="0" applyBorder="1" applyAlignment="1">
      <alignment horizontal="left" vertical="center"/>
    </xf>
    <xf numFmtId="49" fontId="46" fillId="11" borderId="0" xfId="0" applyNumberFormat="1" applyFont="1" applyFill="1" applyBorder="1" applyAlignment="1">
      <alignment vertical="center"/>
    </xf>
    <xf numFmtId="192" fontId="0" fillId="0" borderId="1" xfId="0" applyNumberFormat="1" applyBorder="1">
      <alignment vertical="center"/>
    </xf>
    <xf numFmtId="0" fontId="0" fillId="8" borderId="0" xfId="0" applyFill="1">
      <alignment vertical="center"/>
    </xf>
    <xf numFmtId="176" fontId="4" fillId="4" borderId="1" xfId="0" applyNumberFormat="1" applyFont="1" applyFill="1" applyBorder="1" applyAlignment="1">
      <alignment vertical="center"/>
    </xf>
    <xf numFmtId="0" fontId="0" fillId="8" borderId="1" xfId="0" applyFill="1" applyBorder="1">
      <alignment vertical="center"/>
    </xf>
    <xf numFmtId="181" fontId="0" fillId="8" borderId="1" xfId="0" applyNumberFormat="1" applyFill="1" applyBorder="1">
      <alignment vertical="center"/>
    </xf>
    <xf numFmtId="176" fontId="0" fillId="8" borderId="1" xfId="0" applyNumberFormat="1" applyFill="1" applyBorder="1">
      <alignment vertical="center"/>
    </xf>
    <xf numFmtId="181" fontId="4" fillId="8" borderId="2" xfId="0" applyNumberFormat="1" applyFont="1" applyFill="1" applyBorder="1" applyAlignment="1">
      <alignment vertical="center"/>
    </xf>
    <xf numFmtId="176" fontId="3" fillId="8" borderId="1" xfId="0" applyNumberFormat="1" applyFont="1" applyFill="1" applyBorder="1">
      <alignment vertical="center"/>
    </xf>
    <xf numFmtId="181" fontId="1" fillId="8" borderId="1" xfId="0" applyNumberFormat="1" applyFont="1" applyFill="1" applyBorder="1">
      <alignment vertical="center"/>
    </xf>
    <xf numFmtId="176" fontId="1" fillId="4" borderId="3" xfId="0" applyNumberFormat="1" applyFont="1" applyFill="1" applyBorder="1" applyAlignment="1">
      <alignment vertical="center"/>
    </xf>
    <xf numFmtId="0" fontId="0" fillId="0" borderId="1" xfId="0" applyBorder="1" applyAlignment="1"/>
    <xf numFmtId="0" fontId="43" fillId="0" borderId="1" xfId="0" applyFont="1" applyFill="1" applyBorder="1" applyAlignment="1">
      <alignment horizontal="left" vertical="center"/>
    </xf>
    <xf numFmtId="0" fontId="43" fillId="0" borderId="1" xfId="0" applyFont="1" applyFill="1" applyBorder="1" applyAlignment="1">
      <alignment horizontal="left" vertical="center"/>
    </xf>
    <xf numFmtId="0" fontId="0" fillId="2" borderId="1" xfId="0" applyNumberFormat="1" applyFill="1" applyBorder="1" applyAlignment="1"/>
    <xf numFmtId="0" fontId="0" fillId="0" borderId="1" xfId="0" applyBorder="1" applyAlignment="1"/>
    <xf numFmtId="0" fontId="43" fillId="0" borderId="1" xfId="0" applyFont="1" applyFill="1" applyBorder="1" applyAlignment="1">
      <alignment horizontal="left" vertical="center"/>
    </xf>
    <xf numFmtId="181" fontId="43" fillId="0" borderId="1" xfId="0" applyNumberFormat="1" applyFont="1" applyFill="1" applyBorder="1" applyAlignment="1">
      <alignment horizontal="right" vertical="center"/>
    </xf>
    <xf numFmtId="188" fontId="0" fillId="8" borderId="1" xfId="0" applyNumberFormat="1" applyFill="1" applyBorder="1">
      <alignment vertical="center"/>
    </xf>
    <xf numFmtId="0" fontId="0" fillId="0" borderId="1" xfId="0" applyBorder="1" applyAlignment="1">
      <alignment horizontal="left"/>
    </xf>
    <xf numFmtId="0" fontId="43" fillId="0" borderId="1" xfId="0" applyFont="1" applyFill="1" applyBorder="1" applyAlignment="1">
      <alignment horizontal="left" vertical="center"/>
    </xf>
    <xf numFmtId="0" fontId="0" fillId="10" borderId="1" xfId="0" applyNumberFormat="1" applyFill="1" applyBorder="1" applyAlignment="1"/>
    <xf numFmtId="179" fontId="0" fillId="4" borderId="1" xfId="0" applyNumberFormat="1" applyFill="1" applyBorder="1">
      <alignment vertical="center"/>
    </xf>
    <xf numFmtId="181" fontId="0" fillId="4" borderId="1" xfId="0" applyNumberFormat="1" applyFill="1" applyBorder="1">
      <alignment vertical="center"/>
    </xf>
    <xf numFmtId="0" fontId="43" fillId="0" borderId="1" xfId="0" applyFont="1" applyFill="1" applyBorder="1" applyAlignment="1">
      <alignment horizontal="left" vertical="center"/>
    </xf>
    <xf numFmtId="0" fontId="43" fillId="0" borderId="0" xfId="0" applyFont="1" applyBorder="1">
      <alignment vertical="center"/>
    </xf>
    <xf numFmtId="0" fontId="0" fillId="0" borderId="1" xfId="0" applyFont="1" applyFill="1" applyBorder="1">
      <alignment vertical="center"/>
    </xf>
    <xf numFmtId="0" fontId="0" fillId="0" borderId="1" xfId="0" applyFont="1" applyBorder="1">
      <alignment vertical="center"/>
    </xf>
    <xf numFmtId="0" fontId="41" fillId="11" borderId="1" xfId="0" quotePrefix="1" applyFont="1" applyFill="1" applyBorder="1" applyAlignment="1">
      <alignment horizontal="left" vertical="center"/>
    </xf>
    <xf numFmtId="178" fontId="0" fillId="0" borderId="0" xfId="0" applyNumberFormat="1" applyBorder="1" applyAlignment="1">
      <alignment horizontal="right"/>
    </xf>
    <xf numFmtId="0" fontId="0" fillId="0" borderId="0" xfId="0" applyFill="1" applyBorder="1" applyAlignment="1"/>
    <xf numFmtId="0" fontId="0" fillId="3" borderId="0" xfId="0" applyFill="1" applyBorder="1" applyAlignment="1"/>
    <xf numFmtId="0" fontId="0" fillId="0" borderId="1" xfId="0" applyBorder="1" applyAlignment="1"/>
    <xf numFmtId="0" fontId="0" fillId="0" borderId="0" xfId="0">
      <alignment vertical="center"/>
    </xf>
    <xf numFmtId="0" fontId="0" fillId="0" borderId="0" xfId="0">
      <alignment vertical="center"/>
    </xf>
    <xf numFmtId="190" fontId="0" fillId="0" borderId="1" xfId="0" applyNumberFormat="1" applyFill="1" applyBorder="1" applyAlignment="1">
      <alignment horizontal="left" vertical="center" wrapText="1"/>
    </xf>
    <xf numFmtId="0" fontId="0" fillId="6" borderId="10" xfId="0" applyFill="1" applyBorder="1" applyAlignment="1">
      <alignment vertical="center"/>
    </xf>
    <xf numFmtId="0" fontId="0" fillId="0" borderId="6" xfId="0" applyBorder="1" applyAlignment="1">
      <alignment vertical="center"/>
    </xf>
    <xf numFmtId="0" fontId="50" fillId="17" borderId="0" xfId="0" applyFont="1" applyFill="1" applyAlignment="1"/>
    <xf numFmtId="177" fontId="0" fillId="17" borderId="1" xfId="0" applyNumberFormat="1" applyFill="1" applyBorder="1" applyAlignment="1">
      <alignment horizontal="right"/>
    </xf>
    <xf numFmtId="0" fontId="4" fillId="0" borderId="1" xfId="0" applyFont="1" applyBorder="1" applyAlignment="1">
      <alignment horizontal="right" vertical="center"/>
    </xf>
    <xf numFmtId="0" fontId="4" fillId="3" borderId="1" xfId="0" applyFont="1" applyFill="1" applyBorder="1" applyAlignment="1">
      <alignment horizontal="right" vertical="center"/>
    </xf>
    <xf numFmtId="0" fontId="0" fillId="0" borderId="0" xfId="0" applyNumberFormat="1" applyAlignment="1">
      <alignment horizontal="right" vertical="center"/>
    </xf>
    <xf numFmtId="0" fontId="0" fillId="0" borderId="1" xfId="0" applyBorder="1" applyAlignment="1"/>
    <xf numFmtId="0" fontId="0" fillId="0" borderId="1" xfId="0" quotePrefix="1" applyBorder="1" applyAlignment="1">
      <alignment horizontal="left"/>
    </xf>
    <xf numFmtId="0" fontId="4" fillId="18" borderId="0" xfId="0" applyFont="1" applyFill="1" applyAlignment="1">
      <alignment vertical="center"/>
    </xf>
    <xf numFmtId="176" fontId="4" fillId="18" borderId="1" xfId="0" applyNumberFormat="1" applyFont="1" applyFill="1" applyBorder="1" applyAlignment="1">
      <alignment vertical="center"/>
    </xf>
    <xf numFmtId="0" fontId="0" fillId="0" borderId="0" xfId="0">
      <alignment vertical="center"/>
    </xf>
    <xf numFmtId="176" fontId="4" fillId="13" borderId="0" xfId="0" applyNumberFormat="1" applyFont="1" applyFill="1" applyBorder="1" applyAlignment="1">
      <alignment vertical="center"/>
    </xf>
    <xf numFmtId="0" fontId="0" fillId="0" borderId="1" xfId="0" applyBorder="1" applyAlignment="1"/>
    <xf numFmtId="0" fontId="0" fillId="0" borderId="0" xfId="0">
      <alignment vertical="center"/>
    </xf>
    <xf numFmtId="0" fontId="1" fillId="13" borderId="0" xfId="0" applyFont="1" applyFill="1">
      <alignment vertical="center"/>
    </xf>
    <xf numFmtId="0" fontId="4" fillId="13" borderId="1" xfId="0" applyFont="1" applyFill="1" applyBorder="1" applyAlignment="1">
      <alignment horizontal="right" vertical="center"/>
    </xf>
    <xf numFmtId="0" fontId="3" fillId="13" borderId="1" xfId="0" applyFont="1" applyFill="1" applyBorder="1">
      <alignment vertical="center"/>
    </xf>
    <xf numFmtId="176" fontId="3" fillId="13" borderId="1" xfId="0" applyNumberFormat="1" applyFont="1" applyFill="1" applyBorder="1">
      <alignment vertical="center"/>
    </xf>
    <xf numFmtId="0" fontId="3" fillId="13" borderId="0" xfId="0" applyFont="1" applyFill="1">
      <alignment vertical="center"/>
    </xf>
    <xf numFmtId="0" fontId="4" fillId="0" borderId="1" xfId="0" applyFont="1" applyFill="1" applyBorder="1" applyAlignment="1">
      <alignment horizontal="right" vertical="center"/>
    </xf>
    <xf numFmtId="181" fontId="4" fillId="13" borderId="0" xfId="0" applyNumberFormat="1" applyFont="1" applyFill="1" applyBorder="1" applyAlignment="1">
      <alignment vertical="center"/>
    </xf>
    <xf numFmtId="176" fontId="3" fillId="13" borderId="0" xfId="0" applyNumberFormat="1" applyFont="1" applyFill="1">
      <alignment vertical="center"/>
    </xf>
    <xf numFmtId="185" fontId="4" fillId="13" borderId="0" xfId="0" applyNumberFormat="1" applyFont="1" applyFill="1" applyBorder="1">
      <alignment vertical="center"/>
    </xf>
    <xf numFmtId="176" fontId="3" fillId="13" borderId="0" xfId="0" applyNumberFormat="1" applyFont="1" applyFill="1" applyBorder="1">
      <alignment vertical="center"/>
    </xf>
    <xf numFmtId="0" fontId="3" fillId="13" borderId="0" xfId="0" applyFont="1" applyFill="1" applyBorder="1">
      <alignment vertical="center"/>
    </xf>
    <xf numFmtId="183" fontId="4" fillId="13" borderId="0" xfId="0" applyNumberFormat="1" applyFont="1" applyFill="1" applyBorder="1" applyAlignment="1"/>
    <xf numFmtId="176" fontId="4" fillId="13" borderId="0" xfId="0" applyNumberFormat="1" applyFont="1" applyFill="1" applyBorder="1" applyAlignment="1"/>
    <xf numFmtId="182" fontId="4" fillId="13" borderId="0" xfId="0" applyNumberFormat="1" applyFont="1" applyFill="1" applyBorder="1" applyAlignment="1"/>
    <xf numFmtId="0" fontId="4" fillId="13" borderId="1" xfId="0" applyFont="1" applyFill="1" applyBorder="1" applyAlignment="1"/>
    <xf numFmtId="0" fontId="0" fillId="13" borderId="11" xfId="0" applyFill="1" applyBorder="1">
      <alignment vertical="center"/>
    </xf>
    <xf numFmtId="0" fontId="0" fillId="13" borderId="3" xfId="0" applyFill="1" applyBorder="1">
      <alignment vertical="center"/>
    </xf>
    <xf numFmtId="0" fontId="0" fillId="13" borderId="7" xfId="0" applyFill="1" applyBorder="1">
      <alignment vertical="center"/>
    </xf>
    <xf numFmtId="0" fontId="0" fillId="6" borderId="0" xfId="0" applyFill="1" applyBorder="1">
      <alignment vertical="center"/>
    </xf>
    <xf numFmtId="0" fontId="0" fillId="6" borderId="2" xfId="0" applyFill="1" applyBorder="1">
      <alignment vertical="center"/>
    </xf>
    <xf numFmtId="0" fontId="0" fillId="9" borderId="0" xfId="0" applyFill="1">
      <alignment vertical="center"/>
    </xf>
    <xf numFmtId="0" fontId="0" fillId="9" borderId="1" xfId="0" applyFill="1" applyBorder="1">
      <alignment vertical="center"/>
    </xf>
    <xf numFmtId="181" fontId="4" fillId="9" borderId="1" xfId="0" applyNumberFormat="1" applyFont="1" applyFill="1" applyBorder="1" applyAlignment="1">
      <alignment vertical="center"/>
    </xf>
    <xf numFmtId="181" fontId="4" fillId="9" borderId="1" xfId="0" quotePrefix="1" applyNumberFormat="1" applyFont="1" applyFill="1" applyBorder="1" applyAlignment="1">
      <alignment vertical="center"/>
    </xf>
    <xf numFmtId="181" fontId="0" fillId="9" borderId="1" xfId="0" applyNumberFormat="1" applyFill="1" applyBorder="1">
      <alignment vertical="center"/>
    </xf>
    <xf numFmtId="176" fontId="4" fillId="9" borderId="1" xfId="0" applyNumberFormat="1" applyFont="1" applyFill="1" applyBorder="1" applyAlignment="1">
      <alignment vertical="center"/>
    </xf>
    <xf numFmtId="176" fontId="0" fillId="9" borderId="1" xfId="0" applyNumberFormat="1" applyFill="1" applyBorder="1">
      <alignment vertical="center"/>
    </xf>
    <xf numFmtId="187" fontId="4" fillId="0" borderId="1" xfId="0" applyNumberFormat="1" applyFont="1" applyFill="1" applyBorder="1" applyAlignment="1">
      <alignment vertical="center"/>
    </xf>
    <xf numFmtId="179" fontId="0" fillId="6" borderId="0" xfId="0" applyNumberFormat="1" applyFill="1">
      <alignment vertical="center"/>
    </xf>
    <xf numFmtId="0" fontId="39" fillId="6" borderId="1" xfId="0" applyFont="1" applyFill="1" applyBorder="1">
      <alignment vertical="center"/>
    </xf>
    <xf numFmtId="181" fontId="39" fillId="6" borderId="1" xfId="0" applyNumberFormat="1" applyFont="1" applyFill="1" applyBorder="1">
      <alignment vertical="center"/>
    </xf>
    <xf numFmtId="0" fontId="39" fillId="6" borderId="0" xfId="0" applyFont="1" applyFill="1">
      <alignment vertical="center"/>
    </xf>
    <xf numFmtId="182" fontId="0" fillId="0" borderId="9" xfId="0" applyNumberFormat="1" applyBorder="1">
      <alignment vertical="center"/>
    </xf>
    <xf numFmtId="176" fontId="4" fillId="0" borderId="9" xfId="0" applyNumberFormat="1" applyFont="1" applyFill="1" applyBorder="1" applyAlignment="1">
      <alignment vertical="center"/>
    </xf>
    <xf numFmtId="181" fontId="4" fillId="0" borderId="9" xfId="0" applyNumberFormat="1" applyFont="1" applyFill="1" applyBorder="1" applyAlignment="1">
      <alignment vertical="center"/>
    </xf>
    <xf numFmtId="176" fontId="1" fillId="0" borderId="9" xfId="0" applyNumberFormat="1" applyFont="1" applyFill="1" applyBorder="1">
      <alignment vertical="center"/>
    </xf>
    <xf numFmtId="176" fontId="1" fillId="0" borderId="9" xfId="0" applyNumberFormat="1" applyFont="1" applyBorder="1">
      <alignment vertical="center"/>
    </xf>
    <xf numFmtId="176" fontId="40" fillId="3" borderId="1" xfId="0" applyNumberFormat="1" applyFont="1" applyFill="1" applyBorder="1" applyAlignment="1">
      <alignment vertical="center"/>
    </xf>
    <xf numFmtId="181" fontId="30" fillId="3" borderId="1" xfId="0" applyNumberFormat="1" applyFont="1" applyFill="1" applyBorder="1">
      <alignment vertical="center"/>
    </xf>
    <xf numFmtId="0" fontId="30" fillId="3" borderId="1" xfId="0" applyFont="1" applyFill="1" applyBorder="1">
      <alignment vertical="center"/>
    </xf>
    <xf numFmtId="180" fontId="40" fillId="3" borderId="1" xfId="0" applyNumberFormat="1" applyFont="1" applyFill="1" applyBorder="1" applyAlignment="1">
      <alignment vertical="center"/>
    </xf>
    <xf numFmtId="176" fontId="40" fillId="3" borderId="1" xfId="0" applyNumberFormat="1" applyFont="1" applyFill="1" applyBorder="1">
      <alignment vertical="center"/>
    </xf>
    <xf numFmtId="180" fontId="30" fillId="3" borderId="1" xfId="0" applyNumberFormat="1" applyFont="1" applyFill="1" applyBorder="1">
      <alignment vertical="center"/>
    </xf>
    <xf numFmtId="181" fontId="40" fillId="3" borderId="1" xfId="0" applyNumberFormat="1" applyFont="1" applyFill="1" applyBorder="1">
      <alignment vertical="center"/>
    </xf>
    <xf numFmtId="0" fontId="30" fillId="3" borderId="0" xfId="0" applyFont="1" applyFill="1">
      <alignment vertical="center"/>
    </xf>
    <xf numFmtId="0" fontId="4" fillId="6" borderId="3" xfId="0" applyNumberFormat="1" applyFont="1" applyFill="1" applyBorder="1" applyAlignment="1">
      <alignment vertical="center"/>
    </xf>
    <xf numFmtId="0" fontId="0" fillId="19" borderId="0" xfId="0" applyFill="1">
      <alignment vertical="center"/>
    </xf>
    <xf numFmtId="0" fontId="0" fillId="19" borderId="1" xfId="0" applyFill="1" applyBorder="1">
      <alignment vertical="center"/>
    </xf>
    <xf numFmtId="181" fontId="4" fillId="19" borderId="1" xfId="0" applyNumberFormat="1" applyFont="1" applyFill="1" applyBorder="1" applyAlignment="1">
      <alignment vertical="center"/>
    </xf>
    <xf numFmtId="0" fontId="0" fillId="19" borderId="1" xfId="0" applyNumberFormat="1" applyFill="1" applyBorder="1">
      <alignment vertical="center"/>
    </xf>
    <xf numFmtId="181" fontId="4" fillId="19" borderId="1" xfId="0" quotePrefix="1" applyNumberFormat="1" applyFont="1" applyFill="1" applyBorder="1" applyAlignment="1">
      <alignment vertical="center"/>
    </xf>
    <xf numFmtId="181" fontId="0" fillId="19" borderId="1" xfId="0" applyNumberFormat="1" applyFill="1" applyBorder="1">
      <alignment vertical="center"/>
    </xf>
    <xf numFmtId="176" fontId="4" fillId="19" borderId="1" xfId="0" applyNumberFormat="1" applyFont="1" applyFill="1" applyBorder="1" applyAlignment="1">
      <alignment vertical="center"/>
    </xf>
    <xf numFmtId="176" fontId="0" fillId="19" borderId="1" xfId="0" applyNumberFormat="1" applyFill="1" applyBorder="1">
      <alignment vertical="center"/>
    </xf>
    <xf numFmtId="176" fontId="0" fillId="11" borderId="0" xfId="0" applyNumberFormat="1" applyFill="1">
      <alignment vertical="center"/>
    </xf>
    <xf numFmtId="0" fontId="0" fillId="0" borderId="0" xfId="0">
      <alignment vertical="center"/>
    </xf>
    <xf numFmtId="0" fontId="0" fillId="0" borderId="0" xfId="0">
      <alignment vertical="center"/>
    </xf>
    <xf numFmtId="0" fontId="0" fillId="0" borderId="0" xfId="0">
      <alignment vertical="center"/>
    </xf>
    <xf numFmtId="0" fontId="0" fillId="20" borderId="0" xfId="0" applyFill="1">
      <alignment vertical="center"/>
    </xf>
    <xf numFmtId="0" fontId="0" fillId="20" borderId="1" xfId="0" applyFill="1" applyBorder="1">
      <alignment vertical="center"/>
    </xf>
    <xf numFmtId="179" fontId="0" fillId="20" borderId="1" xfId="0" applyNumberFormat="1" applyFill="1" applyBorder="1">
      <alignment vertical="center"/>
    </xf>
    <xf numFmtId="181" fontId="1" fillId="3" borderId="1" xfId="0" applyNumberFormat="1" applyFont="1" applyFill="1" applyBorder="1">
      <alignment vertical="center"/>
    </xf>
    <xf numFmtId="0" fontId="0" fillId="0" borderId="1" xfId="0" quotePrefix="1" applyFill="1" applyBorder="1" applyAlignment="1"/>
    <xf numFmtId="0" fontId="37" fillId="0" borderId="0" xfId="0" applyFont="1" applyFill="1" applyAlignment="1"/>
    <xf numFmtId="177" fontId="0" fillId="0" borderId="0" xfId="0" applyNumberFormat="1" applyFill="1" applyAlignment="1">
      <alignment horizontal="right"/>
    </xf>
    <xf numFmtId="182" fontId="43" fillId="0" borderId="1" xfId="0" applyNumberFormat="1" applyFont="1" applyFill="1" applyBorder="1" applyAlignment="1">
      <alignment horizontal="left" vertical="center"/>
    </xf>
    <xf numFmtId="179" fontId="43" fillId="0" borderId="1" xfId="0" applyNumberFormat="1" applyFont="1" applyFill="1" applyBorder="1" applyAlignment="1">
      <alignment horizontal="left" vertical="center"/>
    </xf>
    <xf numFmtId="0" fontId="0" fillId="0" borderId="1" xfId="0" applyBorder="1" applyAlignment="1"/>
    <xf numFmtId="0" fontId="48" fillId="11" borderId="1" xfId="2" applyFill="1" applyBorder="1" applyAlignment="1">
      <alignment horizontal="left" vertical="center"/>
    </xf>
    <xf numFmtId="0" fontId="0" fillId="0" borderId="0" xfId="0" applyNumberFormat="1" applyBorder="1" applyAlignment="1">
      <alignment horizontal="left" vertical="center"/>
    </xf>
    <xf numFmtId="0" fontId="41" fillId="0" borderId="0" xfId="0" quotePrefix="1" applyFont="1" applyFill="1" applyBorder="1" applyAlignment="1">
      <alignment horizontal="left" vertical="center"/>
    </xf>
    <xf numFmtId="0" fontId="41" fillId="0" borderId="0" xfId="0" quotePrefix="1" applyNumberFormat="1" applyFont="1" applyFill="1" applyBorder="1" applyAlignment="1">
      <alignment horizontal="left" vertical="center"/>
    </xf>
    <xf numFmtId="0" fontId="41" fillId="0" borderId="1" xfId="0" quotePrefix="1" applyFont="1" applyFill="1" applyBorder="1" applyAlignment="1">
      <alignment horizontal="left" vertical="center"/>
    </xf>
    <xf numFmtId="0" fontId="48" fillId="0" borderId="0" xfId="2">
      <alignment vertical="center"/>
    </xf>
    <xf numFmtId="49" fontId="48" fillId="11" borderId="1" xfId="2" applyNumberFormat="1" applyFill="1" applyBorder="1" applyAlignment="1">
      <alignment vertical="center"/>
    </xf>
    <xf numFmtId="176" fontId="51" fillId="0" borderId="1" xfId="0" applyNumberFormat="1" applyFont="1" applyFill="1" applyBorder="1" applyAlignment="1">
      <alignment vertical="center"/>
    </xf>
    <xf numFmtId="0" fontId="45" fillId="6" borderId="0" xfId="0" applyFont="1" applyFill="1">
      <alignment vertical="center"/>
    </xf>
    <xf numFmtId="176" fontId="51" fillId="6" borderId="1" xfId="0" applyNumberFormat="1" applyFont="1" applyFill="1" applyBorder="1" applyAlignment="1">
      <alignment vertical="center"/>
    </xf>
    <xf numFmtId="181" fontId="44" fillId="6" borderId="1" xfId="0" applyNumberFormat="1" applyFont="1" applyFill="1" applyBorder="1">
      <alignment vertical="center"/>
    </xf>
    <xf numFmtId="0" fontId="44" fillId="6" borderId="1" xfId="0" applyFont="1" applyFill="1" applyBorder="1">
      <alignment vertical="center"/>
    </xf>
    <xf numFmtId="176" fontId="25" fillId="0" borderId="1" xfId="0" applyNumberFormat="1" applyFont="1" applyFill="1" applyBorder="1" applyAlignment="1">
      <alignment vertical="center"/>
    </xf>
    <xf numFmtId="180" fontId="25" fillId="6" borderId="1" xfId="0" applyNumberFormat="1" applyFont="1" applyFill="1" applyBorder="1" applyAlignment="1">
      <alignment vertical="center"/>
    </xf>
    <xf numFmtId="180" fontId="25" fillId="0" borderId="1" xfId="0" applyNumberFormat="1" applyFont="1" applyFill="1" applyBorder="1" applyAlignment="1">
      <alignment vertical="center"/>
    </xf>
    <xf numFmtId="0" fontId="44" fillId="0" borderId="1" xfId="0" applyFont="1" applyFill="1" applyBorder="1">
      <alignment vertical="center"/>
    </xf>
    <xf numFmtId="176" fontId="25" fillId="6" borderId="1" xfId="0" applyNumberFormat="1" applyFont="1" applyFill="1" applyBorder="1">
      <alignment vertical="center"/>
    </xf>
    <xf numFmtId="176" fontId="25" fillId="0" borderId="1" xfId="0" applyNumberFormat="1" applyFont="1" applyFill="1" applyBorder="1">
      <alignment vertical="center"/>
    </xf>
    <xf numFmtId="180" fontId="44" fillId="6" borderId="1" xfId="0" applyNumberFormat="1" applyFont="1" applyFill="1" applyBorder="1">
      <alignment vertical="center"/>
    </xf>
    <xf numFmtId="0" fontId="44" fillId="16" borderId="1" xfId="0" applyFont="1" applyFill="1" applyBorder="1">
      <alignment vertical="center"/>
    </xf>
    <xf numFmtId="0" fontId="44" fillId="3" borderId="1" xfId="0" applyFont="1" applyFill="1" applyBorder="1">
      <alignment vertical="center"/>
    </xf>
    <xf numFmtId="181" fontId="25" fillId="0" borderId="1" xfId="0" applyNumberFormat="1" applyFont="1" applyFill="1" applyBorder="1">
      <alignment vertical="center"/>
    </xf>
    <xf numFmtId="181" fontId="45" fillId="6" borderId="1" xfId="0" applyNumberFormat="1" applyFont="1" applyFill="1" applyBorder="1">
      <alignment vertical="center"/>
    </xf>
    <xf numFmtId="0" fontId="45" fillId="6" borderId="1" xfId="0" applyFont="1" applyFill="1" applyBorder="1">
      <alignment vertical="center"/>
    </xf>
    <xf numFmtId="176" fontId="51" fillId="8" borderId="1" xfId="0" applyNumberFormat="1" applyFont="1" applyFill="1" applyBorder="1" applyAlignment="1">
      <alignment vertical="center"/>
    </xf>
    <xf numFmtId="176" fontId="51" fillId="8" borderId="10" xfId="0" applyNumberFormat="1" applyFont="1" applyFill="1" applyBorder="1" applyAlignment="1">
      <alignment vertical="center"/>
    </xf>
    <xf numFmtId="0" fontId="45" fillId="6" borderId="0" xfId="0" applyFont="1" applyFill="1" applyBorder="1">
      <alignment vertical="center"/>
    </xf>
    <xf numFmtId="176" fontId="51" fillId="6" borderId="0" xfId="0" applyNumberFormat="1" applyFont="1" applyFill="1" applyBorder="1">
      <alignment vertical="center"/>
    </xf>
    <xf numFmtId="176" fontId="51" fillId="6" borderId="0" xfId="0" applyNumberFormat="1" applyFont="1" applyFill="1" applyBorder="1" applyAlignment="1">
      <alignment vertical="center"/>
    </xf>
    <xf numFmtId="181" fontId="51" fillId="6" borderId="0" xfId="0" applyNumberFormat="1" applyFont="1" applyFill="1" applyBorder="1">
      <alignment vertical="center"/>
    </xf>
    <xf numFmtId="188" fontId="45" fillId="0" borderId="0" xfId="0" applyNumberFormat="1" applyFont="1">
      <alignment vertical="center"/>
    </xf>
    <xf numFmtId="188" fontId="45" fillId="0" borderId="1" xfId="0" applyNumberFormat="1" applyFont="1" applyBorder="1">
      <alignment vertical="center"/>
    </xf>
    <xf numFmtId="188" fontId="44" fillId="3" borderId="1" xfId="0" applyNumberFormat="1" applyFont="1" applyFill="1" applyBorder="1">
      <alignment vertical="center"/>
    </xf>
    <xf numFmtId="188" fontId="44" fillId="0" borderId="1" xfId="0" applyNumberFormat="1" applyFont="1" applyFill="1" applyBorder="1">
      <alignment vertical="center"/>
    </xf>
    <xf numFmtId="0" fontId="0" fillId="0" borderId="0" xfId="0">
      <alignment vertical="center"/>
    </xf>
    <xf numFmtId="0" fontId="45" fillId="0" borderId="0" xfId="0" applyFont="1">
      <alignment vertical="center"/>
    </xf>
    <xf numFmtId="176" fontId="25" fillId="8" borderId="1" xfId="0" applyNumberFormat="1" applyFont="1" applyFill="1" applyBorder="1" applyAlignment="1">
      <alignment vertical="center"/>
    </xf>
    <xf numFmtId="181" fontId="44" fillId="0" borderId="1" xfId="0" applyNumberFormat="1" applyFont="1" applyBorder="1">
      <alignment vertical="center"/>
    </xf>
    <xf numFmtId="0" fontId="44" fillId="0" borderId="1" xfId="0" applyFont="1" applyBorder="1">
      <alignment vertical="center"/>
    </xf>
    <xf numFmtId="176" fontId="25" fillId="11" borderId="1" xfId="0" applyNumberFormat="1" applyFont="1" applyFill="1" applyBorder="1" applyAlignment="1">
      <alignment vertical="center"/>
    </xf>
    <xf numFmtId="176" fontId="25" fillId="0" borderId="1" xfId="0" applyNumberFormat="1" applyFont="1" applyBorder="1">
      <alignment vertical="center"/>
    </xf>
    <xf numFmtId="176" fontId="25" fillId="7" borderId="1" xfId="0" applyNumberFormat="1" applyFont="1" applyFill="1" applyBorder="1" applyAlignment="1">
      <alignment vertical="center"/>
    </xf>
    <xf numFmtId="0" fontId="43" fillId="0" borderId="1" xfId="0" applyFont="1" applyFill="1" applyBorder="1" applyAlignment="1">
      <alignment horizontal="left" vertical="center"/>
    </xf>
    <xf numFmtId="0" fontId="0" fillId="0" borderId="0" xfId="0">
      <alignment vertical="center"/>
    </xf>
    <xf numFmtId="0" fontId="0" fillId="0" borderId="0" xfId="0">
      <alignment vertical="center"/>
    </xf>
    <xf numFmtId="0" fontId="48" fillId="0" borderId="0" xfId="2" applyFill="1" applyBorder="1" applyAlignment="1">
      <alignment horizontal="left" vertical="center"/>
    </xf>
    <xf numFmtId="0" fontId="41" fillId="0" borderId="0" xfId="0" applyFont="1" applyBorder="1" applyAlignment="1">
      <alignment horizontal="left" vertical="center"/>
    </xf>
    <xf numFmtId="0" fontId="0" fillId="10" borderId="6" xfId="0" applyFill="1" applyBorder="1">
      <alignment vertical="center"/>
    </xf>
    <xf numFmtId="0" fontId="0" fillId="16" borderId="6" xfId="0" applyFill="1" applyBorder="1">
      <alignment vertical="center"/>
    </xf>
    <xf numFmtId="192" fontId="0" fillId="0" borderId="6" xfId="0" applyNumberFormat="1" applyBorder="1">
      <alignment vertical="center"/>
    </xf>
    <xf numFmtId="0" fontId="0" fillId="13" borderId="6" xfId="0" applyFill="1" applyBorder="1">
      <alignment vertical="center"/>
    </xf>
    <xf numFmtId="0" fontId="0" fillId="0" borderId="6" xfId="0" applyFill="1" applyBorder="1">
      <alignment vertical="center"/>
    </xf>
    <xf numFmtId="0" fontId="41" fillId="0" borderId="6" xfId="0" applyFont="1" applyBorder="1" applyAlignment="1">
      <alignment horizontal="left" vertical="center"/>
    </xf>
    <xf numFmtId="0" fontId="41" fillId="6" borderId="6" xfId="0" applyFont="1" applyFill="1" applyBorder="1" applyAlignment="1">
      <alignment horizontal="left" vertical="center"/>
    </xf>
    <xf numFmtId="0" fontId="48" fillId="11" borderId="6" xfId="2" applyFill="1" applyBorder="1" applyAlignment="1">
      <alignment horizontal="left" vertical="center"/>
    </xf>
    <xf numFmtId="0" fontId="0" fillId="6" borderId="6" xfId="0" applyFill="1" applyBorder="1">
      <alignment vertical="center"/>
    </xf>
    <xf numFmtId="0" fontId="41" fillId="11" borderId="6" xfId="0" applyFont="1" applyFill="1" applyBorder="1" applyAlignment="1">
      <alignment horizontal="left" vertical="center" wrapText="1"/>
    </xf>
    <xf numFmtId="0" fontId="41" fillId="11" borderId="6" xfId="0" applyFont="1" applyFill="1" applyBorder="1" applyAlignment="1">
      <alignment horizontal="left" vertical="center"/>
    </xf>
    <xf numFmtId="176" fontId="4" fillId="0" borderId="6" xfId="0" applyNumberFormat="1" applyFont="1" applyFill="1" applyBorder="1" applyAlignment="1">
      <alignment vertical="center"/>
    </xf>
    <xf numFmtId="0" fontId="30" fillId="3" borderId="6" xfId="0" applyFont="1" applyFill="1" applyBorder="1" applyAlignment="1">
      <alignment horizontal="left" vertical="center"/>
    </xf>
    <xf numFmtId="0" fontId="36" fillId="0" borderId="6" xfId="0" applyFont="1" applyBorder="1" applyAlignment="1"/>
    <xf numFmtId="0" fontId="0" fillId="0" borderId="6" xfId="0" applyBorder="1" applyAlignment="1"/>
    <xf numFmtId="176" fontId="4" fillId="2" borderId="6" xfId="0" applyNumberFormat="1" applyFont="1" applyFill="1" applyBorder="1" applyAlignment="1">
      <alignment vertical="center"/>
    </xf>
    <xf numFmtId="0" fontId="41" fillId="3" borderId="6" xfId="0" applyFont="1" applyFill="1" applyBorder="1" applyAlignment="1">
      <alignment vertical="center"/>
    </xf>
    <xf numFmtId="0" fontId="41" fillId="11" borderId="6" xfId="0" applyFont="1" applyFill="1" applyBorder="1" applyAlignment="1">
      <alignment horizontal="center" vertical="center"/>
    </xf>
    <xf numFmtId="0" fontId="41" fillId="6" borderId="6" xfId="0" applyFont="1" applyFill="1" applyBorder="1" applyAlignment="1">
      <alignment horizontal="center" vertical="center"/>
    </xf>
    <xf numFmtId="176" fontId="1" fillId="2" borderId="6" xfId="0" applyNumberFormat="1" applyFont="1" applyFill="1" applyBorder="1">
      <alignment vertical="center"/>
    </xf>
    <xf numFmtId="181" fontId="1" fillId="0" borderId="6" xfId="0" applyNumberFormat="1" applyFont="1" applyFill="1" applyBorder="1">
      <alignment vertical="center"/>
    </xf>
    <xf numFmtId="181" fontId="43" fillId="11" borderId="6" xfId="0" applyNumberFormat="1" applyFont="1" applyFill="1" applyBorder="1" applyAlignment="1">
      <alignment horizontal="left" vertical="center"/>
    </xf>
    <xf numFmtId="0" fontId="43" fillId="0" borderId="6" xfId="0" applyFont="1" applyFill="1" applyBorder="1" applyAlignment="1">
      <alignment horizontal="left" vertical="center"/>
    </xf>
    <xf numFmtId="0" fontId="41" fillId="3" borderId="11" xfId="0" applyFont="1" applyFill="1" applyBorder="1" applyAlignment="1">
      <alignment vertical="center"/>
    </xf>
    <xf numFmtId="0" fontId="44" fillId="0" borderId="6" xfId="0" applyFont="1" applyFill="1" applyBorder="1" applyAlignment="1">
      <alignment horizontal="left" vertical="center"/>
    </xf>
    <xf numFmtId="0" fontId="30" fillId="0" borderId="6" xfId="0" applyFont="1" applyFill="1" applyBorder="1" applyAlignment="1">
      <alignment horizontal="left" vertical="center"/>
    </xf>
    <xf numFmtId="0" fontId="43" fillId="3" borderId="11" xfId="0" applyFont="1" applyFill="1" applyBorder="1" applyAlignment="1">
      <alignment horizontal="left" vertical="center"/>
    </xf>
    <xf numFmtId="0" fontId="4" fillId="0" borderId="6" xfId="0" applyFont="1" applyFill="1" applyBorder="1" applyAlignment="1">
      <alignment horizontal="left" vertical="center"/>
    </xf>
    <xf numFmtId="0" fontId="41" fillId="3" borderId="6" xfId="0" applyFont="1" applyFill="1" applyBorder="1" applyAlignment="1">
      <alignment horizontal="left" vertical="center"/>
    </xf>
    <xf numFmtId="0" fontId="0" fillId="3" borderId="6" xfId="0" applyFill="1" applyBorder="1">
      <alignment vertical="center"/>
    </xf>
    <xf numFmtId="0" fontId="0" fillId="9" borderId="6" xfId="0" applyFill="1" applyBorder="1">
      <alignment vertical="center"/>
    </xf>
    <xf numFmtId="0" fontId="41" fillId="3" borderId="11" xfId="0" applyFont="1" applyFill="1" applyBorder="1" applyAlignment="1">
      <alignment horizontal="left" vertical="center"/>
    </xf>
    <xf numFmtId="0" fontId="0" fillId="0" borderId="14" xfId="0" applyFill="1" applyBorder="1">
      <alignment vertical="center"/>
    </xf>
    <xf numFmtId="0" fontId="0" fillId="3" borderId="14" xfId="0" applyFill="1" applyBorder="1">
      <alignment vertical="center"/>
    </xf>
    <xf numFmtId="0" fontId="0" fillId="11" borderId="14" xfId="0" applyFill="1" applyBorder="1">
      <alignment vertical="center"/>
    </xf>
    <xf numFmtId="176" fontId="4" fillId="6" borderId="6" xfId="0" applyNumberFormat="1" applyFont="1" applyFill="1" applyBorder="1" applyAlignment="1">
      <alignment vertical="center"/>
    </xf>
    <xf numFmtId="176" fontId="3" fillId="0" borderId="6" xfId="0" applyNumberFormat="1" applyFont="1" applyFill="1" applyBorder="1">
      <alignment vertical="center"/>
    </xf>
    <xf numFmtId="176" fontId="31" fillId="0" borderId="6" xfId="0" applyNumberFormat="1" applyFont="1" applyFill="1" applyBorder="1" applyAlignment="1">
      <alignment vertical="center"/>
    </xf>
    <xf numFmtId="176" fontId="40" fillId="0" borderId="6" xfId="0" applyNumberFormat="1" applyFont="1" applyFill="1" applyBorder="1" applyAlignment="1">
      <alignment vertical="center"/>
    </xf>
    <xf numFmtId="176" fontId="40" fillId="3" borderId="6" xfId="0" applyNumberFormat="1" applyFont="1" applyFill="1" applyBorder="1" applyAlignment="1">
      <alignment vertical="center"/>
    </xf>
    <xf numFmtId="176" fontId="51" fillId="6" borderId="6" xfId="0" applyNumberFormat="1" applyFont="1" applyFill="1" applyBorder="1" applyAlignment="1">
      <alignment vertical="center"/>
    </xf>
    <xf numFmtId="176" fontId="1" fillId="2" borderId="6" xfId="0" applyNumberFormat="1" applyFont="1" applyFill="1" applyBorder="1" applyAlignment="1">
      <alignment vertical="center"/>
    </xf>
    <xf numFmtId="191" fontId="45" fillId="0" borderId="6" xfId="0" applyNumberFormat="1" applyFont="1" applyBorder="1">
      <alignment vertical="center"/>
    </xf>
    <xf numFmtId="191" fontId="0" fillId="0" borderId="6" xfId="0" applyNumberFormat="1" applyBorder="1">
      <alignment vertical="center"/>
    </xf>
    <xf numFmtId="188" fontId="0" fillId="0" borderId="6" xfId="0" applyNumberFormat="1" applyBorder="1">
      <alignment vertical="center"/>
    </xf>
    <xf numFmtId="0" fontId="0" fillId="0" borderId="6" xfId="0" quotePrefix="1" applyNumberFormat="1" applyBorder="1">
      <alignment vertical="center"/>
    </xf>
    <xf numFmtId="0" fontId="0" fillId="0" borderId="6" xfId="0" quotePrefix="1" applyBorder="1">
      <alignment vertical="center"/>
    </xf>
    <xf numFmtId="0" fontId="43" fillId="0" borderId="0" xfId="0" applyFont="1" applyBorder="1" applyAlignment="1">
      <alignment horizontal="left" vertical="center"/>
    </xf>
    <xf numFmtId="0" fontId="30" fillId="0" borderId="0" xfId="0" applyFont="1" applyBorder="1">
      <alignment vertical="center"/>
    </xf>
    <xf numFmtId="0" fontId="49" fillId="0" borderId="0" xfId="0" applyFont="1" applyBorder="1" applyAlignment="1"/>
    <xf numFmtId="0" fontId="49" fillId="3" borderId="0" xfId="0" applyFont="1" applyFill="1" applyBorder="1" applyAlignment="1"/>
    <xf numFmtId="0" fontId="4" fillId="0" borderId="0" xfId="0" applyFont="1" applyBorder="1" applyAlignment="1">
      <alignment vertical="center"/>
    </xf>
    <xf numFmtId="0" fontId="0" fillId="9" borderId="0" xfId="0" applyFill="1" applyBorder="1">
      <alignment vertical="center"/>
    </xf>
    <xf numFmtId="188" fontId="45" fillId="0" borderId="0" xfId="0" applyNumberFormat="1" applyFont="1" applyBorder="1">
      <alignment vertical="center"/>
    </xf>
    <xf numFmtId="188" fontId="0" fillId="0" borderId="0" xfId="0" applyNumberFormat="1" applyBorder="1">
      <alignment vertical="center"/>
    </xf>
    <xf numFmtId="0" fontId="0" fillId="0" borderId="0" xfId="0" applyFill="1" applyAlignment="1"/>
    <xf numFmtId="0" fontId="41" fillId="0" borderId="13" xfId="0" applyFont="1" applyBorder="1" applyAlignment="1">
      <alignment horizontal="left" vertical="center"/>
    </xf>
    <xf numFmtId="0" fontId="41" fillId="6" borderId="13" xfId="0" applyFont="1" applyFill="1" applyBorder="1" applyAlignment="1">
      <alignment horizontal="left" vertical="center"/>
    </xf>
    <xf numFmtId="0" fontId="48" fillId="11" borderId="13" xfId="2" applyFill="1" applyBorder="1" applyAlignment="1">
      <alignment horizontal="left" vertical="center"/>
    </xf>
    <xf numFmtId="0" fontId="30" fillId="3" borderId="9" xfId="0" applyFont="1" applyFill="1" applyBorder="1" applyAlignment="1">
      <alignment horizontal="left" vertical="center"/>
    </xf>
    <xf numFmtId="0" fontId="0" fillId="0" borderId="13" xfId="0" applyBorder="1">
      <alignment vertical="center"/>
    </xf>
    <xf numFmtId="0" fontId="0" fillId="6" borderId="13" xfId="0" applyFill="1" applyBorder="1">
      <alignment vertical="center"/>
    </xf>
    <xf numFmtId="0" fontId="41" fillId="11" borderId="13" xfId="0" applyFont="1" applyFill="1" applyBorder="1" applyAlignment="1">
      <alignment horizontal="left" vertical="center" wrapText="1"/>
    </xf>
    <xf numFmtId="0" fontId="41" fillId="11" borderId="13" xfId="0" applyFont="1" applyFill="1" applyBorder="1" applyAlignment="1">
      <alignment horizontal="left" vertical="center"/>
    </xf>
    <xf numFmtId="176" fontId="4" fillId="3" borderId="6" xfId="0" applyNumberFormat="1" applyFont="1" applyFill="1" applyBorder="1" applyAlignment="1">
      <alignment vertical="center"/>
    </xf>
    <xf numFmtId="0" fontId="41" fillId="0" borderId="6" xfId="0" applyFont="1" applyFill="1" applyBorder="1" applyAlignment="1">
      <alignment vertical="center"/>
    </xf>
    <xf numFmtId="0" fontId="41" fillId="0" borderId="1" xfId="0" applyFont="1" applyFill="1" applyBorder="1" applyAlignment="1">
      <alignment vertical="center"/>
    </xf>
    <xf numFmtId="0" fontId="41" fillId="0" borderId="6" xfId="0" applyFont="1" applyFill="1" applyBorder="1" applyAlignment="1">
      <alignment horizontal="center" vertical="center"/>
    </xf>
    <xf numFmtId="181" fontId="45" fillId="0" borderId="1" xfId="0" applyNumberFormat="1" applyFont="1" applyBorder="1">
      <alignment vertical="center"/>
    </xf>
    <xf numFmtId="178" fontId="44" fillId="0" borderId="1" xfId="0" applyNumberFormat="1" applyFont="1" applyBorder="1">
      <alignment vertical="center"/>
    </xf>
    <xf numFmtId="0" fontId="44" fillId="4" borderId="1" xfId="0" applyFont="1" applyFill="1" applyBorder="1">
      <alignment vertical="center"/>
    </xf>
    <xf numFmtId="0" fontId="0" fillId="0" borderId="0" xfId="0">
      <alignment vertical="center"/>
    </xf>
    <xf numFmtId="0" fontId="0" fillId="0" borderId="0" xfId="0">
      <alignment vertical="center"/>
    </xf>
    <xf numFmtId="0" fontId="39" fillId="0" borderId="0" xfId="0" applyFont="1" applyBorder="1">
      <alignment vertical="center"/>
    </xf>
    <xf numFmtId="0" fontId="39" fillId="0" borderId="6" xfId="0" applyFont="1" applyFill="1" applyBorder="1">
      <alignment vertical="center"/>
    </xf>
    <xf numFmtId="181" fontId="31" fillId="0" borderId="1" xfId="0" quotePrefix="1" applyNumberFormat="1" applyFont="1" applyFill="1" applyBorder="1" applyAlignment="1">
      <alignment vertical="center"/>
    </xf>
    <xf numFmtId="0" fontId="39" fillId="0" borderId="1" xfId="0" applyFont="1" applyBorder="1">
      <alignment vertical="center"/>
    </xf>
    <xf numFmtId="176" fontId="39" fillId="0" borderId="1" xfId="0" applyNumberFormat="1" applyFont="1" applyBorder="1">
      <alignment vertical="center"/>
    </xf>
    <xf numFmtId="0" fontId="30" fillId="6" borderId="0" xfId="0" applyFont="1" applyFill="1">
      <alignment vertical="center"/>
    </xf>
    <xf numFmtId="0" fontId="30" fillId="0" borderId="6" xfId="0" applyFont="1" applyFill="1" applyBorder="1">
      <alignment vertical="center"/>
    </xf>
    <xf numFmtId="181" fontId="40" fillId="0" borderId="1" xfId="0" applyNumberFormat="1" applyFont="1" applyFill="1" applyBorder="1" applyAlignment="1">
      <alignment vertical="center"/>
    </xf>
    <xf numFmtId="181" fontId="40" fillId="0" borderId="1" xfId="0" quotePrefix="1" applyNumberFormat="1" applyFont="1" applyFill="1" applyBorder="1" applyAlignment="1">
      <alignment vertical="center"/>
    </xf>
    <xf numFmtId="0" fontId="30" fillId="0" borderId="1" xfId="0" applyFont="1" applyBorder="1">
      <alignment vertical="center"/>
    </xf>
    <xf numFmtId="176" fontId="30" fillId="0" borderId="1" xfId="0" applyNumberFormat="1" applyFont="1" applyFill="1" applyBorder="1">
      <alignment vertical="center"/>
    </xf>
    <xf numFmtId="176" fontId="30" fillId="0" borderId="1" xfId="0" applyNumberFormat="1" applyFont="1" applyBorder="1">
      <alignment vertical="center"/>
    </xf>
    <xf numFmtId="0" fontId="1" fillId="0" borderId="2" xfId="0" applyFont="1" applyFill="1" applyBorder="1">
      <alignment vertical="center"/>
    </xf>
    <xf numFmtId="0" fontId="39" fillId="0" borderId="1" xfId="0" quotePrefix="1" applyFont="1" applyFill="1" applyBorder="1">
      <alignment vertical="center"/>
    </xf>
    <xf numFmtId="176" fontId="39" fillId="0" borderId="1" xfId="0" applyNumberFormat="1" applyFont="1" applyFill="1" applyBorder="1">
      <alignment vertical="center"/>
    </xf>
    <xf numFmtId="0" fontId="30" fillId="0" borderId="1" xfId="0" quotePrefix="1" applyFont="1" applyFill="1" applyBorder="1">
      <alignment vertical="center"/>
    </xf>
    <xf numFmtId="0" fontId="0" fillId="0" borderId="0" xfId="0">
      <alignment vertical="center"/>
    </xf>
    <xf numFmtId="182" fontId="0" fillId="0" borderId="0" xfId="0" applyNumberFormat="1" applyFill="1" applyBorder="1">
      <alignment vertical="center"/>
    </xf>
    <xf numFmtId="0" fontId="0" fillId="0" borderId="11" xfId="0" applyFill="1" applyBorder="1">
      <alignment vertical="center"/>
    </xf>
    <xf numFmtId="0" fontId="0" fillId="0" borderId="3" xfId="0" applyFill="1" applyBorder="1">
      <alignment vertical="center"/>
    </xf>
    <xf numFmtId="0" fontId="0" fillId="0" borderId="7" xfId="0" applyFill="1" applyBorder="1">
      <alignment vertical="center"/>
    </xf>
    <xf numFmtId="0" fontId="0" fillId="0" borderId="1" xfId="0" applyBorder="1" applyAlignment="1"/>
    <xf numFmtId="178" fontId="0" fillId="0" borderId="1" xfId="0" applyNumberFormat="1" applyBorder="1" applyAlignment="1">
      <alignment horizontal="right"/>
    </xf>
    <xf numFmtId="0" fontId="43" fillId="0" borderId="1" xfId="0" applyFont="1" applyFill="1" applyBorder="1" applyAlignment="1">
      <alignment horizontal="left" vertical="center"/>
    </xf>
    <xf numFmtId="0" fontId="0" fillId="0" borderId="0" xfId="0">
      <alignment vertical="center"/>
    </xf>
    <xf numFmtId="0" fontId="0" fillId="0" borderId="0" xfId="0" applyFill="1" applyProtection="1">
      <alignment vertical="center"/>
      <protection locked="0"/>
    </xf>
    <xf numFmtId="0" fontId="0" fillId="0" borderId="1" xfId="0" applyFill="1" applyBorder="1" applyProtection="1">
      <alignment vertical="center"/>
      <protection locked="0"/>
    </xf>
    <xf numFmtId="181" fontId="0" fillId="0" borderId="1" xfId="0" applyNumberFormat="1" applyFill="1" applyBorder="1" applyProtection="1">
      <alignment vertical="center"/>
      <protection locked="0"/>
    </xf>
    <xf numFmtId="176" fontId="43" fillId="3" borderId="1" xfId="0" applyNumberFormat="1" applyFont="1" applyFill="1" applyBorder="1" applyAlignment="1">
      <alignment horizontal="left" vertical="center"/>
    </xf>
    <xf numFmtId="176" fontId="0" fillId="3" borderId="0" xfId="0" applyNumberFormat="1" applyFill="1" applyBorder="1">
      <alignment vertical="center"/>
    </xf>
    <xf numFmtId="176" fontId="45" fillId="0" borderId="0" xfId="0" applyNumberFormat="1" applyFont="1" applyFill="1" applyBorder="1">
      <alignment vertical="center"/>
    </xf>
    <xf numFmtId="176" fontId="45" fillId="0" borderId="0" xfId="0" applyNumberFormat="1" applyFont="1" applyFill="1">
      <alignment vertical="center"/>
    </xf>
    <xf numFmtId="176" fontId="43" fillId="11" borderId="1" xfId="0" applyNumberFormat="1" applyFont="1" applyFill="1" applyBorder="1" applyAlignment="1">
      <alignment horizontal="left" vertical="center"/>
    </xf>
    <xf numFmtId="176" fontId="43" fillId="6" borderId="0" xfId="0" applyNumberFormat="1" applyFont="1" applyFill="1" applyBorder="1" applyAlignment="1">
      <alignment horizontal="left" vertical="center"/>
    </xf>
    <xf numFmtId="0" fontId="48" fillId="11" borderId="0" xfId="2" applyFill="1" applyBorder="1" applyAlignment="1">
      <alignment horizontal="left" vertical="center"/>
    </xf>
    <xf numFmtId="49" fontId="48" fillId="3" borderId="0" xfId="2" applyNumberFormat="1" applyFill="1" applyBorder="1" applyAlignment="1">
      <alignment vertical="center"/>
    </xf>
    <xf numFmtId="0" fontId="0" fillId="0" borderId="1" xfId="0" applyBorder="1" applyAlignment="1"/>
    <xf numFmtId="0" fontId="1" fillId="0" borderId="9" xfId="0" applyFont="1" applyBorder="1">
      <alignment vertical="center"/>
    </xf>
    <xf numFmtId="0" fontId="0" fillId="3" borderId="1" xfId="0" applyFill="1" applyBorder="1" applyAlignment="1"/>
    <xf numFmtId="0" fontId="0" fillId="0" borderId="1" xfId="0" applyBorder="1" applyAlignment="1">
      <alignment vertical="center"/>
    </xf>
    <xf numFmtId="0" fontId="0" fillId="3" borderId="10" xfId="0" applyFill="1" applyBorder="1" applyAlignment="1"/>
    <xf numFmtId="0" fontId="0" fillId="3" borderId="13" xfId="0" applyFill="1" applyBorder="1" applyAlignment="1"/>
    <xf numFmtId="0" fontId="0" fillId="3" borderId="6" xfId="0" applyFill="1" applyBorder="1" applyAlignment="1"/>
    <xf numFmtId="0" fontId="0" fillId="3" borderId="8" xfId="0" applyFill="1" applyBorder="1" applyAlignment="1"/>
    <xf numFmtId="0" fontId="0" fillId="3" borderId="9" xfId="0" applyFill="1" applyBorder="1" applyAlignment="1"/>
    <xf numFmtId="0" fontId="0" fillId="3" borderId="5" xfId="0" applyFill="1" applyBorder="1" applyAlignment="1">
      <alignment horizontal="left"/>
    </xf>
    <xf numFmtId="0" fontId="0" fillId="3" borderId="0" xfId="0" applyFill="1" applyBorder="1" applyAlignment="1">
      <alignment horizontal="left"/>
    </xf>
    <xf numFmtId="0" fontId="0" fillId="3" borderId="10" xfId="0" applyFill="1" applyBorder="1" applyAlignment="1">
      <alignment horizontal="left"/>
    </xf>
    <xf numFmtId="0" fontId="0" fillId="3" borderId="13" xfId="0" applyFill="1" applyBorder="1" applyAlignment="1">
      <alignment horizontal="left"/>
    </xf>
    <xf numFmtId="0" fontId="0" fillId="3" borderId="6" xfId="0" applyFill="1" applyBorder="1" applyAlignment="1">
      <alignment horizontal="left"/>
    </xf>
    <xf numFmtId="0" fontId="1" fillId="3" borderId="1" xfId="0" applyFont="1" applyFill="1" applyBorder="1" applyAlignment="1">
      <alignment vertical="center"/>
    </xf>
    <xf numFmtId="0" fontId="0" fillId="3" borderId="1" xfId="0" applyFill="1" applyBorder="1" applyAlignment="1">
      <alignment vertical="center"/>
    </xf>
    <xf numFmtId="0" fontId="0" fillId="0" borderId="10" xfId="0" applyNumberFormat="1" applyFill="1" applyBorder="1" applyAlignment="1">
      <alignment horizontal="left"/>
    </xf>
    <xf numFmtId="0" fontId="0" fillId="0" borderId="13" xfId="0" applyNumberFormat="1" applyFill="1" applyBorder="1" applyAlignment="1">
      <alignment horizontal="left"/>
    </xf>
    <xf numFmtId="0" fontId="0" fillId="0" borderId="6" xfId="0" applyNumberFormat="1" applyFill="1" applyBorder="1" applyAlignment="1">
      <alignment horizontal="left"/>
    </xf>
    <xf numFmtId="0" fontId="0" fillId="0" borderId="3" xfId="0" applyBorder="1" applyAlignment="1">
      <alignment vertical="center"/>
    </xf>
    <xf numFmtId="0" fontId="0" fillId="0" borderId="4" xfId="0" applyBorder="1" applyAlignment="1">
      <alignment vertical="center"/>
    </xf>
    <xf numFmtId="0" fontId="41" fillId="11" borderId="10" xfId="0" quotePrefix="1" applyNumberFormat="1" applyFont="1" applyFill="1" applyBorder="1" applyAlignment="1">
      <alignment horizontal="left" vertical="center"/>
    </xf>
    <xf numFmtId="0" fontId="0" fillId="0" borderId="6" xfId="0" applyNumberFormat="1" applyBorder="1" applyAlignment="1">
      <alignment horizontal="left" vertical="center"/>
    </xf>
    <xf numFmtId="0" fontId="1" fillId="0" borderId="1" xfId="0" applyFont="1" applyFill="1" applyBorder="1" applyAlignment="1">
      <alignment vertical="center"/>
    </xf>
    <xf numFmtId="0" fontId="0" fillId="0" borderId="1" xfId="0" applyFill="1" applyBorder="1" applyAlignment="1">
      <alignment vertical="center"/>
    </xf>
    <xf numFmtId="0" fontId="0" fillId="0" borderId="1" xfId="0" applyBorder="1" applyAlignment="1"/>
    <xf numFmtId="0" fontId="0" fillId="0" borderId="13" xfId="0" applyBorder="1" applyAlignment="1">
      <alignment vertical="center"/>
    </xf>
    <xf numFmtId="0" fontId="0" fillId="0" borderId="6" xfId="0" applyBorder="1" applyAlignment="1">
      <alignment vertical="center"/>
    </xf>
    <xf numFmtId="0" fontId="41" fillId="6" borderId="8" xfId="0" applyFont="1" applyFill="1" applyBorder="1" applyAlignment="1">
      <alignment horizontal="left" vertical="center"/>
    </xf>
    <xf numFmtId="0" fontId="41" fillId="6" borderId="9" xfId="0" applyFont="1" applyFill="1" applyBorder="1" applyAlignment="1">
      <alignment horizontal="left" vertical="center"/>
    </xf>
    <xf numFmtId="0" fontId="0" fillId="0" borderId="9" xfId="0" applyBorder="1" applyAlignment="1">
      <alignment horizontal="left" vertical="center"/>
    </xf>
    <xf numFmtId="0" fontId="0" fillId="0" borderId="12" xfId="0" applyBorder="1" applyAlignment="1">
      <alignment horizontal="left" vertical="center"/>
    </xf>
    <xf numFmtId="0" fontId="41" fillId="6" borderId="12" xfId="0" applyFont="1" applyFill="1" applyBorder="1" applyAlignment="1">
      <alignment horizontal="left" vertical="center"/>
    </xf>
    <xf numFmtId="0" fontId="41" fillId="6" borderId="5" xfId="0" applyFont="1" applyFill="1" applyBorder="1" applyAlignment="1">
      <alignment horizontal="left" vertical="center"/>
    </xf>
    <xf numFmtId="0" fontId="41" fillId="6" borderId="0" xfId="0" applyFont="1" applyFill="1" applyBorder="1" applyAlignment="1">
      <alignment horizontal="left" vertical="center"/>
    </xf>
    <xf numFmtId="0" fontId="0" fillId="0" borderId="0" xfId="0" applyAlignment="1">
      <alignment horizontal="left" vertical="center"/>
    </xf>
    <xf numFmtId="0" fontId="0" fillId="0" borderId="3" xfId="0" applyBorder="1" applyAlignment="1">
      <alignment horizontal="center" vertical="center"/>
    </xf>
    <xf numFmtId="0" fontId="0" fillId="0" borderId="4" xfId="0" applyBorder="1" applyAlignment="1">
      <alignment horizontal="center" vertical="center"/>
    </xf>
    <xf numFmtId="190" fontId="0" fillId="0" borderId="1" xfId="0" applyNumberFormat="1" applyBorder="1" applyAlignment="1">
      <alignment horizontal="left" vertical="center" wrapText="1"/>
    </xf>
    <xf numFmtId="0" fontId="41" fillId="6" borderId="3" xfId="0" applyFont="1" applyFill="1" applyBorder="1" applyAlignment="1">
      <alignment horizontal="center" vertical="center"/>
    </xf>
    <xf numFmtId="0" fontId="41" fillId="6" borderId="4" xfId="0" applyFont="1" applyFill="1" applyBorder="1" applyAlignment="1">
      <alignment horizontal="center" vertical="center"/>
    </xf>
    <xf numFmtId="0" fontId="4" fillId="0" borderId="3" xfId="0" applyFont="1" applyBorder="1" applyAlignment="1">
      <alignment vertical="center"/>
    </xf>
    <xf numFmtId="0" fontId="4" fillId="0" borderId="4" xfId="0" applyFont="1" applyBorder="1" applyAlignment="1">
      <alignment vertical="center"/>
    </xf>
    <xf numFmtId="0" fontId="0" fillId="3" borderId="0" xfId="0" applyFill="1" applyAlignment="1">
      <alignment vertical="center"/>
    </xf>
    <xf numFmtId="0" fontId="0" fillId="0" borderId="0" xfId="0" applyAlignment="1">
      <alignment vertical="center"/>
    </xf>
    <xf numFmtId="0" fontId="0" fillId="0" borderId="9" xfId="0" applyBorder="1" applyAlignment="1">
      <alignment vertical="center"/>
    </xf>
    <xf numFmtId="0" fontId="41" fillId="0" borderId="8" xfId="0" applyFont="1" applyFill="1" applyBorder="1" applyAlignment="1">
      <alignment horizontal="left" vertical="center"/>
    </xf>
    <xf numFmtId="0" fontId="41" fillId="0" borderId="9" xfId="0" applyFont="1" applyFill="1" applyBorder="1" applyAlignment="1">
      <alignment horizontal="left" vertical="center"/>
    </xf>
    <xf numFmtId="0" fontId="41" fillId="0" borderId="12" xfId="0" applyFont="1" applyFill="1" applyBorder="1" applyAlignment="1">
      <alignment horizontal="left" vertical="center"/>
    </xf>
    <xf numFmtId="176" fontId="4" fillId="0" borderId="3" xfId="0" applyNumberFormat="1" applyFont="1" applyFill="1" applyBorder="1" applyAlignment="1">
      <alignment vertical="center"/>
    </xf>
    <xf numFmtId="0" fontId="0" fillId="0" borderId="4" xfId="0" applyFill="1" applyBorder="1" applyAlignment="1">
      <alignment vertical="center"/>
    </xf>
    <xf numFmtId="183" fontId="0" fillId="0" borderId="3" xfId="0" applyNumberFormat="1" applyBorder="1" applyAlignment="1">
      <alignment vertical="center"/>
    </xf>
    <xf numFmtId="0" fontId="0" fillId="0" borderId="2" xfId="0" applyBorder="1" applyAlignment="1">
      <alignment vertical="center"/>
    </xf>
    <xf numFmtId="178" fontId="0" fillId="0" borderId="1" xfId="0" applyNumberFormat="1" applyBorder="1" applyAlignment="1">
      <alignment horizontal="right"/>
    </xf>
    <xf numFmtId="178" fontId="0" fillId="0" borderId="3" xfId="0" applyNumberFormat="1" applyBorder="1" applyAlignment="1">
      <alignment horizontal="right"/>
    </xf>
    <xf numFmtId="0" fontId="0" fillId="3" borderId="8" xfId="0" applyFill="1" applyBorder="1" applyAlignment="1">
      <alignment vertical="center"/>
    </xf>
    <xf numFmtId="0" fontId="0" fillId="3" borderId="9" xfId="0" applyFill="1" applyBorder="1" applyAlignment="1">
      <alignment vertical="center"/>
    </xf>
    <xf numFmtId="176" fontId="4" fillId="3" borderId="9" xfId="0" applyNumberFormat="1" applyFont="1" applyFill="1" applyBorder="1" applyAlignment="1">
      <alignment vertical="center"/>
    </xf>
    <xf numFmtId="0" fontId="0" fillId="0" borderId="12" xfId="0" applyBorder="1" applyAlignment="1">
      <alignment vertical="center"/>
    </xf>
    <xf numFmtId="176" fontId="4" fillId="6" borderId="3" xfId="0" applyNumberFormat="1" applyFont="1" applyFill="1" applyBorder="1" applyAlignment="1">
      <alignment vertical="center"/>
    </xf>
    <xf numFmtId="0" fontId="0" fillId="6" borderId="4" xfId="0" applyFill="1" applyBorder="1" applyAlignment="1">
      <alignment vertical="center"/>
    </xf>
    <xf numFmtId="176" fontId="4" fillId="0" borderId="2" xfId="0" applyNumberFormat="1" applyFont="1" applyFill="1" applyBorder="1" applyAlignment="1">
      <alignment vertical="center"/>
    </xf>
    <xf numFmtId="0" fontId="0" fillId="6" borderId="3" xfId="0" applyFill="1" applyBorder="1" applyAlignment="1">
      <alignment vertical="center"/>
    </xf>
    <xf numFmtId="0" fontId="0" fillId="6" borderId="2" xfId="0" applyFill="1" applyBorder="1" applyAlignment="1">
      <alignment vertical="center"/>
    </xf>
    <xf numFmtId="0" fontId="41" fillId="0" borderId="3" xfId="0" applyFont="1" applyFill="1" applyBorder="1" applyAlignment="1">
      <alignment horizontal="center" vertical="center"/>
    </xf>
    <xf numFmtId="0" fontId="41" fillId="0" borderId="4" xfId="0" applyFont="1" applyFill="1" applyBorder="1" applyAlignment="1">
      <alignment horizontal="center" vertical="center"/>
    </xf>
    <xf numFmtId="0" fontId="41" fillId="3" borderId="8" xfId="0" applyFont="1" applyFill="1" applyBorder="1" applyAlignment="1">
      <alignment horizontal="left" vertical="center"/>
    </xf>
    <xf numFmtId="0" fontId="0" fillId="6" borderId="0" xfId="0" applyFill="1" applyAlignment="1">
      <alignment vertical="center"/>
    </xf>
    <xf numFmtId="0" fontId="0" fillId="6" borderId="14" xfId="0" applyFill="1" applyBorder="1" applyAlignment="1">
      <alignment vertical="center"/>
    </xf>
    <xf numFmtId="0" fontId="41" fillId="6" borderId="8" xfId="0" applyFont="1" applyFill="1" applyBorder="1" applyAlignment="1">
      <alignment vertical="center"/>
    </xf>
    <xf numFmtId="0" fontId="41" fillId="6" borderId="9" xfId="0" applyFont="1" applyFill="1" applyBorder="1" applyAlignment="1">
      <alignment vertical="center"/>
    </xf>
    <xf numFmtId="0" fontId="41" fillId="6" borderId="12" xfId="0" applyFont="1" applyFill="1" applyBorder="1" applyAlignment="1">
      <alignment vertical="center"/>
    </xf>
    <xf numFmtId="0" fontId="41" fillId="6" borderId="8" xfId="0" applyFont="1" applyFill="1" applyBorder="1" applyAlignment="1">
      <alignment horizontal="center" vertical="center"/>
    </xf>
    <xf numFmtId="0" fontId="41" fillId="6" borderId="9" xfId="0" applyFont="1" applyFill="1" applyBorder="1" applyAlignment="1">
      <alignment horizontal="center" vertical="center"/>
    </xf>
    <xf numFmtId="0" fontId="0" fillId="3" borderId="5" xfId="0" applyFill="1" applyBorder="1" applyAlignment="1">
      <alignment horizontal="left" vertical="center"/>
    </xf>
    <xf numFmtId="0" fontId="0" fillId="3" borderId="0" xfId="0" applyFill="1" applyBorder="1" applyAlignment="1">
      <alignment horizontal="left" vertical="center"/>
    </xf>
    <xf numFmtId="0" fontId="0" fillId="3" borderId="5" xfId="0" applyFill="1" applyBorder="1" applyAlignment="1">
      <alignment vertical="center"/>
    </xf>
    <xf numFmtId="0" fontId="0" fillId="3" borderId="0" xfId="0" applyFill="1" applyBorder="1" applyAlignment="1">
      <alignment vertical="center"/>
    </xf>
    <xf numFmtId="0" fontId="0" fillId="3" borderId="10" xfId="0" applyFill="1" applyBorder="1" applyAlignment="1">
      <alignment horizontal="left" vertical="center"/>
    </xf>
    <xf numFmtId="0" fontId="0" fillId="3" borderId="13" xfId="0" applyFill="1" applyBorder="1" applyAlignment="1">
      <alignment horizontal="left" vertical="center"/>
    </xf>
    <xf numFmtId="0" fontId="43" fillId="0" borderId="1" xfId="0" applyFont="1" applyFill="1" applyBorder="1" applyAlignment="1">
      <alignment horizontal="left" vertical="center"/>
    </xf>
    <xf numFmtId="176" fontId="4" fillId="0" borderId="8" xfId="0" applyNumberFormat="1" applyFont="1" applyBorder="1" applyAlignment="1">
      <alignment horizontal="left" vertical="center"/>
    </xf>
    <xf numFmtId="176" fontId="4" fillId="0" borderId="9" xfId="0" applyNumberFormat="1" applyFont="1" applyBorder="1" applyAlignment="1">
      <alignment horizontal="left" vertical="center"/>
    </xf>
    <xf numFmtId="190" fontId="0" fillId="3" borderId="1" xfId="0" applyNumberFormat="1" applyFill="1" applyBorder="1" applyAlignment="1">
      <alignment horizontal="left" vertical="center" wrapText="1"/>
    </xf>
    <xf numFmtId="0" fontId="0" fillId="6" borderId="0" xfId="0" applyFill="1" applyBorder="1" applyAlignment="1"/>
    <xf numFmtId="0" fontId="0" fillId="0" borderId="0" xfId="0">
      <alignment vertical="center"/>
    </xf>
    <xf numFmtId="0" fontId="0" fillId="0" borderId="0" xfId="0" applyBorder="1" applyAlignment="1">
      <alignment vertical="center"/>
    </xf>
  </cellXfs>
  <cellStyles count="3">
    <cellStyle name="常规" xfId="0" builtinId="0"/>
    <cellStyle name="常规 2" xfId="1"/>
    <cellStyle name="超链接" xfId="2" builtinId="8"/>
  </cellStyles>
  <dxfs count="0"/>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ata\delinitdata.sq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data\day1\settlementprice.sql" TargetMode="External"/><Relationship Id="rId2" Type="http://schemas.openxmlformats.org/officeDocument/2006/relationships/hyperlink" Target="data\day1\settlementprice.sql" TargetMode="External"/><Relationship Id="rId1" Type="http://schemas.openxmlformats.org/officeDocument/2006/relationships/hyperlink" Target="data\day1\delday1.sql" TargetMode="External"/><Relationship Id="rId5" Type="http://schemas.openxmlformats.org/officeDocument/2006/relationships/printerSettings" Target="../printerSettings/printerSettings2.bin"/><Relationship Id="rId4" Type="http://schemas.openxmlformats.org/officeDocument/2006/relationships/hyperlink" Target="data\day1\czceday.zi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data\day2\delday2.sql" TargetMode="External"/><Relationship Id="rId2" Type="http://schemas.openxmlformats.org/officeDocument/2006/relationships/hyperlink" Target="data\day2\czceday2.zip" TargetMode="External"/><Relationship Id="rId1" Type="http://schemas.openxmlformats.org/officeDocument/2006/relationships/hyperlink" Target="data\day2\settlementprice.sql"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data\day3\delday3.sql" TargetMode="External"/><Relationship Id="rId2" Type="http://schemas.openxmlformats.org/officeDocument/2006/relationships/hyperlink" Target="data\day3\settlementprice.sql" TargetMode="External"/><Relationship Id="rId1" Type="http://schemas.openxmlformats.org/officeDocument/2006/relationships/hyperlink" Target="data\day3\czceday3.zip"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96"/>
  <sheetViews>
    <sheetView tabSelected="1" topLeftCell="A304" zoomScaleNormal="100" workbookViewId="0">
      <selection activeCell="B313" sqref="B313"/>
    </sheetView>
  </sheetViews>
  <sheetFormatPr defaultColWidth="9" defaultRowHeight="12" x14ac:dyDescent="0.25"/>
  <cols>
    <col min="1" max="1" width="12.6640625" style="1" customWidth="1"/>
    <col min="2" max="2" width="29.88671875" style="1" customWidth="1"/>
    <col min="3" max="3" width="26.109375" style="1" customWidth="1"/>
    <col min="4" max="4" width="27.109375" style="1" customWidth="1"/>
    <col min="5" max="5" width="32.77734375" style="1" customWidth="1"/>
    <col min="6" max="6" width="30.6640625" style="1" customWidth="1"/>
    <col min="7" max="7" width="16.88671875" style="1" customWidth="1"/>
    <col min="8" max="8" width="22.6640625" style="1" customWidth="1"/>
    <col min="9" max="9" width="27.77734375" style="1" customWidth="1"/>
    <col min="10" max="10" width="24.5546875" style="1" customWidth="1"/>
    <col min="11" max="11" width="24.44140625" style="1" customWidth="1"/>
    <col min="12" max="12" width="22.44140625" style="1" customWidth="1"/>
    <col min="13" max="13" width="25.21875" style="1" customWidth="1"/>
    <col min="14" max="14" width="15.6640625" style="1" customWidth="1"/>
    <col min="15" max="15" width="16.33203125" style="1" customWidth="1"/>
    <col min="16" max="16" width="16.21875" style="1" customWidth="1"/>
    <col min="17" max="17" width="16" style="1" customWidth="1"/>
    <col min="18" max="18" width="25.77734375" style="1" customWidth="1"/>
    <col min="19" max="19" width="12.88671875" style="1" customWidth="1"/>
    <col min="20" max="20" width="16.77734375" style="1" customWidth="1"/>
    <col min="21" max="21" width="25.5546875" style="1" customWidth="1"/>
    <col min="22" max="22" width="13.33203125" style="1" customWidth="1"/>
    <col min="23" max="23" width="16.88671875" style="1" customWidth="1"/>
    <col min="24" max="24" width="12.88671875" style="1" customWidth="1"/>
    <col min="25" max="28" width="9" style="1"/>
    <col min="29" max="29" width="17" style="1" customWidth="1"/>
    <col min="30" max="30" width="21" style="1" customWidth="1"/>
    <col min="31" max="31" width="14.88671875" style="1" customWidth="1"/>
    <col min="32" max="32" width="16.44140625" style="1" customWidth="1"/>
    <col min="33" max="33" width="14.6640625" style="1" customWidth="1"/>
    <col min="34" max="34" width="16.33203125" style="1" customWidth="1"/>
    <col min="35" max="35" width="14.21875" style="1" customWidth="1"/>
    <col min="36" max="16384" width="9" style="1"/>
  </cols>
  <sheetData>
    <row r="1" spans="1:7" ht="14.4" x14ac:dyDescent="0.25">
      <c r="A1" s="49" t="s">
        <v>173</v>
      </c>
      <c r="B1" s="52" t="s">
        <v>367</v>
      </c>
      <c r="C1" s="567" t="s">
        <v>2131</v>
      </c>
      <c r="D1" s="93" t="s">
        <v>1841</v>
      </c>
      <c r="E1" s="93" t="s">
        <v>1842</v>
      </c>
    </row>
    <row r="2" spans="1:7" x14ac:dyDescent="0.25">
      <c r="A2" s="49" t="s">
        <v>173</v>
      </c>
      <c r="B2" s="15">
        <f>C2</f>
        <v>20180326</v>
      </c>
      <c r="C2" s="1">
        <f>B571</f>
        <v>20180326</v>
      </c>
      <c r="D2" s="1">
        <f>B578</f>
        <v>20180327</v>
      </c>
      <c r="E2" s="1">
        <f>B585</f>
        <v>20180328</v>
      </c>
    </row>
    <row r="3" spans="1:7" x14ac:dyDescent="0.25">
      <c r="A3" s="49" t="s">
        <v>173</v>
      </c>
      <c r="B3" s="49" t="s">
        <v>117</v>
      </c>
    </row>
    <row r="4" spans="1:7" ht="14.4" x14ac:dyDescent="0.25">
      <c r="A4" s="49" t="s">
        <v>173</v>
      </c>
      <c r="B4" s="52" t="s">
        <v>112</v>
      </c>
      <c r="C4" s="52" t="s">
        <v>113</v>
      </c>
      <c r="D4" s="52" t="s">
        <v>114</v>
      </c>
      <c r="E4" s="52" t="s">
        <v>115</v>
      </c>
      <c r="F4" s="52" t="s">
        <v>191</v>
      </c>
      <c r="G4" s="52" t="s">
        <v>350</v>
      </c>
    </row>
    <row r="5" spans="1:7" ht="14.4" x14ac:dyDescent="0.25">
      <c r="A5" s="49" t="s">
        <v>173</v>
      </c>
      <c r="B5" s="63" t="s">
        <v>192</v>
      </c>
      <c r="C5" s="54" t="s">
        <v>155</v>
      </c>
      <c r="D5" s="63" t="s">
        <v>193</v>
      </c>
      <c r="E5" s="61" t="s">
        <v>116</v>
      </c>
      <c r="F5" s="62" t="s">
        <v>2043</v>
      </c>
      <c r="G5" s="62" t="s">
        <v>348</v>
      </c>
    </row>
    <row r="6" spans="1:7" ht="14.4" x14ac:dyDescent="0.25">
      <c r="A6" s="49" t="s">
        <v>173</v>
      </c>
      <c r="B6" s="63" t="s">
        <v>192</v>
      </c>
      <c r="C6" s="54" t="s">
        <v>156</v>
      </c>
      <c r="D6" s="53" t="str">
        <f>D5</f>
        <v>6001</v>
      </c>
      <c r="E6" s="61" t="s">
        <v>116</v>
      </c>
      <c r="F6" s="62" t="s">
        <v>2043</v>
      </c>
      <c r="G6" s="62" t="s">
        <v>349</v>
      </c>
    </row>
    <row r="7" spans="1:7" x14ac:dyDescent="0.25">
      <c r="A7" s="49" t="s">
        <v>174</v>
      </c>
      <c r="B7" s="30" t="s">
        <v>118</v>
      </c>
    </row>
    <row r="8" spans="1:7" ht="14.4" x14ac:dyDescent="0.25">
      <c r="A8" s="49" t="s">
        <v>174</v>
      </c>
      <c r="B8" s="52" t="s">
        <v>119</v>
      </c>
      <c r="C8" s="52" t="s">
        <v>120</v>
      </c>
      <c r="D8" s="52" t="s">
        <v>121</v>
      </c>
    </row>
    <row r="9" spans="1:7" ht="14.4" x14ac:dyDescent="0.25">
      <c r="A9" s="49" t="s">
        <v>174</v>
      </c>
      <c r="B9" s="53" t="str">
        <f>B5</f>
        <v>6001</v>
      </c>
      <c r="C9" s="53" t="str">
        <f>B9</f>
        <v>6001</v>
      </c>
      <c r="D9" s="53" t="s">
        <v>122</v>
      </c>
    </row>
    <row r="10" spans="1:7" ht="14.4" x14ac:dyDescent="0.25">
      <c r="A10" s="49" t="s">
        <v>174</v>
      </c>
      <c r="B10" s="53" t="str">
        <f>B5</f>
        <v>6001</v>
      </c>
      <c r="C10" s="53" t="str">
        <f t="shared" ref="C10:C11" si="0">B10</f>
        <v>6001</v>
      </c>
      <c r="D10" s="53" t="s">
        <v>1866</v>
      </c>
    </row>
    <row r="11" spans="1:7" ht="14.4" x14ac:dyDescent="0.25">
      <c r="A11" s="49" t="s">
        <v>174</v>
      </c>
      <c r="B11" s="53" t="str">
        <f>B5</f>
        <v>6001</v>
      </c>
      <c r="C11" s="53" t="str">
        <f t="shared" si="0"/>
        <v>6001</v>
      </c>
      <c r="D11" s="53" t="s">
        <v>123</v>
      </c>
    </row>
    <row r="12" spans="1:7" ht="14.4" x14ac:dyDescent="0.25">
      <c r="A12" s="49" t="s">
        <v>173</v>
      </c>
      <c r="B12" s="55" t="s">
        <v>1232</v>
      </c>
      <c r="C12" s="55"/>
      <c r="D12" s="55"/>
    </row>
    <row r="13" spans="1:7" ht="14.4" x14ac:dyDescent="0.25">
      <c r="A13" s="49" t="s">
        <v>173</v>
      </c>
      <c r="B13" s="206" t="s">
        <v>1235</v>
      </c>
      <c r="C13" s="53" t="s">
        <v>1233</v>
      </c>
      <c r="D13" s="206" t="s">
        <v>1234</v>
      </c>
    </row>
    <row r="14" spans="1:7" ht="14.4" x14ac:dyDescent="0.25">
      <c r="A14" s="49" t="s">
        <v>173</v>
      </c>
      <c r="B14" s="206" t="s">
        <v>1236</v>
      </c>
      <c r="C14" s="53">
        <v>99990201</v>
      </c>
      <c r="D14" s="53" t="s">
        <v>122</v>
      </c>
    </row>
    <row r="15" spans="1:7" ht="14.4" x14ac:dyDescent="0.25">
      <c r="A15" s="49" t="s">
        <v>173</v>
      </c>
      <c r="B15" s="206" t="s">
        <v>1867</v>
      </c>
      <c r="C15" s="53">
        <v>99990203</v>
      </c>
      <c r="D15" s="53" t="s">
        <v>1868</v>
      </c>
    </row>
    <row r="16" spans="1:7" ht="14.4" x14ac:dyDescent="0.25">
      <c r="A16" s="49" t="s">
        <v>173</v>
      </c>
      <c r="B16" s="206" t="s">
        <v>1236</v>
      </c>
      <c r="C16" s="53">
        <v>99990202</v>
      </c>
      <c r="D16" s="53" t="s">
        <v>123</v>
      </c>
    </row>
    <row r="17" spans="1:13" x14ac:dyDescent="0.25">
      <c r="A17" s="49" t="s">
        <v>173</v>
      </c>
      <c r="B17" s="16" t="s">
        <v>1</v>
      </c>
      <c r="L17" s="49" t="s">
        <v>357</v>
      </c>
    </row>
    <row r="18" spans="1:13" x14ac:dyDescent="0.25">
      <c r="A18" s="49" t="s">
        <v>173</v>
      </c>
      <c r="B18" s="7" t="s">
        <v>2</v>
      </c>
      <c r="C18" s="7" t="s">
        <v>4</v>
      </c>
      <c r="D18" s="7" t="s">
        <v>3</v>
      </c>
      <c r="E18" s="7" t="s">
        <v>16</v>
      </c>
      <c r="F18" s="7" t="s">
        <v>78</v>
      </c>
      <c r="G18" s="7">
        <v>2</v>
      </c>
      <c r="H18" s="7" t="s">
        <v>194</v>
      </c>
      <c r="I18" s="7" t="s">
        <v>195</v>
      </c>
      <c r="J18" s="7" t="s">
        <v>196</v>
      </c>
      <c r="K18" s="7" t="s">
        <v>197</v>
      </c>
      <c r="L18" s="7" t="s">
        <v>356</v>
      </c>
      <c r="M18" s="49" t="s">
        <v>1765</v>
      </c>
    </row>
    <row r="19" spans="1:13" x14ac:dyDescent="0.25">
      <c r="A19" s="49" t="s">
        <v>173</v>
      </c>
      <c r="B19" s="8" t="s">
        <v>954</v>
      </c>
      <c r="C19" s="8" t="s">
        <v>1389</v>
      </c>
      <c r="D19" s="8" t="s">
        <v>303</v>
      </c>
      <c r="E19" s="8">
        <v>10</v>
      </c>
      <c r="F19" s="441">
        <f>'day3'!B2</f>
        <v>20180328</v>
      </c>
      <c r="G19" s="15">
        <v>1</v>
      </c>
      <c r="H19" s="15">
        <v>9</v>
      </c>
      <c r="I19" s="25" t="str">
        <f>C19</f>
        <v>SR807</v>
      </c>
      <c r="J19" s="15"/>
      <c r="K19" s="15">
        <v>0</v>
      </c>
      <c r="L19" s="1">
        <v>0</v>
      </c>
      <c r="M19" s="1">
        <v>1</v>
      </c>
    </row>
    <row r="20" spans="1:13" x14ac:dyDescent="0.25">
      <c r="A20" s="49" t="s">
        <v>173</v>
      </c>
      <c r="B20" s="8" t="s">
        <v>17</v>
      </c>
      <c r="C20" s="8" t="s">
        <v>108</v>
      </c>
      <c r="D20" s="8" t="s">
        <v>50</v>
      </c>
      <c r="E20" s="8">
        <v>10</v>
      </c>
      <c r="F20" s="31">
        <f>'day3'!B2+5</f>
        <v>20180333</v>
      </c>
      <c r="G20" s="15">
        <v>1</v>
      </c>
      <c r="H20" s="15">
        <v>9</v>
      </c>
      <c r="I20" s="25" t="str">
        <f t="shared" ref="I20:I23" si="1">C20</f>
        <v>SR809</v>
      </c>
      <c r="J20" s="15"/>
      <c r="K20" s="15">
        <v>0</v>
      </c>
      <c r="L20" s="1">
        <v>0</v>
      </c>
      <c r="M20" s="1">
        <v>1</v>
      </c>
    </row>
    <row r="21" spans="1:13" x14ac:dyDescent="0.25">
      <c r="A21" s="49" t="s">
        <v>173</v>
      </c>
      <c r="B21" s="8" t="s">
        <v>17</v>
      </c>
      <c r="C21" s="8" t="s">
        <v>1390</v>
      </c>
      <c r="D21" s="8" t="s">
        <v>299</v>
      </c>
      <c r="E21" s="8">
        <v>10</v>
      </c>
      <c r="F21" s="31">
        <f>'day3'!B2+5</f>
        <v>20180333</v>
      </c>
      <c r="G21" s="15">
        <v>1</v>
      </c>
      <c r="H21" s="15">
        <v>9</v>
      </c>
      <c r="I21" s="25" t="str">
        <f t="shared" si="1"/>
        <v>OI811</v>
      </c>
      <c r="J21" s="15"/>
      <c r="K21" s="15">
        <v>0</v>
      </c>
      <c r="L21" s="1">
        <v>0</v>
      </c>
      <c r="M21" s="1">
        <v>1</v>
      </c>
    </row>
    <row r="22" spans="1:13" ht="15" customHeight="1" x14ac:dyDescent="0.25">
      <c r="A22" s="49" t="s">
        <v>173</v>
      </c>
      <c r="B22" s="8" t="s">
        <v>17</v>
      </c>
      <c r="C22" s="8" t="s">
        <v>1391</v>
      </c>
      <c r="D22" s="102" t="s">
        <v>301</v>
      </c>
      <c r="E22" s="8">
        <v>5</v>
      </c>
      <c r="F22" s="441">
        <f>'day3'!B2</f>
        <v>20180328</v>
      </c>
      <c r="G22" s="15">
        <v>1</v>
      </c>
      <c r="H22" s="15">
        <v>9</v>
      </c>
      <c r="I22" s="25" t="str">
        <f t="shared" si="1"/>
        <v>PTA807</v>
      </c>
      <c r="J22" s="15"/>
      <c r="K22" s="15">
        <v>1</v>
      </c>
      <c r="L22" s="1">
        <v>0</v>
      </c>
      <c r="M22" s="1">
        <v>1</v>
      </c>
    </row>
    <row r="23" spans="1:13" x14ac:dyDescent="0.25">
      <c r="A23" s="49" t="s">
        <v>173</v>
      </c>
      <c r="B23" s="8" t="s">
        <v>17</v>
      </c>
      <c r="C23" s="8" t="s">
        <v>887</v>
      </c>
      <c r="D23" s="8" t="s">
        <v>300</v>
      </c>
      <c r="E23" s="8">
        <v>5</v>
      </c>
      <c r="F23" s="31">
        <f>'day3'!B2+5</f>
        <v>20180333</v>
      </c>
      <c r="G23" s="15">
        <v>1</v>
      </c>
      <c r="H23" s="15">
        <v>9</v>
      </c>
      <c r="I23" s="25" t="str">
        <f t="shared" si="1"/>
        <v>PTA809</v>
      </c>
      <c r="J23" s="15"/>
      <c r="K23" s="15">
        <v>1</v>
      </c>
      <c r="L23" s="1">
        <v>0</v>
      </c>
      <c r="M23" s="1">
        <v>1</v>
      </c>
    </row>
    <row r="24" spans="1:13" s="16" customFormat="1" x14ac:dyDescent="0.25">
      <c r="A24" s="285" t="s">
        <v>173</v>
      </c>
      <c r="B24" s="29" t="s">
        <v>17</v>
      </c>
      <c r="C24" s="29" t="s">
        <v>1989</v>
      </c>
      <c r="D24" s="29" t="s">
        <v>1544</v>
      </c>
      <c r="E24" s="29">
        <v>5</v>
      </c>
      <c r="F24" s="442">
        <f>'day3'!B2</f>
        <v>20180328</v>
      </c>
      <c r="G24" s="286">
        <v>2</v>
      </c>
      <c r="H24" s="286">
        <v>0</v>
      </c>
      <c r="I24" s="287" t="str">
        <f>C22</f>
        <v>PTA807</v>
      </c>
      <c r="J24" s="286">
        <v>6500</v>
      </c>
      <c r="K24" s="286"/>
      <c r="L24" s="16">
        <v>1</v>
      </c>
      <c r="M24" s="1">
        <v>1</v>
      </c>
    </row>
    <row r="25" spans="1:13" s="16" customFormat="1" x14ac:dyDescent="0.25">
      <c r="A25" s="285" t="s">
        <v>173</v>
      </c>
      <c r="B25" s="29" t="s">
        <v>17</v>
      </c>
      <c r="C25" s="29" t="s">
        <v>1990</v>
      </c>
      <c r="D25" s="29" t="s">
        <v>1851</v>
      </c>
      <c r="E25" s="29">
        <v>5</v>
      </c>
      <c r="F25" s="442">
        <f>'day3'!B2</f>
        <v>20180328</v>
      </c>
      <c r="G25" s="286">
        <v>2</v>
      </c>
      <c r="H25" s="286">
        <v>1</v>
      </c>
      <c r="I25" s="287" t="str">
        <f>C22</f>
        <v>PTA807</v>
      </c>
      <c r="J25" s="286">
        <v>6200</v>
      </c>
      <c r="K25" s="286"/>
      <c r="L25" s="16">
        <v>1</v>
      </c>
      <c r="M25" s="1">
        <v>1</v>
      </c>
    </row>
    <row r="26" spans="1:13" s="16" customFormat="1" x14ac:dyDescent="0.25">
      <c r="A26" s="285" t="s">
        <v>173</v>
      </c>
      <c r="B26" s="29" t="s">
        <v>17</v>
      </c>
      <c r="C26" s="29" t="s">
        <v>1991</v>
      </c>
      <c r="D26" s="29" t="s">
        <v>1852</v>
      </c>
      <c r="E26" s="29">
        <v>5</v>
      </c>
      <c r="F26" s="442">
        <f>'day3'!B2</f>
        <v>20180328</v>
      </c>
      <c r="G26" s="286">
        <v>2</v>
      </c>
      <c r="H26" s="286">
        <v>1</v>
      </c>
      <c r="I26" s="287" t="str">
        <f>C22</f>
        <v>PTA807</v>
      </c>
      <c r="J26" s="286">
        <v>6500</v>
      </c>
      <c r="K26" s="286"/>
      <c r="L26" s="16">
        <v>1</v>
      </c>
      <c r="M26" s="1">
        <v>1</v>
      </c>
    </row>
    <row r="27" spans="1:13" x14ac:dyDescent="0.25">
      <c r="A27" s="49" t="s">
        <v>173</v>
      </c>
      <c r="B27" s="8" t="s">
        <v>17</v>
      </c>
      <c r="C27" s="8" t="s">
        <v>1992</v>
      </c>
      <c r="D27" s="8" t="s">
        <v>1998</v>
      </c>
      <c r="E27" s="8">
        <v>10</v>
      </c>
      <c r="F27" s="441">
        <f>'day2'!B2</f>
        <v>20180327</v>
      </c>
      <c r="G27" s="15">
        <v>2</v>
      </c>
      <c r="H27" s="15">
        <v>0</v>
      </c>
      <c r="I27" s="25" t="str">
        <f>C19</f>
        <v>SR807</v>
      </c>
      <c r="J27" s="15">
        <v>6500</v>
      </c>
      <c r="K27" s="15">
        <v>0</v>
      </c>
      <c r="L27" s="1">
        <v>1</v>
      </c>
      <c r="M27" s="1">
        <v>1</v>
      </c>
    </row>
    <row r="28" spans="1:13" x14ac:dyDescent="0.25">
      <c r="A28" s="49" t="s">
        <v>173</v>
      </c>
      <c r="B28" s="8" t="s">
        <v>17</v>
      </c>
      <c r="C28" s="8" t="s">
        <v>1993</v>
      </c>
      <c r="D28" s="8" t="s">
        <v>51</v>
      </c>
      <c r="E28" s="8">
        <v>10</v>
      </c>
      <c r="F28" s="441">
        <f>'day2'!B2</f>
        <v>20180327</v>
      </c>
      <c r="G28" s="15">
        <v>2</v>
      </c>
      <c r="H28" s="15">
        <v>1</v>
      </c>
      <c r="I28" s="25" t="str">
        <f>C19</f>
        <v>SR807</v>
      </c>
      <c r="J28" s="15">
        <v>6500</v>
      </c>
      <c r="K28" s="15">
        <v>0</v>
      </c>
      <c r="L28" s="1">
        <v>1</v>
      </c>
      <c r="M28" s="1">
        <v>1</v>
      </c>
    </row>
    <row r="29" spans="1:13" s="21" customFormat="1" x14ac:dyDescent="0.25">
      <c r="A29" s="315" t="s">
        <v>173</v>
      </c>
      <c r="B29" s="12" t="s">
        <v>17</v>
      </c>
      <c r="C29" s="12" t="s">
        <v>1994</v>
      </c>
      <c r="D29" s="12" t="s">
        <v>51</v>
      </c>
      <c r="E29" s="12">
        <v>10</v>
      </c>
      <c r="F29" s="457">
        <f>'day2'!B2</f>
        <v>20180327</v>
      </c>
      <c r="G29" s="27">
        <v>2</v>
      </c>
      <c r="H29" s="27">
        <v>1</v>
      </c>
      <c r="I29" s="24" t="str">
        <f>C19</f>
        <v>SR807</v>
      </c>
      <c r="J29" s="27">
        <v>6400</v>
      </c>
      <c r="K29" s="27">
        <v>0</v>
      </c>
      <c r="L29" s="21">
        <v>1</v>
      </c>
      <c r="M29" s="21">
        <v>1</v>
      </c>
    </row>
    <row r="30" spans="1:13" s="456" customFormat="1" x14ac:dyDescent="0.25">
      <c r="A30" s="452" t="s">
        <v>173</v>
      </c>
      <c r="B30" s="300" t="s">
        <v>17</v>
      </c>
      <c r="C30" s="300" t="s">
        <v>2004</v>
      </c>
      <c r="D30" s="300" t="s">
        <v>1999</v>
      </c>
      <c r="E30" s="300">
        <v>10</v>
      </c>
      <c r="F30" s="453">
        <f>'day2'!B2+5</f>
        <v>20180332</v>
      </c>
      <c r="G30" s="454">
        <v>2</v>
      </c>
      <c r="H30" s="454">
        <v>0</v>
      </c>
      <c r="I30" s="455" t="str">
        <f>C20</f>
        <v>SR809</v>
      </c>
      <c r="J30" s="454">
        <v>6600</v>
      </c>
      <c r="K30" s="454">
        <v>0</v>
      </c>
      <c r="L30" s="456">
        <v>1</v>
      </c>
      <c r="M30" s="456">
        <v>1</v>
      </c>
    </row>
    <row r="31" spans="1:13" x14ac:dyDescent="0.25">
      <c r="A31" s="49" t="s">
        <v>173</v>
      </c>
      <c r="B31" s="8" t="s">
        <v>17</v>
      </c>
      <c r="C31" s="8" t="s">
        <v>1995</v>
      </c>
      <c r="D31" s="8" t="s">
        <v>284</v>
      </c>
      <c r="E31" s="8">
        <v>10</v>
      </c>
      <c r="F31" s="441">
        <f>'day2'!B2</f>
        <v>20180327</v>
      </c>
      <c r="G31" s="15"/>
      <c r="H31" s="15">
        <v>0</v>
      </c>
      <c r="I31" s="121" t="s">
        <v>525</v>
      </c>
      <c r="J31" s="15">
        <v>6500</v>
      </c>
      <c r="K31" s="15">
        <v>0</v>
      </c>
      <c r="L31" s="1">
        <v>1</v>
      </c>
      <c r="M31" s="1">
        <v>1</v>
      </c>
    </row>
    <row r="32" spans="1:13" x14ac:dyDescent="0.15">
      <c r="A32" s="49" t="s">
        <v>173</v>
      </c>
      <c r="B32" s="7" t="s">
        <v>515</v>
      </c>
      <c r="C32" s="7" t="s">
        <v>516</v>
      </c>
      <c r="D32" s="7" t="s">
        <v>517</v>
      </c>
      <c r="E32" s="7" t="s">
        <v>523</v>
      </c>
      <c r="F32" s="136" t="s">
        <v>518</v>
      </c>
      <c r="G32" s="136" t="s">
        <v>519</v>
      </c>
      <c r="H32" s="136" t="s">
        <v>520</v>
      </c>
      <c r="I32" s="65" t="s">
        <v>521</v>
      </c>
      <c r="J32" s="128" t="s">
        <v>1025</v>
      </c>
      <c r="K32" s="135"/>
      <c r="L32" s="135"/>
    </row>
    <row r="33" spans="1:12" x14ac:dyDescent="0.25">
      <c r="A33" s="49" t="s">
        <v>173</v>
      </c>
      <c r="B33" s="8" t="s">
        <v>17</v>
      </c>
      <c r="C33" s="2" t="s">
        <v>499</v>
      </c>
      <c r="D33" s="2" t="s">
        <v>504</v>
      </c>
      <c r="E33" s="137">
        <v>0</v>
      </c>
      <c r="F33" s="22" t="str">
        <f>$C$19</f>
        <v>SR807</v>
      </c>
      <c r="G33" s="166">
        <f>E33</f>
        <v>0</v>
      </c>
      <c r="H33" s="38" t="str">
        <f>C20</f>
        <v>SR809</v>
      </c>
      <c r="I33" s="135">
        <v>1</v>
      </c>
      <c r="J33" s="2" t="s">
        <v>522</v>
      </c>
      <c r="K33" s="135"/>
      <c r="L33" s="135"/>
    </row>
    <row r="34" spans="1:12" x14ac:dyDescent="0.25">
      <c r="A34" s="49" t="s">
        <v>173</v>
      </c>
      <c r="B34" s="8" t="s">
        <v>17</v>
      </c>
      <c r="C34" s="2" t="s">
        <v>499</v>
      </c>
      <c r="D34" s="2" t="s">
        <v>504</v>
      </c>
      <c r="E34" s="137">
        <v>1</v>
      </c>
      <c r="F34" s="22" t="str">
        <f t="shared" ref="F34:F38" si="2">$C$19</f>
        <v>SR807</v>
      </c>
      <c r="G34" s="166">
        <f t="shared" ref="G34:G45" si="3">E34</f>
        <v>1</v>
      </c>
      <c r="H34" s="38" t="str">
        <f>H33</f>
        <v>SR809</v>
      </c>
      <c r="I34" s="135">
        <v>0</v>
      </c>
      <c r="J34" s="2" t="s">
        <v>512</v>
      </c>
      <c r="K34" s="135"/>
      <c r="L34" s="135"/>
    </row>
    <row r="35" spans="1:12" x14ac:dyDescent="0.25">
      <c r="A35" s="49" t="s">
        <v>173</v>
      </c>
      <c r="B35" s="8" t="s">
        <v>17</v>
      </c>
      <c r="C35" s="2" t="s">
        <v>500</v>
      </c>
      <c r="D35" s="2" t="s">
        <v>505</v>
      </c>
      <c r="E35" s="137">
        <v>1</v>
      </c>
      <c r="F35" s="22" t="str">
        <f t="shared" si="2"/>
        <v>SR807</v>
      </c>
      <c r="G35" s="166">
        <f t="shared" si="3"/>
        <v>1</v>
      </c>
      <c r="H35" s="38" t="str">
        <f>C21</f>
        <v>OI811</v>
      </c>
      <c r="I35" s="135">
        <v>1</v>
      </c>
      <c r="J35" s="2" t="s">
        <v>512</v>
      </c>
      <c r="K35" s="135"/>
      <c r="L35" s="135"/>
    </row>
    <row r="36" spans="1:12" x14ac:dyDescent="0.25">
      <c r="A36" s="49" t="s">
        <v>173</v>
      </c>
      <c r="B36" s="8" t="s">
        <v>17</v>
      </c>
      <c r="C36" s="2" t="s">
        <v>500</v>
      </c>
      <c r="D36" s="2" t="s">
        <v>505</v>
      </c>
      <c r="E36" s="137">
        <v>1</v>
      </c>
      <c r="F36" s="22" t="str">
        <f t="shared" si="2"/>
        <v>SR807</v>
      </c>
      <c r="G36" s="166">
        <f t="shared" si="3"/>
        <v>1</v>
      </c>
      <c r="H36" s="38" t="str">
        <f>H35</f>
        <v>OI811</v>
      </c>
      <c r="I36" s="135">
        <v>0</v>
      </c>
      <c r="J36" s="2" t="s">
        <v>512</v>
      </c>
      <c r="K36" s="135"/>
      <c r="L36" s="135"/>
    </row>
    <row r="37" spans="1:12" x14ac:dyDescent="0.25">
      <c r="A37" s="49" t="s">
        <v>173</v>
      </c>
      <c r="B37" s="8" t="s">
        <v>17</v>
      </c>
      <c r="C37" s="2" t="s">
        <v>514</v>
      </c>
      <c r="D37" s="2" t="s">
        <v>2000</v>
      </c>
      <c r="E37" s="137">
        <v>0</v>
      </c>
      <c r="F37" s="22" t="str">
        <f t="shared" si="2"/>
        <v>SR807</v>
      </c>
      <c r="G37" s="166">
        <f t="shared" si="3"/>
        <v>0</v>
      </c>
      <c r="H37" s="38" t="str">
        <f>C27</f>
        <v>SR807C6500</v>
      </c>
      <c r="I37" s="135">
        <v>1</v>
      </c>
      <c r="J37" s="2" t="s">
        <v>2002</v>
      </c>
      <c r="K37" s="135"/>
      <c r="L37" s="135"/>
    </row>
    <row r="38" spans="1:12" x14ac:dyDescent="0.25">
      <c r="A38" s="49" t="s">
        <v>173</v>
      </c>
      <c r="B38" s="8" t="s">
        <v>17</v>
      </c>
      <c r="C38" s="2" t="s">
        <v>501</v>
      </c>
      <c r="D38" s="2" t="s">
        <v>506</v>
      </c>
      <c r="E38" s="137">
        <v>1</v>
      </c>
      <c r="F38" s="22" t="str">
        <f t="shared" si="2"/>
        <v>SR807</v>
      </c>
      <c r="G38" s="166">
        <f t="shared" si="3"/>
        <v>1</v>
      </c>
      <c r="H38" s="38" t="str">
        <f>C28</f>
        <v>SR807P6500</v>
      </c>
      <c r="I38" s="135">
        <v>1</v>
      </c>
      <c r="J38" s="2" t="s">
        <v>511</v>
      </c>
      <c r="K38" s="135"/>
      <c r="L38" s="135"/>
    </row>
    <row r="39" spans="1:12" x14ac:dyDescent="0.25">
      <c r="A39" s="49" t="s">
        <v>173</v>
      </c>
      <c r="B39" s="8" t="s">
        <v>17</v>
      </c>
      <c r="C39" s="2" t="s">
        <v>1545</v>
      </c>
      <c r="D39" s="2" t="s">
        <v>68</v>
      </c>
      <c r="E39" s="137">
        <v>0</v>
      </c>
      <c r="F39" s="22" t="str">
        <f>C22</f>
        <v>PTA807</v>
      </c>
      <c r="G39" s="166">
        <f t="shared" si="3"/>
        <v>0</v>
      </c>
      <c r="H39" s="38" t="str">
        <f>C25</f>
        <v>PTA807P6200</v>
      </c>
      <c r="I39" s="135">
        <v>1</v>
      </c>
      <c r="J39" s="2" t="s">
        <v>511</v>
      </c>
      <c r="K39" s="135"/>
      <c r="L39" s="135"/>
    </row>
    <row r="40" spans="1:12" x14ac:dyDescent="0.25">
      <c r="A40" s="49" t="s">
        <v>173</v>
      </c>
      <c r="B40" s="8" t="s">
        <v>17</v>
      </c>
      <c r="C40" s="2" t="s">
        <v>1546</v>
      </c>
      <c r="D40" s="2" t="s">
        <v>70</v>
      </c>
      <c r="E40" s="137">
        <v>1</v>
      </c>
      <c r="F40" s="22" t="str">
        <f>F39</f>
        <v>PTA807</v>
      </c>
      <c r="G40" s="166">
        <f t="shared" si="3"/>
        <v>1</v>
      </c>
      <c r="H40" s="38" t="str">
        <f>H39</f>
        <v>PTA807P6200</v>
      </c>
      <c r="I40" s="135">
        <v>1</v>
      </c>
      <c r="J40" s="2" t="s">
        <v>511</v>
      </c>
      <c r="K40" s="135"/>
      <c r="L40" s="135"/>
    </row>
    <row r="41" spans="1:12" s="456" customFormat="1" x14ac:dyDescent="0.25">
      <c r="A41" s="452" t="s">
        <v>173</v>
      </c>
      <c r="B41" s="300" t="s">
        <v>17</v>
      </c>
      <c r="C41" s="449" t="s">
        <v>2005</v>
      </c>
      <c r="D41" s="449" t="s">
        <v>2001</v>
      </c>
      <c r="E41" s="458">
        <v>0</v>
      </c>
      <c r="F41" s="459" t="str">
        <f>C20</f>
        <v>SR809</v>
      </c>
      <c r="G41" s="460">
        <f t="shared" si="3"/>
        <v>0</v>
      </c>
      <c r="H41" s="461" t="str">
        <f>C30</f>
        <v>SR809C6600</v>
      </c>
      <c r="I41" s="462">
        <v>1</v>
      </c>
      <c r="J41" s="449" t="s">
        <v>2003</v>
      </c>
      <c r="K41" s="462"/>
      <c r="L41" s="462"/>
    </row>
    <row r="42" spans="1:12" x14ac:dyDescent="0.25">
      <c r="A42" s="49" t="s">
        <v>173</v>
      </c>
      <c r="B42" s="8" t="s">
        <v>17</v>
      </c>
      <c r="C42" s="2" t="s">
        <v>1552</v>
      </c>
      <c r="D42" s="2" t="s">
        <v>507</v>
      </c>
      <c r="E42" s="137">
        <v>0</v>
      </c>
      <c r="F42" s="22" t="str">
        <f>C25</f>
        <v>PTA807P6200</v>
      </c>
      <c r="G42" s="166">
        <f t="shared" si="3"/>
        <v>0</v>
      </c>
      <c r="H42" s="38" t="str">
        <f>C26</f>
        <v>PTA807P6500</v>
      </c>
      <c r="I42" s="135">
        <v>0</v>
      </c>
      <c r="J42" s="2" t="s">
        <v>509</v>
      </c>
      <c r="K42" s="135"/>
      <c r="L42" s="135"/>
    </row>
    <row r="43" spans="1:12" x14ac:dyDescent="0.25">
      <c r="A43" s="49" t="s">
        <v>173</v>
      </c>
      <c r="B43" s="8" t="s">
        <v>17</v>
      </c>
      <c r="C43" s="2" t="s">
        <v>1553</v>
      </c>
      <c r="D43" s="2" t="s">
        <v>507</v>
      </c>
      <c r="E43" s="137">
        <v>1</v>
      </c>
      <c r="F43" s="22" t="str">
        <f>F42</f>
        <v>PTA807P6200</v>
      </c>
      <c r="G43" s="166">
        <f t="shared" si="3"/>
        <v>1</v>
      </c>
      <c r="H43" s="38" t="str">
        <f>H42</f>
        <v>PTA807P6500</v>
      </c>
      <c r="I43" s="135">
        <v>1</v>
      </c>
      <c r="J43" s="2" t="s">
        <v>509</v>
      </c>
      <c r="K43" s="135"/>
      <c r="L43" s="135"/>
    </row>
    <row r="44" spans="1:12" x14ac:dyDescent="0.25">
      <c r="A44" s="49" t="s">
        <v>173</v>
      </c>
      <c r="B44" s="8" t="s">
        <v>17</v>
      </c>
      <c r="C44" s="2" t="s">
        <v>1554</v>
      </c>
      <c r="D44" s="2" t="s">
        <v>508</v>
      </c>
      <c r="E44" s="137">
        <v>0</v>
      </c>
      <c r="F44" s="22" t="str">
        <f>F42</f>
        <v>PTA807P6200</v>
      </c>
      <c r="G44" s="166">
        <f t="shared" si="3"/>
        <v>0</v>
      </c>
      <c r="H44" s="38" t="str">
        <f>C24</f>
        <v>PTA807C6500</v>
      </c>
      <c r="I44" s="135">
        <v>0</v>
      </c>
      <c r="J44" s="2" t="s">
        <v>510</v>
      </c>
      <c r="K44" s="135"/>
      <c r="L44" s="135"/>
    </row>
    <row r="45" spans="1:12" x14ac:dyDescent="0.25">
      <c r="A45" s="49" t="s">
        <v>173</v>
      </c>
      <c r="B45" s="8" t="s">
        <v>17</v>
      </c>
      <c r="C45" s="2" t="s">
        <v>1554</v>
      </c>
      <c r="D45" s="2" t="s">
        <v>508</v>
      </c>
      <c r="E45" s="137">
        <v>1</v>
      </c>
      <c r="F45" s="22" t="str">
        <f>F42</f>
        <v>PTA807P6200</v>
      </c>
      <c r="G45" s="166">
        <f t="shared" si="3"/>
        <v>1</v>
      </c>
      <c r="H45" s="38" t="str">
        <f>H44</f>
        <v>PTA807C6500</v>
      </c>
      <c r="I45" s="135">
        <v>1</v>
      </c>
      <c r="J45" s="2" t="s">
        <v>510</v>
      </c>
      <c r="K45" s="135"/>
      <c r="L45" s="135"/>
    </row>
    <row r="46" spans="1:12" x14ac:dyDescent="0.25">
      <c r="A46" s="49" t="s">
        <v>173</v>
      </c>
      <c r="B46" s="8" t="s">
        <v>17</v>
      </c>
      <c r="C46" s="2" t="s">
        <v>502</v>
      </c>
      <c r="D46" s="2" t="s">
        <v>507</v>
      </c>
      <c r="E46" s="137">
        <v>0</v>
      </c>
      <c r="F46" s="22" t="str">
        <f>C27</f>
        <v>SR807C6500</v>
      </c>
      <c r="G46" s="166">
        <v>0</v>
      </c>
      <c r="H46" s="38" t="str">
        <f>C28</f>
        <v>SR807P6500</v>
      </c>
      <c r="I46" s="135">
        <v>0</v>
      </c>
      <c r="J46" s="2" t="s">
        <v>509</v>
      </c>
      <c r="K46" s="135"/>
      <c r="L46" s="135"/>
    </row>
    <row r="47" spans="1:12" x14ac:dyDescent="0.25">
      <c r="A47" s="49" t="s">
        <v>173</v>
      </c>
      <c r="B47" s="8" t="s">
        <v>17</v>
      </c>
      <c r="C47" s="2" t="str">
        <f>C46</f>
        <v>SR807C6500&amp;SR807P6500</v>
      </c>
      <c r="D47" s="2" t="s">
        <v>507</v>
      </c>
      <c r="E47" s="137">
        <v>1</v>
      </c>
      <c r="F47" s="22" t="str">
        <f>F46</f>
        <v>SR807C6500</v>
      </c>
      <c r="G47" s="166">
        <v>1</v>
      </c>
      <c r="H47" s="38" t="str">
        <f>C28</f>
        <v>SR807P6500</v>
      </c>
      <c r="I47" s="135">
        <v>1</v>
      </c>
      <c r="J47" s="2" t="s">
        <v>509</v>
      </c>
      <c r="K47" s="135"/>
      <c r="L47" s="135"/>
    </row>
    <row r="48" spans="1:12" x14ac:dyDescent="0.25">
      <c r="A48" s="49" t="s">
        <v>173</v>
      </c>
      <c r="B48" s="8" t="s">
        <v>17</v>
      </c>
      <c r="C48" s="2" t="str">
        <f>C49</f>
        <v>SR807C6500&amp;SR807P6400</v>
      </c>
      <c r="D48" s="2" t="s">
        <v>508</v>
      </c>
      <c r="E48" s="137">
        <v>0</v>
      </c>
      <c r="F48" s="22" t="str">
        <f>F46</f>
        <v>SR807C6500</v>
      </c>
      <c r="G48" s="166">
        <v>0</v>
      </c>
      <c r="H48" s="38" t="str">
        <f>C29</f>
        <v>SR807P6400</v>
      </c>
      <c r="I48" s="135">
        <v>0</v>
      </c>
      <c r="J48" s="2" t="s">
        <v>510</v>
      </c>
      <c r="K48" s="135"/>
      <c r="L48" s="135"/>
    </row>
    <row r="49" spans="1:13" x14ac:dyDescent="0.25">
      <c r="A49" s="49" t="s">
        <v>173</v>
      </c>
      <c r="B49" s="8" t="s">
        <v>17</v>
      </c>
      <c r="C49" s="2" t="s">
        <v>503</v>
      </c>
      <c r="D49" s="2" t="s">
        <v>508</v>
      </c>
      <c r="E49" s="137">
        <v>1</v>
      </c>
      <c r="F49" s="22" t="str">
        <f>F46</f>
        <v>SR807C6500</v>
      </c>
      <c r="G49" s="166">
        <v>1</v>
      </c>
      <c r="H49" s="38" t="str">
        <f>C29</f>
        <v>SR807P6400</v>
      </c>
      <c r="I49" s="135">
        <v>1</v>
      </c>
      <c r="J49" s="2" t="s">
        <v>510</v>
      </c>
      <c r="K49" s="135"/>
      <c r="L49" s="135"/>
    </row>
    <row r="50" spans="1:13" x14ac:dyDescent="0.25">
      <c r="A50" s="49" t="s">
        <v>173</v>
      </c>
      <c r="B50" s="8" t="s">
        <v>17</v>
      </c>
      <c r="C50" s="2" t="s">
        <v>1377</v>
      </c>
      <c r="D50" s="2" t="s">
        <v>504</v>
      </c>
      <c r="E50" s="137">
        <v>0</v>
      </c>
      <c r="F50" s="22" t="str">
        <f>C22</f>
        <v>PTA807</v>
      </c>
      <c r="G50" s="166">
        <v>0</v>
      </c>
      <c r="H50" s="38" t="str">
        <f>C23</f>
        <v>PTA809</v>
      </c>
      <c r="I50" s="135">
        <v>1</v>
      </c>
      <c r="J50" s="2" t="s">
        <v>512</v>
      </c>
      <c r="K50" s="135"/>
      <c r="L50" s="135"/>
    </row>
    <row r="51" spans="1:13" x14ac:dyDescent="0.25">
      <c r="A51" s="49" t="s">
        <v>173</v>
      </c>
      <c r="B51" s="8" t="s">
        <v>17</v>
      </c>
      <c r="C51" s="2" t="s">
        <v>1378</v>
      </c>
      <c r="D51" s="2" t="s">
        <v>504</v>
      </c>
      <c r="E51" s="137">
        <v>1</v>
      </c>
      <c r="F51" s="22" t="str">
        <f>F50</f>
        <v>PTA807</v>
      </c>
      <c r="G51" s="166">
        <v>1</v>
      </c>
      <c r="H51" s="38" t="str">
        <f>H50</f>
        <v>PTA809</v>
      </c>
      <c r="I51" s="135">
        <v>0</v>
      </c>
      <c r="J51" s="2" t="s">
        <v>512</v>
      </c>
      <c r="K51" s="135"/>
      <c r="L51" s="135"/>
    </row>
    <row r="52" spans="1:13" ht="14.4" x14ac:dyDescent="0.25">
      <c r="A52" s="49" t="s">
        <v>173</v>
      </c>
      <c r="B52" s="81" t="s">
        <v>211</v>
      </c>
      <c r="C52" s="16"/>
      <c r="D52" s="57"/>
      <c r="F52" s="49" t="s">
        <v>201</v>
      </c>
    </row>
    <row r="53" spans="1:13" x14ac:dyDescent="0.15">
      <c r="A53" s="49" t="s">
        <v>173</v>
      </c>
      <c r="B53" s="65" t="s">
        <v>198</v>
      </c>
      <c r="C53" s="65" t="s">
        <v>57</v>
      </c>
      <c r="D53" s="65" t="s">
        <v>202</v>
      </c>
      <c r="E53" s="65" t="s">
        <v>203</v>
      </c>
      <c r="F53" s="65" t="s">
        <v>533</v>
      </c>
      <c r="G53" s="65" t="s">
        <v>205</v>
      </c>
      <c r="H53" s="65" t="s">
        <v>206</v>
      </c>
      <c r="I53" s="66" t="s">
        <v>207</v>
      </c>
      <c r="J53" s="65" t="s">
        <v>208</v>
      </c>
      <c r="K53" s="65" t="s">
        <v>209</v>
      </c>
      <c r="L53" s="67" t="s">
        <v>210</v>
      </c>
      <c r="M53" s="65"/>
    </row>
    <row r="54" spans="1:13" x14ac:dyDescent="0.15">
      <c r="A54" s="49" t="s">
        <v>173</v>
      </c>
      <c r="B54" s="12" t="str">
        <f>$B$19</f>
        <v>CZCE</v>
      </c>
      <c r="C54" s="70" t="str">
        <f>$C$19</f>
        <v>SR807</v>
      </c>
      <c r="D54" s="71">
        <v>1</v>
      </c>
      <c r="E54" s="71">
        <v>0</v>
      </c>
      <c r="F54" s="71" t="str">
        <f>C54&amp;D54&amp;E54</f>
        <v>SR80710</v>
      </c>
      <c r="G54" s="71">
        <v>0.04</v>
      </c>
      <c r="H54" s="71">
        <v>4</v>
      </c>
      <c r="I54" s="71">
        <v>0.05</v>
      </c>
      <c r="J54" s="71">
        <v>5</v>
      </c>
      <c r="K54" s="71">
        <v>0.01</v>
      </c>
      <c r="L54" s="71">
        <v>1</v>
      </c>
      <c r="M54" s="68"/>
    </row>
    <row r="55" spans="1:13" x14ac:dyDescent="0.15">
      <c r="A55" s="49" t="s">
        <v>173</v>
      </c>
      <c r="B55" s="12" t="str">
        <f t="shared" ref="B55:B73" si="4">$B$19</f>
        <v>CZCE</v>
      </c>
      <c r="C55" s="70" t="str">
        <f t="shared" ref="C55:C57" si="5">$C$19</f>
        <v>SR807</v>
      </c>
      <c r="D55" s="71">
        <v>1</v>
      </c>
      <c r="E55" s="71">
        <v>1</v>
      </c>
      <c r="F55" s="71" t="str">
        <f t="shared" ref="F55:F73" si="6">C55&amp;D55&amp;E55</f>
        <v>SR80711</v>
      </c>
      <c r="G55" s="71">
        <v>4.1000000000000002E-2</v>
      </c>
      <c r="H55" s="71">
        <v>4.0999999999999996</v>
      </c>
      <c r="I55" s="71">
        <v>5.0999999999999997E-2</v>
      </c>
      <c r="J55" s="71">
        <v>5.0999999999999996</v>
      </c>
      <c r="K55" s="71">
        <v>1.0999999999999999E-2</v>
      </c>
      <c r="L55" s="71">
        <v>1.1100000000000001</v>
      </c>
      <c r="M55" s="68"/>
    </row>
    <row r="56" spans="1:13" x14ac:dyDescent="0.15">
      <c r="A56" s="49" t="s">
        <v>173</v>
      </c>
      <c r="B56" s="12" t="str">
        <f t="shared" si="4"/>
        <v>CZCE</v>
      </c>
      <c r="C56" s="70" t="str">
        <f t="shared" si="5"/>
        <v>SR807</v>
      </c>
      <c r="D56" s="71">
        <v>3</v>
      </c>
      <c r="E56" s="71">
        <v>0</v>
      </c>
      <c r="F56" s="71" t="str">
        <f t="shared" si="6"/>
        <v>SR80730</v>
      </c>
      <c r="G56" s="71">
        <v>4.2000000000000003E-2</v>
      </c>
      <c r="H56" s="71">
        <v>4.2</v>
      </c>
      <c r="I56" s="71">
        <v>5.1999999999999998E-2</v>
      </c>
      <c r="J56" s="71">
        <v>5.2</v>
      </c>
      <c r="K56" s="71">
        <v>1.2E-2</v>
      </c>
      <c r="L56" s="71">
        <v>1.1200000000000001</v>
      </c>
      <c r="M56" s="68"/>
    </row>
    <row r="57" spans="1:13" x14ac:dyDescent="0.15">
      <c r="A57" s="49" t="s">
        <v>173</v>
      </c>
      <c r="B57" s="12" t="str">
        <f t="shared" si="4"/>
        <v>CZCE</v>
      </c>
      <c r="C57" s="70" t="str">
        <f t="shared" si="5"/>
        <v>SR807</v>
      </c>
      <c r="D57" s="71">
        <v>3</v>
      </c>
      <c r="E57" s="71">
        <v>1</v>
      </c>
      <c r="F57" s="71" t="str">
        <f t="shared" si="6"/>
        <v>SR80731</v>
      </c>
      <c r="G57" s="71">
        <v>4.2999999999999997E-2</v>
      </c>
      <c r="H57" s="71">
        <v>4.3</v>
      </c>
      <c r="I57" s="71">
        <v>5.2999999999999999E-2</v>
      </c>
      <c r="J57" s="71">
        <v>5.3</v>
      </c>
      <c r="K57" s="71">
        <v>1.2999999999999999E-2</v>
      </c>
      <c r="L57" s="71">
        <v>1.1299999999999999</v>
      </c>
      <c r="M57" s="68"/>
    </row>
    <row r="58" spans="1:13" x14ac:dyDescent="0.15">
      <c r="A58" s="49" t="s">
        <v>173</v>
      </c>
      <c r="B58" s="12" t="str">
        <f t="shared" si="4"/>
        <v>CZCE</v>
      </c>
      <c r="C58" s="70" t="str">
        <f>$C$20</f>
        <v>SR809</v>
      </c>
      <c r="D58" s="71">
        <v>1</v>
      </c>
      <c r="E58" s="71">
        <v>0</v>
      </c>
      <c r="F58" s="71" t="str">
        <f t="shared" si="6"/>
        <v>SR80910</v>
      </c>
      <c r="G58" s="71">
        <v>0.04</v>
      </c>
      <c r="H58" s="71">
        <v>4</v>
      </c>
      <c r="I58" s="71">
        <v>0.05</v>
      </c>
      <c r="J58" s="71">
        <v>5</v>
      </c>
      <c r="K58" s="71">
        <v>0.01</v>
      </c>
      <c r="L58" s="71">
        <v>1</v>
      </c>
      <c r="M58" s="68"/>
    </row>
    <row r="59" spans="1:13" x14ac:dyDescent="0.15">
      <c r="A59" s="49" t="s">
        <v>173</v>
      </c>
      <c r="B59" s="12" t="str">
        <f t="shared" si="4"/>
        <v>CZCE</v>
      </c>
      <c r="C59" s="70" t="str">
        <f t="shared" ref="C59:C61" si="7">$C$20</f>
        <v>SR809</v>
      </c>
      <c r="D59" s="71">
        <v>1</v>
      </c>
      <c r="E59" s="71">
        <v>1</v>
      </c>
      <c r="F59" s="71" t="str">
        <f t="shared" si="6"/>
        <v>SR80911</v>
      </c>
      <c r="G59" s="71">
        <v>4.1000000000000002E-2</v>
      </c>
      <c r="H59" s="71">
        <v>4.0999999999999996</v>
      </c>
      <c r="I59" s="71">
        <v>5.0999999999999997E-2</v>
      </c>
      <c r="J59" s="71">
        <v>5.0999999999999996</v>
      </c>
      <c r="K59" s="71">
        <v>1.0999999999999999E-2</v>
      </c>
      <c r="L59" s="71">
        <v>1.1100000000000001</v>
      </c>
      <c r="M59" s="68"/>
    </row>
    <row r="60" spans="1:13" x14ac:dyDescent="0.15">
      <c r="A60" s="49" t="s">
        <v>173</v>
      </c>
      <c r="B60" s="12" t="str">
        <f t="shared" si="4"/>
        <v>CZCE</v>
      </c>
      <c r="C60" s="70" t="str">
        <f t="shared" si="7"/>
        <v>SR809</v>
      </c>
      <c r="D60" s="71">
        <v>3</v>
      </c>
      <c r="E60" s="71">
        <v>0</v>
      </c>
      <c r="F60" s="71" t="str">
        <f t="shared" si="6"/>
        <v>SR80930</v>
      </c>
      <c r="G60" s="71">
        <v>4.2000000000000003E-2</v>
      </c>
      <c r="H60" s="71">
        <v>4.2</v>
      </c>
      <c r="I60" s="71">
        <v>5.1999999999999998E-2</v>
      </c>
      <c r="J60" s="71">
        <v>5.2</v>
      </c>
      <c r="K60" s="71">
        <v>1.2E-2</v>
      </c>
      <c r="L60" s="71">
        <v>1.1200000000000001</v>
      </c>
      <c r="M60" s="68"/>
    </row>
    <row r="61" spans="1:13" x14ac:dyDescent="0.15">
      <c r="A61" s="49" t="s">
        <v>173</v>
      </c>
      <c r="B61" s="12" t="str">
        <f t="shared" si="4"/>
        <v>CZCE</v>
      </c>
      <c r="C61" s="70" t="str">
        <f t="shared" si="7"/>
        <v>SR809</v>
      </c>
      <c r="D61" s="71">
        <v>3</v>
      </c>
      <c r="E61" s="71">
        <v>1</v>
      </c>
      <c r="F61" s="71" t="str">
        <f t="shared" si="6"/>
        <v>SR80931</v>
      </c>
      <c r="G61" s="71">
        <v>4.2999999999999997E-2</v>
      </c>
      <c r="H61" s="71">
        <v>4.3</v>
      </c>
      <c r="I61" s="71">
        <v>5.2999999999999999E-2</v>
      </c>
      <c r="J61" s="71">
        <v>5.3</v>
      </c>
      <c r="K61" s="71">
        <v>1.2999999999999999E-2</v>
      </c>
      <c r="L61" s="71">
        <v>1.1299999999999999</v>
      </c>
      <c r="M61" s="68"/>
    </row>
    <row r="62" spans="1:13" x14ac:dyDescent="0.15">
      <c r="A62" s="49" t="s">
        <v>173</v>
      </c>
      <c r="B62" s="12" t="str">
        <f t="shared" si="4"/>
        <v>CZCE</v>
      </c>
      <c r="C62" s="70" t="str">
        <f>$C$21</f>
        <v>OI811</v>
      </c>
      <c r="D62" s="71">
        <v>1</v>
      </c>
      <c r="E62" s="71">
        <v>0</v>
      </c>
      <c r="F62" s="71" t="str">
        <f t="shared" si="6"/>
        <v>OI81110</v>
      </c>
      <c r="G62" s="71">
        <v>0.04</v>
      </c>
      <c r="H62" s="71">
        <v>4</v>
      </c>
      <c r="I62" s="71">
        <v>0.05</v>
      </c>
      <c r="J62" s="71">
        <v>5</v>
      </c>
      <c r="K62" s="71">
        <v>0.01</v>
      </c>
      <c r="L62" s="71">
        <v>1</v>
      </c>
      <c r="M62" s="74"/>
    </row>
    <row r="63" spans="1:13" x14ac:dyDescent="0.15">
      <c r="A63" s="49" t="s">
        <v>173</v>
      </c>
      <c r="B63" s="12" t="str">
        <f t="shared" si="4"/>
        <v>CZCE</v>
      </c>
      <c r="C63" s="70" t="str">
        <f t="shared" ref="C63:C65" si="8">$C$21</f>
        <v>OI811</v>
      </c>
      <c r="D63" s="71">
        <v>1</v>
      </c>
      <c r="E63" s="71">
        <v>1</v>
      </c>
      <c r="F63" s="71" t="str">
        <f t="shared" si="6"/>
        <v>OI81111</v>
      </c>
      <c r="G63" s="71">
        <v>4.1000000000000002E-2</v>
      </c>
      <c r="H63" s="71">
        <v>4.0999999999999996</v>
      </c>
      <c r="I63" s="71">
        <v>5.0999999999999997E-2</v>
      </c>
      <c r="J63" s="71">
        <v>5.0999999999999996</v>
      </c>
      <c r="K63" s="71">
        <v>1.0999999999999999E-2</v>
      </c>
      <c r="L63" s="71">
        <v>1.1100000000000001</v>
      </c>
      <c r="M63" s="74"/>
    </row>
    <row r="64" spans="1:13" x14ac:dyDescent="0.15">
      <c r="A64" s="49" t="s">
        <v>173</v>
      </c>
      <c r="B64" s="12" t="str">
        <f t="shared" si="4"/>
        <v>CZCE</v>
      </c>
      <c r="C64" s="70" t="str">
        <f t="shared" si="8"/>
        <v>OI811</v>
      </c>
      <c r="D64" s="73">
        <v>3</v>
      </c>
      <c r="E64" s="71">
        <v>0</v>
      </c>
      <c r="F64" s="71" t="str">
        <f t="shared" si="6"/>
        <v>OI81130</v>
      </c>
      <c r="G64" s="71">
        <v>4.2000000000000003E-2</v>
      </c>
      <c r="H64" s="71">
        <v>4.2</v>
      </c>
      <c r="I64" s="71">
        <v>5.1999999999999998E-2</v>
      </c>
      <c r="J64" s="71">
        <v>5.2</v>
      </c>
      <c r="K64" s="71">
        <v>1.2E-2</v>
      </c>
      <c r="L64" s="71">
        <v>1.1200000000000001</v>
      </c>
      <c r="M64" s="74"/>
    </row>
    <row r="65" spans="1:13" x14ac:dyDescent="0.15">
      <c r="A65" s="49" t="s">
        <v>173</v>
      </c>
      <c r="B65" s="12" t="str">
        <f t="shared" si="4"/>
        <v>CZCE</v>
      </c>
      <c r="C65" s="70" t="str">
        <f t="shared" si="8"/>
        <v>OI811</v>
      </c>
      <c r="D65" s="73">
        <v>3</v>
      </c>
      <c r="E65" s="71">
        <v>1</v>
      </c>
      <c r="F65" s="71" t="str">
        <f t="shared" si="6"/>
        <v>OI81131</v>
      </c>
      <c r="G65" s="71">
        <v>4.2999999999999997E-2</v>
      </c>
      <c r="H65" s="71">
        <v>4.3</v>
      </c>
      <c r="I65" s="71">
        <v>5.2999999999999999E-2</v>
      </c>
      <c r="J65" s="71">
        <v>5.3</v>
      </c>
      <c r="K65" s="71">
        <v>1.2999999999999999E-2</v>
      </c>
      <c r="L65" s="71">
        <v>1.1299999999999999</v>
      </c>
      <c r="M65" s="74"/>
    </row>
    <row r="66" spans="1:13" x14ac:dyDescent="0.15">
      <c r="A66" s="49" t="s">
        <v>173</v>
      </c>
      <c r="B66" s="12" t="str">
        <f t="shared" si="4"/>
        <v>CZCE</v>
      </c>
      <c r="C66" s="70" t="str">
        <f>$C$22</f>
        <v>PTA807</v>
      </c>
      <c r="D66" s="71">
        <v>1</v>
      </c>
      <c r="E66" s="71">
        <v>0</v>
      </c>
      <c r="F66" s="71" t="str">
        <f t="shared" si="6"/>
        <v>PTA80710</v>
      </c>
      <c r="G66" s="71">
        <v>0.04</v>
      </c>
      <c r="H66" s="71">
        <v>4</v>
      </c>
      <c r="I66" s="71">
        <v>0.05</v>
      </c>
      <c r="J66" s="71">
        <v>5</v>
      </c>
      <c r="K66" s="71">
        <v>0.01</v>
      </c>
      <c r="L66" s="71">
        <v>1</v>
      </c>
      <c r="M66" s="74"/>
    </row>
    <row r="67" spans="1:13" x14ac:dyDescent="0.15">
      <c r="A67" s="49" t="s">
        <v>173</v>
      </c>
      <c r="B67" s="12" t="str">
        <f t="shared" si="4"/>
        <v>CZCE</v>
      </c>
      <c r="C67" s="70" t="str">
        <f t="shared" ref="C67:C69" si="9">$C$22</f>
        <v>PTA807</v>
      </c>
      <c r="D67" s="73">
        <v>1</v>
      </c>
      <c r="E67" s="71">
        <v>1</v>
      </c>
      <c r="F67" s="71" t="str">
        <f t="shared" si="6"/>
        <v>PTA80711</v>
      </c>
      <c r="G67" s="71">
        <v>4.1000000000000002E-2</v>
      </c>
      <c r="H67" s="71">
        <v>4.0999999999999996</v>
      </c>
      <c r="I67" s="71">
        <v>5.0999999999999997E-2</v>
      </c>
      <c r="J67" s="71">
        <v>5.0999999999999996</v>
      </c>
      <c r="K67" s="71">
        <v>1.0999999999999999E-2</v>
      </c>
      <c r="L67" s="71">
        <v>1.1100000000000001</v>
      </c>
      <c r="M67" s="74"/>
    </row>
    <row r="68" spans="1:13" x14ac:dyDescent="0.15">
      <c r="A68" s="49" t="s">
        <v>173</v>
      </c>
      <c r="B68" s="12" t="str">
        <f t="shared" si="4"/>
        <v>CZCE</v>
      </c>
      <c r="C68" s="70" t="str">
        <f t="shared" si="9"/>
        <v>PTA807</v>
      </c>
      <c r="D68" s="73">
        <v>3</v>
      </c>
      <c r="E68" s="71">
        <v>0</v>
      </c>
      <c r="F68" s="71" t="str">
        <f t="shared" si="6"/>
        <v>PTA80730</v>
      </c>
      <c r="G68" s="71">
        <v>4.2000000000000003E-2</v>
      </c>
      <c r="H68" s="71">
        <v>4.2</v>
      </c>
      <c r="I68" s="71">
        <v>5.1999999999999998E-2</v>
      </c>
      <c r="J68" s="71">
        <v>5.2</v>
      </c>
      <c r="K68" s="71">
        <v>1.2E-2</v>
      </c>
      <c r="L68" s="71">
        <v>1.1200000000000001</v>
      </c>
      <c r="M68" s="74"/>
    </row>
    <row r="69" spans="1:13" x14ac:dyDescent="0.15">
      <c r="A69" s="49" t="s">
        <v>173</v>
      </c>
      <c r="B69" s="12" t="str">
        <f t="shared" si="4"/>
        <v>CZCE</v>
      </c>
      <c r="C69" s="70" t="str">
        <f t="shared" si="9"/>
        <v>PTA807</v>
      </c>
      <c r="D69" s="73">
        <v>3</v>
      </c>
      <c r="E69" s="71">
        <v>1</v>
      </c>
      <c r="F69" s="71" t="str">
        <f t="shared" si="6"/>
        <v>PTA80731</v>
      </c>
      <c r="G69" s="71">
        <v>4.2999999999999997E-2</v>
      </c>
      <c r="H69" s="71">
        <v>4.3</v>
      </c>
      <c r="I69" s="71">
        <v>5.2999999999999999E-2</v>
      </c>
      <c r="J69" s="71">
        <v>5.3</v>
      </c>
      <c r="K69" s="71">
        <v>1.2999999999999999E-2</v>
      </c>
      <c r="L69" s="71">
        <v>1.1299999999999999</v>
      </c>
      <c r="M69" s="74"/>
    </row>
    <row r="70" spans="1:13" x14ac:dyDescent="0.15">
      <c r="A70" s="49" t="s">
        <v>173</v>
      </c>
      <c r="B70" s="12" t="str">
        <f t="shared" si="4"/>
        <v>CZCE</v>
      </c>
      <c r="C70" s="70" t="str">
        <f>$C$23</f>
        <v>PTA809</v>
      </c>
      <c r="D70" s="71">
        <v>1</v>
      </c>
      <c r="E70" s="71">
        <v>0</v>
      </c>
      <c r="F70" s="71" t="str">
        <f t="shared" si="6"/>
        <v>PTA80910</v>
      </c>
      <c r="G70" s="71">
        <v>0.04</v>
      </c>
      <c r="H70" s="71">
        <v>4</v>
      </c>
      <c r="I70" s="71">
        <v>0.05</v>
      </c>
      <c r="J70" s="71">
        <v>5</v>
      </c>
      <c r="K70" s="71">
        <v>0.01</v>
      </c>
      <c r="L70" s="71">
        <v>1</v>
      </c>
      <c r="M70" s="74"/>
    </row>
    <row r="71" spans="1:13" x14ac:dyDescent="0.15">
      <c r="A71" s="49" t="s">
        <v>173</v>
      </c>
      <c r="B71" s="12" t="str">
        <f t="shared" si="4"/>
        <v>CZCE</v>
      </c>
      <c r="C71" s="70" t="str">
        <f t="shared" ref="C71:C73" si="10">$C$23</f>
        <v>PTA809</v>
      </c>
      <c r="D71" s="73">
        <v>1</v>
      </c>
      <c r="E71" s="71">
        <v>1</v>
      </c>
      <c r="F71" s="71" t="str">
        <f t="shared" si="6"/>
        <v>PTA80911</v>
      </c>
      <c r="G71" s="71">
        <v>4.1000000000000002E-2</v>
      </c>
      <c r="H71" s="71">
        <v>4.0999999999999996</v>
      </c>
      <c r="I71" s="71">
        <v>5.0999999999999997E-2</v>
      </c>
      <c r="J71" s="71">
        <v>5.0999999999999996</v>
      </c>
      <c r="K71" s="71">
        <v>1.0999999999999999E-2</v>
      </c>
      <c r="L71" s="71">
        <v>1.1100000000000001</v>
      </c>
      <c r="M71" s="74"/>
    </row>
    <row r="72" spans="1:13" x14ac:dyDescent="0.15">
      <c r="A72" s="49" t="s">
        <v>173</v>
      </c>
      <c r="B72" s="12" t="str">
        <f t="shared" si="4"/>
        <v>CZCE</v>
      </c>
      <c r="C72" s="70" t="str">
        <f t="shared" si="10"/>
        <v>PTA809</v>
      </c>
      <c r="D72" s="73">
        <v>3</v>
      </c>
      <c r="E72" s="71">
        <v>0</v>
      </c>
      <c r="F72" s="71" t="str">
        <f t="shared" si="6"/>
        <v>PTA80930</v>
      </c>
      <c r="G72" s="71">
        <v>4.2000000000000003E-2</v>
      </c>
      <c r="H72" s="71">
        <v>4.2</v>
      </c>
      <c r="I72" s="71">
        <v>5.1999999999999998E-2</v>
      </c>
      <c r="J72" s="71">
        <v>5.2</v>
      </c>
      <c r="K72" s="71">
        <v>1.2E-2</v>
      </c>
      <c r="L72" s="71">
        <v>1.1200000000000001</v>
      </c>
      <c r="M72" s="74"/>
    </row>
    <row r="73" spans="1:13" x14ac:dyDescent="0.15">
      <c r="A73" s="49" t="s">
        <v>173</v>
      </c>
      <c r="B73" s="12" t="str">
        <f t="shared" si="4"/>
        <v>CZCE</v>
      </c>
      <c r="C73" s="70" t="str">
        <f t="shared" si="10"/>
        <v>PTA809</v>
      </c>
      <c r="D73" s="73">
        <v>3</v>
      </c>
      <c r="E73" s="71">
        <v>1</v>
      </c>
      <c r="F73" s="71" t="str">
        <f t="shared" si="6"/>
        <v>PTA80931</v>
      </c>
      <c r="G73" s="71">
        <v>4.2999999999999997E-2</v>
      </c>
      <c r="H73" s="71">
        <v>4.3</v>
      </c>
      <c r="I73" s="71">
        <v>5.2999999999999999E-2</v>
      </c>
      <c r="J73" s="71">
        <v>5.3</v>
      </c>
      <c r="K73" s="71">
        <v>1.2999999999999999E-2</v>
      </c>
      <c r="L73" s="71">
        <v>1.1299999999999999</v>
      </c>
      <c r="M73" s="74"/>
    </row>
    <row r="74" spans="1:13" x14ac:dyDescent="0.15">
      <c r="A74" s="49" t="s">
        <v>957</v>
      </c>
      <c r="B74" s="76" t="s">
        <v>212</v>
      </c>
      <c r="C74" s="77"/>
      <c r="D74" s="77"/>
      <c r="E74" s="73"/>
      <c r="F74" s="73"/>
      <c r="G74" s="74"/>
      <c r="H74" s="75"/>
      <c r="I74" s="74"/>
      <c r="J74" s="74"/>
      <c r="K74" s="69"/>
      <c r="L74" s="74"/>
    </row>
    <row r="75" spans="1:13" x14ac:dyDescent="0.15">
      <c r="A75" s="49" t="s">
        <v>173</v>
      </c>
      <c r="B75" s="65" t="s">
        <v>285</v>
      </c>
      <c r="C75" s="65" t="s">
        <v>198</v>
      </c>
      <c r="D75" s="65" t="s">
        <v>57</v>
      </c>
      <c r="E75" s="65" t="s">
        <v>199</v>
      </c>
      <c r="F75" s="65" t="s">
        <v>204</v>
      </c>
      <c r="G75" s="65" t="s">
        <v>200</v>
      </c>
      <c r="H75" s="74" t="s">
        <v>215</v>
      </c>
      <c r="I75" s="74" t="s">
        <v>214</v>
      </c>
      <c r="J75" s="66" t="s">
        <v>205</v>
      </c>
      <c r="K75" s="65" t="s">
        <v>213</v>
      </c>
      <c r="L75" s="49" t="s">
        <v>1088</v>
      </c>
      <c r="M75" s="49" t="s">
        <v>1089</v>
      </c>
    </row>
    <row r="76" spans="1:13" x14ac:dyDescent="0.15">
      <c r="A76" s="49" t="s">
        <v>173</v>
      </c>
      <c r="B76" s="49" t="str">
        <f>$B$5</f>
        <v>6001</v>
      </c>
      <c r="C76" s="78" t="str">
        <f>$B$19</f>
        <v>CZCE</v>
      </c>
      <c r="D76" s="78" t="str">
        <f>$C$19</f>
        <v>SR807</v>
      </c>
      <c r="E76" s="82">
        <v>1</v>
      </c>
      <c r="F76" s="82">
        <v>0</v>
      </c>
      <c r="G76" s="78" t="str">
        <f>D76&amp;E76&amp;F76</f>
        <v>SR80710</v>
      </c>
      <c r="H76" s="90">
        <v>5.0000000000000001E-4</v>
      </c>
      <c r="I76" s="90">
        <v>5</v>
      </c>
      <c r="J76" s="91">
        <v>4.0000000000000002E-4</v>
      </c>
      <c r="K76" s="91">
        <v>4</v>
      </c>
      <c r="L76" s="1">
        <v>2.0000000000000001E-4</v>
      </c>
      <c r="M76" s="1">
        <v>2</v>
      </c>
    </row>
    <row r="77" spans="1:13" x14ac:dyDescent="0.15">
      <c r="A77" s="49" t="s">
        <v>173</v>
      </c>
      <c r="B77" s="49" t="str">
        <f t="shared" ref="B77:B115" si="11">$B$5</f>
        <v>6001</v>
      </c>
      <c r="C77" s="78" t="str">
        <f t="shared" ref="C77:C115" si="12">$B$19</f>
        <v>CZCE</v>
      </c>
      <c r="D77" s="78" t="str">
        <f t="shared" ref="D77:D79" si="13">$C$19</f>
        <v>SR807</v>
      </c>
      <c r="E77" s="82">
        <v>1</v>
      </c>
      <c r="F77" s="82">
        <v>1</v>
      </c>
      <c r="G77" s="78" t="str">
        <f t="shared" ref="G77:G115" si="14">D77&amp;E77&amp;F77</f>
        <v>SR80711</v>
      </c>
      <c r="H77" s="90">
        <v>4.0000000000000002E-4</v>
      </c>
      <c r="I77" s="90">
        <v>4</v>
      </c>
      <c r="J77" s="91">
        <v>2.9999999999999997E-4</v>
      </c>
      <c r="K77" s="91">
        <v>3</v>
      </c>
      <c r="L77" s="1">
        <v>2.0000000000000001E-4</v>
      </c>
      <c r="M77" s="1">
        <v>2</v>
      </c>
    </row>
    <row r="78" spans="1:13" x14ac:dyDescent="0.15">
      <c r="A78" s="49" t="s">
        <v>173</v>
      </c>
      <c r="B78" s="49" t="str">
        <f t="shared" si="11"/>
        <v>6001</v>
      </c>
      <c r="C78" s="78" t="str">
        <f t="shared" si="12"/>
        <v>CZCE</v>
      </c>
      <c r="D78" s="78" t="str">
        <f t="shared" si="13"/>
        <v>SR807</v>
      </c>
      <c r="E78" s="82">
        <v>1</v>
      </c>
      <c r="F78" s="82">
        <v>2</v>
      </c>
      <c r="G78" s="78" t="str">
        <f t="shared" si="14"/>
        <v>SR80712</v>
      </c>
      <c r="H78" s="90">
        <v>2.9999999999999997E-4</v>
      </c>
      <c r="I78" s="90">
        <v>3</v>
      </c>
      <c r="J78" s="91">
        <v>2.0000000000000001E-4</v>
      </c>
      <c r="K78" s="91">
        <v>2</v>
      </c>
      <c r="L78" s="1">
        <v>2.0000000000000001E-4</v>
      </c>
      <c r="M78" s="1">
        <v>2</v>
      </c>
    </row>
    <row r="79" spans="1:13" x14ac:dyDescent="0.15">
      <c r="A79" s="49" t="s">
        <v>173</v>
      </c>
      <c r="B79" s="49" t="str">
        <f t="shared" si="11"/>
        <v>6001</v>
      </c>
      <c r="C79" s="78" t="str">
        <f t="shared" si="12"/>
        <v>CZCE</v>
      </c>
      <c r="D79" s="78" t="str">
        <f t="shared" si="13"/>
        <v>SR807</v>
      </c>
      <c r="E79" s="82">
        <v>1</v>
      </c>
      <c r="F79" s="82">
        <v>3</v>
      </c>
      <c r="G79" s="78" t="str">
        <f t="shared" si="14"/>
        <v>SR80713</v>
      </c>
      <c r="H79" s="90">
        <v>2.0000000000000001E-4</v>
      </c>
      <c r="I79" s="90">
        <v>2</v>
      </c>
      <c r="J79" s="91">
        <v>1E-4</v>
      </c>
      <c r="K79" s="91">
        <v>1</v>
      </c>
      <c r="L79" s="1">
        <v>2.0000000000000001E-4</v>
      </c>
      <c r="M79" s="1">
        <v>2</v>
      </c>
    </row>
    <row r="80" spans="1:13" s="16" customFormat="1" ht="10.95" customHeight="1" x14ac:dyDescent="0.15">
      <c r="A80" s="285" t="s">
        <v>173</v>
      </c>
      <c r="B80" s="285" t="str">
        <f t="shared" si="11"/>
        <v>6001</v>
      </c>
      <c r="C80" s="91" t="str">
        <f t="shared" si="12"/>
        <v>CZCE</v>
      </c>
      <c r="D80" s="91" t="str">
        <f t="shared" ref="D80:D83" si="15">$C$19</f>
        <v>SR807</v>
      </c>
      <c r="E80" s="319">
        <v>3</v>
      </c>
      <c r="F80" s="319">
        <v>0</v>
      </c>
      <c r="G80" s="91" t="str">
        <f t="shared" si="14"/>
        <v>SR80730</v>
      </c>
      <c r="H80" s="90">
        <f>H76</f>
        <v>5.0000000000000001E-4</v>
      </c>
      <c r="I80" s="90">
        <f>I76</f>
        <v>5</v>
      </c>
      <c r="J80" s="91">
        <f>J76+0.0001</f>
        <v>5.0000000000000001E-4</v>
      </c>
      <c r="K80" s="91">
        <f>K76+1</f>
        <v>5</v>
      </c>
      <c r="L80" s="16">
        <f>L76</f>
        <v>2.0000000000000001E-4</v>
      </c>
      <c r="M80" s="16">
        <f>M76</f>
        <v>2</v>
      </c>
    </row>
    <row r="81" spans="1:13" s="16" customFormat="1" ht="10.95" customHeight="1" x14ac:dyDescent="0.15">
      <c r="A81" s="285" t="s">
        <v>173</v>
      </c>
      <c r="B81" s="285" t="str">
        <f t="shared" si="11"/>
        <v>6001</v>
      </c>
      <c r="C81" s="91" t="str">
        <f t="shared" si="12"/>
        <v>CZCE</v>
      </c>
      <c r="D81" s="91" t="str">
        <f t="shared" si="15"/>
        <v>SR807</v>
      </c>
      <c r="E81" s="319">
        <v>3</v>
      </c>
      <c r="F81" s="319">
        <v>1</v>
      </c>
      <c r="G81" s="91" t="str">
        <f t="shared" si="14"/>
        <v>SR80731</v>
      </c>
      <c r="H81" s="90">
        <f t="shared" ref="H81:I83" si="16">H77</f>
        <v>4.0000000000000002E-4</v>
      </c>
      <c r="I81" s="90">
        <f t="shared" si="16"/>
        <v>4</v>
      </c>
      <c r="J81" s="91">
        <f t="shared" ref="J81:J83" si="17">J77+0.0001</f>
        <v>3.9999999999999996E-4</v>
      </c>
      <c r="K81" s="91">
        <f t="shared" ref="K81:K83" si="18">K77+1</f>
        <v>4</v>
      </c>
      <c r="L81" s="16">
        <f t="shared" ref="L81:M83" si="19">L77</f>
        <v>2.0000000000000001E-4</v>
      </c>
      <c r="M81" s="16">
        <f t="shared" si="19"/>
        <v>2</v>
      </c>
    </row>
    <row r="82" spans="1:13" s="16" customFormat="1" ht="10.95" customHeight="1" x14ac:dyDescent="0.15">
      <c r="A82" s="285" t="s">
        <v>173</v>
      </c>
      <c r="B82" s="285" t="str">
        <f t="shared" si="11"/>
        <v>6001</v>
      </c>
      <c r="C82" s="91" t="str">
        <f t="shared" si="12"/>
        <v>CZCE</v>
      </c>
      <c r="D82" s="91" t="str">
        <f t="shared" si="15"/>
        <v>SR807</v>
      </c>
      <c r="E82" s="319">
        <v>3</v>
      </c>
      <c r="F82" s="319">
        <v>2</v>
      </c>
      <c r="G82" s="91" t="str">
        <f t="shared" si="14"/>
        <v>SR80732</v>
      </c>
      <c r="H82" s="90">
        <f t="shared" si="16"/>
        <v>2.9999999999999997E-4</v>
      </c>
      <c r="I82" s="90">
        <f t="shared" si="16"/>
        <v>3</v>
      </c>
      <c r="J82" s="91">
        <f t="shared" si="17"/>
        <v>3.0000000000000003E-4</v>
      </c>
      <c r="K82" s="91">
        <f t="shared" si="18"/>
        <v>3</v>
      </c>
      <c r="L82" s="16">
        <f t="shared" si="19"/>
        <v>2.0000000000000001E-4</v>
      </c>
      <c r="M82" s="16">
        <f t="shared" si="19"/>
        <v>2</v>
      </c>
    </row>
    <row r="83" spans="1:13" s="16" customFormat="1" ht="10.95" customHeight="1" x14ac:dyDescent="0.15">
      <c r="A83" s="285" t="s">
        <v>173</v>
      </c>
      <c r="B83" s="285" t="str">
        <f t="shared" si="11"/>
        <v>6001</v>
      </c>
      <c r="C83" s="91" t="str">
        <f t="shared" si="12"/>
        <v>CZCE</v>
      </c>
      <c r="D83" s="91" t="str">
        <f t="shared" si="15"/>
        <v>SR807</v>
      </c>
      <c r="E83" s="319">
        <v>3</v>
      </c>
      <c r="F83" s="319">
        <v>3</v>
      </c>
      <c r="G83" s="91" t="str">
        <f t="shared" si="14"/>
        <v>SR80733</v>
      </c>
      <c r="H83" s="90">
        <f t="shared" si="16"/>
        <v>2.0000000000000001E-4</v>
      </c>
      <c r="I83" s="90">
        <f t="shared" si="16"/>
        <v>2</v>
      </c>
      <c r="J83" s="91">
        <f t="shared" si="17"/>
        <v>2.0000000000000001E-4</v>
      </c>
      <c r="K83" s="91">
        <f t="shared" si="18"/>
        <v>2</v>
      </c>
      <c r="L83" s="16">
        <f t="shared" si="19"/>
        <v>2.0000000000000001E-4</v>
      </c>
      <c r="M83" s="16">
        <f t="shared" si="19"/>
        <v>2</v>
      </c>
    </row>
    <row r="84" spans="1:13" x14ac:dyDescent="0.15">
      <c r="A84" s="49" t="s">
        <v>173</v>
      </c>
      <c r="B84" s="49" t="str">
        <f t="shared" si="11"/>
        <v>6001</v>
      </c>
      <c r="C84" s="78" t="str">
        <f t="shared" si="12"/>
        <v>CZCE</v>
      </c>
      <c r="D84" s="78" t="str">
        <f>$C$20</f>
        <v>SR809</v>
      </c>
      <c r="E84" s="82">
        <v>1</v>
      </c>
      <c r="F84" s="82">
        <v>0</v>
      </c>
      <c r="G84" s="78" t="str">
        <f t="shared" si="14"/>
        <v>SR80910</v>
      </c>
      <c r="H84" s="75">
        <v>5.0000000000000001E-4</v>
      </c>
      <c r="I84" s="75">
        <v>5</v>
      </c>
      <c r="J84" s="78">
        <v>4.0000000000000002E-4</v>
      </c>
      <c r="K84" s="78">
        <v>4</v>
      </c>
      <c r="L84" s="1">
        <v>2.0000000000000001E-4</v>
      </c>
      <c r="M84" s="1">
        <v>2</v>
      </c>
    </row>
    <row r="85" spans="1:13" x14ac:dyDescent="0.15">
      <c r="A85" s="49" t="s">
        <v>173</v>
      </c>
      <c r="B85" s="49" t="str">
        <f t="shared" si="11"/>
        <v>6001</v>
      </c>
      <c r="C85" s="78" t="str">
        <f t="shared" si="12"/>
        <v>CZCE</v>
      </c>
      <c r="D85" s="78" t="str">
        <f t="shared" ref="D85:D87" si="20">$C$20</f>
        <v>SR809</v>
      </c>
      <c r="E85" s="82">
        <v>1</v>
      </c>
      <c r="F85" s="82">
        <v>1</v>
      </c>
      <c r="G85" s="78" t="str">
        <f t="shared" si="14"/>
        <v>SR80911</v>
      </c>
      <c r="H85" s="75">
        <v>4.0000000000000002E-4</v>
      </c>
      <c r="I85" s="75">
        <v>4</v>
      </c>
      <c r="J85" s="78">
        <v>2.9999999999999997E-4</v>
      </c>
      <c r="K85" s="78">
        <v>3</v>
      </c>
      <c r="L85" s="1">
        <v>2.0000000000000001E-4</v>
      </c>
      <c r="M85" s="1">
        <v>2</v>
      </c>
    </row>
    <row r="86" spans="1:13" x14ac:dyDescent="0.15">
      <c r="A86" s="49" t="s">
        <v>173</v>
      </c>
      <c r="B86" s="49" t="str">
        <f t="shared" si="11"/>
        <v>6001</v>
      </c>
      <c r="C86" s="78" t="str">
        <f t="shared" si="12"/>
        <v>CZCE</v>
      </c>
      <c r="D86" s="78" t="str">
        <f t="shared" si="20"/>
        <v>SR809</v>
      </c>
      <c r="E86" s="82">
        <v>1</v>
      </c>
      <c r="F86" s="82">
        <v>2</v>
      </c>
      <c r="G86" s="78" t="str">
        <f t="shared" si="14"/>
        <v>SR80912</v>
      </c>
      <c r="H86" s="75">
        <v>2.9999999999999997E-4</v>
      </c>
      <c r="I86" s="75">
        <v>3</v>
      </c>
      <c r="J86" s="78">
        <v>2.0000000000000001E-4</v>
      </c>
      <c r="K86" s="78">
        <v>2</v>
      </c>
      <c r="L86" s="1">
        <v>2.0000000000000001E-4</v>
      </c>
      <c r="M86" s="1">
        <v>2</v>
      </c>
    </row>
    <row r="87" spans="1:13" x14ac:dyDescent="0.15">
      <c r="A87" s="49" t="s">
        <v>173</v>
      </c>
      <c r="B87" s="49" t="str">
        <f t="shared" si="11"/>
        <v>6001</v>
      </c>
      <c r="C87" s="78" t="str">
        <f t="shared" si="12"/>
        <v>CZCE</v>
      </c>
      <c r="D87" s="78" t="str">
        <f t="shared" si="20"/>
        <v>SR809</v>
      </c>
      <c r="E87" s="82">
        <v>1</v>
      </c>
      <c r="F87" s="82">
        <v>3</v>
      </c>
      <c r="G87" s="78" t="str">
        <f t="shared" si="14"/>
        <v>SR80913</v>
      </c>
      <c r="H87" s="75">
        <v>2.0000000000000001E-4</v>
      </c>
      <c r="I87" s="75">
        <v>2</v>
      </c>
      <c r="J87" s="78">
        <v>1E-4</v>
      </c>
      <c r="K87" s="78">
        <v>1</v>
      </c>
      <c r="L87" s="1">
        <v>2.0000000000000001E-4</v>
      </c>
      <c r="M87" s="1">
        <v>2</v>
      </c>
    </row>
    <row r="88" spans="1:13" s="16" customFormat="1" x14ac:dyDescent="0.15">
      <c r="A88" s="285" t="s">
        <v>173</v>
      </c>
      <c r="B88" s="285" t="str">
        <f t="shared" si="11"/>
        <v>6001</v>
      </c>
      <c r="C88" s="91" t="str">
        <f t="shared" si="12"/>
        <v>CZCE</v>
      </c>
      <c r="D88" s="91" t="str">
        <f>$C$20</f>
        <v>SR809</v>
      </c>
      <c r="E88" s="319">
        <v>3</v>
      </c>
      <c r="F88" s="319">
        <v>0</v>
      </c>
      <c r="G88" s="91" t="str">
        <f t="shared" si="14"/>
        <v>SR80930</v>
      </c>
      <c r="H88" s="90">
        <f>H80</f>
        <v>5.0000000000000001E-4</v>
      </c>
      <c r="I88" s="90">
        <f t="shared" ref="I88:M88" si="21">I80</f>
        <v>5</v>
      </c>
      <c r="J88" s="90">
        <f t="shared" si="21"/>
        <v>5.0000000000000001E-4</v>
      </c>
      <c r="K88" s="90">
        <f t="shared" si="21"/>
        <v>5</v>
      </c>
      <c r="L88" s="90">
        <f t="shared" si="21"/>
        <v>2.0000000000000001E-4</v>
      </c>
      <c r="M88" s="90">
        <f t="shared" si="21"/>
        <v>2</v>
      </c>
    </row>
    <row r="89" spans="1:13" s="16" customFormat="1" x14ac:dyDescent="0.15">
      <c r="A89" s="285" t="s">
        <v>173</v>
      </c>
      <c r="B89" s="285" t="str">
        <f t="shared" si="11"/>
        <v>6001</v>
      </c>
      <c r="C89" s="91" t="str">
        <f t="shared" si="12"/>
        <v>CZCE</v>
      </c>
      <c r="D89" s="91" t="str">
        <f t="shared" ref="D89:D91" si="22">$C$20</f>
        <v>SR809</v>
      </c>
      <c r="E89" s="319">
        <v>3</v>
      </c>
      <c r="F89" s="319">
        <v>1</v>
      </c>
      <c r="G89" s="91" t="str">
        <f t="shared" si="14"/>
        <v>SR80931</v>
      </c>
      <c r="H89" s="90">
        <f t="shared" ref="H89:M91" si="23">H81</f>
        <v>4.0000000000000002E-4</v>
      </c>
      <c r="I89" s="90">
        <f t="shared" si="23"/>
        <v>4</v>
      </c>
      <c r="J89" s="90">
        <f t="shared" si="23"/>
        <v>3.9999999999999996E-4</v>
      </c>
      <c r="K89" s="90">
        <f t="shared" si="23"/>
        <v>4</v>
      </c>
      <c r="L89" s="90">
        <f t="shared" si="23"/>
        <v>2.0000000000000001E-4</v>
      </c>
      <c r="M89" s="90">
        <f t="shared" si="23"/>
        <v>2</v>
      </c>
    </row>
    <row r="90" spans="1:13" s="16" customFormat="1" x14ac:dyDescent="0.15">
      <c r="A90" s="285" t="s">
        <v>173</v>
      </c>
      <c r="B90" s="285" t="str">
        <f t="shared" si="11"/>
        <v>6001</v>
      </c>
      <c r="C90" s="91" t="str">
        <f t="shared" si="12"/>
        <v>CZCE</v>
      </c>
      <c r="D90" s="91" t="str">
        <f t="shared" si="22"/>
        <v>SR809</v>
      </c>
      <c r="E90" s="319">
        <v>3</v>
      </c>
      <c r="F90" s="319">
        <v>2</v>
      </c>
      <c r="G90" s="91" t="str">
        <f t="shared" si="14"/>
        <v>SR80932</v>
      </c>
      <c r="H90" s="90">
        <f t="shared" si="23"/>
        <v>2.9999999999999997E-4</v>
      </c>
      <c r="I90" s="90">
        <f t="shared" si="23"/>
        <v>3</v>
      </c>
      <c r="J90" s="90">
        <f t="shared" si="23"/>
        <v>3.0000000000000003E-4</v>
      </c>
      <c r="K90" s="90">
        <f t="shared" si="23"/>
        <v>3</v>
      </c>
      <c r="L90" s="90">
        <f t="shared" si="23"/>
        <v>2.0000000000000001E-4</v>
      </c>
      <c r="M90" s="90">
        <f t="shared" si="23"/>
        <v>2</v>
      </c>
    </row>
    <row r="91" spans="1:13" s="16" customFormat="1" x14ac:dyDescent="0.15">
      <c r="A91" s="285" t="s">
        <v>173</v>
      </c>
      <c r="B91" s="285" t="str">
        <f t="shared" si="11"/>
        <v>6001</v>
      </c>
      <c r="C91" s="91" t="str">
        <f t="shared" si="12"/>
        <v>CZCE</v>
      </c>
      <c r="D91" s="91" t="str">
        <f t="shared" si="22"/>
        <v>SR809</v>
      </c>
      <c r="E91" s="319">
        <v>3</v>
      </c>
      <c r="F91" s="319">
        <v>3</v>
      </c>
      <c r="G91" s="91" t="str">
        <f t="shared" si="14"/>
        <v>SR80933</v>
      </c>
      <c r="H91" s="90">
        <f t="shared" si="23"/>
        <v>2.0000000000000001E-4</v>
      </c>
      <c r="I91" s="90">
        <f t="shared" si="23"/>
        <v>2</v>
      </c>
      <c r="J91" s="90">
        <f t="shared" si="23"/>
        <v>2.0000000000000001E-4</v>
      </c>
      <c r="K91" s="90">
        <f t="shared" si="23"/>
        <v>2</v>
      </c>
      <c r="L91" s="90">
        <f t="shared" si="23"/>
        <v>2.0000000000000001E-4</v>
      </c>
      <c r="M91" s="90">
        <f t="shared" si="23"/>
        <v>2</v>
      </c>
    </row>
    <row r="92" spans="1:13" x14ac:dyDescent="0.15">
      <c r="A92" s="49" t="s">
        <v>173</v>
      </c>
      <c r="B92" s="49" t="str">
        <f t="shared" si="11"/>
        <v>6001</v>
      </c>
      <c r="C92" s="78" t="str">
        <f t="shared" si="12"/>
        <v>CZCE</v>
      </c>
      <c r="D92" s="78" t="str">
        <f>$C$21</f>
        <v>OI811</v>
      </c>
      <c r="E92" s="82">
        <v>1</v>
      </c>
      <c r="F92" s="82">
        <v>0</v>
      </c>
      <c r="G92" s="78" t="str">
        <f t="shared" si="14"/>
        <v>OI81110</v>
      </c>
      <c r="H92" s="75">
        <v>5.0000000000000001E-4</v>
      </c>
      <c r="I92" s="75">
        <v>5</v>
      </c>
      <c r="J92" s="78">
        <v>4.0000000000000002E-4</v>
      </c>
      <c r="K92" s="78">
        <v>4</v>
      </c>
      <c r="L92" s="1">
        <v>2.0000000000000001E-4</v>
      </c>
      <c r="M92" s="1">
        <v>2</v>
      </c>
    </row>
    <row r="93" spans="1:13" x14ac:dyDescent="0.15">
      <c r="A93" s="49" t="s">
        <v>173</v>
      </c>
      <c r="B93" s="49" t="str">
        <f t="shared" si="11"/>
        <v>6001</v>
      </c>
      <c r="C93" s="78" t="str">
        <f t="shared" si="12"/>
        <v>CZCE</v>
      </c>
      <c r="D93" s="78" t="str">
        <f t="shared" ref="D93:D99" si="24">$C$21</f>
        <v>OI811</v>
      </c>
      <c r="E93" s="82">
        <v>1</v>
      </c>
      <c r="F93" s="82">
        <v>1</v>
      </c>
      <c r="G93" s="78" t="str">
        <f t="shared" si="14"/>
        <v>OI81111</v>
      </c>
      <c r="H93" s="75">
        <v>4.0000000000000002E-4</v>
      </c>
      <c r="I93" s="75">
        <v>4</v>
      </c>
      <c r="J93" s="78">
        <v>2.9999999999999997E-4</v>
      </c>
      <c r="K93" s="78">
        <v>3</v>
      </c>
      <c r="L93" s="1">
        <v>2.0000000000000001E-4</v>
      </c>
      <c r="M93" s="1">
        <v>2</v>
      </c>
    </row>
    <row r="94" spans="1:13" x14ac:dyDescent="0.15">
      <c r="A94" s="49" t="s">
        <v>173</v>
      </c>
      <c r="B94" s="49" t="str">
        <f t="shared" si="11"/>
        <v>6001</v>
      </c>
      <c r="C94" s="78" t="str">
        <f t="shared" si="12"/>
        <v>CZCE</v>
      </c>
      <c r="D94" s="78" t="str">
        <f t="shared" si="24"/>
        <v>OI811</v>
      </c>
      <c r="E94" s="82">
        <v>1</v>
      </c>
      <c r="F94" s="82">
        <v>2</v>
      </c>
      <c r="G94" s="78" t="str">
        <f t="shared" si="14"/>
        <v>OI81112</v>
      </c>
      <c r="H94" s="75">
        <v>2.9999999999999997E-4</v>
      </c>
      <c r="I94" s="75">
        <v>3</v>
      </c>
      <c r="J94" s="78">
        <v>2.0000000000000001E-4</v>
      </c>
      <c r="K94" s="78">
        <v>2</v>
      </c>
      <c r="L94" s="1">
        <v>2.0000000000000001E-4</v>
      </c>
      <c r="M94" s="1">
        <v>2</v>
      </c>
    </row>
    <row r="95" spans="1:13" x14ac:dyDescent="0.15">
      <c r="A95" s="49" t="s">
        <v>173</v>
      </c>
      <c r="B95" s="49" t="str">
        <f t="shared" si="11"/>
        <v>6001</v>
      </c>
      <c r="C95" s="78" t="str">
        <f t="shared" si="12"/>
        <v>CZCE</v>
      </c>
      <c r="D95" s="78" t="str">
        <f t="shared" si="24"/>
        <v>OI811</v>
      </c>
      <c r="E95" s="82">
        <v>1</v>
      </c>
      <c r="F95" s="82">
        <v>3</v>
      </c>
      <c r="G95" s="78" t="str">
        <f t="shared" si="14"/>
        <v>OI81113</v>
      </c>
      <c r="H95" s="75">
        <v>2.0000000000000001E-4</v>
      </c>
      <c r="I95" s="75">
        <v>2</v>
      </c>
      <c r="J95" s="78">
        <v>1E-4</v>
      </c>
      <c r="K95" s="78">
        <v>1</v>
      </c>
      <c r="L95" s="1">
        <v>2.0000000000000001E-4</v>
      </c>
      <c r="M95" s="1">
        <v>2</v>
      </c>
    </row>
    <row r="96" spans="1:13" s="16" customFormat="1" x14ac:dyDescent="0.15">
      <c r="A96" s="285" t="s">
        <v>173</v>
      </c>
      <c r="B96" s="285" t="str">
        <f t="shared" si="11"/>
        <v>6001</v>
      </c>
      <c r="C96" s="91" t="str">
        <f t="shared" si="12"/>
        <v>CZCE</v>
      </c>
      <c r="D96" s="91" t="str">
        <f t="shared" si="24"/>
        <v>OI811</v>
      </c>
      <c r="E96" s="319">
        <v>3</v>
      </c>
      <c r="F96" s="319">
        <v>0</v>
      </c>
      <c r="G96" s="91" t="str">
        <f t="shared" si="14"/>
        <v>OI81130</v>
      </c>
      <c r="H96" s="90">
        <f>H88</f>
        <v>5.0000000000000001E-4</v>
      </c>
      <c r="I96" s="90">
        <f t="shared" ref="I96:M96" si="25">I88</f>
        <v>5</v>
      </c>
      <c r="J96" s="90">
        <f t="shared" si="25"/>
        <v>5.0000000000000001E-4</v>
      </c>
      <c r="K96" s="90">
        <f t="shared" si="25"/>
        <v>5</v>
      </c>
      <c r="L96" s="90">
        <f t="shared" si="25"/>
        <v>2.0000000000000001E-4</v>
      </c>
      <c r="M96" s="90">
        <f t="shared" si="25"/>
        <v>2</v>
      </c>
    </row>
    <row r="97" spans="1:13" s="16" customFormat="1" x14ac:dyDescent="0.15">
      <c r="A97" s="285" t="s">
        <v>173</v>
      </c>
      <c r="B97" s="285" t="str">
        <f t="shared" si="11"/>
        <v>6001</v>
      </c>
      <c r="C97" s="91" t="str">
        <f t="shared" si="12"/>
        <v>CZCE</v>
      </c>
      <c r="D97" s="91" t="str">
        <f t="shared" si="24"/>
        <v>OI811</v>
      </c>
      <c r="E97" s="319">
        <v>3</v>
      </c>
      <c r="F97" s="319">
        <v>1</v>
      </c>
      <c r="G97" s="91" t="str">
        <f t="shared" si="14"/>
        <v>OI81131</v>
      </c>
      <c r="H97" s="90">
        <f t="shared" ref="H97:M99" si="26">H89</f>
        <v>4.0000000000000002E-4</v>
      </c>
      <c r="I97" s="90">
        <f t="shared" si="26"/>
        <v>4</v>
      </c>
      <c r="J97" s="90">
        <f t="shared" si="26"/>
        <v>3.9999999999999996E-4</v>
      </c>
      <c r="K97" s="90">
        <f t="shared" si="26"/>
        <v>4</v>
      </c>
      <c r="L97" s="90">
        <f t="shared" si="26"/>
        <v>2.0000000000000001E-4</v>
      </c>
      <c r="M97" s="90">
        <f t="shared" si="26"/>
        <v>2</v>
      </c>
    </row>
    <row r="98" spans="1:13" s="16" customFormat="1" x14ac:dyDescent="0.15">
      <c r="A98" s="285" t="s">
        <v>173</v>
      </c>
      <c r="B98" s="285" t="str">
        <f t="shared" si="11"/>
        <v>6001</v>
      </c>
      <c r="C98" s="91" t="str">
        <f t="shared" si="12"/>
        <v>CZCE</v>
      </c>
      <c r="D98" s="91" t="str">
        <f t="shared" si="24"/>
        <v>OI811</v>
      </c>
      <c r="E98" s="319">
        <v>3</v>
      </c>
      <c r="F98" s="319">
        <v>2</v>
      </c>
      <c r="G98" s="91" t="str">
        <f t="shared" si="14"/>
        <v>OI81132</v>
      </c>
      <c r="H98" s="90">
        <f t="shared" si="26"/>
        <v>2.9999999999999997E-4</v>
      </c>
      <c r="I98" s="90">
        <f t="shared" si="26"/>
        <v>3</v>
      </c>
      <c r="J98" s="90">
        <f t="shared" si="26"/>
        <v>3.0000000000000003E-4</v>
      </c>
      <c r="K98" s="90">
        <f t="shared" si="26"/>
        <v>3</v>
      </c>
      <c r="L98" s="90">
        <f t="shared" si="26"/>
        <v>2.0000000000000001E-4</v>
      </c>
      <c r="M98" s="90">
        <f t="shared" si="26"/>
        <v>2</v>
      </c>
    </row>
    <row r="99" spans="1:13" s="16" customFormat="1" x14ac:dyDescent="0.15">
      <c r="A99" s="285" t="s">
        <v>173</v>
      </c>
      <c r="B99" s="285" t="str">
        <f t="shared" si="11"/>
        <v>6001</v>
      </c>
      <c r="C99" s="91" t="str">
        <f t="shared" si="12"/>
        <v>CZCE</v>
      </c>
      <c r="D99" s="91" t="str">
        <f t="shared" si="24"/>
        <v>OI811</v>
      </c>
      <c r="E99" s="319">
        <v>3</v>
      </c>
      <c r="F99" s="319">
        <v>3</v>
      </c>
      <c r="G99" s="91" t="str">
        <f t="shared" si="14"/>
        <v>OI81133</v>
      </c>
      <c r="H99" s="90">
        <f t="shared" si="26"/>
        <v>2.0000000000000001E-4</v>
      </c>
      <c r="I99" s="90">
        <f t="shared" si="26"/>
        <v>2</v>
      </c>
      <c r="J99" s="90">
        <f t="shared" si="26"/>
        <v>2.0000000000000001E-4</v>
      </c>
      <c r="K99" s="90">
        <f t="shared" si="26"/>
        <v>2</v>
      </c>
      <c r="L99" s="90">
        <f t="shared" si="26"/>
        <v>2.0000000000000001E-4</v>
      </c>
      <c r="M99" s="90">
        <f t="shared" si="26"/>
        <v>2</v>
      </c>
    </row>
    <row r="100" spans="1:13" x14ac:dyDescent="0.15">
      <c r="A100" s="49" t="s">
        <v>173</v>
      </c>
      <c r="B100" s="49" t="str">
        <f t="shared" si="11"/>
        <v>6001</v>
      </c>
      <c r="C100" s="78" t="str">
        <f t="shared" si="12"/>
        <v>CZCE</v>
      </c>
      <c r="D100" s="78" t="str">
        <f>$C$22</f>
        <v>PTA807</v>
      </c>
      <c r="E100" s="82">
        <v>1</v>
      </c>
      <c r="F100" s="82">
        <v>0</v>
      </c>
      <c r="G100" s="78" t="str">
        <f t="shared" si="14"/>
        <v>PTA80710</v>
      </c>
      <c r="H100" s="75">
        <v>5.0000000000000001E-4</v>
      </c>
      <c r="I100" s="75">
        <v>5</v>
      </c>
      <c r="J100" s="78">
        <v>4.0000000000000002E-4</v>
      </c>
      <c r="K100" s="78">
        <v>4</v>
      </c>
      <c r="L100" s="1">
        <v>2.0000000000000001E-4</v>
      </c>
      <c r="M100" s="1">
        <v>2</v>
      </c>
    </row>
    <row r="101" spans="1:13" x14ac:dyDescent="0.15">
      <c r="A101" s="49" t="s">
        <v>173</v>
      </c>
      <c r="B101" s="49" t="str">
        <f t="shared" si="11"/>
        <v>6001</v>
      </c>
      <c r="C101" s="78" t="str">
        <f t="shared" si="12"/>
        <v>CZCE</v>
      </c>
      <c r="D101" s="78" t="str">
        <f>$C$22</f>
        <v>PTA807</v>
      </c>
      <c r="E101" s="82">
        <v>1</v>
      </c>
      <c r="F101" s="82">
        <v>1</v>
      </c>
      <c r="G101" s="78" t="str">
        <f t="shared" si="14"/>
        <v>PTA80711</v>
      </c>
      <c r="H101" s="75">
        <v>4.0000000000000002E-4</v>
      </c>
      <c r="I101" s="75">
        <v>4</v>
      </c>
      <c r="J101" s="78">
        <v>2.9999999999999997E-4</v>
      </c>
      <c r="K101" s="78">
        <v>3</v>
      </c>
      <c r="L101" s="1">
        <v>2.0000000000000001E-4</v>
      </c>
      <c r="M101" s="1">
        <v>2</v>
      </c>
    </row>
    <row r="102" spans="1:13" x14ac:dyDescent="0.15">
      <c r="A102" s="49" t="s">
        <v>173</v>
      </c>
      <c r="B102" s="49" t="str">
        <f t="shared" si="11"/>
        <v>6001</v>
      </c>
      <c r="C102" s="78" t="str">
        <f t="shared" si="12"/>
        <v>CZCE</v>
      </c>
      <c r="D102" s="78" t="str">
        <f t="shared" ref="D102:D107" si="27">$C$22</f>
        <v>PTA807</v>
      </c>
      <c r="E102" s="82">
        <v>1</v>
      </c>
      <c r="F102" s="82">
        <v>2</v>
      </c>
      <c r="G102" s="78" t="str">
        <f t="shared" si="14"/>
        <v>PTA80712</v>
      </c>
      <c r="H102" s="75">
        <v>2.9999999999999997E-4</v>
      </c>
      <c r="I102" s="75">
        <v>3</v>
      </c>
      <c r="J102" s="78">
        <v>2.0000000000000001E-4</v>
      </c>
      <c r="K102" s="78">
        <v>2</v>
      </c>
      <c r="L102" s="1">
        <v>2.0000000000000001E-4</v>
      </c>
      <c r="M102" s="1">
        <v>2</v>
      </c>
    </row>
    <row r="103" spans="1:13" x14ac:dyDescent="0.15">
      <c r="A103" s="49" t="s">
        <v>173</v>
      </c>
      <c r="B103" s="49" t="str">
        <f t="shared" si="11"/>
        <v>6001</v>
      </c>
      <c r="C103" s="78" t="str">
        <f t="shared" si="12"/>
        <v>CZCE</v>
      </c>
      <c r="D103" s="78" t="str">
        <f t="shared" si="27"/>
        <v>PTA807</v>
      </c>
      <c r="E103" s="82">
        <v>1</v>
      </c>
      <c r="F103" s="82">
        <v>3</v>
      </c>
      <c r="G103" s="78" t="str">
        <f t="shared" si="14"/>
        <v>PTA80713</v>
      </c>
      <c r="H103" s="75">
        <v>2.0000000000000001E-4</v>
      </c>
      <c r="I103" s="75">
        <v>2</v>
      </c>
      <c r="J103" s="78">
        <v>1E-4</v>
      </c>
      <c r="K103" s="78">
        <v>1</v>
      </c>
      <c r="L103" s="1">
        <v>2.0000000000000001E-4</v>
      </c>
      <c r="M103" s="1">
        <v>2</v>
      </c>
    </row>
    <row r="104" spans="1:13" s="16" customFormat="1" x14ac:dyDescent="0.15">
      <c r="A104" s="285" t="s">
        <v>173</v>
      </c>
      <c r="B104" s="285" t="str">
        <f t="shared" si="11"/>
        <v>6001</v>
      </c>
      <c r="C104" s="91" t="str">
        <f t="shared" si="12"/>
        <v>CZCE</v>
      </c>
      <c r="D104" s="91" t="str">
        <f t="shared" si="27"/>
        <v>PTA807</v>
      </c>
      <c r="E104" s="319">
        <v>3</v>
      </c>
      <c r="F104" s="319">
        <v>0</v>
      </c>
      <c r="G104" s="91" t="str">
        <f t="shared" si="14"/>
        <v>PTA80730</v>
      </c>
      <c r="H104" s="90">
        <f>H96</f>
        <v>5.0000000000000001E-4</v>
      </c>
      <c r="I104" s="90">
        <f t="shared" ref="I104:M104" si="28">I96</f>
        <v>5</v>
      </c>
      <c r="J104" s="90">
        <f t="shared" si="28"/>
        <v>5.0000000000000001E-4</v>
      </c>
      <c r="K104" s="90">
        <f t="shared" si="28"/>
        <v>5</v>
      </c>
      <c r="L104" s="90">
        <f t="shared" si="28"/>
        <v>2.0000000000000001E-4</v>
      </c>
      <c r="M104" s="90">
        <f t="shared" si="28"/>
        <v>2</v>
      </c>
    </row>
    <row r="105" spans="1:13" s="16" customFormat="1" x14ac:dyDescent="0.15">
      <c r="A105" s="285" t="s">
        <v>173</v>
      </c>
      <c r="B105" s="285" t="str">
        <f t="shared" si="11"/>
        <v>6001</v>
      </c>
      <c r="C105" s="91" t="str">
        <f t="shared" si="12"/>
        <v>CZCE</v>
      </c>
      <c r="D105" s="91" t="str">
        <f t="shared" si="27"/>
        <v>PTA807</v>
      </c>
      <c r="E105" s="319">
        <v>3</v>
      </c>
      <c r="F105" s="319">
        <v>1</v>
      </c>
      <c r="G105" s="91" t="str">
        <f t="shared" si="14"/>
        <v>PTA80731</v>
      </c>
      <c r="H105" s="90">
        <f t="shared" ref="H105:M107" si="29">H97</f>
        <v>4.0000000000000002E-4</v>
      </c>
      <c r="I105" s="90">
        <f t="shared" si="29"/>
        <v>4</v>
      </c>
      <c r="J105" s="90">
        <f t="shared" si="29"/>
        <v>3.9999999999999996E-4</v>
      </c>
      <c r="K105" s="90">
        <f t="shared" si="29"/>
        <v>4</v>
      </c>
      <c r="L105" s="90">
        <f t="shared" si="29"/>
        <v>2.0000000000000001E-4</v>
      </c>
      <c r="M105" s="90">
        <f t="shared" si="29"/>
        <v>2</v>
      </c>
    </row>
    <row r="106" spans="1:13" s="16" customFormat="1" x14ac:dyDescent="0.15">
      <c r="A106" s="285" t="s">
        <v>173</v>
      </c>
      <c r="B106" s="285" t="str">
        <f t="shared" si="11"/>
        <v>6001</v>
      </c>
      <c r="C106" s="91" t="str">
        <f t="shared" si="12"/>
        <v>CZCE</v>
      </c>
      <c r="D106" s="91" t="str">
        <f t="shared" si="27"/>
        <v>PTA807</v>
      </c>
      <c r="E106" s="319">
        <v>3</v>
      </c>
      <c r="F106" s="319">
        <v>2</v>
      </c>
      <c r="G106" s="91" t="str">
        <f t="shared" si="14"/>
        <v>PTA80732</v>
      </c>
      <c r="H106" s="90">
        <f t="shared" si="29"/>
        <v>2.9999999999999997E-4</v>
      </c>
      <c r="I106" s="90">
        <f t="shared" si="29"/>
        <v>3</v>
      </c>
      <c r="J106" s="90">
        <f t="shared" si="29"/>
        <v>3.0000000000000003E-4</v>
      </c>
      <c r="K106" s="90">
        <f t="shared" si="29"/>
        <v>3</v>
      </c>
      <c r="L106" s="90">
        <f t="shared" si="29"/>
        <v>2.0000000000000001E-4</v>
      </c>
      <c r="M106" s="90">
        <f t="shared" si="29"/>
        <v>2</v>
      </c>
    </row>
    <row r="107" spans="1:13" s="16" customFormat="1" x14ac:dyDescent="0.15">
      <c r="A107" s="285" t="s">
        <v>173</v>
      </c>
      <c r="B107" s="285" t="str">
        <f t="shared" si="11"/>
        <v>6001</v>
      </c>
      <c r="C107" s="91" t="str">
        <f t="shared" si="12"/>
        <v>CZCE</v>
      </c>
      <c r="D107" s="91" t="str">
        <f t="shared" si="27"/>
        <v>PTA807</v>
      </c>
      <c r="E107" s="319">
        <v>3</v>
      </c>
      <c r="F107" s="319">
        <v>3</v>
      </c>
      <c r="G107" s="91" t="str">
        <f t="shared" si="14"/>
        <v>PTA80733</v>
      </c>
      <c r="H107" s="90">
        <f t="shared" si="29"/>
        <v>2.0000000000000001E-4</v>
      </c>
      <c r="I107" s="90">
        <f t="shared" si="29"/>
        <v>2</v>
      </c>
      <c r="J107" s="90">
        <f t="shared" si="29"/>
        <v>2.0000000000000001E-4</v>
      </c>
      <c r="K107" s="90">
        <f t="shared" si="29"/>
        <v>2</v>
      </c>
      <c r="L107" s="90">
        <f t="shared" si="29"/>
        <v>2.0000000000000001E-4</v>
      </c>
      <c r="M107" s="90">
        <f t="shared" si="29"/>
        <v>2</v>
      </c>
    </row>
    <row r="108" spans="1:13" x14ac:dyDescent="0.15">
      <c r="A108" s="49" t="s">
        <v>173</v>
      </c>
      <c r="B108" s="49" t="str">
        <f t="shared" si="11"/>
        <v>6001</v>
      </c>
      <c r="C108" s="78" t="str">
        <f t="shared" si="12"/>
        <v>CZCE</v>
      </c>
      <c r="D108" s="78" t="str">
        <f>$C$23</f>
        <v>PTA809</v>
      </c>
      <c r="E108" s="82">
        <v>1</v>
      </c>
      <c r="F108" s="82">
        <v>0</v>
      </c>
      <c r="G108" s="78" t="str">
        <f t="shared" si="14"/>
        <v>PTA80910</v>
      </c>
      <c r="H108" s="75">
        <v>5.0000000000000001E-4</v>
      </c>
      <c r="I108" s="75">
        <v>5</v>
      </c>
      <c r="J108" s="78">
        <v>4.0000000000000002E-4</v>
      </c>
      <c r="K108" s="78">
        <v>4</v>
      </c>
      <c r="L108" s="1">
        <v>2.0000000000000001E-4</v>
      </c>
      <c r="M108" s="1">
        <v>2</v>
      </c>
    </row>
    <row r="109" spans="1:13" x14ac:dyDescent="0.15">
      <c r="A109" s="49" t="s">
        <v>173</v>
      </c>
      <c r="B109" s="49" t="str">
        <f t="shared" si="11"/>
        <v>6001</v>
      </c>
      <c r="C109" s="78" t="str">
        <f t="shared" si="12"/>
        <v>CZCE</v>
      </c>
      <c r="D109" s="78" t="str">
        <f t="shared" ref="D109:D115" si="30">$C$23</f>
        <v>PTA809</v>
      </c>
      <c r="E109" s="82">
        <v>1</v>
      </c>
      <c r="F109" s="82">
        <v>1</v>
      </c>
      <c r="G109" s="78" t="str">
        <f t="shared" si="14"/>
        <v>PTA80911</v>
      </c>
      <c r="H109" s="75">
        <v>4.0000000000000002E-4</v>
      </c>
      <c r="I109" s="75">
        <v>4</v>
      </c>
      <c r="J109" s="78">
        <v>2.9999999999999997E-4</v>
      </c>
      <c r="K109" s="78">
        <v>3</v>
      </c>
      <c r="L109" s="1">
        <v>2.0000000000000001E-4</v>
      </c>
      <c r="M109" s="1">
        <v>2</v>
      </c>
    </row>
    <row r="110" spans="1:13" x14ac:dyDescent="0.15">
      <c r="A110" s="49" t="s">
        <v>173</v>
      </c>
      <c r="B110" s="49" t="str">
        <f t="shared" si="11"/>
        <v>6001</v>
      </c>
      <c r="C110" s="78" t="str">
        <f t="shared" si="12"/>
        <v>CZCE</v>
      </c>
      <c r="D110" s="78" t="str">
        <f t="shared" si="30"/>
        <v>PTA809</v>
      </c>
      <c r="E110" s="82">
        <v>1</v>
      </c>
      <c r="F110" s="82">
        <v>2</v>
      </c>
      <c r="G110" s="78" t="str">
        <f t="shared" si="14"/>
        <v>PTA80912</v>
      </c>
      <c r="H110" s="75">
        <v>2.9999999999999997E-4</v>
      </c>
      <c r="I110" s="75">
        <v>3</v>
      </c>
      <c r="J110" s="78">
        <v>2.0000000000000001E-4</v>
      </c>
      <c r="K110" s="78">
        <v>2</v>
      </c>
      <c r="L110" s="1">
        <v>2.0000000000000001E-4</v>
      </c>
      <c r="M110" s="1">
        <v>2</v>
      </c>
    </row>
    <row r="111" spans="1:13" x14ac:dyDescent="0.15">
      <c r="A111" s="49" t="s">
        <v>173</v>
      </c>
      <c r="B111" s="49" t="str">
        <f t="shared" si="11"/>
        <v>6001</v>
      </c>
      <c r="C111" s="78" t="str">
        <f t="shared" si="12"/>
        <v>CZCE</v>
      </c>
      <c r="D111" s="78" t="str">
        <f t="shared" si="30"/>
        <v>PTA809</v>
      </c>
      <c r="E111" s="82">
        <v>1</v>
      </c>
      <c r="F111" s="82">
        <v>3</v>
      </c>
      <c r="G111" s="78" t="str">
        <f t="shared" si="14"/>
        <v>PTA80913</v>
      </c>
      <c r="H111" s="75">
        <v>2.0000000000000001E-4</v>
      </c>
      <c r="I111" s="75">
        <v>2</v>
      </c>
      <c r="J111" s="78">
        <v>1E-4</v>
      </c>
      <c r="K111" s="78">
        <v>1</v>
      </c>
      <c r="L111" s="1">
        <v>2.0000000000000001E-4</v>
      </c>
      <c r="M111" s="1">
        <v>2</v>
      </c>
    </row>
    <row r="112" spans="1:13" s="16" customFormat="1" x14ac:dyDescent="0.15">
      <c r="A112" s="285" t="s">
        <v>173</v>
      </c>
      <c r="B112" s="285" t="str">
        <f t="shared" si="11"/>
        <v>6001</v>
      </c>
      <c r="C112" s="91" t="str">
        <f t="shared" si="12"/>
        <v>CZCE</v>
      </c>
      <c r="D112" s="91" t="str">
        <f t="shared" si="30"/>
        <v>PTA809</v>
      </c>
      <c r="E112" s="319">
        <v>3</v>
      </c>
      <c r="F112" s="319">
        <v>0</v>
      </c>
      <c r="G112" s="91" t="str">
        <f t="shared" si="14"/>
        <v>PTA80930</v>
      </c>
      <c r="H112" s="90">
        <f>H104</f>
        <v>5.0000000000000001E-4</v>
      </c>
      <c r="I112" s="90">
        <f t="shared" ref="I112:M112" si="31">I104</f>
        <v>5</v>
      </c>
      <c r="J112" s="90">
        <f t="shared" si="31"/>
        <v>5.0000000000000001E-4</v>
      </c>
      <c r="K112" s="90">
        <f t="shared" si="31"/>
        <v>5</v>
      </c>
      <c r="L112" s="90">
        <f t="shared" si="31"/>
        <v>2.0000000000000001E-4</v>
      </c>
      <c r="M112" s="90">
        <f t="shared" si="31"/>
        <v>2</v>
      </c>
    </row>
    <row r="113" spans="1:13" s="16" customFormat="1" x14ac:dyDescent="0.15">
      <c r="A113" s="285" t="s">
        <v>173</v>
      </c>
      <c r="B113" s="285" t="str">
        <f t="shared" si="11"/>
        <v>6001</v>
      </c>
      <c r="C113" s="91" t="str">
        <f t="shared" si="12"/>
        <v>CZCE</v>
      </c>
      <c r="D113" s="91" t="str">
        <f t="shared" si="30"/>
        <v>PTA809</v>
      </c>
      <c r="E113" s="319">
        <v>3</v>
      </c>
      <c r="F113" s="319">
        <v>1</v>
      </c>
      <c r="G113" s="91" t="str">
        <f t="shared" si="14"/>
        <v>PTA80931</v>
      </c>
      <c r="H113" s="90">
        <f t="shared" ref="H113:M115" si="32">H105</f>
        <v>4.0000000000000002E-4</v>
      </c>
      <c r="I113" s="90">
        <f t="shared" si="32"/>
        <v>4</v>
      </c>
      <c r="J113" s="90">
        <f t="shared" si="32"/>
        <v>3.9999999999999996E-4</v>
      </c>
      <c r="K113" s="90">
        <f t="shared" si="32"/>
        <v>4</v>
      </c>
      <c r="L113" s="90">
        <f t="shared" si="32"/>
        <v>2.0000000000000001E-4</v>
      </c>
      <c r="M113" s="90">
        <f t="shared" si="32"/>
        <v>2</v>
      </c>
    </row>
    <row r="114" spans="1:13" s="16" customFormat="1" x14ac:dyDescent="0.15">
      <c r="A114" s="285" t="s">
        <v>173</v>
      </c>
      <c r="B114" s="285" t="str">
        <f t="shared" si="11"/>
        <v>6001</v>
      </c>
      <c r="C114" s="91" t="str">
        <f t="shared" si="12"/>
        <v>CZCE</v>
      </c>
      <c r="D114" s="91" t="str">
        <f t="shared" si="30"/>
        <v>PTA809</v>
      </c>
      <c r="E114" s="319">
        <v>3</v>
      </c>
      <c r="F114" s="319">
        <v>2</v>
      </c>
      <c r="G114" s="91" t="str">
        <f t="shared" si="14"/>
        <v>PTA80932</v>
      </c>
      <c r="H114" s="90">
        <f t="shared" si="32"/>
        <v>2.9999999999999997E-4</v>
      </c>
      <c r="I114" s="90">
        <f t="shared" si="32"/>
        <v>3</v>
      </c>
      <c r="J114" s="90">
        <f t="shared" si="32"/>
        <v>3.0000000000000003E-4</v>
      </c>
      <c r="K114" s="90">
        <f t="shared" si="32"/>
        <v>3</v>
      </c>
      <c r="L114" s="90">
        <f t="shared" si="32"/>
        <v>2.0000000000000001E-4</v>
      </c>
      <c r="M114" s="90">
        <f t="shared" si="32"/>
        <v>2</v>
      </c>
    </row>
    <row r="115" spans="1:13" s="16" customFormat="1" x14ac:dyDescent="0.15">
      <c r="A115" s="285" t="s">
        <v>237</v>
      </c>
      <c r="B115" s="285" t="str">
        <f t="shared" si="11"/>
        <v>6001</v>
      </c>
      <c r="C115" s="91" t="str">
        <f t="shared" si="12"/>
        <v>CZCE</v>
      </c>
      <c r="D115" s="91" t="str">
        <f t="shared" si="30"/>
        <v>PTA809</v>
      </c>
      <c r="E115" s="319">
        <v>3</v>
      </c>
      <c r="F115" s="319">
        <v>3</v>
      </c>
      <c r="G115" s="91" t="str">
        <f t="shared" si="14"/>
        <v>PTA80933</v>
      </c>
      <c r="H115" s="90">
        <f t="shared" si="32"/>
        <v>2.0000000000000001E-4</v>
      </c>
      <c r="I115" s="90">
        <f t="shared" si="32"/>
        <v>2</v>
      </c>
      <c r="J115" s="90">
        <f t="shared" si="32"/>
        <v>2.0000000000000001E-4</v>
      </c>
      <c r="K115" s="90">
        <f t="shared" si="32"/>
        <v>2</v>
      </c>
      <c r="L115" s="90">
        <f t="shared" si="32"/>
        <v>2.0000000000000001E-4</v>
      </c>
      <c r="M115" s="90">
        <f t="shared" si="32"/>
        <v>2</v>
      </c>
    </row>
    <row r="116" spans="1:13" x14ac:dyDescent="0.15">
      <c r="A116" s="49" t="s">
        <v>173</v>
      </c>
      <c r="B116" s="72" t="s">
        <v>216</v>
      </c>
      <c r="C116" s="73"/>
      <c r="D116" s="73"/>
      <c r="E116" s="73"/>
      <c r="F116" s="73" t="s">
        <v>221</v>
      </c>
      <c r="G116" s="74"/>
      <c r="H116" s="74"/>
      <c r="I116" s="69"/>
      <c r="J116" s="74"/>
    </row>
    <row r="117" spans="1:13" x14ac:dyDescent="0.15">
      <c r="A117" s="49" t="s">
        <v>173</v>
      </c>
      <c r="B117" s="65" t="s">
        <v>0</v>
      </c>
      <c r="C117" s="65" t="s">
        <v>198</v>
      </c>
      <c r="D117" s="65" t="s">
        <v>57</v>
      </c>
      <c r="E117" s="65" t="s">
        <v>199</v>
      </c>
      <c r="F117" s="65" t="s">
        <v>204</v>
      </c>
      <c r="G117" s="65" t="s">
        <v>200</v>
      </c>
      <c r="H117" s="65" t="s">
        <v>217</v>
      </c>
      <c r="I117" s="66" t="s">
        <v>218</v>
      </c>
      <c r="J117" s="65" t="s">
        <v>219</v>
      </c>
      <c r="K117" s="65" t="s">
        <v>220</v>
      </c>
      <c r="L117" s="49" t="s">
        <v>1088</v>
      </c>
      <c r="M117" s="49" t="s">
        <v>1089</v>
      </c>
    </row>
    <row r="118" spans="1:13" x14ac:dyDescent="0.15">
      <c r="A118" s="49" t="s">
        <v>173</v>
      </c>
      <c r="B118" s="80" t="str">
        <f>$B$5</f>
        <v>6001</v>
      </c>
      <c r="C118" s="80" t="str">
        <f>$B$19</f>
        <v>CZCE</v>
      </c>
      <c r="D118" s="80" t="str">
        <f>$C$27</f>
        <v>SR807C6500</v>
      </c>
      <c r="E118" s="79">
        <v>1</v>
      </c>
      <c r="F118" s="79">
        <v>0</v>
      </c>
      <c r="G118" s="80" t="str">
        <f>D118&amp;E118&amp;F118</f>
        <v>SR807C650010</v>
      </c>
      <c r="H118" s="89">
        <v>5.0000000000000001E-4</v>
      </c>
      <c r="I118" s="89">
        <v>5</v>
      </c>
      <c r="J118" s="89">
        <v>4.0000000000000002E-4</v>
      </c>
      <c r="K118" s="89">
        <v>4</v>
      </c>
      <c r="L118" s="1">
        <v>2.0000000000000001E-4</v>
      </c>
      <c r="M118" s="1">
        <v>2</v>
      </c>
    </row>
    <row r="119" spans="1:13" x14ac:dyDescent="0.15">
      <c r="A119" s="49" t="s">
        <v>173</v>
      </c>
      <c r="B119" s="80" t="str">
        <f t="shared" ref="B119:B146" si="33">$B$5</f>
        <v>6001</v>
      </c>
      <c r="C119" s="80" t="str">
        <f t="shared" ref="C119:C146" si="34">$B$19</f>
        <v>CZCE</v>
      </c>
      <c r="D119" s="80" t="str">
        <f t="shared" ref="D119:D127" si="35">$C$27</f>
        <v>SR807C6500</v>
      </c>
      <c r="E119" s="79">
        <v>1</v>
      </c>
      <c r="F119" s="79">
        <v>1</v>
      </c>
      <c r="G119" s="80" t="str">
        <f t="shared" ref="G119:G187" si="36">D119&amp;E119&amp;F119</f>
        <v>SR807C650011</v>
      </c>
      <c r="H119" s="89">
        <v>4.0000000000000002E-4</v>
      </c>
      <c r="I119" s="89">
        <v>4</v>
      </c>
      <c r="J119" s="89">
        <v>2.9999999999999997E-4</v>
      </c>
      <c r="K119" s="89">
        <v>3</v>
      </c>
      <c r="L119" s="1">
        <v>2.0000000000000001E-4</v>
      </c>
      <c r="M119" s="1">
        <v>2</v>
      </c>
    </row>
    <row r="120" spans="1:13" x14ac:dyDescent="0.15">
      <c r="A120" s="49" t="s">
        <v>173</v>
      </c>
      <c r="B120" s="80" t="str">
        <f t="shared" si="33"/>
        <v>6001</v>
      </c>
      <c r="C120" s="80" t="str">
        <f t="shared" si="34"/>
        <v>CZCE</v>
      </c>
      <c r="D120" s="80" t="str">
        <f t="shared" si="35"/>
        <v>SR807C6500</v>
      </c>
      <c r="E120" s="79">
        <v>1</v>
      </c>
      <c r="F120" s="79">
        <v>3</v>
      </c>
      <c r="G120" s="80" t="str">
        <f t="shared" si="36"/>
        <v>SR807C650013</v>
      </c>
      <c r="H120" s="89">
        <v>2.0000000000000001E-4</v>
      </c>
      <c r="I120" s="89">
        <v>2</v>
      </c>
      <c r="J120" s="89">
        <v>1E-4</v>
      </c>
      <c r="K120" s="89">
        <v>1</v>
      </c>
      <c r="L120" s="1">
        <v>2.0000000000000001E-4</v>
      </c>
      <c r="M120" s="1">
        <v>2</v>
      </c>
    </row>
    <row r="121" spans="1:13" x14ac:dyDescent="0.15">
      <c r="A121" s="49" t="s">
        <v>173</v>
      </c>
      <c r="B121" s="80" t="str">
        <f t="shared" si="33"/>
        <v>6001</v>
      </c>
      <c r="C121" s="80" t="str">
        <f t="shared" si="34"/>
        <v>CZCE</v>
      </c>
      <c r="D121" s="80" t="str">
        <f t="shared" si="35"/>
        <v>SR807C6500</v>
      </c>
      <c r="E121" s="79">
        <v>1</v>
      </c>
      <c r="F121" s="79">
        <v>4</v>
      </c>
      <c r="G121" s="80" t="str">
        <f t="shared" si="36"/>
        <v>SR807C650014</v>
      </c>
      <c r="H121" s="89">
        <v>4.2000000000000002E-4</v>
      </c>
      <c r="I121" s="89">
        <v>4.2</v>
      </c>
      <c r="J121" s="89">
        <v>3.2000000000000003E-4</v>
      </c>
      <c r="K121" s="89">
        <v>3.2</v>
      </c>
      <c r="L121" s="1">
        <v>2.0000000000000001E-4</v>
      </c>
      <c r="M121" s="1">
        <v>2</v>
      </c>
    </row>
    <row r="122" spans="1:13" x14ac:dyDescent="0.15">
      <c r="A122" s="49" t="s">
        <v>173</v>
      </c>
      <c r="B122" s="80" t="str">
        <f t="shared" si="33"/>
        <v>6001</v>
      </c>
      <c r="C122" s="80" t="str">
        <f t="shared" si="34"/>
        <v>CZCE</v>
      </c>
      <c r="D122" s="80" t="str">
        <f t="shared" si="35"/>
        <v>SR807C6500</v>
      </c>
      <c r="E122" s="79">
        <v>1</v>
      </c>
      <c r="F122" s="79">
        <v>5</v>
      </c>
      <c r="G122" s="80" t="str">
        <f t="shared" si="36"/>
        <v>SR807C650015</v>
      </c>
      <c r="H122" s="89">
        <v>4.4999999999999999E-4</v>
      </c>
      <c r="I122" s="89">
        <v>4.5</v>
      </c>
      <c r="J122" s="89">
        <v>3.5E-4</v>
      </c>
      <c r="K122" s="89">
        <v>3.5</v>
      </c>
      <c r="L122" s="1">
        <v>2.0000000000000001E-4</v>
      </c>
      <c r="M122" s="1">
        <v>2</v>
      </c>
    </row>
    <row r="123" spans="1:13" x14ac:dyDescent="0.15">
      <c r="A123" s="49" t="s">
        <v>173</v>
      </c>
      <c r="B123" s="80" t="str">
        <f t="shared" si="33"/>
        <v>6001</v>
      </c>
      <c r="C123" s="80" t="str">
        <f t="shared" si="34"/>
        <v>CZCE</v>
      </c>
      <c r="D123" s="80" t="str">
        <f t="shared" si="35"/>
        <v>SR807C6500</v>
      </c>
      <c r="E123" s="79">
        <v>3</v>
      </c>
      <c r="F123" s="79">
        <v>0</v>
      </c>
      <c r="G123" s="80" t="str">
        <f t="shared" si="36"/>
        <v>SR807C650030</v>
      </c>
      <c r="H123" s="89">
        <f>H118</f>
        <v>5.0000000000000001E-4</v>
      </c>
      <c r="I123" s="89">
        <f>I118</f>
        <v>5</v>
      </c>
      <c r="J123" s="89">
        <f>J118+0.0001</f>
        <v>5.0000000000000001E-4</v>
      </c>
      <c r="K123" s="89">
        <f>K118+1</f>
        <v>5</v>
      </c>
      <c r="L123" s="1">
        <f>L118</f>
        <v>2.0000000000000001E-4</v>
      </c>
      <c r="M123" s="1">
        <f>M118</f>
        <v>2</v>
      </c>
    </row>
    <row r="124" spans="1:13" x14ac:dyDescent="0.15">
      <c r="A124" s="49" t="s">
        <v>173</v>
      </c>
      <c r="B124" s="80" t="str">
        <f t="shared" si="33"/>
        <v>6001</v>
      </c>
      <c r="C124" s="80" t="str">
        <f t="shared" si="34"/>
        <v>CZCE</v>
      </c>
      <c r="D124" s="80" t="str">
        <f t="shared" si="35"/>
        <v>SR807C6500</v>
      </c>
      <c r="E124" s="79">
        <v>3</v>
      </c>
      <c r="F124" s="79">
        <v>1</v>
      </c>
      <c r="G124" s="80" t="str">
        <f t="shared" si="36"/>
        <v>SR807C650031</v>
      </c>
      <c r="H124" s="89">
        <f t="shared" ref="H124:I127" si="37">H119</f>
        <v>4.0000000000000002E-4</v>
      </c>
      <c r="I124" s="89">
        <f t="shared" si="37"/>
        <v>4</v>
      </c>
      <c r="J124" s="89">
        <f t="shared" ref="J124:J127" si="38">J119+0.0001</f>
        <v>3.9999999999999996E-4</v>
      </c>
      <c r="K124" s="89">
        <f t="shared" ref="K124:K127" si="39">K119+1</f>
        <v>4</v>
      </c>
      <c r="L124" s="1">
        <f t="shared" ref="L124:M127" si="40">L119</f>
        <v>2.0000000000000001E-4</v>
      </c>
      <c r="M124" s="1">
        <f t="shared" si="40"/>
        <v>2</v>
      </c>
    </row>
    <row r="125" spans="1:13" x14ac:dyDescent="0.15">
      <c r="A125" s="49" t="s">
        <v>173</v>
      </c>
      <c r="B125" s="80" t="str">
        <f t="shared" si="33"/>
        <v>6001</v>
      </c>
      <c r="C125" s="80" t="str">
        <f t="shared" si="34"/>
        <v>CZCE</v>
      </c>
      <c r="D125" s="80" t="str">
        <f t="shared" si="35"/>
        <v>SR807C6500</v>
      </c>
      <c r="E125" s="79">
        <v>3</v>
      </c>
      <c r="F125" s="79">
        <v>3</v>
      </c>
      <c r="G125" s="80" t="str">
        <f t="shared" si="36"/>
        <v>SR807C650033</v>
      </c>
      <c r="H125" s="89">
        <f t="shared" si="37"/>
        <v>2.0000000000000001E-4</v>
      </c>
      <c r="I125" s="89">
        <f t="shared" si="37"/>
        <v>2</v>
      </c>
      <c r="J125" s="89">
        <f t="shared" si="38"/>
        <v>2.0000000000000001E-4</v>
      </c>
      <c r="K125" s="89">
        <f t="shared" si="39"/>
        <v>2</v>
      </c>
      <c r="L125" s="1">
        <f t="shared" si="40"/>
        <v>2.0000000000000001E-4</v>
      </c>
      <c r="M125" s="1">
        <f t="shared" si="40"/>
        <v>2</v>
      </c>
    </row>
    <row r="126" spans="1:13" x14ac:dyDescent="0.15">
      <c r="A126" s="49" t="s">
        <v>173</v>
      </c>
      <c r="B126" s="80" t="str">
        <f t="shared" si="33"/>
        <v>6001</v>
      </c>
      <c r="C126" s="80" t="str">
        <f t="shared" si="34"/>
        <v>CZCE</v>
      </c>
      <c r="D126" s="80" t="str">
        <f t="shared" si="35"/>
        <v>SR807C6500</v>
      </c>
      <c r="E126" s="79">
        <v>3</v>
      </c>
      <c r="F126" s="79">
        <v>4</v>
      </c>
      <c r="G126" s="80" t="str">
        <f t="shared" si="36"/>
        <v>SR807C650034</v>
      </c>
      <c r="H126" s="89">
        <f t="shared" si="37"/>
        <v>4.2000000000000002E-4</v>
      </c>
      <c r="I126" s="89">
        <f t="shared" si="37"/>
        <v>4.2</v>
      </c>
      <c r="J126" s="89">
        <f t="shared" si="38"/>
        <v>4.2000000000000002E-4</v>
      </c>
      <c r="K126" s="89">
        <f t="shared" si="39"/>
        <v>4.2</v>
      </c>
      <c r="L126" s="1">
        <f t="shared" si="40"/>
        <v>2.0000000000000001E-4</v>
      </c>
      <c r="M126" s="1">
        <f t="shared" si="40"/>
        <v>2</v>
      </c>
    </row>
    <row r="127" spans="1:13" x14ac:dyDescent="0.15">
      <c r="A127" s="49" t="s">
        <v>173</v>
      </c>
      <c r="B127" s="80" t="str">
        <f t="shared" si="33"/>
        <v>6001</v>
      </c>
      <c r="C127" s="80" t="str">
        <f t="shared" si="34"/>
        <v>CZCE</v>
      </c>
      <c r="D127" s="80" t="str">
        <f t="shared" si="35"/>
        <v>SR807C6500</v>
      </c>
      <c r="E127" s="79">
        <v>3</v>
      </c>
      <c r="F127" s="79">
        <v>5</v>
      </c>
      <c r="G127" s="80" t="str">
        <f t="shared" si="36"/>
        <v>SR807C650035</v>
      </c>
      <c r="H127" s="89">
        <f t="shared" si="37"/>
        <v>4.4999999999999999E-4</v>
      </c>
      <c r="I127" s="89">
        <f t="shared" si="37"/>
        <v>4.5</v>
      </c>
      <c r="J127" s="89">
        <f t="shared" si="38"/>
        <v>4.4999999999999999E-4</v>
      </c>
      <c r="K127" s="89">
        <f t="shared" si="39"/>
        <v>4.5</v>
      </c>
      <c r="L127" s="1">
        <f t="shared" si="40"/>
        <v>2.0000000000000001E-4</v>
      </c>
      <c r="M127" s="1">
        <f t="shared" si="40"/>
        <v>2</v>
      </c>
    </row>
    <row r="128" spans="1:13" x14ac:dyDescent="0.15">
      <c r="A128" s="49" t="s">
        <v>173</v>
      </c>
      <c r="B128" s="80" t="str">
        <f t="shared" si="33"/>
        <v>6001</v>
      </c>
      <c r="C128" s="80" t="str">
        <f t="shared" si="34"/>
        <v>CZCE</v>
      </c>
      <c r="D128" s="72" t="str">
        <f xml:space="preserve"> $C$28</f>
        <v>SR807P6500</v>
      </c>
      <c r="E128" s="79">
        <v>1</v>
      </c>
      <c r="F128" s="79">
        <v>0</v>
      </c>
      <c r="G128" s="80" t="str">
        <f t="shared" si="36"/>
        <v>SR807P650010</v>
      </c>
      <c r="H128" s="66">
        <v>5.0000000000000001E-4</v>
      </c>
      <c r="I128" s="66">
        <v>5</v>
      </c>
      <c r="J128" s="66">
        <f>J118</f>
        <v>4.0000000000000002E-4</v>
      </c>
      <c r="K128" s="66">
        <f>K118</f>
        <v>4</v>
      </c>
      <c r="L128" s="1">
        <v>2.0000000000000001E-4</v>
      </c>
      <c r="M128" s="1">
        <v>2</v>
      </c>
    </row>
    <row r="129" spans="1:13" x14ac:dyDescent="0.15">
      <c r="A129" s="49" t="s">
        <v>173</v>
      </c>
      <c r="B129" s="80" t="str">
        <f t="shared" si="33"/>
        <v>6001</v>
      </c>
      <c r="C129" s="80" t="str">
        <f t="shared" si="34"/>
        <v>CZCE</v>
      </c>
      <c r="D129" s="72" t="str">
        <f t="shared" ref="D129:D137" si="41" xml:space="preserve"> $C$28</f>
        <v>SR807P6500</v>
      </c>
      <c r="E129" s="79">
        <v>1</v>
      </c>
      <c r="F129" s="79">
        <v>1</v>
      </c>
      <c r="G129" s="80" t="str">
        <f t="shared" si="36"/>
        <v>SR807P650011</v>
      </c>
      <c r="H129" s="66">
        <v>4.0000000000000002E-4</v>
      </c>
      <c r="I129" s="66">
        <v>4</v>
      </c>
      <c r="J129" s="66">
        <f t="shared" ref="J129:K129" si="42">J119</f>
        <v>2.9999999999999997E-4</v>
      </c>
      <c r="K129" s="66">
        <f t="shared" si="42"/>
        <v>3</v>
      </c>
      <c r="L129" s="1">
        <v>2.0000000000000001E-4</v>
      </c>
      <c r="M129" s="1">
        <v>2</v>
      </c>
    </row>
    <row r="130" spans="1:13" x14ac:dyDescent="0.15">
      <c r="A130" s="49" t="s">
        <v>173</v>
      </c>
      <c r="B130" s="80" t="str">
        <f t="shared" si="33"/>
        <v>6001</v>
      </c>
      <c r="C130" s="80" t="str">
        <f t="shared" si="34"/>
        <v>CZCE</v>
      </c>
      <c r="D130" s="72" t="str">
        <f t="shared" si="41"/>
        <v>SR807P6500</v>
      </c>
      <c r="E130" s="79">
        <v>1</v>
      </c>
      <c r="F130" s="79">
        <v>3</v>
      </c>
      <c r="G130" s="80" t="str">
        <f t="shared" si="36"/>
        <v>SR807P650013</v>
      </c>
      <c r="H130" s="66">
        <v>2.0000000000000001E-4</v>
      </c>
      <c r="I130" s="66">
        <v>2</v>
      </c>
      <c r="J130" s="66">
        <f t="shared" ref="J130:K130" si="43">J120</f>
        <v>1E-4</v>
      </c>
      <c r="K130" s="66">
        <f t="shared" si="43"/>
        <v>1</v>
      </c>
      <c r="L130" s="1">
        <v>2.0000000000000001E-4</v>
      </c>
      <c r="M130" s="1">
        <v>2</v>
      </c>
    </row>
    <row r="131" spans="1:13" x14ac:dyDescent="0.15">
      <c r="A131" s="49" t="s">
        <v>173</v>
      </c>
      <c r="B131" s="80" t="str">
        <f t="shared" si="33"/>
        <v>6001</v>
      </c>
      <c r="C131" s="80" t="str">
        <f t="shared" si="34"/>
        <v>CZCE</v>
      </c>
      <c r="D131" s="72" t="str">
        <f t="shared" si="41"/>
        <v>SR807P6500</v>
      </c>
      <c r="E131" s="79">
        <v>1</v>
      </c>
      <c r="F131" s="79">
        <v>4</v>
      </c>
      <c r="G131" s="80" t="str">
        <f t="shared" si="36"/>
        <v>SR807P650014</v>
      </c>
      <c r="H131" s="66">
        <v>4.2000000000000002E-4</v>
      </c>
      <c r="I131" s="66">
        <v>4.2</v>
      </c>
      <c r="J131" s="66">
        <f t="shared" ref="J131:K131" si="44">J121</f>
        <v>3.2000000000000003E-4</v>
      </c>
      <c r="K131" s="66">
        <f t="shared" si="44"/>
        <v>3.2</v>
      </c>
      <c r="L131" s="1">
        <v>2.0000000000000001E-4</v>
      </c>
      <c r="M131" s="1">
        <v>2</v>
      </c>
    </row>
    <row r="132" spans="1:13" x14ac:dyDescent="0.15">
      <c r="A132" s="49" t="s">
        <v>173</v>
      </c>
      <c r="B132" s="80" t="str">
        <f t="shared" si="33"/>
        <v>6001</v>
      </c>
      <c r="C132" s="80" t="str">
        <f t="shared" si="34"/>
        <v>CZCE</v>
      </c>
      <c r="D132" s="72" t="str">
        <f t="shared" si="41"/>
        <v>SR807P6500</v>
      </c>
      <c r="E132" s="79">
        <v>1</v>
      </c>
      <c r="F132" s="79">
        <v>5</v>
      </c>
      <c r="G132" s="80" t="str">
        <f t="shared" si="36"/>
        <v>SR807P650015</v>
      </c>
      <c r="H132" s="66">
        <v>4.4999999999999999E-4</v>
      </c>
      <c r="I132" s="66">
        <v>4.5</v>
      </c>
      <c r="J132" s="66">
        <f t="shared" ref="J132:K132" si="45">J122</f>
        <v>3.5E-4</v>
      </c>
      <c r="K132" s="66">
        <f t="shared" si="45"/>
        <v>3.5</v>
      </c>
      <c r="L132" s="1">
        <v>2.0000000000000001E-4</v>
      </c>
      <c r="M132" s="1">
        <v>2</v>
      </c>
    </row>
    <row r="133" spans="1:13" s="21" customFormat="1" x14ac:dyDescent="0.15">
      <c r="A133" s="315" t="s">
        <v>173</v>
      </c>
      <c r="B133" s="316" t="str">
        <f t="shared" si="33"/>
        <v>6001</v>
      </c>
      <c r="C133" s="316" t="str">
        <f t="shared" si="34"/>
        <v>CZCE</v>
      </c>
      <c r="D133" s="317" t="str">
        <f t="shared" si="41"/>
        <v>SR807P6500</v>
      </c>
      <c r="E133" s="318">
        <v>3</v>
      </c>
      <c r="F133" s="318">
        <v>0</v>
      </c>
      <c r="G133" s="316" t="str">
        <f t="shared" si="36"/>
        <v>SR807P650030</v>
      </c>
      <c r="H133" s="66">
        <f>H123</f>
        <v>5.0000000000000001E-4</v>
      </c>
      <c r="I133" s="66">
        <f>I123</f>
        <v>5</v>
      </c>
      <c r="J133" s="89">
        <f>J128+0.0001</f>
        <v>5.0000000000000001E-4</v>
      </c>
      <c r="K133" s="89">
        <f>K123</f>
        <v>5</v>
      </c>
      <c r="L133" s="21">
        <f>L122</f>
        <v>2.0000000000000001E-4</v>
      </c>
      <c r="M133" s="21">
        <f>M122</f>
        <v>2</v>
      </c>
    </row>
    <row r="134" spans="1:13" s="21" customFormat="1" x14ac:dyDescent="0.15">
      <c r="A134" s="315" t="s">
        <v>173</v>
      </c>
      <c r="B134" s="316" t="str">
        <f t="shared" si="33"/>
        <v>6001</v>
      </c>
      <c r="C134" s="316" t="str">
        <f t="shared" si="34"/>
        <v>CZCE</v>
      </c>
      <c r="D134" s="317" t="str">
        <f t="shared" si="41"/>
        <v>SR807P6500</v>
      </c>
      <c r="E134" s="318">
        <v>3</v>
      </c>
      <c r="F134" s="318">
        <v>1</v>
      </c>
      <c r="G134" s="316" t="str">
        <f t="shared" si="36"/>
        <v>SR807P650031</v>
      </c>
      <c r="H134" s="66">
        <f t="shared" ref="H134:I137" si="46">H124</f>
        <v>4.0000000000000002E-4</v>
      </c>
      <c r="I134" s="66">
        <f t="shared" si="46"/>
        <v>4</v>
      </c>
      <c r="J134" s="89">
        <f t="shared" ref="J134:J137" si="47">J129+0.0001</f>
        <v>3.9999999999999996E-4</v>
      </c>
      <c r="K134" s="89">
        <f t="shared" ref="K134:K137" si="48">K124</f>
        <v>4</v>
      </c>
      <c r="L134" s="21">
        <f t="shared" ref="L134:M137" si="49">L123</f>
        <v>2.0000000000000001E-4</v>
      </c>
      <c r="M134" s="21">
        <f t="shared" si="49"/>
        <v>2</v>
      </c>
    </row>
    <row r="135" spans="1:13" s="21" customFormat="1" x14ac:dyDescent="0.15">
      <c r="A135" s="315" t="s">
        <v>173</v>
      </c>
      <c r="B135" s="316" t="str">
        <f t="shared" si="33"/>
        <v>6001</v>
      </c>
      <c r="C135" s="316" t="str">
        <f t="shared" si="34"/>
        <v>CZCE</v>
      </c>
      <c r="D135" s="317" t="str">
        <f t="shared" si="41"/>
        <v>SR807P6500</v>
      </c>
      <c r="E135" s="318">
        <v>3</v>
      </c>
      <c r="F135" s="318">
        <v>3</v>
      </c>
      <c r="G135" s="316" t="str">
        <f t="shared" si="36"/>
        <v>SR807P650033</v>
      </c>
      <c r="H135" s="66">
        <f t="shared" si="46"/>
        <v>2.0000000000000001E-4</v>
      </c>
      <c r="I135" s="66">
        <f t="shared" si="46"/>
        <v>2</v>
      </c>
      <c r="J135" s="89">
        <f t="shared" si="47"/>
        <v>2.0000000000000001E-4</v>
      </c>
      <c r="K135" s="89">
        <f t="shared" si="48"/>
        <v>2</v>
      </c>
      <c r="L135" s="21">
        <f t="shared" si="49"/>
        <v>2.0000000000000001E-4</v>
      </c>
      <c r="M135" s="21">
        <f t="shared" si="49"/>
        <v>2</v>
      </c>
    </row>
    <row r="136" spans="1:13" s="21" customFormat="1" x14ac:dyDescent="0.15">
      <c r="A136" s="315" t="s">
        <v>173</v>
      </c>
      <c r="B136" s="316" t="str">
        <f t="shared" si="33"/>
        <v>6001</v>
      </c>
      <c r="C136" s="316" t="str">
        <f t="shared" si="34"/>
        <v>CZCE</v>
      </c>
      <c r="D136" s="317" t="str">
        <f t="shared" si="41"/>
        <v>SR807P6500</v>
      </c>
      <c r="E136" s="318">
        <v>3</v>
      </c>
      <c r="F136" s="318">
        <v>4</v>
      </c>
      <c r="G136" s="316" t="str">
        <f t="shared" si="36"/>
        <v>SR807P650034</v>
      </c>
      <c r="H136" s="66">
        <f t="shared" si="46"/>
        <v>4.2000000000000002E-4</v>
      </c>
      <c r="I136" s="66">
        <f t="shared" si="46"/>
        <v>4.2</v>
      </c>
      <c r="J136" s="89">
        <f t="shared" si="47"/>
        <v>4.2000000000000002E-4</v>
      </c>
      <c r="K136" s="89">
        <f t="shared" si="48"/>
        <v>4.2</v>
      </c>
      <c r="L136" s="21">
        <f t="shared" si="49"/>
        <v>2.0000000000000001E-4</v>
      </c>
      <c r="M136" s="21">
        <f t="shared" si="49"/>
        <v>2</v>
      </c>
    </row>
    <row r="137" spans="1:13" s="21" customFormat="1" x14ac:dyDescent="0.15">
      <c r="A137" s="315" t="s">
        <v>173</v>
      </c>
      <c r="B137" s="316" t="str">
        <f t="shared" si="33"/>
        <v>6001</v>
      </c>
      <c r="C137" s="316" t="str">
        <f t="shared" si="34"/>
        <v>CZCE</v>
      </c>
      <c r="D137" s="317" t="str">
        <f t="shared" si="41"/>
        <v>SR807P6500</v>
      </c>
      <c r="E137" s="318">
        <v>3</v>
      </c>
      <c r="F137" s="318">
        <v>5</v>
      </c>
      <c r="G137" s="316" t="str">
        <f t="shared" si="36"/>
        <v>SR807P650035</v>
      </c>
      <c r="H137" s="66">
        <f t="shared" si="46"/>
        <v>4.4999999999999999E-4</v>
      </c>
      <c r="I137" s="66">
        <f t="shared" si="46"/>
        <v>4.5</v>
      </c>
      <c r="J137" s="89">
        <f t="shared" si="47"/>
        <v>4.4999999999999999E-4</v>
      </c>
      <c r="K137" s="89">
        <f t="shared" si="48"/>
        <v>4.5</v>
      </c>
      <c r="L137" s="21">
        <f t="shared" si="49"/>
        <v>2.0000000000000001E-4</v>
      </c>
      <c r="M137" s="21">
        <f t="shared" si="49"/>
        <v>2</v>
      </c>
    </row>
    <row r="138" spans="1:13" s="21" customFormat="1" x14ac:dyDescent="0.15">
      <c r="A138" s="315" t="s">
        <v>173</v>
      </c>
      <c r="B138" s="316" t="str">
        <f t="shared" si="33"/>
        <v>6001</v>
      </c>
      <c r="C138" s="316" t="str">
        <f t="shared" si="34"/>
        <v>CZCE</v>
      </c>
      <c r="D138" s="317" t="str">
        <f xml:space="preserve"> $C$29</f>
        <v>SR807P6400</v>
      </c>
      <c r="E138" s="318">
        <v>1</v>
      </c>
      <c r="F138" s="318">
        <v>0</v>
      </c>
      <c r="G138" s="316" t="str">
        <f t="shared" ref="G138:G147" si="50">D138&amp;E138&amp;F138</f>
        <v>SR807P640010</v>
      </c>
      <c r="H138" s="66">
        <v>5.0000000000000001E-4</v>
      </c>
      <c r="I138" s="66">
        <v>5</v>
      </c>
      <c r="J138" s="66">
        <f>J118</f>
        <v>4.0000000000000002E-4</v>
      </c>
      <c r="K138" s="66">
        <f>K118</f>
        <v>4</v>
      </c>
      <c r="L138" s="21">
        <v>2.0000000000000001E-4</v>
      </c>
      <c r="M138" s="21">
        <v>2</v>
      </c>
    </row>
    <row r="139" spans="1:13" s="21" customFormat="1" x14ac:dyDescent="0.15">
      <c r="A139" s="315" t="s">
        <v>173</v>
      </c>
      <c r="B139" s="316" t="str">
        <f t="shared" si="33"/>
        <v>6001</v>
      </c>
      <c r="C139" s="316" t="str">
        <f t="shared" si="34"/>
        <v>CZCE</v>
      </c>
      <c r="D139" s="317" t="str">
        <f t="shared" ref="D139:D146" si="51" xml:space="preserve"> $C$29</f>
        <v>SR807P6400</v>
      </c>
      <c r="E139" s="318">
        <v>1</v>
      </c>
      <c r="F139" s="318">
        <v>1</v>
      </c>
      <c r="G139" s="316" t="str">
        <f t="shared" si="50"/>
        <v>SR807P640011</v>
      </c>
      <c r="H139" s="66">
        <v>4.0000000000000002E-4</v>
      </c>
      <c r="I139" s="66">
        <v>4</v>
      </c>
      <c r="J139" s="66">
        <f t="shared" ref="J139:K139" si="52">J119</f>
        <v>2.9999999999999997E-4</v>
      </c>
      <c r="K139" s="66">
        <f t="shared" si="52"/>
        <v>3</v>
      </c>
      <c r="L139" s="21">
        <v>2.0000000000000001E-4</v>
      </c>
      <c r="M139" s="21">
        <v>2</v>
      </c>
    </row>
    <row r="140" spans="1:13" s="21" customFormat="1" x14ac:dyDescent="0.15">
      <c r="A140" s="315" t="s">
        <v>173</v>
      </c>
      <c r="B140" s="316" t="str">
        <f t="shared" si="33"/>
        <v>6001</v>
      </c>
      <c r="C140" s="316" t="str">
        <f t="shared" si="34"/>
        <v>CZCE</v>
      </c>
      <c r="D140" s="317" t="str">
        <f t="shared" si="51"/>
        <v>SR807P6400</v>
      </c>
      <c r="E140" s="318">
        <v>1</v>
      </c>
      <c r="F140" s="318">
        <v>3</v>
      </c>
      <c r="G140" s="316" t="str">
        <f t="shared" si="50"/>
        <v>SR807P640013</v>
      </c>
      <c r="H140" s="66">
        <v>2.0000000000000001E-4</v>
      </c>
      <c r="I140" s="66">
        <v>2</v>
      </c>
      <c r="J140" s="66">
        <f t="shared" ref="J140:K140" si="53">J120</f>
        <v>1E-4</v>
      </c>
      <c r="K140" s="66">
        <f t="shared" si="53"/>
        <v>1</v>
      </c>
      <c r="L140" s="21">
        <v>2.0000000000000001E-4</v>
      </c>
      <c r="M140" s="21">
        <v>2</v>
      </c>
    </row>
    <row r="141" spans="1:13" s="21" customFormat="1" x14ac:dyDescent="0.15">
      <c r="A141" s="315" t="s">
        <v>173</v>
      </c>
      <c r="B141" s="316" t="str">
        <f t="shared" si="33"/>
        <v>6001</v>
      </c>
      <c r="C141" s="316" t="str">
        <f t="shared" si="34"/>
        <v>CZCE</v>
      </c>
      <c r="D141" s="317" t="str">
        <f t="shared" si="51"/>
        <v>SR807P6400</v>
      </c>
      <c r="E141" s="318">
        <v>1</v>
      </c>
      <c r="F141" s="318">
        <v>4</v>
      </c>
      <c r="G141" s="316" t="str">
        <f t="shared" si="50"/>
        <v>SR807P640014</v>
      </c>
      <c r="H141" s="66">
        <v>4.2000000000000002E-4</v>
      </c>
      <c r="I141" s="66">
        <v>4.2</v>
      </c>
      <c r="J141" s="66">
        <f t="shared" ref="J141:K141" si="54">J121</f>
        <v>3.2000000000000003E-4</v>
      </c>
      <c r="K141" s="66">
        <f t="shared" si="54"/>
        <v>3.2</v>
      </c>
      <c r="L141" s="21">
        <v>2.0000000000000001E-4</v>
      </c>
      <c r="M141" s="21">
        <v>2</v>
      </c>
    </row>
    <row r="142" spans="1:13" s="21" customFormat="1" x14ac:dyDescent="0.15">
      <c r="A142" s="315" t="s">
        <v>173</v>
      </c>
      <c r="B142" s="316" t="str">
        <f t="shared" si="33"/>
        <v>6001</v>
      </c>
      <c r="C142" s="316" t="str">
        <f t="shared" si="34"/>
        <v>CZCE</v>
      </c>
      <c r="D142" s="317" t="str">
        <f t="shared" si="51"/>
        <v>SR807P6400</v>
      </c>
      <c r="E142" s="318">
        <v>1</v>
      </c>
      <c r="F142" s="318">
        <v>5</v>
      </c>
      <c r="G142" s="316" t="str">
        <f t="shared" si="50"/>
        <v>SR807P640015</v>
      </c>
      <c r="H142" s="66">
        <v>4.4999999999999999E-4</v>
      </c>
      <c r="I142" s="66">
        <v>4.5</v>
      </c>
      <c r="J142" s="66">
        <f>J122</f>
        <v>3.5E-4</v>
      </c>
      <c r="K142" s="66">
        <f>K122</f>
        <v>3.5</v>
      </c>
      <c r="L142" s="21">
        <v>2.0000000000000001E-4</v>
      </c>
      <c r="M142" s="21">
        <v>2</v>
      </c>
    </row>
    <row r="143" spans="1:13" s="21" customFormat="1" x14ac:dyDescent="0.15">
      <c r="A143" s="315" t="s">
        <v>173</v>
      </c>
      <c r="B143" s="316" t="str">
        <f t="shared" si="33"/>
        <v>6001</v>
      </c>
      <c r="C143" s="316" t="str">
        <f t="shared" si="34"/>
        <v>CZCE</v>
      </c>
      <c r="D143" s="317" t="str">
        <f t="shared" si="51"/>
        <v>SR807P6400</v>
      </c>
      <c r="E143" s="318">
        <v>3</v>
      </c>
      <c r="F143" s="318">
        <v>0</v>
      </c>
      <c r="G143" s="316" t="str">
        <f t="shared" si="50"/>
        <v>SR807P640030</v>
      </c>
      <c r="H143" s="66">
        <f>H133</f>
        <v>5.0000000000000001E-4</v>
      </c>
      <c r="I143" s="66">
        <f t="shared" ref="I143:M143" si="55">I133</f>
        <v>5</v>
      </c>
      <c r="J143" s="66">
        <f>J133</f>
        <v>5.0000000000000001E-4</v>
      </c>
      <c r="K143" s="66">
        <f t="shared" si="55"/>
        <v>5</v>
      </c>
      <c r="L143" s="66">
        <f t="shared" si="55"/>
        <v>2.0000000000000001E-4</v>
      </c>
      <c r="M143" s="66">
        <f t="shared" si="55"/>
        <v>2</v>
      </c>
    </row>
    <row r="144" spans="1:13" s="21" customFormat="1" x14ac:dyDescent="0.15">
      <c r="A144" s="315" t="s">
        <v>173</v>
      </c>
      <c r="B144" s="316" t="str">
        <f t="shared" si="33"/>
        <v>6001</v>
      </c>
      <c r="C144" s="316" t="str">
        <f t="shared" si="34"/>
        <v>CZCE</v>
      </c>
      <c r="D144" s="317" t="str">
        <f t="shared" si="51"/>
        <v>SR807P6400</v>
      </c>
      <c r="E144" s="318">
        <v>3</v>
      </c>
      <c r="F144" s="318">
        <v>1</v>
      </c>
      <c r="G144" s="316" t="str">
        <f t="shared" si="50"/>
        <v>SR807P640031</v>
      </c>
      <c r="H144" s="66">
        <f t="shared" ref="H144:M147" si="56">H134</f>
        <v>4.0000000000000002E-4</v>
      </c>
      <c r="I144" s="66">
        <f t="shared" si="56"/>
        <v>4</v>
      </c>
      <c r="J144" s="66">
        <f t="shared" si="56"/>
        <v>3.9999999999999996E-4</v>
      </c>
      <c r="K144" s="66">
        <f t="shared" si="56"/>
        <v>4</v>
      </c>
      <c r="L144" s="66">
        <f t="shared" si="56"/>
        <v>2.0000000000000001E-4</v>
      </c>
      <c r="M144" s="66">
        <f t="shared" si="56"/>
        <v>2</v>
      </c>
    </row>
    <row r="145" spans="1:13" s="21" customFormat="1" x14ac:dyDescent="0.15">
      <c r="A145" s="315" t="s">
        <v>173</v>
      </c>
      <c r="B145" s="316" t="str">
        <f t="shared" si="33"/>
        <v>6001</v>
      </c>
      <c r="C145" s="316" t="str">
        <f t="shared" si="34"/>
        <v>CZCE</v>
      </c>
      <c r="D145" s="317" t="str">
        <f t="shared" si="51"/>
        <v>SR807P6400</v>
      </c>
      <c r="E145" s="318">
        <v>3</v>
      </c>
      <c r="F145" s="318">
        <v>3</v>
      </c>
      <c r="G145" s="316" t="str">
        <f t="shared" si="50"/>
        <v>SR807P640033</v>
      </c>
      <c r="H145" s="66">
        <f t="shared" si="56"/>
        <v>2.0000000000000001E-4</v>
      </c>
      <c r="I145" s="66">
        <f t="shared" si="56"/>
        <v>2</v>
      </c>
      <c r="J145" s="66">
        <f t="shared" si="56"/>
        <v>2.0000000000000001E-4</v>
      </c>
      <c r="K145" s="66">
        <f t="shared" si="56"/>
        <v>2</v>
      </c>
      <c r="L145" s="66">
        <f t="shared" si="56"/>
        <v>2.0000000000000001E-4</v>
      </c>
      <c r="M145" s="66">
        <f t="shared" si="56"/>
        <v>2</v>
      </c>
    </row>
    <row r="146" spans="1:13" s="21" customFormat="1" x14ac:dyDescent="0.15">
      <c r="A146" s="315" t="s">
        <v>173</v>
      </c>
      <c r="B146" s="316" t="str">
        <f t="shared" si="33"/>
        <v>6001</v>
      </c>
      <c r="C146" s="316" t="str">
        <f t="shared" si="34"/>
        <v>CZCE</v>
      </c>
      <c r="D146" s="317" t="str">
        <f t="shared" si="51"/>
        <v>SR807P6400</v>
      </c>
      <c r="E146" s="318">
        <v>3</v>
      </c>
      <c r="F146" s="318">
        <v>4</v>
      </c>
      <c r="G146" s="316" t="str">
        <f t="shared" si="50"/>
        <v>SR807P640034</v>
      </c>
      <c r="H146" s="66">
        <f t="shared" si="56"/>
        <v>4.2000000000000002E-4</v>
      </c>
      <c r="I146" s="66">
        <f t="shared" si="56"/>
        <v>4.2</v>
      </c>
      <c r="J146" s="66">
        <f t="shared" si="56"/>
        <v>4.2000000000000002E-4</v>
      </c>
      <c r="K146" s="66">
        <f t="shared" si="56"/>
        <v>4.2</v>
      </c>
      <c r="L146" s="66">
        <f t="shared" si="56"/>
        <v>2.0000000000000001E-4</v>
      </c>
      <c r="M146" s="66">
        <f t="shared" si="56"/>
        <v>2</v>
      </c>
    </row>
    <row r="147" spans="1:13" s="21" customFormat="1" x14ac:dyDescent="0.15">
      <c r="A147" s="315" t="s">
        <v>173</v>
      </c>
      <c r="B147" s="316" t="str">
        <f>$B$5</f>
        <v>6001</v>
      </c>
      <c r="C147" s="316" t="str">
        <f>$B$19</f>
        <v>CZCE</v>
      </c>
      <c r="D147" s="317" t="str">
        <f xml:space="preserve"> $C$29</f>
        <v>SR807P6400</v>
      </c>
      <c r="E147" s="318">
        <v>3</v>
      </c>
      <c r="F147" s="318">
        <v>5</v>
      </c>
      <c r="G147" s="316" t="str">
        <f t="shared" si="50"/>
        <v>SR807P640035</v>
      </c>
      <c r="H147" s="66">
        <f>H137</f>
        <v>4.4999999999999999E-4</v>
      </c>
      <c r="I147" s="66">
        <f t="shared" si="56"/>
        <v>4.5</v>
      </c>
      <c r="J147" s="66">
        <f t="shared" si="56"/>
        <v>4.4999999999999999E-4</v>
      </c>
      <c r="K147" s="66">
        <f t="shared" si="56"/>
        <v>4.5</v>
      </c>
      <c r="L147" s="66">
        <f t="shared" si="56"/>
        <v>2.0000000000000001E-4</v>
      </c>
      <c r="M147" s="66">
        <f t="shared" si="56"/>
        <v>2</v>
      </c>
    </row>
    <row r="148" spans="1:13" s="456" customFormat="1" x14ac:dyDescent="0.15">
      <c r="A148" s="452" t="s">
        <v>173</v>
      </c>
      <c r="B148" s="463" t="str">
        <f t="shared" ref="B148:B157" si="57">$B$5</f>
        <v>6001</v>
      </c>
      <c r="C148" s="463" t="str">
        <f t="shared" ref="C148:C157" si="58">$B$19</f>
        <v>CZCE</v>
      </c>
      <c r="D148" s="464" t="str">
        <f xml:space="preserve"> $C$30</f>
        <v>SR809C6600</v>
      </c>
      <c r="E148" s="465">
        <v>1</v>
      </c>
      <c r="F148" s="465">
        <v>0</v>
      </c>
      <c r="G148" s="463" t="str">
        <f t="shared" ref="G148:G157" si="59">D148&amp;E148&amp;F148</f>
        <v>SR809C660010</v>
      </c>
      <c r="H148" s="466">
        <f>H118</f>
        <v>5.0000000000000001E-4</v>
      </c>
      <c r="I148" s="466">
        <f t="shared" ref="I148:K148" si="60">I118</f>
        <v>5</v>
      </c>
      <c r="J148" s="466">
        <f t="shared" si="60"/>
        <v>4.0000000000000002E-4</v>
      </c>
      <c r="K148" s="466">
        <f t="shared" si="60"/>
        <v>4</v>
      </c>
      <c r="L148" s="466">
        <f t="shared" ref="L148:M148" si="61">L138</f>
        <v>2.0000000000000001E-4</v>
      </c>
      <c r="M148" s="466">
        <f t="shared" si="61"/>
        <v>2</v>
      </c>
    </row>
    <row r="149" spans="1:13" s="456" customFormat="1" x14ac:dyDescent="0.15">
      <c r="A149" s="452" t="s">
        <v>173</v>
      </c>
      <c r="B149" s="463" t="str">
        <f t="shared" si="57"/>
        <v>6001</v>
      </c>
      <c r="C149" s="463" t="str">
        <f t="shared" si="58"/>
        <v>CZCE</v>
      </c>
      <c r="D149" s="464" t="str">
        <f t="shared" ref="D149:D157" si="62" xml:space="preserve"> $C$30</f>
        <v>SR809C6600</v>
      </c>
      <c r="E149" s="465">
        <v>1</v>
      </c>
      <c r="F149" s="465">
        <v>1</v>
      </c>
      <c r="G149" s="463" t="str">
        <f t="shared" si="59"/>
        <v>SR809C660011</v>
      </c>
      <c r="H149" s="466">
        <f t="shared" ref="H149:K149" si="63">H119</f>
        <v>4.0000000000000002E-4</v>
      </c>
      <c r="I149" s="466">
        <f t="shared" si="63"/>
        <v>4</v>
      </c>
      <c r="J149" s="466">
        <f t="shared" si="63"/>
        <v>2.9999999999999997E-4</v>
      </c>
      <c r="K149" s="466">
        <f t="shared" si="63"/>
        <v>3</v>
      </c>
      <c r="L149" s="466">
        <f t="shared" ref="L149:M149" si="64">L139</f>
        <v>2.0000000000000001E-4</v>
      </c>
      <c r="M149" s="466">
        <f t="shared" si="64"/>
        <v>2</v>
      </c>
    </row>
    <row r="150" spans="1:13" s="456" customFormat="1" x14ac:dyDescent="0.15">
      <c r="A150" s="452" t="s">
        <v>173</v>
      </c>
      <c r="B150" s="463" t="str">
        <f t="shared" si="57"/>
        <v>6001</v>
      </c>
      <c r="C150" s="463" t="str">
        <f t="shared" si="58"/>
        <v>CZCE</v>
      </c>
      <c r="D150" s="464" t="str">
        <f t="shared" si="62"/>
        <v>SR809C6600</v>
      </c>
      <c r="E150" s="465">
        <v>1</v>
      </c>
      <c r="F150" s="465">
        <v>3</v>
      </c>
      <c r="G150" s="463" t="str">
        <f t="shared" si="59"/>
        <v>SR809C660013</v>
      </c>
      <c r="H150" s="466">
        <f t="shared" ref="H150:K150" si="65">H120</f>
        <v>2.0000000000000001E-4</v>
      </c>
      <c r="I150" s="466">
        <f t="shared" si="65"/>
        <v>2</v>
      </c>
      <c r="J150" s="466">
        <f t="shared" si="65"/>
        <v>1E-4</v>
      </c>
      <c r="K150" s="466">
        <f t="shared" si="65"/>
        <v>1</v>
      </c>
      <c r="L150" s="466">
        <f t="shared" ref="L150:M150" si="66">L140</f>
        <v>2.0000000000000001E-4</v>
      </c>
      <c r="M150" s="466">
        <f t="shared" si="66"/>
        <v>2</v>
      </c>
    </row>
    <row r="151" spans="1:13" s="456" customFormat="1" x14ac:dyDescent="0.15">
      <c r="A151" s="452" t="s">
        <v>173</v>
      </c>
      <c r="B151" s="463" t="str">
        <f t="shared" si="57"/>
        <v>6001</v>
      </c>
      <c r="C151" s="463" t="str">
        <f t="shared" si="58"/>
        <v>CZCE</v>
      </c>
      <c r="D151" s="464" t="str">
        <f t="shared" si="62"/>
        <v>SR809C6600</v>
      </c>
      <c r="E151" s="465">
        <v>1</v>
      </c>
      <c r="F151" s="465">
        <v>4</v>
      </c>
      <c r="G151" s="463" t="str">
        <f t="shared" si="59"/>
        <v>SR809C660014</v>
      </c>
      <c r="H151" s="466">
        <f t="shared" ref="H151:K151" si="67">H121</f>
        <v>4.2000000000000002E-4</v>
      </c>
      <c r="I151" s="466">
        <f t="shared" si="67"/>
        <v>4.2</v>
      </c>
      <c r="J151" s="466">
        <f t="shared" si="67"/>
        <v>3.2000000000000003E-4</v>
      </c>
      <c r="K151" s="466">
        <f t="shared" si="67"/>
        <v>3.2</v>
      </c>
      <c r="L151" s="466">
        <f t="shared" ref="L151:M151" si="68">L141</f>
        <v>2.0000000000000001E-4</v>
      </c>
      <c r="M151" s="466">
        <f t="shared" si="68"/>
        <v>2</v>
      </c>
    </row>
    <row r="152" spans="1:13" s="456" customFormat="1" x14ac:dyDescent="0.15">
      <c r="A152" s="452" t="s">
        <v>173</v>
      </c>
      <c r="B152" s="463" t="str">
        <f t="shared" si="57"/>
        <v>6001</v>
      </c>
      <c r="C152" s="463" t="str">
        <f t="shared" si="58"/>
        <v>CZCE</v>
      </c>
      <c r="D152" s="464" t="str">
        <f t="shared" si="62"/>
        <v>SR809C6600</v>
      </c>
      <c r="E152" s="465">
        <v>1</v>
      </c>
      <c r="F152" s="465">
        <v>5</v>
      </c>
      <c r="G152" s="463" t="str">
        <f t="shared" si="59"/>
        <v>SR809C660015</v>
      </c>
      <c r="H152" s="466">
        <f t="shared" ref="H152:K152" si="69">H122</f>
        <v>4.4999999999999999E-4</v>
      </c>
      <c r="I152" s="466">
        <f t="shared" si="69"/>
        <v>4.5</v>
      </c>
      <c r="J152" s="466">
        <f t="shared" si="69"/>
        <v>3.5E-4</v>
      </c>
      <c r="K152" s="466">
        <f t="shared" si="69"/>
        <v>3.5</v>
      </c>
      <c r="L152" s="466">
        <f t="shared" ref="L152:M152" si="70">L142</f>
        <v>2.0000000000000001E-4</v>
      </c>
      <c r="M152" s="466">
        <f t="shared" si="70"/>
        <v>2</v>
      </c>
    </row>
    <row r="153" spans="1:13" s="456" customFormat="1" x14ac:dyDescent="0.15">
      <c r="A153" s="452" t="s">
        <v>173</v>
      </c>
      <c r="B153" s="463" t="str">
        <f t="shared" si="57"/>
        <v>6001</v>
      </c>
      <c r="C153" s="463" t="str">
        <f t="shared" si="58"/>
        <v>CZCE</v>
      </c>
      <c r="D153" s="464" t="str">
        <f t="shared" si="62"/>
        <v>SR809C6600</v>
      </c>
      <c r="E153" s="465">
        <v>3</v>
      </c>
      <c r="F153" s="465">
        <v>0</v>
      </c>
      <c r="G153" s="463" t="str">
        <f t="shared" si="59"/>
        <v>SR809C660030</v>
      </c>
      <c r="H153" s="466">
        <f t="shared" ref="H153:K153" si="71">H123</f>
        <v>5.0000000000000001E-4</v>
      </c>
      <c r="I153" s="466">
        <f t="shared" si="71"/>
        <v>5</v>
      </c>
      <c r="J153" s="466">
        <f t="shared" si="71"/>
        <v>5.0000000000000001E-4</v>
      </c>
      <c r="K153" s="466">
        <f t="shared" si="71"/>
        <v>5</v>
      </c>
      <c r="L153" s="466">
        <f t="shared" ref="L153:M153" si="72">L143</f>
        <v>2.0000000000000001E-4</v>
      </c>
      <c r="M153" s="466">
        <f t="shared" si="72"/>
        <v>2</v>
      </c>
    </row>
    <row r="154" spans="1:13" s="456" customFormat="1" x14ac:dyDescent="0.15">
      <c r="A154" s="452" t="s">
        <v>173</v>
      </c>
      <c r="B154" s="463" t="str">
        <f t="shared" si="57"/>
        <v>6001</v>
      </c>
      <c r="C154" s="463" t="str">
        <f t="shared" si="58"/>
        <v>CZCE</v>
      </c>
      <c r="D154" s="464" t="str">
        <f t="shared" si="62"/>
        <v>SR809C6600</v>
      </c>
      <c r="E154" s="465">
        <v>3</v>
      </c>
      <c r="F154" s="465">
        <v>1</v>
      </c>
      <c r="G154" s="463" t="str">
        <f t="shared" si="59"/>
        <v>SR809C660031</v>
      </c>
      <c r="H154" s="466">
        <f t="shared" ref="H154:K154" si="73">H124</f>
        <v>4.0000000000000002E-4</v>
      </c>
      <c r="I154" s="466">
        <f t="shared" si="73"/>
        <v>4</v>
      </c>
      <c r="J154" s="466">
        <f t="shared" si="73"/>
        <v>3.9999999999999996E-4</v>
      </c>
      <c r="K154" s="466">
        <f t="shared" si="73"/>
        <v>4</v>
      </c>
      <c r="L154" s="466">
        <f t="shared" ref="L154:M154" si="74">L144</f>
        <v>2.0000000000000001E-4</v>
      </c>
      <c r="M154" s="466">
        <f t="shared" si="74"/>
        <v>2</v>
      </c>
    </row>
    <row r="155" spans="1:13" s="456" customFormat="1" x14ac:dyDescent="0.15">
      <c r="A155" s="452" t="s">
        <v>173</v>
      </c>
      <c r="B155" s="463" t="str">
        <f t="shared" si="57"/>
        <v>6001</v>
      </c>
      <c r="C155" s="463" t="str">
        <f t="shared" si="58"/>
        <v>CZCE</v>
      </c>
      <c r="D155" s="464" t="str">
        <f t="shared" si="62"/>
        <v>SR809C6600</v>
      </c>
      <c r="E155" s="465">
        <v>3</v>
      </c>
      <c r="F155" s="465">
        <v>3</v>
      </c>
      <c r="G155" s="463" t="str">
        <f t="shared" si="59"/>
        <v>SR809C660033</v>
      </c>
      <c r="H155" s="466">
        <f t="shared" ref="H155:K155" si="75">H125</f>
        <v>2.0000000000000001E-4</v>
      </c>
      <c r="I155" s="466">
        <f t="shared" si="75"/>
        <v>2</v>
      </c>
      <c r="J155" s="466">
        <f t="shared" si="75"/>
        <v>2.0000000000000001E-4</v>
      </c>
      <c r="K155" s="466">
        <f t="shared" si="75"/>
        <v>2</v>
      </c>
      <c r="L155" s="466">
        <f t="shared" ref="L155:M155" si="76">L145</f>
        <v>2.0000000000000001E-4</v>
      </c>
      <c r="M155" s="466">
        <f t="shared" si="76"/>
        <v>2</v>
      </c>
    </row>
    <row r="156" spans="1:13" s="456" customFormat="1" x14ac:dyDescent="0.15">
      <c r="A156" s="452" t="s">
        <v>173</v>
      </c>
      <c r="B156" s="463" t="str">
        <f t="shared" si="57"/>
        <v>6001</v>
      </c>
      <c r="C156" s="463" t="str">
        <f t="shared" si="58"/>
        <v>CZCE</v>
      </c>
      <c r="D156" s="464" t="str">
        <f t="shared" si="62"/>
        <v>SR809C6600</v>
      </c>
      <c r="E156" s="465">
        <v>3</v>
      </c>
      <c r="F156" s="465">
        <v>4</v>
      </c>
      <c r="G156" s="463" t="str">
        <f t="shared" si="59"/>
        <v>SR809C660034</v>
      </c>
      <c r="H156" s="466">
        <f t="shared" ref="H156:K156" si="77">H126</f>
        <v>4.2000000000000002E-4</v>
      </c>
      <c r="I156" s="466">
        <f t="shared" si="77"/>
        <v>4.2</v>
      </c>
      <c r="J156" s="466">
        <f t="shared" si="77"/>
        <v>4.2000000000000002E-4</v>
      </c>
      <c r="K156" s="466">
        <f t="shared" si="77"/>
        <v>4.2</v>
      </c>
      <c r="L156" s="466">
        <f t="shared" ref="L156:M156" si="78">L146</f>
        <v>2.0000000000000001E-4</v>
      </c>
      <c r="M156" s="466">
        <f t="shared" si="78"/>
        <v>2</v>
      </c>
    </row>
    <row r="157" spans="1:13" s="456" customFormat="1" x14ac:dyDescent="0.15">
      <c r="A157" s="452" t="s">
        <v>173</v>
      </c>
      <c r="B157" s="463" t="str">
        <f t="shared" si="57"/>
        <v>6001</v>
      </c>
      <c r="C157" s="463" t="str">
        <f t="shared" si="58"/>
        <v>CZCE</v>
      </c>
      <c r="D157" s="464" t="str">
        <f t="shared" si="62"/>
        <v>SR809C6600</v>
      </c>
      <c r="E157" s="465">
        <v>3</v>
      </c>
      <c r="F157" s="465">
        <v>5</v>
      </c>
      <c r="G157" s="463" t="str">
        <f t="shared" si="59"/>
        <v>SR809C660035</v>
      </c>
      <c r="H157" s="466">
        <f t="shared" ref="H157:K157" si="79">H127</f>
        <v>4.4999999999999999E-4</v>
      </c>
      <c r="I157" s="466">
        <f t="shared" si="79"/>
        <v>4.5</v>
      </c>
      <c r="J157" s="466">
        <f t="shared" si="79"/>
        <v>4.4999999999999999E-4</v>
      </c>
      <c r="K157" s="466">
        <f t="shared" si="79"/>
        <v>4.5</v>
      </c>
      <c r="L157" s="466">
        <f t="shared" ref="L157:M157" si="80">L147</f>
        <v>2.0000000000000001E-4</v>
      </c>
      <c r="M157" s="466">
        <f t="shared" si="80"/>
        <v>2</v>
      </c>
    </row>
    <row r="158" spans="1:13" s="21" customFormat="1" x14ac:dyDescent="0.15">
      <c r="A158" s="315" t="s">
        <v>173</v>
      </c>
      <c r="B158" s="316" t="str">
        <f t="shared" ref="B158:B187" si="81">$B$5</f>
        <v>6001</v>
      </c>
      <c r="C158" s="316" t="str">
        <f t="shared" ref="C158:C187" si="82">$B$19</f>
        <v>CZCE</v>
      </c>
      <c r="D158" s="317" t="str">
        <f>$C$24</f>
        <v>PTA807C6500</v>
      </c>
      <c r="E158" s="318">
        <v>1</v>
      </c>
      <c r="F158" s="318">
        <v>0</v>
      </c>
      <c r="G158" s="316" t="str">
        <f t="shared" si="36"/>
        <v>PTA807C650010</v>
      </c>
      <c r="H158" s="66">
        <v>5.0000000000000001E-4</v>
      </c>
      <c r="I158" s="66">
        <v>5</v>
      </c>
      <c r="J158" s="66">
        <v>4.0000000000000002E-4</v>
      </c>
      <c r="K158" s="66">
        <v>4</v>
      </c>
      <c r="L158" s="21">
        <v>2.0000000000000001E-4</v>
      </c>
      <c r="M158" s="21">
        <v>2</v>
      </c>
    </row>
    <row r="159" spans="1:13" s="21" customFormat="1" x14ac:dyDescent="0.15">
      <c r="A159" s="315" t="s">
        <v>173</v>
      </c>
      <c r="B159" s="316" t="str">
        <f t="shared" si="81"/>
        <v>6001</v>
      </c>
      <c r="C159" s="316" t="str">
        <f t="shared" si="82"/>
        <v>CZCE</v>
      </c>
      <c r="D159" s="317" t="str">
        <f t="shared" ref="D159:D162" si="83">$C$24</f>
        <v>PTA807C6500</v>
      </c>
      <c r="E159" s="318">
        <v>1</v>
      </c>
      <c r="F159" s="318">
        <v>1</v>
      </c>
      <c r="G159" s="316" t="str">
        <f t="shared" si="36"/>
        <v>PTA807C650011</v>
      </c>
      <c r="H159" s="66">
        <v>4.0000000000000002E-4</v>
      </c>
      <c r="I159" s="66">
        <v>4</v>
      </c>
      <c r="J159" s="66">
        <v>2.9999999999999997E-4</v>
      </c>
      <c r="K159" s="66">
        <v>3</v>
      </c>
      <c r="L159" s="21">
        <v>2.0000000000000001E-4</v>
      </c>
      <c r="M159" s="21">
        <v>2</v>
      </c>
    </row>
    <row r="160" spans="1:13" s="21" customFormat="1" x14ac:dyDescent="0.15">
      <c r="A160" s="315" t="s">
        <v>173</v>
      </c>
      <c r="B160" s="316" t="str">
        <f t="shared" si="81"/>
        <v>6001</v>
      </c>
      <c r="C160" s="316" t="str">
        <f t="shared" si="82"/>
        <v>CZCE</v>
      </c>
      <c r="D160" s="317" t="str">
        <f t="shared" si="83"/>
        <v>PTA807C6500</v>
      </c>
      <c r="E160" s="318">
        <v>1</v>
      </c>
      <c r="F160" s="318">
        <v>3</v>
      </c>
      <c r="G160" s="316" t="str">
        <f t="shared" si="36"/>
        <v>PTA807C650013</v>
      </c>
      <c r="H160" s="66">
        <v>2.0000000000000001E-4</v>
      </c>
      <c r="I160" s="66">
        <v>2</v>
      </c>
      <c r="J160" s="66">
        <v>1E-4</v>
      </c>
      <c r="K160" s="66">
        <v>1</v>
      </c>
      <c r="L160" s="21">
        <v>2.0000000000000001E-4</v>
      </c>
      <c r="M160" s="21">
        <v>2</v>
      </c>
    </row>
    <row r="161" spans="1:13" s="21" customFormat="1" x14ac:dyDescent="0.15">
      <c r="A161" s="315" t="s">
        <v>173</v>
      </c>
      <c r="B161" s="316" t="str">
        <f t="shared" si="81"/>
        <v>6001</v>
      </c>
      <c r="C161" s="316" t="str">
        <f t="shared" si="82"/>
        <v>CZCE</v>
      </c>
      <c r="D161" s="317" t="str">
        <f t="shared" si="83"/>
        <v>PTA807C6500</v>
      </c>
      <c r="E161" s="318">
        <v>1</v>
      </c>
      <c r="F161" s="318">
        <v>4</v>
      </c>
      <c r="G161" s="316" t="str">
        <f t="shared" si="36"/>
        <v>PTA807C650014</v>
      </c>
      <c r="H161" s="66">
        <v>4.2000000000000002E-4</v>
      </c>
      <c r="I161" s="66">
        <v>4.2</v>
      </c>
      <c r="J161" s="66">
        <v>3.2000000000000003E-4</v>
      </c>
      <c r="K161" s="66">
        <v>3.2</v>
      </c>
      <c r="L161" s="21">
        <v>2.0000000000000001E-4</v>
      </c>
      <c r="M161" s="21">
        <v>2</v>
      </c>
    </row>
    <row r="162" spans="1:13" s="21" customFormat="1" x14ac:dyDescent="0.15">
      <c r="A162" s="315" t="s">
        <v>173</v>
      </c>
      <c r="B162" s="316" t="str">
        <f t="shared" si="81"/>
        <v>6001</v>
      </c>
      <c r="C162" s="316" t="str">
        <f t="shared" si="82"/>
        <v>CZCE</v>
      </c>
      <c r="D162" s="317" t="str">
        <f t="shared" si="83"/>
        <v>PTA807C6500</v>
      </c>
      <c r="E162" s="318">
        <v>1</v>
      </c>
      <c r="F162" s="318">
        <v>5</v>
      </c>
      <c r="G162" s="316" t="str">
        <f t="shared" si="36"/>
        <v>PTA807C650015</v>
      </c>
      <c r="H162" s="66">
        <v>4.4999999999999999E-4</v>
      </c>
      <c r="I162" s="66">
        <v>4.5</v>
      </c>
      <c r="J162" s="66">
        <v>3.5E-4</v>
      </c>
      <c r="K162" s="66">
        <v>3.5</v>
      </c>
      <c r="L162" s="21">
        <v>2.0000000000000001E-4</v>
      </c>
      <c r="M162" s="21">
        <v>2</v>
      </c>
    </row>
    <row r="163" spans="1:13" s="21" customFormat="1" x14ac:dyDescent="0.15">
      <c r="A163" s="315" t="s">
        <v>173</v>
      </c>
      <c r="B163" s="316" t="str">
        <f t="shared" si="81"/>
        <v>6001</v>
      </c>
      <c r="C163" s="316" t="str">
        <f t="shared" si="82"/>
        <v>CZCE</v>
      </c>
      <c r="D163" s="317" t="str">
        <f>$C$24</f>
        <v>PTA807C6500</v>
      </c>
      <c r="E163" s="318">
        <v>3</v>
      </c>
      <c r="F163" s="318">
        <v>0</v>
      </c>
      <c r="G163" s="316" t="str">
        <f t="shared" si="36"/>
        <v>PTA807C650030</v>
      </c>
      <c r="H163" s="66">
        <f t="shared" ref="H163:M167" si="84">H133</f>
        <v>5.0000000000000001E-4</v>
      </c>
      <c r="I163" s="66">
        <f t="shared" si="84"/>
        <v>5</v>
      </c>
      <c r="J163" s="66">
        <f t="shared" si="84"/>
        <v>5.0000000000000001E-4</v>
      </c>
      <c r="K163" s="66">
        <f t="shared" si="84"/>
        <v>5</v>
      </c>
      <c r="L163" s="66">
        <f t="shared" si="84"/>
        <v>2.0000000000000001E-4</v>
      </c>
      <c r="M163" s="66">
        <f t="shared" si="84"/>
        <v>2</v>
      </c>
    </row>
    <row r="164" spans="1:13" s="21" customFormat="1" x14ac:dyDescent="0.15">
      <c r="A164" s="315" t="s">
        <v>173</v>
      </c>
      <c r="B164" s="316" t="str">
        <f t="shared" si="81"/>
        <v>6001</v>
      </c>
      <c r="C164" s="316" t="str">
        <f t="shared" si="82"/>
        <v>CZCE</v>
      </c>
      <c r="D164" s="317" t="str">
        <f t="shared" ref="D164:D167" si="85">$C$24</f>
        <v>PTA807C6500</v>
      </c>
      <c r="E164" s="318">
        <v>3</v>
      </c>
      <c r="F164" s="318">
        <v>1</v>
      </c>
      <c r="G164" s="316" t="str">
        <f t="shared" si="36"/>
        <v>PTA807C650031</v>
      </c>
      <c r="H164" s="66">
        <f t="shared" si="84"/>
        <v>4.0000000000000002E-4</v>
      </c>
      <c r="I164" s="66">
        <f t="shared" si="84"/>
        <v>4</v>
      </c>
      <c r="J164" s="66">
        <f t="shared" si="84"/>
        <v>3.9999999999999996E-4</v>
      </c>
      <c r="K164" s="66">
        <f t="shared" si="84"/>
        <v>4</v>
      </c>
      <c r="L164" s="66">
        <f t="shared" si="84"/>
        <v>2.0000000000000001E-4</v>
      </c>
      <c r="M164" s="66">
        <f t="shared" si="84"/>
        <v>2</v>
      </c>
    </row>
    <row r="165" spans="1:13" s="21" customFormat="1" x14ac:dyDescent="0.15">
      <c r="A165" s="315" t="s">
        <v>173</v>
      </c>
      <c r="B165" s="316" t="str">
        <f t="shared" si="81"/>
        <v>6001</v>
      </c>
      <c r="C165" s="316" t="str">
        <f t="shared" si="82"/>
        <v>CZCE</v>
      </c>
      <c r="D165" s="317" t="str">
        <f t="shared" si="85"/>
        <v>PTA807C6500</v>
      </c>
      <c r="E165" s="318">
        <v>3</v>
      </c>
      <c r="F165" s="318">
        <v>3</v>
      </c>
      <c r="G165" s="316" t="str">
        <f t="shared" si="36"/>
        <v>PTA807C650033</v>
      </c>
      <c r="H165" s="66">
        <f t="shared" si="84"/>
        <v>2.0000000000000001E-4</v>
      </c>
      <c r="I165" s="66">
        <f t="shared" si="84"/>
        <v>2</v>
      </c>
      <c r="J165" s="66">
        <f t="shared" si="84"/>
        <v>2.0000000000000001E-4</v>
      </c>
      <c r="K165" s="66">
        <f t="shared" si="84"/>
        <v>2</v>
      </c>
      <c r="L165" s="66">
        <f t="shared" si="84"/>
        <v>2.0000000000000001E-4</v>
      </c>
      <c r="M165" s="66">
        <f t="shared" si="84"/>
        <v>2</v>
      </c>
    </row>
    <row r="166" spans="1:13" s="21" customFormat="1" x14ac:dyDescent="0.15">
      <c r="A166" s="315" t="s">
        <v>173</v>
      </c>
      <c r="B166" s="316" t="str">
        <f t="shared" si="81"/>
        <v>6001</v>
      </c>
      <c r="C166" s="316" t="str">
        <f t="shared" si="82"/>
        <v>CZCE</v>
      </c>
      <c r="D166" s="317" t="str">
        <f t="shared" si="85"/>
        <v>PTA807C6500</v>
      </c>
      <c r="E166" s="318">
        <v>3</v>
      </c>
      <c r="F166" s="318">
        <v>4</v>
      </c>
      <c r="G166" s="316" t="str">
        <f t="shared" si="36"/>
        <v>PTA807C650034</v>
      </c>
      <c r="H166" s="66">
        <f t="shared" si="84"/>
        <v>4.2000000000000002E-4</v>
      </c>
      <c r="I166" s="66">
        <f t="shared" si="84"/>
        <v>4.2</v>
      </c>
      <c r="J166" s="66">
        <f t="shared" si="84"/>
        <v>4.2000000000000002E-4</v>
      </c>
      <c r="K166" s="66">
        <f t="shared" si="84"/>
        <v>4.2</v>
      </c>
      <c r="L166" s="66">
        <f t="shared" si="84"/>
        <v>2.0000000000000001E-4</v>
      </c>
      <c r="M166" s="66">
        <f t="shared" si="84"/>
        <v>2</v>
      </c>
    </row>
    <row r="167" spans="1:13" s="21" customFormat="1" x14ac:dyDescent="0.15">
      <c r="A167" s="315" t="s">
        <v>173</v>
      </c>
      <c r="B167" s="316" t="str">
        <f t="shared" si="81"/>
        <v>6001</v>
      </c>
      <c r="C167" s="316" t="str">
        <f t="shared" si="82"/>
        <v>CZCE</v>
      </c>
      <c r="D167" s="317" t="str">
        <f t="shared" si="85"/>
        <v>PTA807C6500</v>
      </c>
      <c r="E167" s="318">
        <v>3</v>
      </c>
      <c r="F167" s="318">
        <v>5</v>
      </c>
      <c r="G167" s="316" t="str">
        <f t="shared" si="36"/>
        <v>PTA807C650035</v>
      </c>
      <c r="H167" s="66">
        <f t="shared" si="84"/>
        <v>4.4999999999999999E-4</v>
      </c>
      <c r="I167" s="66">
        <f t="shared" si="84"/>
        <v>4.5</v>
      </c>
      <c r="J167" s="66">
        <f t="shared" si="84"/>
        <v>4.4999999999999999E-4</v>
      </c>
      <c r="K167" s="66">
        <f t="shared" si="84"/>
        <v>4.5</v>
      </c>
      <c r="L167" s="66">
        <f t="shared" si="84"/>
        <v>2.0000000000000001E-4</v>
      </c>
      <c r="M167" s="66">
        <f t="shared" si="84"/>
        <v>2</v>
      </c>
    </row>
    <row r="168" spans="1:13" s="21" customFormat="1" x14ac:dyDescent="0.15">
      <c r="A168" s="315" t="s">
        <v>173</v>
      </c>
      <c r="B168" s="316" t="str">
        <f t="shared" si="81"/>
        <v>6001</v>
      </c>
      <c r="C168" s="316" t="str">
        <f t="shared" si="82"/>
        <v>CZCE</v>
      </c>
      <c r="D168" s="317" t="str">
        <f>$C$25</f>
        <v>PTA807P6200</v>
      </c>
      <c r="E168" s="318">
        <v>1</v>
      </c>
      <c r="F168" s="318">
        <v>0</v>
      </c>
      <c r="G168" s="316" t="str">
        <f t="shared" si="36"/>
        <v>PTA807P620010</v>
      </c>
      <c r="H168" s="288">
        <f>H158</f>
        <v>5.0000000000000001E-4</v>
      </c>
      <c r="I168" s="288">
        <f t="shared" ref="I168:M168" si="86">I158</f>
        <v>5</v>
      </c>
      <c r="J168" s="288">
        <f t="shared" si="86"/>
        <v>4.0000000000000002E-4</v>
      </c>
      <c r="K168" s="288">
        <f t="shared" si="86"/>
        <v>4</v>
      </c>
      <c r="L168" s="288">
        <f t="shared" si="86"/>
        <v>2.0000000000000001E-4</v>
      </c>
      <c r="M168" s="288">
        <f t="shared" si="86"/>
        <v>2</v>
      </c>
    </row>
    <row r="169" spans="1:13" s="21" customFormat="1" x14ac:dyDescent="0.15">
      <c r="A169" s="315" t="s">
        <v>173</v>
      </c>
      <c r="B169" s="316" t="str">
        <f t="shared" si="81"/>
        <v>6001</v>
      </c>
      <c r="C169" s="316" t="str">
        <f t="shared" si="82"/>
        <v>CZCE</v>
      </c>
      <c r="D169" s="317" t="str">
        <f t="shared" ref="D169:D177" si="87">$C$25</f>
        <v>PTA807P6200</v>
      </c>
      <c r="E169" s="318">
        <v>1</v>
      </c>
      <c r="F169" s="318">
        <v>1</v>
      </c>
      <c r="G169" s="316" t="str">
        <f t="shared" si="36"/>
        <v>PTA807P620011</v>
      </c>
      <c r="H169" s="288">
        <f t="shared" ref="H169:M172" si="88">H159</f>
        <v>4.0000000000000002E-4</v>
      </c>
      <c r="I169" s="288">
        <f t="shared" si="88"/>
        <v>4</v>
      </c>
      <c r="J169" s="288">
        <f t="shared" si="88"/>
        <v>2.9999999999999997E-4</v>
      </c>
      <c r="K169" s="288">
        <f t="shared" si="88"/>
        <v>3</v>
      </c>
      <c r="L169" s="288">
        <f t="shared" si="88"/>
        <v>2.0000000000000001E-4</v>
      </c>
      <c r="M169" s="288">
        <f t="shared" si="88"/>
        <v>2</v>
      </c>
    </row>
    <row r="170" spans="1:13" s="21" customFormat="1" x14ac:dyDescent="0.15">
      <c r="A170" s="315" t="s">
        <v>173</v>
      </c>
      <c r="B170" s="316" t="str">
        <f t="shared" si="81"/>
        <v>6001</v>
      </c>
      <c r="C170" s="316" t="str">
        <f t="shared" si="82"/>
        <v>CZCE</v>
      </c>
      <c r="D170" s="317" t="str">
        <f t="shared" si="87"/>
        <v>PTA807P6200</v>
      </c>
      <c r="E170" s="318">
        <v>1</v>
      </c>
      <c r="F170" s="318">
        <v>3</v>
      </c>
      <c r="G170" s="316" t="str">
        <f t="shared" si="36"/>
        <v>PTA807P620013</v>
      </c>
      <c r="H170" s="288">
        <f t="shared" si="88"/>
        <v>2.0000000000000001E-4</v>
      </c>
      <c r="I170" s="288">
        <f t="shared" si="88"/>
        <v>2</v>
      </c>
      <c r="J170" s="288">
        <f t="shared" si="88"/>
        <v>1E-4</v>
      </c>
      <c r="K170" s="288">
        <f t="shared" si="88"/>
        <v>1</v>
      </c>
      <c r="L170" s="288">
        <f t="shared" si="88"/>
        <v>2.0000000000000001E-4</v>
      </c>
      <c r="M170" s="288">
        <f t="shared" si="88"/>
        <v>2</v>
      </c>
    </row>
    <row r="171" spans="1:13" s="21" customFormat="1" x14ac:dyDescent="0.15">
      <c r="A171" s="315" t="s">
        <v>173</v>
      </c>
      <c r="B171" s="316" t="str">
        <f t="shared" si="81"/>
        <v>6001</v>
      </c>
      <c r="C171" s="316" t="str">
        <f t="shared" si="82"/>
        <v>CZCE</v>
      </c>
      <c r="D171" s="317" t="str">
        <f t="shared" si="87"/>
        <v>PTA807P6200</v>
      </c>
      <c r="E171" s="318">
        <v>1</v>
      </c>
      <c r="F171" s="318">
        <v>4</v>
      </c>
      <c r="G171" s="316" t="str">
        <f t="shared" si="36"/>
        <v>PTA807P620014</v>
      </c>
      <c r="H171" s="288">
        <f t="shared" si="88"/>
        <v>4.2000000000000002E-4</v>
      </c>
      <c r="I171" s="288">
        <f t="shared" si="88"/>
        <v>4.2</v>
      </c>
      <c r="J171" s="288">
        <f t="shared" si="88"/>
        <v>3.2000000000000003E-4</v>
      </c>
      <c r="K171" s="288">
        <f t="shared" si="88"/>
        <v>3.2</v>
      </c>
      <c r="L171" s="288">
        <f t="shared" si="88"/>
        <v>2.0000000000000001E-4</v>
      </c>
      <c r="M171" s="288">
        <f t="shared" si="88"/>
        <v>2</v>
      </c>
    </row>
    <row r="172" spans="1:13" s="21" customFormat="1" x14ac:dyDescent="0.15">
      <c r="A172" s="315" t="s">
        <v>173</v>
      </c>
      <c r="B172" s="316" t="str">
        <f t="shared" si="81"/>
        <v>6001</v>
      </c>
      <c r="C172" s="316" t="str">
        <f t="shared" si="82"/>
        <v>CZCE</v>
      </c>
      <c r="D172" s="317" t="str">
        <f t="shared" si="87"/>
        <v>PTA807P6200</v>
      </c>
      <c r="E172" s="318">
        <v>1</v>
      </c>
      <c r="F172" s="318">
        <v>5</v>
      </c>
      <c r="G172" s="316" t="str">
        <f t="shared" si="36"/>
        <v>PTA807P620015</v>
      </c>
      <c r="H172" s="288">
        <f t="shared" si="88"/>
        <v>4.4999999999999999E-4</v>
      </c>
      <c r="I172" s="288">
        <f t="shared" si="88"/>
        <v>4.5</v>
      </c>
      <c r="J172" s="288">
        <f t="shared" si="88"/>
        <v>3.5E-4</v>
      </c>
      <c r="K172" s="288">
        <f t="shared" si="88"/>
        <v>3.5</v>
      </c>
      <c r="L172" s="288">
        <f t="shared" si="88"/>
        <v>2.0000000000000001E-4</v>
      </c>
      <c r="M172" s="288">
        <f t="shared" si="88"/>
        <v>2</v>
      </c>
    </row>
    <row r="173" spans="1:13" s="21" customFormat="1" x14ac:dyDescent="0.15">
      <c r="A173" s="315" t="s">
        <v>173</v>
      </c>
      <c r="B173" s="316" t="str">
        <f t="shared" si="81"/>
        <v>6001</v>
      </c>
      <c r="C173" s="316" t="str">
        <f t="shared" si="82"/>
        <v>CZCE</v>
      </c>
      <c r="D173" s="317" t="str">
        <f t="shared" si="87"/>
        <v>PTA807P6200</v>
      </c>
      <c r="E173" s="318">
        <v>3</v>
      </c>
      <c r="F173" s="318">
        <v>0</v>
      </c>
      <c r="G173" s="316" t="str">
        <f t="shared" si="36"/>
        <v>PTA807P620030</v>
      </c>
      <c r="H173" s="288">
        <f>H163</f>
        <v>5.0000000000000001E-4</v>
      </c>
      <c r="I173" s="288">
        <f t="shared" ref="I173:M173" si="89">I163</f>
        <v>5</v>
      </c>
      <c r="J173" s="288">
        <f t="shared" si="89"/>
        <v>5.0000000000000001E-4</v>
      </c>
      <c r="K173" s="288">
        <f t="shared" si="89"/>
        <v>5</v>
      </c>
      <c r="L173" s="288">
        <f t="shared" si="89"/>
        <v>2.0000000000000001E-4</v>
      </c>
      <c r="M173" s="288">
        <f t="shared" si="89"/>
        <v>2</v>
      </c>
    </row>
    <row r="174" spans="1:13" s="21" customFormat="1" x14ac:dyDescent="0.15">
      <c r="A174" s="315" t="s">
        <v>173</v>
      </c>
      <c r="B174" s="316" t="str">
        <f t="shared" si="81"/>
        <v>6001</v>
      </c>
      <c r="C174" s="316" t="str">
        <f t="shared" si="82"/>
        <v>CZCE</v>
      </c>
      <c r="D174" s="317" t="str">
        <f t="shared" si="87"/>
        <v>PTA807P6200</v>
      </c>
      <c r="E174" s="318">
        <v>3</v>
      </c>
      <c r="F174" s="318">
        <v>1</v>
      </c>
      <c r="G174" s="316" t="str">
        <f t="shared" si="36"/>
        <v>PTA807P620031</v>
      </c>
      <c r="H174" s="288">
        <f t="shared" ref="H174:H177" si="90">H164</f>
        <v>4.0000000000000002E-4</v>
      </c>
      <c r="I174" s="288">
        <f t="shared" ref="I174:M174" si="91">I164</f>
        <v>4</v>
      </c>
      <c r="J174" s="288">
        <f t="shared" si="91"/>
        <v>3.9999999999999996E-4</v>
      </c>
      <c r="K174" s="288">
        <f t="shared" si="91"/>
        <v>4</v>
      </c>
      <c r="L174" s="288">
        <f t="shared" si="91"/>
        <v>2.0000000000000001E-4</v>
      </c>
      <c r="M174" s="288">
        <f t="shared" si="91"/>
        <v>2</v>
      </c>
    </row>
    <row r="175" spans="1:13" s="21" customFormat="1" x14ac:dyDescent="0.15">
      <c r="A175" s="315" t="s">
        <v>173</v>
      </c>
      <c r="B175" s="316" t="str">
        <f t="shared" si="81"/>
        <v>6001</v>
      </c>
      <c r="C175" s="316" t="str">
        <f t="shared" si="82"/>
        <v>CZCE</v>
      </c>
      <c r="D175" s="317" t="str">
        <f t="shared" si="87"/>
        <v>PTA807P6200</v>
      </c>
      <c r="E175" s="318">
        <v>3</v>
      </c>
      <c r="F175" s="318">
        <v>3</v>
      </c>
      <c r="G175" s="316" t="str">
        <f t="shared" si="36"/>
        <v>PTA807P620033</v>
      </c>
      <c r="H175" s="288">
        <f t="shared" si="90"/>
        <v>2.0000000000000001E-4</v>
      </c>
      <c r="I175" s="288">
        <f t="shared" ref="I175:M175" si="92">I165</f>
        <v>2</v>
      </c>
      <c r="J175" s="288">
        <f t="shared" si="92"/>
        <v>2.0000000000000001E-4</v>
      </c>
      <c r="K175" s="288">
        <f t="shared" si="92"/>
        <v>2</v>
      </c>
      <c r="L175" s="288">
        <f t="shared" si="92"/>
        <v>2.0000000000000001E-4</v>
      </c>
      <c r="M175" s="288">
        <f t="shared" si="92"/>
        <v>2</v>
      </c>
    </row>
    <row r="176" spans="1:13" s="21" customFormat="1" x14ac:dyDescent="0.15">
      <c r="A176" s="315" t="s">
        <v>173</v>
      </c>
      <c r="B176" s="316" t="str">
        <f t="shared" si="81"/>
        <v>6001</v>
      </c>
      <c r="C176" s="316" t="str">
        <f t="shared" si="82"/>
        <v>CZCE</v>
      </c>
      <c r="D176" s="317" t="str">
        <f t="shared" si="87"/>
        <v>PTA807P6200</v>
      </c>
      <c r="E176" s="318">
        <v>3</v>
      </c>
      <c r="F176" s="318">
        <v>4</v>
      </c>
      <c r="G176" s="316" t="str">
        <f t="shared" si="36"/>
        <v>PTA807P620034</v>
      </c>
      <c r="H176" s="288">
        <f t="shared" si="90"/>
        <v>4.2000000000000002E-4</v>
      </c>
      <c r="I176" s="288">
        <f t="shared" ref="I176:M176" si="93">I166</f>
        <v>4.2</v>
      </c>
      <c r="J176" s="288">
        <f t="shared" si="93"/>
        <v>4.2000000000000002E-4</v>
      </c>
      <c r="K176" s="288">
        <f t="shared" si="93"/>
        <v>4.2</v>
      </c>
      <c r="L176" s="288">
        <f t="shared" si="93"/>
        <v>2.0000000000000001E-4</v>
      </c>
      <c r="M176" s="288">
        <f t="shared" si="93"/>
        <v>2</v>
      </c>
    </row>
    <row r="177" spans="1:13" s="21" customFormat="1" x14ac:dyDescent="0.15">
      <c r="A177" s="315" t="s">
        <v>173</v>
      </c>
      <c r="B177" s="316" t="str">
        <f t="shared" si="81"/>
        <v>6001</v>
      </c>
      <c r="C177" s="316" t="str">
        <f t="shared" si="82"/>
        <v>CZCE</v>
      </c>
      <c r="D177" s="317" t="str">
        <f t="shared" si="87"/>
        <v>PTA807P6200</v>
      </c>
      <c r="E177" s="318">
        <v>3</v>
      </c>
      <c r="F177" s="318">
        <v>5</v>
      </c>
      <c r="G177" s="316" t="str">
        <f t="shared" si="36"/>
        <v>PTA807P620035</v>
      </c>
      <c r="H177" s="288">
        <f t="shared" si="90"/>
        <v>4.4999999999999999E-4</v>
      </c>
      <c r="I177" s="288">
        <f t="shared" ref="I177:M177" si="94">I167</f>
        <v>4.5</v>
      </c>
      <c r="J177" s="288">
        <f t="shared" si="94"/>
        <v>4.4999999999999999E-4</v>
      </c>
      <c r="K177" s="288">
        <f t="shared" si="94"/>
        <v>4.5</v>
      </c>
      <c r="L177" s="288">
        <f t="shared" si="94"/>
        <v>2.0000000000000001E-4</v>
      </c>
      <c r="M177" s="288">
        <f t="shared" si="94"/>
        <v>2</v>
      </c>
    </row>
    <row r="178" spans="1:13" s="21" customFormat="1" x14ac:dyDescent="0.15">
      <c r="A178" s="315" t="s">
        <v>173</v>
      </c>
      <c r="B178" s="316" t="str">
        <f t="shared" si="81"/>
        <v>6001</v>
      </c>
      <c r="C178" s="316" t="str">
        <f t="shared" si="82"/>
        <v>CZCE</v>
      </c>
      <c r="D178" s="317" t="str">
        <f>$C$26</f>
        <v>PTA807P6500</v>
      </c>
      <c r="E178" s="318">
        <v>1</v>
      </c>
      <c r="F178" s="318">
        <v>0</v>
      </c>
      <c r="G178" s="316" t="str">
        <f t="shared" si="36"/>
        <v>PTA807P650010</v>
      </c>
      <c r="H178" s="288">
        <f>H158</f>
        <v>5.0000000000000001E-4</v>
      </c>
      <c r="I178" s="288">
        <f t="shared" ref="I178:M178" si="95">I158</f>
        <v>5</v>
      </c>
      <c r="J178" s="288">
        <f t="shared" si="95"/>
        <v>4.0000000000000002E-4</v>
      </c>
      <c r="K178" s="288">
        <f t="shared" si="95"/>
        <v>4</v>
      </c>
      <c r="L178" s="288">
        <f t="shared" si="95"/>
        <v>2.0000000000000001E-4</v>
      </c>
      <c r="M178" s="288">
        <f t="shared" si="95"/>
        <v>2</v>
      </c>
    </row>
    <row r="179" spans="1:13" s="21" customFormat="1" x14ac:dyDescent="0.15">
      <c r="A179" s="315" t="s">
        <v>173</v>
      </c>
      <c r="B179" s="316" t="str">
        <f t="shared" si="81"/>
        <v>6001</v>
      </c>
      <c r="C179" s="316" t="str">
        <f t="shared" si="82"/>
        <v>CZCE</v>
      </c>
      <c r="D179" s="317" t="str">
        <f t="shared" ref="D179:D187" si="96">$C$26</f>
        <v>PTA807P6500</v>
      </c>
      <c r="E179" s="318">
        <v>1</v>
      </c>
      <c r="F179" s="318">
        <v>1</v>
      </c>
      <c r="G179" s="316" t="str">
        <f t="shared" si="36"/>
        <v>PTA807P650011</v>
      </c>
      <c r="H179" s="288">
        <f t="shared" ref="H179:M182" si="97">H159</f>
        <v>4.0000000000000002E-4</v>
      </c>
      <c r="I179" s="288">
        <f t="shared" si="97"/>
        <v>4</v>
      </c>
      <c r="J179" s="288">
        <f t="shared" si="97"/>
        <v>2.9999999999999997E-4</v>
      </c>
      <c r="K179" s="288">
        <f t="shared" si="97"/>
        <v>3</v>
      </c>
      <c r="L179" s="288">
        <f t="shared" si="97"/>
        <v>2.0000000000000001E-4</v>
      </c>
      <c r="M179" s="288">
        <f t="shared" si="97"/>
        <v>2</v>
      </c>
    </row>
    <row r="180" spans="1:13" s="21" customFormat="1" x14ac:dyDescent="0.15">
      <c r="A180" s="315" t="s">
        <v>173</v>
      </c>
      <c r="B180" s="316" t="str">
        <f t="shared" si="81"/>
        <v>6001</v>
      </c>
      <c r="C180" s="316" t="str">
        <f t="shared" si="82"/>
        <v>CZCE</v>
      </c>
      <c r="D180" s="317" t="str">
        <f t="shared" si="96"/>
        <v>PTA807P6500</v>
      </c>
      <c r="E180" s="318">
        <v>1</v>
      </c>
      <c r="F180" s="318">
        <v>3</v>
      </c>
      <c r="G180" s="316" t="str">
        <f t="shared" si="36"/>
        <v>PTA807P650013</v>
      </c>
      <c r="H180" s="288">
        <f t="shared" si="97"/>
        <v>2.0000000000000001E-4</v>
      </c>
      <c r="I180" s="288">
        <f t="shared" si="97"/>
        <v>2</v>
      </c>
      <c r="J180" s="288">
        <f t="shared" si="97"/>
        <v>1E-4</v>
      </c>
      <c r="K180" s="288">
        <f t="shared" si="97"/>
        <v>1</v>
      </c>
      <c r="L180" s="288">
        <f t="shared" si="97"/>
        <v>2.0000000000000001E-4</v>
      </c>
      <c r="M180" s="288">
        <f t="shared" si="97"/>
        <v>2</v>
      </c>
    </row>
    <row r="181" spans="1:13" s="21" customFormat="1" x14ac:dyDescent="0.15">
      <c r="A181" s="315" t="s">
        <v>173</v>
      </c>
      <c r="B181" s="316" t="str">
        <f t="shared" si="81"/>
        <v>6001</v>
      </c>
      <c r="C181" s="316" t="str">
        <f t="shared" si="82"/>
        <v>CZCE</v>
      </c>
      <c r="D181" s="317" t="str">
        <f t="shared" si="96"/>
        <v>PTA807P6500</v>
      </c>
      <c r="E181" s="318">
        <v>1</v>
      </c>
      <c r="F181" s="318">
        <v>4</v>
      </c>
      <c r="G181" s="316" t="str">
        <f t="shared" si="36"/>
        <v>PTA807P650014</v>
      </c>
      <c r="H181" s="288">
        <f t="shared" si="97"/>
        <v>4.2000000000000002E-4</v>
      </c>
      <c r="I181" s="288">
        <f t="shared" si="97"/>
        <v>4.2</v>
      </c>
      <c r="J181" s="288">
        <f t="shared" si="97"/>
        <v>3.2000000000000003E-4</v>
      </c>
      <c r="K181" s="288">
        <f t="shared" si="97"/>
        <v>3.2</v>
      </c>
      <c r="L181" s="288">
        <f t="shared" si="97"/>
        <v>2.0000000000000001E-4</v>
      </c>
      <c r="M181" s="288">
        <f t="shared" si="97"/>
        <v>2</v>
      </c>
    </row>
    <row r="182" spans="1:13" s="21" customFormat="1" x14ac:dyDescent="0.15">
      <c r="A182" s="315" t="s">
        <v>173</v>
      </c>
      <c r="B182" s="316" t="str">
        <f t="shared" si="81"/>
        <v>6001</v>
      </c>
      <c r="C182" s="316" t="str">
        <f t="shared" si="82"/>
        <v>CZCE</v>
      </c>
      <c r="D182" s="317" t="str">
        <f t="shared" si="96"/>
        <v>PTA807P6500</v>
      </c>
      <c r="E182" s="318">
        <v>3</v>
      </c>
      <c r="F182" s="318">
        <v>5</v>
      </c>
      <c r="G182" s="316" t="str">
        <f t="shared" si="36"/>
        <v>PTA807P650035</v>
      </c>
      <c r="H182" s="288">
        <f t="shared" si="97"/>
        <v>4.4999999999999999E-4</v>
      </c>
      <c r="I182" s="288">
        <f t="shared" si="97"/>
        <v>4.5</v>
      </c>
      <c r="J182" s="288">
        <f t="shared" si="97"/>
        <v>3.5E-4</v>
      </c>
      <c r="K182" s="288">
        <f t="shared" si="97"/>
        <v>3.5</v>
      </c>
      <c r="L182" s="288">
        <f t="shared" si="97"/>
        <v>2.0000000000000001E-4</v>
      </c>
      <c r="M182" s="288">
        <f t="shared" si="97"/>
        <v>2</v>
      </c>
    </row>
    <row r="183" spans="1:13" s="21" customFormat="1" x14ac:dyDescent="0.15">
      <c r="A183" s="315" t="s">
        <v>173</v>
      </c>
      <c r="B183" s="316" t="str">
        <f t="shared" si="81"/>
        <v>6001</v>
      </c>
      <c r="C183" s="316" t="str">
        <f t="shared" si="82"/>
        <v>CZCE</v>
      </c>
      <c r="D183" s="317" t="str">
        <f t="shared" si="96"/>
        <v>PTA807P6500</v>
      </c>
      <c r="E183" s="318">
        <v>3</v>
      </c>
      <c r="F183" s="318">
        <v>0</v>
      </c>
      <c r="G183" s="316" t="str">
        <f t="shared" si="36"/>
        <v>PTA807P650030</v>
      </c>
      <c r="H183" s="288">
        <f>H163</f>
        <v>5.0000000000000001E-4</v>
      </c>
      <c r="I183" s="288">
        <f t="shared" ref="I183:M183" si="98">I163</f>
        <v>5</v>
      </c>
      <c r="J183" s="288">
        <f t="shared" si="98"/>
        <v>5.0000000000000001E-4</v>
      </c>
      <c r="K183" s="288">
        <f t="shared" si="98"/>
        <v>5</v>
      </c>
      <c r="L183" s="288">
        <f t="shared" si="98"/>
        <v>2.0000000000000001E-4</v>
      </c>
      <c r="M183" s="288">
        <f t="shared" si="98"/>
        <v>2</v>
      </c>
    </row>
    <row r="184" spans="1:13" s="21" customFormat="1" x14ac:dyDescent="0.15">
      <c r="A184" s="315" t="s">
        <v>173</v>
      </c>
      <c r="B184" s="316" t="str">
        <f t="shared" si="81"/>
        <v>6001</v>
      </c>
      <c r="C184" s="316" t="str">
        <f t="shared" si="82"/>
        <v>CZCE</v>
      </c>
      <c r="D184" s="317" t="str">
        <f t="shared" si="96"/>
        <v>PTA807P6500</v>
      </c>
      <c r="E184" s="318">
        <v>3</v>
      </c>
      <c r="F184" s="318">
        <v>1</v>
      </c>
      <c r="G184" s="316" t="str">
        <f t="shared" si="36"/>
        <v>PTA807P650031</v>
      </c>
      <c r="H184" s="288">
        <f t="shared" ref="H184:M187" si="99">H164</f>
        <v>4.0000000000000002E-4</v>
      </c>
      <c r="I184" s="288">
        <f t="shared" si="99"/>
        <v>4</v>
      </c>
      <c r="J184" s="288">
        <f t="shared" si="99"/>
        <v>3.9999999999999996E-4</v>
      </c>
      <c r="K184" s="288">
        <f t="shared" si="99"/>
        <v>4</v>
      </c>
      <c r="L184" s="288">
        <f t="shared" si="99"/>
        <v>2.0000000000000001E-4</v>
      </c>
      <c r="M184" s="288">
        <f t="shared" si="99"/>
        <v>2</v>
      </c>
    </row>
    <row r="185" spans="1:13" s="21" customFormat="1" x14ac:dyDescent="0.15">
      <c r="A185" s="315" t="s">
        <v>173</v>
      </c>
      <c r="B185" s="316" t="str">
        <f t="shared" si="81"/>
        <v>6001</v>
      </c>
      <c r="C185" s="316" t="str">
        <f t="shared" si="82"/>
        <v>CZCE</v>
      </c>
      <c r="D185" s="317" t="str">
        <f t="shared" si="96"/>
        <v>PTA807P6500</v>
      </c>
      <c r="E185" s="318">
        <v>3</v>
      </c>
      <c r="F185" s="318">
        <v>3</v>
      </c>
      <c r="G185" s="316" t="str">
        <f t="shared" si="36"/>
        <v>PTA807P650033</v>
      </c>
      <c r="H185" s="288">
        <f t="shared" si="99"/>
        <v>2.0000000000000001E-4</v>
      </c>
      <c r="I185" s="288">
        <f t="shared" si="99"/>
        <v>2</v>
      </c>
      <c r="J185" s="288">
        <f t="shared" si="99"/>
        <v>2.0000000000000001E-4</v>
      </c>
      <c r="K185" s="288">
        <f t="shared" si="99"/>
        <v>2</v>
      </c>
      <c r="L185" s="288">
        <f t="shared" si="99"/>
        <v>2.0000000000000001E-4</v>
      </c>
      <c r="M185" s="288">
        <f t="shared" si="99"/>
        <v>2</v>
      </c>
    </row>
    <row r="186" spans="1:13" s="21" customFormat="1" x14ac:dyDescent="0.15">
      <c r="A186" s="315" t="s">
        <v>173</v>
      </c>
      <c r="B186" s="316" t="str">
        <f t="shared" si="81"/>
        <v>6001</v>
      </c>
      <c r="C186" s="316" t="str">
        <f t="shared" si="82"/>
        <v>CZCE</v>
      </c>
      <c r="D186" s="317" t="str">
        <f t="shared" si="96"/>
        <v>PTA807P6500</v>
      </c>
      <c r="E186" s="318">
        <v>3</v>
      </c>
      <c r="F186" s="318">
        <v>4</v>
      </c>
      <c r="G186" s="316" t="str">
        <f t="shared" si="36"/>
        <v>PTA807P650034</v>
      </c>
      <c r="H186" s="288">
        <f t="shared" si="99"/>
        <v>4.2000000000000002E-4</v>
      </c>
      <c r="I186" s="288">
        <f t="shared" si="99"/>
        <v>4.2</v>
      </c>
      <c r="J186" s="288">
        <f t="shared" si="99"/>
        <v>4.2000000000000002E-4</v>
      </c>
      <c r="K186" s="288">
        <f t="shared" si="99"/>
        <v>4.2</v>
      </c>
      <c r="L186" s="288">
        <f t="shared" si="99"/>
        <v>2.0000000000000001E-4</v>
      </c>
      <c r="M186" s="288">
        <f t="shared" si="99"/>
        <v>2</v>
      </c>
    </row>
    <row r="187" spans="1:13" s="21" customFormat="1" x14ac:dyDescent="0.15">
      <c r="A187" s="315" t="s">
        <v>173</v>
      </c>
      <c r="B187" s="316" t="str">
        <f t="shared" si="81"/>
        <v>6001</v>
      </c>
      <c r="C187" s="316" t="str">
        <f t="shared" si="82"/>
        <v>CZCE</v>
      </c>
      <c r="D187" s="317" t="str">
        <f t="shared" si="96"/>
        <v>PTA807P6500</v>
      </c>
      <c r="E187" s="318">
        <v>3</v>
      </c>
      <c r="F187" s="318">
        <v>5</v>
      </c>
      <c r="G187" s="316" t="str">
        <f t="shared" si="36"/>
        <v>PTA807P650035</v>
      </c>
      <c r="H187" s="288">
        <f t="shared" si="99"/>
        <v>4.4999999999999999E-4</v>
      </c>
      <c r="I187" s="288">
        <f t="shared" si="99"/>
        <v>4.5</v>
      </c>
      <c r="J187" s="288">
        <f t="shared" si="99"/>
        <v>4.4999999999999999E-4</v>
      </c>
      <c r="K187" s="288">
        <f t="shared" si="99"/>
        <v>4.5</v>
      </c>
      <c r="L187" s="288">
        <f t="shared" si="99"/>
        <v>2.0000000000000001E-4</v>
      </c>
      <c r="M187" s="288">
        <f t="shared" si="99"/>
        <v>2</v>
      </c>
    </row>
    <row r="188" spans="1:13" ht="14.4" x14ac:dyDescent="0.25">
      <c r="A188" s="49" t="s">
        <v>173</v>
      </c>
      <c r="B188" s="57" t="s">
        <v>222</v>
      </c>
      <c r="C188" s="55"/>
      <c r="D188" s="72"/>
    </row>
    <row r="189" spans="1:13" x14ac:dyDescent="0.15">
      <c r="A189" s="49" t="s">
        <v>173</v>
      </c>
      <c r="B189" s="67" t="s">
        <v>245</v>
      </c>
      <c r="C189" s="67" t="s">
        <v>234</v>
      </c>
      <c r="D189" s="67"/>
      <c r="E189" s="67"/>
      <c r="G189" s="49" t="s">
        <v>236</v>
      </c>
      <c r="H189" s="49" t="s">
        <v>235</v>
      </c>
    </row>
    <row r="190" spans="1:13" x14ac:dyDescent="0.25">
      <c r="A190" s="49" t="s">
        <v>173</v>
      </c>
      <c r="B190" s="7" t="s">
        <v>5</v>
      </c>
      <c r="C190" s="7" t="s">
        <v>223</v>
      </c>
      <c r="D190" s="7" t="s">
        <v>224</v>
      </c>
      <c r="E190" s="7" t="s">
        <v>230</v>
      </c>
      <c r="F190" s="7" t="s">
        <v>231</v>
      </c>
      <c r="G190" s="7" t="s">
        <v>232</v>
      </c>
      <c r="H190" s="7" t="s">
        <v>233</v>
      </c>
    </row>
    <row r="191" spans="1:13" x14ac:dyDescent="0.15">
      <c r="A191" s="49" t="s">
        <v>173</v>
      </c>
      <c r="B191" s="337" t="str">
        <f>C147</f>
        <v>CZCE</v>
      </c>
      <c r="C191" s="336">
        <v>0</v>
      </c>
      <c r="D191" s="336">
        <v>0</v>
      </c>
      <c r="E191" s="71">
        <v>0.5</v>
      </c>
      <c r="F191" s="15">
        <v>0.5</v>
      </c>
      <c r="G191" s="15">
        <v>1</v>
      </c>
      <c r="H191" s="15">
        <v>3</v>
      </c>
    </row>
    <row r="192" spans="1:13" x14ac:dyDescent="0.25">
      <c r="A192" s="49" t="s">
        <v>173</v>
      </c>
      <c r="B192" s="2" t="s">
        <v>225</v>
      </c>
      <c r="C192" s="2"/>
      <c r="D192" s="2"/>
      <c r="E192" s="2"/>
    </row>
    <row r="193" spans="1:5" x14ac:dyDescent="0.25">
      <c r="A193" s="49" t="s">
        <v>173</v>
      </c>
      <c r="B193" s="33" t="s">
        <v>0</v>
      </c>
      <c r="C193" s="83" t="s">
        <v>226</v>
      </c>
      <c r="D193" s="26" t="s">
        <v>61</v>
      </c>
      <c r="E193" s="26" t="s">
        <v>62</v>
      </c>
    </row>
    <row r="194" spans="1:5" x14ac:dyDescent="0.25">
      <c r="A194" s="49" t="s">
        <v>173</v>
      </c>
      <c r="B194" s="84" t="s">
        <v>227</v>
      </c>
      <c r="C194" s="85" t="s">
        <v>228</v>
      </c>
      <c r="D194" s="85">
        <v>1000</v>
      </c>
      <c r="E194" s="85">
        <v>2000</v>
      </c>
    </row>
    <row r="195" spans="1:5" x14ac:dyDescent="0.25">
      <c r="A195" s="49" t="s">
        <v>173</v>
      </c>
      <c r="B195" s="84" t="s">
        <v>1869</v>
      </c>
      <c r="C195" s="85" t="s">
        <v>1866</v>
      </c>
      <c r="D195" s="85">
        <v>0</v>
      </c>
      <c r="E195" s="85">
        <v>0</v>
      </c>
    </row>
    <row r="196" spans="1:5" x14ac:dyDescent="0.25">
      <c r="A196" s="49" t="s">
        <v>173</v>
      </c>
      <c r="B196" s="84" t="s">
        <v>227</v>
      </c>
      <c r="C196" s="85" t="s">
        <v>229</v>
      </c>
      <c r="D196" s="85">
        <v>0</v>
      </c>
      <c r="E196" s="85">
        <v>0</v>
      </c>
    </row>
    <row r="197" spans="1:5" ht="14.4" x14ac:dyDescent="0.25">
      <c r="A197" s="49" t="s">
        <v>173</v>
      </c>
      <c r="B197" s="55" t="s">
        <v>1174</v>
      </c>
      <c r="C197" s="55"/>
      <c r="D197" s="72"/>
    </row>
    <row r="198" spans="1:5" x14ac:dyDescent="0.15">
      <c r="A198" s="49" t="s">
        <v>173</v>
      </c>
      <c r="B198" s="33" t="s">
        <v>1177</v>
      </c>
      <c r="C198" s="33" t="s">
        <v>1178</v>
      </c>
      <c r="D198" s="72"/>
    </row>
    <row r="199" spans="1:5" ht="14.4" x14ac:dyDescent="0.25">
      <c r="A199" s="49" t="s">
        <v>173</v>
      </c>
      <c r="B199" s="53">
        <v>6.1234000000000002</v>
      </c>
      <c r="C199" s="53">
        <v>0.13450000000000001</v>
      </c>
      <c r="D199" s="72"/>
    </row>
    <row r="200" spans="1:5" ht="14.4" x14ac:dyDescent="0.25">
      <c r="A200" s="49" t="s">
        <v>173</v>
      </c>
      <c r="B200" s="415" t="s">
        <v>1870</v>
      </c>
      <c r="C200" s="415" t="s">
        <v>1871</v>
      </c>
      <c r="D200" s="72"/>
    </row>
    <row r="201" spans="1:5" ht="14.4" x14ac:dyDescent="0.25">
      <c r="A201" s="49" t="s">
        <v>173</v>
      </c>
      <c r="B201" s="53">
        <v>0.88200000000000001</v>
      </c>
      <c r="C201" s="53">
        <v>1.1337999999999999</v>
      </c>
      <c r="D201" s="72"/>
    </row>
    <row r="202" spans="1:5" ht="14.4" x14ac:dyDescent="0.25">
      <c r="A202" s="49" t="s">
        <v>173</v>
      </c>
      <c r="B202" s="192" t="s">
        <v>1175</v>
      </c>
      <c r="C202" s="55"/>
      <c r="D202" s="72"/>
    </row>
    <row r="203" spans="1:5" x14ac:dyDescent="0.15">
      <c r="A203" s="49" t="s">
        <v>173</v>
      </c>
      <c r="B203" s="33" t="s">
        <v>1177</v>
      </c>
      <c r="C203" s="33" t="s">
        <v>1178</v>
      </c>
      <c r="D203" s="72"/>
    </row>
    <row r="204" spans="1:5" ht="14.4" x14ac:dyDescent="0.25">
      <c r="A204" s="49" t="s">
        <v>173</v>
      </c>
      <c r="B204" s="53">
        <v>0.9</v>
      </c>
      <c r="C204" s="53">
        <v>0.95</v>
      </c>
      <c r="D204" s="72"/>
    </row>
    <row r="205" spans="1:5" ht="14.4" x14ac:dyDescent="0.25">
      <c r="A205" s="49" t="s">
        <v>173</v>
      </c>
      <c r="B205" s="415" t="s">
        <v>1870</v>
      </c>
      <c r="C205" s="415" t="s">
        <v>1871</v>
      </c>
      <c r="D205" s="72"/>
    </row>
    <row r="206" spans="1:5" ht="14.4" x14ac:dyDescent="0.25">
      <c r="A206" s="49" t="s">
        <v>173</v>
      </c>
      <c r="B206" s="53">
        <v>0.9</v>
      </c>
      <c r="C206" s="53">
        <v>0.95</v>
      </c>
      <c r="D206" s="72"/>
    </row>
    <row r="207" spans="1:5" ht="14.4" x14ac:dyDescent="0.25">
      <c r="A207" s="49" t="s">
        <v>173</v>
      </c>
      <c r="B207" s="192" t="s">
        <v>1176</v>
      </c>
      <c r="C207" s="55"/>
      <c r="D207" s="72"/>
    </row>
    <row r="208" spans="1:5" x14ac:dyDescent="0.15">
      <c r="A208" s="49" t="s">
        <v>173</v>
      </c>
      <c r="B208" s="33" t="s">
        <v>1177</v>
      </c>
      <c r="C208" s="33" t="s">
        <v>1178</v>
      </c>
      <c r="D208" s="72"/>
    </row>
    <row r="209" spans="1:10" ht="14.4" x14ac:dyDescent="0.25">
      <c r="A209" s="49" t="s">
        <v>173</v>
      </c>
      <c r="B209" s="53">
        <v>0.8</v>
      </c>
      <c r="C209" s="53">
        <v>0.85</v>
      </c>
      <c r="D209" s="72"/>
    </row>
    <row r="210" spans="1:10" ht="14.4" x14ac:dyDescent="0.25">
      <c r="A210" s="49" t="s">
        <v>173</v>
      </c>
      <c r="B210" s="415" t="s">
        <v>1870</v>
      </c>
      <c r="C210" s="415" t="s">
        <v>1871</v>
      </c>
      <c r="D210" s="72"/>
    </row>
    <row r="211" spans="1:10" ht="14.4" x14ac:dyDescent="0.25">
      <c r="A211" s="49" t="s">
        <v>173</v>
      </c>
      <c r="B211" s="53">
        <v>0.8</v>
      </c>
      <c r="C211" s="53">
        <v>0.85</v>
      </c>
      <c r="D211" s="72"/>
    </row>
    <row r="212" spans="1:10" ht="14.4" x14ac:dyDescent="0.25">
      <c r="A212" s="446" t="s">
        <v>173</v>
      </c>
      <c r="B212" s="447" t="s">
        <v>1986</v>
      </c>
      <c r="C212" s="55"/>
      <c r="D212" s="72"/>
    </row>
    <row r="213" spans="1:10" ht="14.4" x14ac:dyDescent="0.25">
      <c r="A213" s="348" t="s">
        <v>970</v>
      </c>
      <c r="B213" s="348" t="s">
        <v>1621</v>
      </c>
      <c r="C213" s="55"/>
      <c r="D213" s="72"/>
    </row>
    <row r="214" spans="1:10" ht="14.4" x14ac:dyDescent="0.25">
      <c r="A214" s="348" t="s">
        <v>1095</v>
      </c>
      <c r="B214" s="360" t="s">
        <v>1622</v>
      </c>
      <c r="C214" s="55"/>
      <c r="D214" s="72"/>
    </row>
    <row r="215" spans="1:10" ht="14.4" x14ac:dyDescent="0.25">
      <c r="A215" s="348"/>
      <c r="B215" s="520" t="s">
        <v>2033</v>
      </c>
      <c r="C215" s="55"/>
      <c r="D215" s="72"/>
    </row>
    <row r="216" spans="1:10" ht="14.4" x14ac:dyDescent="0.25">
      <c r="A216" s="49" t="s">
        <v>173</v>
      </c>
      <c r="B216" s="285" t="s">
        <v>1792</v>
      </c>
      <c r="C216" s="57" t="s">
        <v>1793</v>
      </c>
      <c r="D216" s="55"/>
      <c r="E216" s="72"/>
    </row>
    <row r="217" spans="1:10" ht="14.4" x14ac:dyDescent="0.25">
      <c r="A217" s="49" t="s">
        <v>173</v>
      </c>
      <c r="B217" s="49" t="s">
        <v>1802</v>
      </c>
      <c r="C217" s="692" t="s">
        <v>1800</v>
      </c>
      <c r="D217" s="693"/>
      <c r="E217" s="693"/>
      <c r="F217" s="694"/>
      <c r="G217" s="695" t="s">
        <v>1126</v>
      </c>
      <c r="H217" s="695" t="s">
        <v>1107</v>
      </c>
      <c r="I217" s="695" t="s">
        <v>1108</v>
      </c>
      <c r="J217" s="695" t="s">
        <v>1127</v>
      </c>
    </row>
    <row r="218" spans="1:10" ht="14.4" x14ac:dyDescent="0.25">
      <c r="A218" s="49" t="s">
        <v>173</v>
      </c>
      <c r="B218" s="49"/>
      <c r="C218" s="53" t="s">
        <v>1799</v>
      </c>
      <c r="D218" s="53" t="s">
        <v>1794</v>
      </c>
      <c r="E218" s="70" t="s">
        <v>1795</v>
      </c>
      <c r="F218" s="15" t="s">
        <v>1796</v>
      </c>
      <c r="G218" s="696"/>
      <c r="H218" s="696"/>
      <c r="I218" s="696"/>
      <c r="J218" s="696"/>
    </row>
    <row r="219" spans="1:10" ht="14.4" x14ac:dyDescent="0.25">
      <c r="A219" s="49" t="s">
        <v>173</v>
      </c>
      <c r="B219" s="49"/>
      <c r="C219" s="53">
        <v>9999</v>
      </c>
      <c r="D219" s="53" t="s">
        <v>1811</v>
      </c>
      <c r="E219" s="70">
        <v>2</v>
      </c>
      <c r="F219" s="61" t="s">
        <v>1798</v>
      </c>
      <c r="G219" s="111" t="s">
        <v>1128</v>
      </c>
      <c r="H219" s="111"/>
      <c r="I219" s="111"/>
      <c r="J219" s="111">
        <v>0</v>
      </c>
    </row>
    <row r="220" spans="1:10" ht="14.4" x14ac:dyDescent="0.25">
      <c r="A220" s="49" t="s">
        <v>173</v>
      </c>
      <c r="B220" s="55"/>
      <c r="C220" s="55"/>
      <c r="D220" s="72"/>
    </row>
    <row r="221" spans="1:10" ht="14.4" x14ac:dyDescent="0.25">
      <c r="A221" s="49" t="s">
        <v>1791</v>
      </c>
      <c r="B221" s="57" t="s">
        <v>124</v>
      </c>
      <c r="C221" s="9" t="s">
        <v>1557</v>
      </c>
      <c r="D221" s="165"/>
      <c r="E221" s="165"/>
      <c r="F221" s="352"/>
    </row>
    <row r="222" spans="1:10" x14ac:dyDescent="0.25">
      <c r="A222" s="49" t="s">
        <v>1791</v>
      </c>
      <c r="B222" s="49" t="s">
        <v>1419</v>
      </c>
      <c r="C222" s="677" t="s">
        <v>1985</v>
      </c>
      <c r="D222" s="677"/>
      <c r="E222" s="677"/>
      <c r="F222" s="677"/>
    </row>
    <row r="223" spans="1:10" ht="13.2" x14ac:dyDescent="0.3">
      <c r="A223" s="49" t="s">
        <v>1791</v>
      </c>
      <c r="C223" s="146" t="s">
        <v>23</v>
      </c>
      <c r="D223" s="146" t="s">
        <v>1609</v>
      </c>
      <c r="E223" s="146" t="s">
        <v>1610</v>
      </c>
      <c r="F223" s="146" t="s">
        <v>94</v>
      </c>
    </row>
    <row r="224" spans="1:10" ht="14.4" x14ac:dyDescent="0.25">
      <c r="A224" s="49" t="s">
        <v>1791</v>
      </c>
      <c r="C224" s="392" t="s">
        <v>1611</v>
      </c>
      <c r="D224" s="392" t="s">
        <v>1612</v>
      </c>
      <c r="E224" s="386" t="s">
        <v>1863</v>
      </c>
      <c r="F224" s="392" t="s">
        <v>1613</v>
      </c>
    </row>
    <row r="225" spans="1:38" ht="14.4" x14ac:dyDescent="0.25">
      <c r="A225" s="49" t="s">
        <v>1791</v>
      </c>
      <c r="B225" s="49"/>
      <c r="C225" s="392" t="s">
        <v>1611</v>
      </c>
      <c r="D225" s="392" t="s">
        <v>1753</v>
      </c>
      <c r="E225" s="386" t="s">
        <v>1864</v>
      </c>
      <c r="F225" s="392" t="s">
        <v>1613</v>
      </c>
    </row>
    <row r="226" spans="1:38" ht="14.4" x14ac:dyDescent="0.25">
      <c r="A226" s="49" t="s">
        <v>1791</v>
      </c>
      <c r="B226" s="53">
        <v>9999</v>
      </c>
      <c r="C226" s="53" t="s">
        <v>1789</v>
      </c>
      <c r="D226" s="395" t="s">
        <v>1790</v>
      </c>
      <c r="E226" s="396" t="s">
        <v>1797</v>
      </c>
    </row>
    <row r="227" spans="1:38" ht="14.4" x14ac:dyDescent="0.25">
      <c r="A227" s="285" t="s">
        <v>1751</v>
      </c>
      <c r="B227" s="57" t="s">
        <v>1746</v>
      </c>
      <c r="C227" s="55"/>
      <c r="D227" s="72"/>
      <c r="E227" s="135"/>
      <c r="F227" s="135"/>
      <c r="G227" s="375"/>
      <c r="H227" s="376"/>
      <c r="I227" s="135"/>
      <c r="J227" s="135"/>
      <c r="K227" s="135"/>
      <c r="L227" s="135"/>
      <c r="M227" s="135"/>
      <c r="N227" s="135"/>
      <c r="O227" s="135"/>
      <c r="P227" s="135"/>
      <c r="Q227" s="135"/>
      <c r="R227" s="375"/>
      <c r="S227" s="375"/>
      <c r="T227" s="377"/>
      <c r="U227" s="135"/>
      <c r="V227" s="135"/>
      <c r="W227" s="378"/>
      <c r="X227" s="378"/>
      <c r="Y227" s="378"/>
      <c r="Z227" s="378"/>
    </row>
    <row r="228" spans="1:38" ht="14.4" x14ac:dyDescent="0.15">
      <c r="A228" s="348" t="s">
        <v>970</v>
      </c>
      <c r="B228" s="348" t="s">
        <v>1735</v>
      </c>
      <c r="C228"/>
      <c r="D228" s="72"/>
      <c r="E228" s="135"/>
      <c r="F228" s="135"/>
      <c r="G228" s="375"/>
      <c r="H228" s="376"/>
      <c r="I228" s="135"/>
      <c r="J228" s="135"/>
      <c r="K228" s="135"/>
      <c r="L228" s="135"/>
      <c r="M228" s="135"/>
      <c r="N228" s="135"/>
      <c r="O228" s="135"/>
      <c r="P228" s="135"/>
      <c r="Q228" s="135"/>
      <c r="R228" s="375"/>
      <c r="S228" s="375"/>
      <c r="T228" s="377"/>
      <c r="U228" s="135"/>
      <c r="V228" s="135"/>
      <c r="W228" s="378"/>
      <c r="X228" s="378"/>
      <c r="Y228" s="378"/>
      <c r="Z228" s="378"/>
    </row>
    <row r="229" spans="1:38" ht="14.4" x14ac:dyDescent="0.15">
      <c r="A229" s="348" t="s">
        <v>1095</v>
      </c>
      <c r="B229" s="360" t="s">
        <v>1622</v>
      </c>
      <c r="C229"/>
      <c r="D229" s="72"/>
      <c r="E229" s="135"/>
      <c r="F229" s="135"/>
      <c r="G229" s="375"/>
      <c r="H229" s="376"/>
      <c r="I229" s="135"/>
      <c r="J229" s="135"/>
      <c r="K229" s="135"/>
      <c r="L229" s="135"/>
      <c r="M229" s="135"/>
      <c r="N229" s="135"/>
      <c r="O229" s="135"/>
      <c r="P229" s="135"/>
      <c r="Q229" s="135"/>
      <c r="R229" s="375"/>
      <c r="S229" s="375"/>
      <c r="T229" s="377"/>
      <c r="U229" s="135"/>
      <c r="V229" s="135"/>
      <c r="W229" s="378"/>
      <c r="X229" s="378"/>
      <c r="Y229" s="378"/>
      <c r="Z229" s="378"/>
    </row>
    <row r="230" spans="1:38" ht="14.4" x14ac:dyDescent="0.15">
      <c r="A230" s="348"/>
      <c r="B230" s="225" t="s">
        <v>1747</v>
      </c>
      <c r="C230"/>
      <c r="D230" s="72"/>
    </row>
    <row r="231" spans="1:38" ht="14.4" x14ac:dyDescent="0.25">
      <c r="A231" s="49" t="s">
        <v>2007</v>
      </c>
      <c r="B231" s="57" t="s">
        <v>124</v>
      </c>
      <c r="C231" s="57" t="s">
        <v>1557</v>
      </c>
      <c r="D231" s="55"/>
    </row>
    <row r="232" spans="1:38" s="21" customFormat="1" ht="14.4" x14ac:dyDescent="0.25">
      <c r="A232" s="49" t="s">
        <v>2007</v>
      </c>
      <c r="B232" s="280" t="s">
        <v>1617</v>
      </c>
      <c r="C232" s="699" t="s">
        <v>2049</v>
      </c>
      <c r="D232" s="700"/>
      <c r="E232" s="700"/>
      <c r="F232" s="700"/>
      <c r="G232" s="700"/>
      <c r="H232" s="700"/>
      <c r="I232" s="700"/>
      <c r="J232" s="700"/>
      <c r="K232" s="700"/>
      <c r="L232" s="700"/>
      <c r="M232" s="700"/>
      <c r="N232" s="700"/>
      <c r="O232" s="700"/>
      <c r="P232" s="700"/>
      <c r="Q232" s="700"/>
      <c r="R232" s="700"/>
      <c r="S232" s="700"/>
      <c r="T232" s="700"/>
      <c r="U232" s="700"/>
      <c r="V232" s="700"/>
    </row>
    <row r="233" spans="1:38" ht="13.2" x14ac:dyDescent="0.3">
      <c r="A233" s="49" t="s">
        <v>2007</v>
      </c>
      <c r="B233" s="30"/>
      <c r="C233" s="146" t="s">
        <v>23</v>
      </c>
      <c r="D233" s="146" t="s">
        <v>25</v>
      </c>
      <c r="E233" s="146" t="s">
        <v>305</v>
      </c>
      <c r="F233" s="146" t="s">
        <v>125</v>
      </c>
      <c r="G233" s="146" t="s">
        <v>126</v>
      </c>
      <c r="H233" s="146" t="s">
        <v>127</v>
      </c>
      <c r="I233" s="146" t="s">
        <v>128</v>
      </c>
      <c r="J233" s="146" t="s">
        <v>129</v>
      </c>
      <c r="K233" s="146" t="s">
        <v>130</v>
      </c>
      <c r="L233" s="146" t="s">
        <v>131</v>
      </c>
      <c r="M233" s="146" t="s">
        <v>132</v>
      </c>
      <c r="N233" s="146" t="s">
        <v>133</v>
      </c>
      <c r="O233" s="146" t="s">
        <v>134</v>
      </c>
      <c r="P233" s="146" t="s">
        <v>135</v>
      </c>
      <c r="Q233" s="146" t="s">
        <v>136</v>
      </c>
      <c r="R233" s="146" t="s">
        <v>137</v>
      </c>
      <c r="S233" s="146" t="s">
        <v>138</v>
      </c>
      <c r="T233" s="146" t="s">
        <v>139</v>
      </c>
      <c r="U233" s="146" t="s">
        <v>140</v>
      </c>
      <c r="V233" s="146" t="s">
        <v>141</v>
      </c>
    </row>
    <row r="234" spans="1:38" ht="14.4" x14ac:dyDescent="0.25">
      <c r="A234" s="49" t="s">
        <v>2007</v>
      </c>
      <c r="B234" s="30"/>
      <c r="C234" s="279">
        <v>9999</v>
      </c>
      <c r="D234" s="279" t="s">
        <v>142</v>
      </c>
      <c r="E234" s="279" t="s">
        <v>143</v>
      </c>
      <c r="F234" s="279" t="s">
        <v>33</v>
      </c>
      <c r="G234" s="279" t="s">
        <v>144</v>
      </c>
      <c r="H234" s="54" t="s">
        <v>2055</v>
      </c>
      <c r="I234" s="279"/>
      <c r="J234" s="279" t="s">
        <v>145</v>
      </c>
      <c r="K234" s="279"/>
      <c r="L234" s="279">
        <v>0</v>
      </c>
      <c r="M234" s="279">
        <v>1</v>
      </c>
      <c r="N234" s="279">
        <v>0</v>
      </c>
      <c r="O234" s="279" t="s">
        <v>146</v>
      </c>
      <c r="P234" s="279"/>
      <c r="Q234" s="279" t="s">
        <v>36</v>
      </c>
      <c r="R234" s="279" t="s">
        <v>147</v>
      </c>
      <c r="S234" s="279"/>
      <c r="T234" s="279">
        <v>1</v>
      </c>
      <c r="U234" s="279"/>
      <c r="V234" s="279">
        <v>1</v>
      </c>
    </row>
    <row r="235" spans="1:38" ht="14.4" x14ac:dyDescent="0.25">
      <c r="A235" s="49" t="s">
        <v>2007</v>
      </c>
      <c r="B235" s="30"/>
      <c r="C235" s="9"/>
      <c r="D235" s="9"/>
      <c r="E235" s="9"/>
      <c r="F235" s="9"/>
      <c r="G235" s="9"/>
      <c r="H235" s="9"/>
      <c r="N235" s="9"/>
      <c r="O235" s="9"/>
      <c r="P235" s="9"/>
      <c r="Q235" s="9"/>
      <c r="R235" s="9"/>
      <c r="S235" s="9"/>
      <c r="T235" s="9"/>
      <c r="U235" s="9"/>
      <c r="V235" s="9"/>
    </row>
    <row r="236" spans="1:38" ht="14.4" x14ac:dyDescent="0.25">
      <c r="A236" s="49" t="s">
        <v>2007</v>
      </c>
      <c r="B236" s="57" t="s">
        <v>124</v>
      </c>
      <c r="C236" s="9" t="s">
        <v>1557</v>
      </c>
      <c r="D236" s="9"/>
      <c r="E236" s="9"/>
      <c r="F236" s="9"/>
      <c r="G236" s="9"/>
      <c r="H236" s="9"/>
      <c r="N236" s="9"/>
      <c r="O236" s="9"/>
      <c r="P236" s="9"/>
      <c r="Q236" s="9"/>
      <c r="R236" s="9"/>
      <c r="S236" s="9"/>
      <c r="T236" s="9"/>
      <c r="U236" s="9"/>
      <c r="V236" s="9"/>
    </row>
    <row r="237" spans="1:38" ht="14.4" x14ac:dyDescent="0.25">
      <c r="A237" s="49" t="s">
        <v>2007</v>
      </c>
      <c r="B237" s="30" t="s">
        <v>307</v>
      </c>
      <c r="C237" s="678" t="s">
        <v>2050</v>
      </c>
      <c r="D237" s="679"/>
      <c r="E237" s="679"/>
      <c r="F237" s="679"/>
      <c r="G237" s="679"/>
      <c r="H237" s="679"/>
      <c r="I237" s="679"/>
      <c r="J237" s="679"/>
      <c r="K237" s="679"/>
      <c r="L237" s="679"/>
      <c r="M237" s="67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row>
    <row r="238" spans="1:38" ht="15" x14ac:dyDescent="0.3">
      <c r="A238" s="49" t="s">
        <v>2007</v>
      </c>
      <c r="B238" s="30"/>
      <c r="C238" s="146" t="s">
        <v>23</v>
      </c>
      <c r="D238" s="146" t="s">
        <v>2048</v>
      </c>
      <c r="E238" s="146" t="s">
        <v>149</v>
      </c>
      <c r="F238" s="146" t="s">
        <v>150</v>
      </c>
      <c r="G238" s="146" t="s">
        <v>151</v>
      </c>
      <c r="H238" s="146" t="s">
        <v>134</v>
      </c>
      <c r="I238" s="146" t="s">
        <v>135</v>
      </c>
      <c r="J238" s="146" t="s">
        <v>152</v>
      </c>
      <c r="K238" s="146" t="s">
        <v>141</v>
      </c>
      <c r="L238" s="146" t="s">
        <v>94</v>
      </c>
      <c r="M238" s="146" t="s">
        <v>153</v>
      </c>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row>
    <row r="239" spans="1:38" ht="14.4" x14ac:dyDescent="0.25">
      <c r="A239" s="49" t="s">
        <v>2007</v>
      </c>
      <c r="B239" s="30"/>
      <c r="C239" s="279" t="str">
        <f>$F$5</f>
        <v>9999</v>
      </c>
      <c r="D239" s="279" t="str">
        <f>$B$5</f>
        <v>6001</v>
      </c>
      <c r="E239" s="54" t="str">
        <f>C5</f>
        <v>B00101</v>
      </c>
      <c r="F239" s="279" t="str">
        <f>D5</f>
        <v>6001</v>
      </c>
      <c r="G239" s="279" t="s">
        <v>154</v>
      </c>
      <c r="H239" s="279"/>
      <c r="I239" s="279"/>
      <c r="J239" s="54" t="str">
        <f>C5</f>
        <v>B00101</v>
      </c>
      <c r="K239" s="279">
        <v>1</v>
      </c>
      <c r="L239" s="279"/>
      <c r="M239" s="27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row>
    <row r="240" spans="1:38" ht="14.4" x14ac:dyDescent="0.25">
      <c r="A240" s="49" t="s">
        <v>2007</v>
      </c>
      <c r="B240" s="30"/>
      <c r="C240" s="279" t="str">
        <f>$F$5</f>
        <v>9999</v>
      </c>
      <c r="D240" s="279" t="str">
        <f>$B$5</f>
        <v>6001</v>
      </c>
      <c r="E240" s="54" t="str">
        <f>C6</f>
        <v>B00102</v>
      </c>
      <c r="F240" s="279" t="str">
        <f>D6</f>
        <v>6001</v>
      </c>
      <c r="G240" s="279" t="s">
        <v>154</v>
      </c>
      <c r="H240" s="279"/>
      <c r="I240" s="279"/>
      <c r="J240" s="54" t="str">
        <f>C6</f>
        <v>B00102</v>
      </c>
      <c r="K240" s="279">
        <v>1</v>
      </c>
      <c r="L240" s="279"/>
      <c r="M240" s="279"/>
    </row>
    <row r="241" spans="1:14" ht="14.4" x14ac:dyDescent="0.25">
      <c r="A241" s="49" t="s">
        <v>2007</v>
      </c>
      <c r="B241" s="30"/>
      <c r="C241" s="9"/>
      <c r="D241" s="9"/>
      <c r="E241" s="64"/>
      <c r="F241" s="9"/>
      <c r="G241" s="9"/>
      <c r="H241" s="9"/>
      <c r="I241" s="9"/>
      <c r="J241" s="9"/>
      <c r="K241" s="9"/>
      <c r="L241" s="9"/>
      <c r="M241" s="9"/>
    </row>
    <row r="242" spans="1:14" ht="14.4" x14ac:dyDescent="0.25">
      <c r="A242" s="49" t="s">
        <v>2007</v>
      </c>
      <c r="B242" s="57" t="s">
        <v>124</v>
      </c>
      <c r="C242" s="9" t="s">
        <v>1557</v>
      </c>
      <c r="D242" s="9"/>
      <c r="E242" s="9"/>
      <c r="F242" s="9"/>
      <c r="G242" s="9"/>
      <c r="H242" s="9"/>
      <c r="I242" s="9"/>
      <c r="J242" s="9"/>
      <c r="K242" s="9"/>
      <c r="L242" s="9"/>
      <c r="M242" s="9"/>
    </row>
    <row r="243" spans="1:14" ht="14.4" x14ac:dyDescent="0.25">
      <c r="A243" s="49" t="s">
        <v>2007</v>
      </c>
      <c r="B243" s="30" t="s">
        <v>1519</v>
      </c>
      <c r="C243" s="678" t="s">
        <v>2051</v>
      </c>
      <c r="D243" s="679"/>
      <c r="E243" s="679"/>
      <c r="F243" s="679"/>
      <c r="G243" s="679"/>
      <c r="H243" s="679"/>
      <c r="I243" s="679"/>
      <c r="J243" s="679"/>
      <c r="K243" s="679"/>
      <c r="L243" s="679"/>
      <c r="M243" s="9"/>
    </row>
    <row r="244" spans="1:14" ht="15" x14ac:dyDescent="0.3">
      <c r="A244" s="49" t="s">
        <v>2007</v>
      </c>
      <c r="B244" s="30"/>
      <c r="C244" s="146" t="s">
        <v>23</v>
      </c>
      <c r="D244" s="146" t="s">
        <v>150</v>
      </c>
      <c r="E244" s="146" t="s">
        <v>157</v>
      </c>
      <c r="F244" s="146" t="s">
        <v>151</v>
      </c>
      <c r="G244" s="146" t="s">
        <v>158</v>
      </c>
      <c r="H244" s="146" t="s">
        <v>129</v>
      </c>
      <c r="I244" s="146" t="s">
        <v>130</v>
      </c>
      <c r="J244" s="146" t="s">
        <v>159</v>
      </c>
      <c r="K244" s="146" t="s">
        <v>141</v>
      </c>
      <c r="L244" s="146" t="s">
        <v>160</v>
      </c>
      <c r="M244" s="9"/>
    </row>
    <row r="245" spans="1:14" ht="14.4" x14ac:dyDescent="0.25">
      <c r="A245" s="49" t="s">
        <v>2007</v>
      </c>
      <c r="B245" s="30"/>
      <c r="C245" s="279" t="str">
        <f>$F$5</f>
        <v>9999</v>
      </c>
      <c r="D245" s="279" t="str">
        <f>D5</f>
        <v>6001</v>
      </c>
      <c r="E245" s="279" t="s">
        <v>161</v>
      </c>
      <c r="F245" s="279" t="s">
        <v>154</v>
      </c>
      <c r="G245" s="279">
        <v>123456</v>
      </c>
      <c r="H245" s="279" t="s">
        <v>162</v>
      </c>
      <c r="I245" s="279"/>
      <c r="J245" s="279">
        <v>1</v>
      </c>
      <c r="K245" s="279">
        <v>1</v>
      </c>
      <c r="L245" s="279">
        <v>1</v>
      </c>
      <c r="M245" s="9"/>
    </row>
    <row r="246" spans="1:14" ht="14.4" x14ac:dyDescent="0.25">
      <c r="A246" s="49" t="s">
        <v>2007</v>
      </c>
      <c r="B246" s="30"/>
      <c r="C246" s="416" t="str">
        <f>$F$5</f>
        <v>9999</v>
      </c>
      <c r="D246" s="416" t="str">
        <f>C10</f>
        <v>6001</v>
      </c>
      <c r="E246" s="420">
        <v>6001</v>
      </c>
      <c r="F246" s="416" t="s">
        <v>1886</v>
      </c>
      <c r="G246" s="416">
        <v>123456</v>
      </c>
      <c r="H246" s="420">
        <v>20181024</v>
      </c>
      <c r="I246" s="416"/>
      <c r="J246" s="416">
        <v>1</v>
      </c>
      <c r="K246" s="416">
        <v>1</v>
      </c>
      <c r="L246" s="416">
        <v>1</v>
      </c>
      <c r="M246" s="9"/>
    </row>
    <row r="247" spans="1:14" ht="14.4" x14ac:dyDescent="0.25">
      <c r="A247" s="49" t="s">
        <v>2007</v>
      </c>
      <c r="B247" s="30"/>
      <c r="C247" s="279" t="str">
        <f>$F$5</f>
        <v>9999</v>
      </c>
      <c r="D247" s="279" t="str">
        <f>C11</f>
        <v>6001</v>
      </c>
      <c r="E247" s="279" t="s">
        <v>161</v>
      </c>
      <c r="F247" s="279" t="s">
        <v>163</v>
      </c>
      <c r="G247" s="279">
        <v>123456</v>
      </c>
      <c r="H247" s="279" t="s">
        <v>162</v>
      </c>
      <c r="I247" s="279"/>
      <c r="J247" s="279">
        <v>1</v>
      </c>
      <c r="K247" s="279">
        <v>1</v>
      </c>
      <c r="L247" s="279">
        <v>1</v>
      </c>
      <c r="M247" s="9"/>
    </row>
    <row r="248" spans="1:14" ht="14.4" x14ac:dyDescent="0.25">
      <c r="A248" s="49" t="s">
        <v>2007</v>
      </c>
      <c r="B248" s="57" t="s">
        <v>124</v>
      </c>
      <c r="C248" s="57" t="s">
        <v>1557</v>
      </c>
      <c r="D248" s="9"/>
      <c r="E248" s="9"/>
      <c r="F248" s="9"/>
      <c r="G248" s="9"/>
      <c r="H248" s="9"/>
      <c r="I248" s="9"/>
      <c r="J248" s="9"/>
      <c r="K248" s="9"/>
      <c r="L248" s="9"/>
      <c r="M248" s="9"/>
    </row>
    <row r="249" spans="1:14" ht="14.4" x14ac:dyDescent="0.25">
      <c r="A249" s="49" t="s">
        <v>2007</v>
      </c>
      <c r="B249" s="30" t="s">
        <v>1520</v>
      </c>
      <c r="C249" s="678" t="s">
        <v>2052</v>
      </c>
      <c r="D249" s="701"/>
      <c r="E249" s="701"/>
      <c r="F249" s="701"/>
      <c r="G249" s="701"/>
      <c r="H249" s="701"/>
      <c r="I249" s="9"/>
      <c r="J249" s="9"/>
      <c r="K249" s="9"/>
      <c r="L249" s="9"/>
      <c r="M249" s="9"/>
    </row>
    <row r="250" spans="1:14" ht="15" x14ac:dyDescent="0.3">
      <c r="A250" s="49" t="s">
        <v>2007</v>
      </c>
      <c r="B250" s="30"/>
      <c r="C250" s="146" t="s">
        <v>23</v>
      </c>
      <c r="D250" s="146" t="s">
        <v>150</v>
      </c>
      <c r="E250" s="146" t="s">
        <v>151</v>
      </c>
      <c r="F250" s="146" t="s">
        <v>164</v>
      </c>
      <c r="G250" s="146" t="s">
        <v>165</v>
      </c>
      <c r="H250" s="146" t="s">
        <v>141</v>
      </c>
      <c r="I250" s="9"/>
      <c r="J250" s="9"/>
      <c r="K250" s="9"/>
      <c r="L250" s="9"/>
      <c r="M250" s="9"/>
    </row>
    <row r="251" spans="1:14" ht="14.4" x14ac:dyDescent="0.25">
      <c r="A251" s="49" t="s">
        <v>2007</v>
      </c>
      <c r="B251" s="30"/>
      <c r="C251" s="279" t="str">
        <f>$F$5</f>
        <v>9999</v>
      </c>
      <c r="D251" s="279" t="str">
        <f>$C$9</f>
        <v>6001</v>
      </c>
      <c r="E251" s="279" t="s">
        <v>154</v>
      </c>
      <c r="F251" s="279" t="str">
        <f>$C$9</f>
        <v>6001</v>
      </c>
      <c r="G251" s="279" t="s">
        <v>33</v>
      </c>
      <c r="H251" s="279">
        <v>1</v>
      </c>
      <c r="I251" s="9"/>
      <c r="J251" s="9"/>
      <c r="K251" s="9"/>
      <c r="L251" s="9"/>
      <c r="M251" s="9"/>
    </row>
    <row r="252" spans="1:14" ht="14.4" x14ac:dyDescent="0.25">
      <c r="A252" s="49" t="s">
        <v>2007</v>
      </c>
      <c r="B252" s="30"/>
      <c r="C252" s="416" t="str">
        <f>$F$5</f>
        <v>9999</v>
      </c>
      <c r="D252" s="416" t="str">
        <f>$C$9</f>
        <v>6001</v>
      </c>
      <c r="E252" s="416" t="s">
        <v>1886</v>
      </c>
      <c r="F252" s="416" t="str">
        <f>$C$9</f>
        <v>6001</v>
      </c>
      <c r="G252" s="420">
        <v>1</v>
      </c>
      <c r="H252" s="416">
        <v>1</v>
      </c>
      <c r="I252" s="9"/>
      <c r="J252" s="9"/>
      <c r="K252" s="9"/>
      <c r="L252" s="9"/>
      <c r="M252" s="9"/>
    </row>
    <row r="253" spans="1:14" ht="14.4" x14ac:dyDescent="0.25">
      <c r="A253" s="49" t="s">
        <v>2007</v>
      </c>
      <c r="B253" s="30"/>
      <c r="C253" s="279" t="str">
        <f>$F$5</f>
        <v>9999</v>
      </c>
      <c r="D253" s="279" t="str">
        <f>C11</f>
        <v>6001</v>
      </c>
      <c r="E253" s="279" t="s">
        <v>163</v>
      </c>
      <c r="F253" s="279" t="str">
        <f>$C$9</f>
        <v>6001</v>
      </c>
      <c r="G253" s="279" t="s">
        <v>33</v>
      </c>
      <c r="H253" s="279">
        <v>1</v>
      </c>
      <c r="I253" s="9"/>
      <c r="J253" s="9"/>
      <c r="K253" s="9"/>
      <c r="L253" s="9"/>
      <c r="M253" s="9"/>
    </row>
    <row r="254" spans="1:14" ht="14.4" x14ac:dyDescent="0.25">
      <c r="A254" s="49" t="s">
        <v>2007</v>
      </c>
      <c r="B254" s="30"/>
      <c r="C254" s="9"/>
      <c r="D254" s="9"/>
      <c r="E254" s="9"/>
      <c r="F254" s="9"/>
      <c r="G254" s="9"/>
      <c r="H254" s="9"/>
      <c r="I254" s="9"/>
      <c r="J254" s="9"/>
      <c r="K254" s="9"/>
      <c r="L254" s="9"/>
      <c r="M254" s="9"/>
    </row>
    <row r="255" spans="1:14" ht="14.4" x14ac:dyDescent="0.25">
      <c r="A255" s="49" t="s">
        <v>2007</v>
      </c>
      <c r="B255" s="57" t="s">
        <v>124</v>
      </c>
      <c r="C255" s="9" t="s">
        <v>1557</v>
      </c>
      <c r="D255" s="9"/>
      <c r="E255" s="9"/>
      <c r="F255" s="9"/>
      <c r="G255" s="9"/>
      <c r="H255" s="9"/>
      <c r="I255" s="9"/>
      <c r="J255" s="9"/>
      <c r="K255" s="9"/>
      <c r="L255" s="9"/>
      <c r="M255" s="9"/>
    </row>
    <row r="256" spans="1:14" ht="14.4" x14ac:dyDescent="0.25">
      <c r="A256" s="49" t="s">
        <v>2007</v>
      </c>
      <c r="B256" s="30" t="s">
        <v>963</v>
      </c>
      <c r="C256" s="680" t="s">
        <v>2053</v>
      </c>
      <c r="D256" s="702"/>
      <c r="E256" s="702"/>
      <c r="F256" s="702"/>
      <c r="G256" s="702"/>
      <c r="H256" s="702"/>
      <c r="I256" s="702"/>
      <c r="J256" s="702"/>
      <c r="K256" s="702"/>
      <c r="L256" s="702"/>
      <c r="M256" s="702"/>
      <c r="N256" s="703"/>
    </row>
    <row r="257" spans="1:17" ht="13.2" x14ac:dyDescent="0.3">
      <c r="A257" s="49" t="s">
        <v>2007</v>
      </c>
      <c r="B257" s="30"/>
      <c r="C257" s="146" t="s">
        <v>23</v>
      </c>
      <c r="D257" s="146" t="s">
        <v>25</v>
      </c>
      <c r="E257" s="146" t="s">
        <v>24</v>
      </c>
      <c r="F257" s="146" t="s">
        <v>30</v>
      </c>
      <c r="G257" s="146" t="s">
        <v>141</v>
      </c>
      <c r="H257" s="146" t="s">
        <v>129</v>
      </c>
      <c r="I257" s="146" t="s">
        <v>166</v>
      </c>
      <c r="J257" s="146" t="s">
        <v>167</v>
      </c>
      <c r="K257" s="146" t="s">
        <v>168</v>
      </c>
      <c r="L257" s="146" t="s">
        <v>148</v>
      </c>
      <c r="M257" s="146" t="s">
        <v>169</v>
      </c>
      <c r="N257" s="146" t="s">
        <v>170</v>
      </c>
    </row>
    <row r="258" spans="1:17" ht="14.4" x14ac:dyDescent="0.25">
      <c r="A258" s="49" t="s">
        <v>2007</v>
      </c>
      <c r="B258" s="30"/>
      <c r="C258" s="150" t="str">
        <f>$F$5</f>
        <v>9999</v>
      </c>
      <c r="D258" s="150" t="str">
        <f>$B$5</f>
        <v>6001</v>
      </c>
      <c r="E258" s="150" t="s">
        <v>34</v>
      </c>
      <c r="F258" s="150" t="str">
        <f>G5</f>
        <v>50010001</v>
      </c>
      <c r="G258" s="150">
        <v>1</v>
      </c>
      <c r="H258" s="150" t="s">
        <v>171</v>
      </c>
      <c r="I258" s="150"/>
      <c r="J258" s="150"/>
      <c r="K258" s="150"/>
      <c r="L258" s="150"/>
      <c r="M258" s="150" t="s">
        <v>33</v>
      </c>
      <c r="N258" s="150" t="s">
        <v>33</v>
      </c>
    </row>
    <row r="259" spans="1:17" ht="14.4" x14ac:dyDescent="0.25">
      <c r="A259" s="49" t="s">
        <v>2007</v>
      </c>
      <c r="B259" s="30"/>
      <c r="C259" s="150" t="str">
        <f>$F$5</f>
        <v>9999</v>
      </c>
      <c r="D259" s="150" t="str">
        <f>$B$5</f>
        <v>6001</v>
      </c>
      <c r="E259" s="150" t="s">
        <v>34</v>
      </c>
      <c r="F259" s="150" t="str">
        <f>G6</f>
        <v>50010002</v>
      </c>
      <c r="G259" s="150">
        <v>1</v>
      </c>
      <c r="H259" s="150" t="s">
        <v>171</v>
      </c>
      <c r="I259" s="150"/>
      <c r="J259" s="150"/>
      <c r="K259" s="150"/>
      <c r="L259" s="150"/>
      <c r="M259" s="150" t="s">
        <v>33</v>
      </c>
      <c r="N259" s="150" t="s">
        <v>33</v>
      </c>
    </row>
    <row r="260" spans="1:17" ht="14.4" x14ac:dyDescent="0.25">
      <c r="A260" s="49" t="s">
        <v>2007</v>
      </c>
      <c r="B260" s="30"/>
      <c r="C260" s="9"/>
      <c r="D260" s="9"/>
      <c r="E260" s="9"/>
      <c r="F260" s="9"/>
      <c r="G260" s="9"/>
      <c r="H260" s="9"/>
      <c r="I260" s="9"/>
      <c r="J260" s="9"/>
      <c r="K260" s="9"/>
      <c r="L260" s="9"/>
      <c r="M260" s="9"/>
      <c r="N260" s="9"/>
    </row>
    <row r="261" spans="1:17" ht="14.4" x14ac:dyDescent="0.25">
      <c r="A261" s="49" t="s">
        <v>2007</v>
      </c>
      <c r="B261" s="57" t="s">
        <v>124</v>
      </c>
      <c r="C261" s="9" t="s">
        <v>1557</v>
      </c>
      <c r="D261" s="9"/>
      <c r="E261" s="9"/>
      <c r="F261" s="9"/>
      <c r="G261" s="9"/>
      <c r="H261" s="9"/>
      <c r="I261" s="9"/>
      <c r="J261" s="9"/>
      <c r="K261" s="9"/>
      <c r="L261" s="9"/>
      <c r="M261" s="9"/>
      <c r="N261" s="9"/>
    </row>
    <row r="262" spans="1:17" ht="14.4" x14ac:dyDescent="0.25">
      <c r="A262" s="49" t="s">
        <v>2007</v>
      </c>
      <c r="B262" s="30" t="s">
        <v>963</v>
      </c>
      <c r="C262" s="678" t="s">
        <v>2054</v>
      </c>
      <c r="D262" s="679"/>
      <c r="E262" s="679"/>
      <c r="F262" s="679"/>
      <c r="G262" s="679"/>
      <c r="H262" s="679"/>
      <c r="I262" s="679"/>
      <c r="J262" s="9"/>
      <c r="K262" s="9"/>
      <c r="L262" s="9"/>
      <c r="M262" s="9"/>
    </row>
    <row r="263" spans="1:17" ht="15" x14ac:dyDescent="0.3">
      <c r="A263" s="49" t="s">
        <v>2007</v>
      </c>
      <c r="B263" s="30"/>
      <c r="C263" s="146" t="s">
        <v>23</v>
      </c>
      <c r="D263" s="146" t="s">
        <v>25</v>
      </c>
      <c r="E263" s="146" t="s">
        <v>149</v>
      </c>
      <c r="F263" s="146" t="s">
        <v>24</v>
      </c>
      <c r="G263" s="146" t="s">
        <v>30</v>
      </c>
      <c r="H263" s="146" t="s">
        <v>172</v>
      </c>
      <c r="I263" s="146" t="s">
        <v>141</v>
      </c>
      <c r="J263" s="9"/>
      <c r="K263" s="9"/>
      <c r="L263" s="9"/>
      <c r="M263" s="9"/>
    </row>
    <row r="264" spans="1:17" ht="14.4" x14ac:dyDescent="0.25">
      <c r="A264" s="49" t="s">
        <v>2007</v>
      </c>
      <c r="B264" s="30"/>
      <c r="C264" s="279" t="str">
        <f>$F$5</f>
        <v>9999</v>
      </c>
      <c r="D264" s="279" t="str">
        <f>$B$5</f>
        <v>6001</v>
      </c>
      <c r="E264" s="54" t="str">
        <f>C5</f>
        <v>B00101</v>
      </c>
      <c r="F264" s="279" t="s">
        <v>34</v>
      </c>
      <c r="G264" s="279" t="str">
        <f>F258</f>
        <v>50010001</v>
      </c>
      <c r="H264" s="279" t="s">
        <v>33</v>
      </c>
      <c r="I264" s="279">
        <v>1</v>
      </c>
      <c r="J264" s="9"/>
      <c r="K264" s="9"/>
      <c r="L264" s="9"/>
      <c r="M264" s="9"/>
    </row>
    <row r="265" spans="1:17" ht="14.4" x14ac:dyDescent="0.25">
      <c r="A265" s="49" t="s">
        <v>2007</v>
      </c>
      <c r="B265" s="30"/>
      <c r="C265" s="279" t="str">
        <f>$F$5</f>
        <v>9999</v>
      </c>
      <c r="D265" s="279" t="str">
        <f>$B$5</f>
        <v>6001</v>
      </c>
      <c r="E265" s="54" t="str">
        <f>C6</f>
        <v>B00102</v>
      </c>
      <c r="F265" s="279" t="s">
        <v>34</v>
      </c>
      <c r="G265" s="279" t="str">
        <f>F259</f>
        <v>50010002</v>
      </c>
      <c r="H265" s="279" t="s">
        <v>33</v>
      </c>
      <c r="I265" s="279">
        <v>1</v>
      </c>
      <c r="J265" s="9"/>
      <c r="K265" s="9"/>
      <c r="L265" s="9"/>
      <c r="M265" s="9"/>
    </row>
    <row r="266" spans="1:17" ht="14.4" x14ac:dyDescent="0.25">
      <c r="A266" s="30"/>
      <c r="B266" s="9"/>
      <c r="C266" s="9"/>
      <c r="D266" s="9"/>
      <c r="E266" s="9"/>
      <c r="F266" s="9"/>
      <c r="G266" s="9"/>
      <c r="H266" s="9"/>
      <c r="I266" s="9"/>
      <c r="J266" s="9"/>
      <c r="K266" s="9"/>
      <c r="L266" s="9"/>
    </row>
    <row r="267" spans="1:17" ht="14.4" x14ac:dyDescent="0.25">
      <c r="A267" s="30" t="s">
        <v>238</v>
      </c>
      <c r="B267" s="9" t="s">
        <v>239</v>
      </c>
      <c r="C267" s="9"/>
      <c r="D267" s="9"/>
      <c r="E267" s="9"/>
      <c r="F267" s="9"/>
      <c r="G267" s="9"/>
      <c r="H267" s="9"/>
      <c r="I267" s="9"/>
      <c r="J267" s="9"/>
      <c r="K267" s="9"/>
      <c r="L267" s="9"/>
    </row>
    <row r="268" spans="1:17" ht="14.4" x14ac:dyDescent="0.25">
      <c r="A268" s="57" t="s">
        <v>124</v>
      </c>
      <c r="B268" s="9" t="s">
        <v>1557</v>
      </c>
      <c r="C268" s="9"/>
      <c r="D268" s="9"/>
      <c r="E268" s="9"/>
      <c r="F268" s="9"/>
      <c r="G268" s="9"/>
      <c r="H268" s="9"/>
      <c r="I268" s="9"/>
      <c r="J268" s="9"/>
      <c r="K268" s="9"/>
      <c r="L268" s="9"/>
    </row>
    <row r="269" spans="1:17" ht="14.4" x14ac:dyDescent="0.25">
      <c r="A269" s="30" t="s">
        <v>964</v>
      </c>
      <c r="B269" s="680" t="s">
        <v>1917</v>
      </c>
      <c r="C269" s="702"/>
      <c r="D269" s="702"/>
      <c r="E269" s="702"/>
      <c r="F269" s="702"/>
      <c r="G269" s="702"/>
      <c r="H269" s="702"/>
      <c r="I269" s="702"/>
      <c r="J269" s="702"/>
      <c r="K269" s="702"/>
      <c r="L269" s="702"/>
      <c r="M269" s="702"/>
      <c r="N269" s="702"/>
      <c r="O269" s="702"/>
      <c r="P269" s="702"/>
      <c r="Q269" s="703"/>
    </row>
    <row r="270" spans="1:17" ht="13.2" x14ac:dyDescent="0.3">
      <c r="A270" s="30"/>
      <c r="B270" s="146" t="s">
        <v>22</v>
      </c>
      <c r="C270" s="146" t="s">
        <v>24</v>
      </c>
      <c r="D270" s="146" t="s">
        <v>26</v>
      </c>
      <c r="E270" s="146" t="s">
        <v>23</v>
      </c>
      <c r="F270" s="146" t="s">
        <v>177</v>
      </c>
      <c r="G270" s="146" t="s">
        <v>178</v>
      </c>
      <c r="H270" s="146" t="s">
        <v>179</v>
      </c>
      <c r="I270" s="146" t="s">
        <v>180</v>
      </c>
      <c r="J270" s="146" t="s">
        <v>181</v>
      </c>
      <c r="K270" s="146" t="s">
        <v>182</v>
      </c>
      <c r="L270" s="146" t="s">
        <v>183</v>
      </c>
      <c r="M270" s="146" t="s">
        <v>184</v>
      </c>
      <c r="N270" s="146" t="s">
        <v>185</v>
      </c>
      <c r="O270" s="146" t="s">
        <v>186</v>
      </c>
      <c r="P270" s="146" t="s">
        <v>27</v>
      </c>
      <c r="Q270" s="146" t="s">
        <v>176</v>
      </c>
    </row>
    <row r="271" spans="1:17" ht="14.4" x14ac:dyDescent="0.25">
      <c r="A271" s="30"/>
      <c r="B271" s="150">
        <f>$B$2</f>
        <v>20180326</v>
      </c>
      <c r="C271" s="150" t="s">
        <v>302</v>
      </c>
      <c r="D271" s="151" t="str">
        <f>D19</f>
        <v>SR</v>
      </c>
      <c r="E271" s="150" t="str">
        <f>$F$5</f>
        <v>9999</v>
      </c>
      <c r="F271" s="152">
        <f>J76</f>
        <v>4.0000000000000002E-4</v>
      </c>
      <c r="G271" s="152">
        <f>K76</f>
        <v>4</v>
      </c>
      <c r="H271" s="152">
        <f>J77</f>
        <v>2.9999999999999997E-4</v>
      </c>
      <c r="I271" s="152">
        <f>K77</f>
        <v>3</v>
      </c>
      <c r="J271" s="152">
        <f>J79</f>
        <v>1E-4</v>
      </c>
      <c r="K271" s="152">
        <f>K79</f>
        <v>1</v>
      </c>
      <c r="L271" s="152">
        <f>J78</f>
        <v>2.0000000000000001E-4</v>
      </c>
      <c r="M271" s="152">
        <f>K78</f>
        <v>2</v>
      </c>
      <c r="N271" s="152">
        <v>0</v>
      </c>
      <c r="O271" s="152">
        <v>0</v>
      </c>
      <c r="P271" s="150">
        <v>1</v>
      </c>
      <c r="Q271" s="150">
        <v>9</v>
      </c>
    </row>
    <row r="272" spans="1:17" ht="14.4" x14ac:dyDescent="0.25">
      <c r="A272" s="30"/>
      <c r="B272" s="150">
        <f t="shared" ref="B272:B276" si="100">$B$2</f>
        <v>20180326</v>
      </c>
      <c r="C272" s="150" t="s">
        <v>34</v>
      </c>
      <c r="D272" s="151" t="str">
        <f>D271</f>
        <v>SR</v>
      </c>
      <c r="E272" s="150" t="str">
        <f t="shared" ref="E272:E276" si="101">$F$5</f>
        <v>9999</v>
      </c>
      <c r="F272" s="152">
        <f>J80</f>
        <v>5.0000000000000001E-4</v>
      </c>
      <c r="G272" s="152">
        <f>K80</f>
        <v>5</v>
      </c>
      <c r="H272" s="152">
        <f>J81</f>
        <v>3.9999999999999996E-4</v>
      </c>
      <c r="I272" s="152">
        <f>K81</f>
        <v>4</v>
      </c>
      <c r="J272" s="152">
        <f>J83</f>
        <v>2.0000000000000001E-4</v>
      </c>
      <c r="K272" s="152">
        <f>K83</f>
        <v>2</v>
      </c>
      <c r="L272" s="152">
        <f>J82</f>
        <v>3.0000000000000003E-4</v>
      </c>
      <c r="M272" s="152">
        <f>K82</f>
        <v>3</v>
      </c>
      <c r="N272" s="152">
        <v>0</v>
      </c>
      <c r="O272" s="152">
        <v>0</v>
      </c>
      <c r="P272" s="150">
        <v>3</v>
      </c>
      <c r="Q272" s="150">
        <v>5</v>
      </c>
    </row>
    <row r="273" spans="1:21" ht="14.4" x14ac:dyDescent="0.25">
      <c r="A273" s="30"/>
      <c r="B273" s="150">
        <f t="shared" si="100"/>
        <v>20180326</v>
      </c>
      <c r="C273" s="150" t="s">
        <v>34</v>
      </c>
      <c r="D273" s="151" t="str">
        <f>D21</f>
        <v>OI</v>
      </c>
      <c r="E273" s="150" t="str">
        <f t="shared" si="101"/>
        <v>9999</v>
      </c>
      <c r="F273" s="152">
        <f>F271</f>
        <v>4.0000000000000002E-4</v>
      </c>
      <c r="G273" s="152">
        <f t="shared" ref="G273:O273" si="102">G271</f>
        <v>4</v>
      </c>
      <c r="H273" s="152">
        <f t="shared" si="102"/>
        <v>2.9999999999999997E-4</v>
      </c>
      <c r="I273" s="152">
        <f t="shared" si="102"/>
        <v>3</v>
      </c>
      <c r="J273" s="152">
        <f t="shared" si="102"/>
        <v>1E-4</v>
      </c>
      <c r="K273" s="152">
        <f t="shared" si="102"/>
        <v>1</v>
      </c>
      <c r="L273" s="152">
        <f>L271</f>
        <v>2.0000000000000001E-4</v>
      </c>
      <c r="M273" s="152">
        <f>M271</f>
        <v>2</v>
      </c>
      <c r="N273" s="152">
        <f t="shared" si="102"/>
        <v>0</v>
      </c>
      <c r="O273" s="152">
        <f t="shared" si="102"/>
        <v>0</v>
      </c>
      <c r="P273" s="150">
        <v>1</v>
      </c>
      <c r="Q273" s="150">
        <v>9</v>
      </c>
    </row>
    <row r="274" spans="1:21" ht="14.4" x14ac:dyDescent="0.25">
      <c r="A274" s="30"/>
      <c r="B274" s="150">
        <f t="shared" si="100"/>
        <v>20180326</v>
      </c>
      <c r="C274" s="150" t="s">
        <v>34</v>
      </c>
      <c r="D274" s="151" t="str">
        <f>D21</f>
        <v>OI</v>
      </c>
      <c r="E274" s="150" t="str">
        <f t="shared" si="101"/>
        <v>9999</v>
      </c>
      <c r="F274" s="152">
        <f>F272</f>
        <v>5.0000000000000001E-4</v>
      </c>
      <c r="G274" s="152">
        <f t="shared" ref="G274:O274" si="103">G272</f>
        <v>5</v>
      </c>
      <c r="H274" s="152">
        <f t="shared" si="103"/>
        <v>3.9999999999999996E-4</v>
      </c>
      <c r="I274" s="152">
        <f t="shared" si="103"/>
        <v>4</v>
      </c>
      <c r="J274" s="152">
        <f t="shared" si="103"/>
        <v>2.0000000000000001E-4</v>
      </c>
      <c r="K274" s="152">
        <f t="shared" si="103"/>
        <v>2</v>
      </c>
      <c r="L274" s="152">
        <f>L272</f>
        <v>3.0000000000000003E-4</v>
      </c>
      <c r="M274" s="152">
        <f>M272</f>
        <v>3</v>
      </c>
      <c r="N274" s="152">
        <f t="shared" si="103"/>
        <v>0</v>
      </c>
      <c r="O274" s="152">
        <f t="shared" si="103"/>
        <v>0</v>
      </c>
      <c r="P274" s="150">
        <v>3</v>
      </c>
      <c r="Q274" s="150">
        <v>5</v>
      </c>
    </row>
    <row r="275" spans="1:21" s="2" customFormat="1" ht="14.4" x14ac:dyDescent="0.25">
      <c r="B275" s="150">
        <f t="shared" si="100"/>
        <v>20180326</v>
      </c>
      <c r="C275" s="150" t="s">
        <v>34</v>
      </c>
      <c r="D275" s="151" t="str">
        <f>D22</f>
        <v>PTA</v>
      </c>
      <c r="E275" s="150" t="str">
        <f t="shared" si="101"/>
        <v>9999</v>
      </c>
      <c r="F275" s="152">
        <f>F271</f>
        <v>4.0000000000000002E-4</v>
      </c>
      <c r="G275" s="152">
        <f t="shared" ref="G275:O275" si="104">G271</f>
        <v>4</v>
      </c>
      <c r="H275" s="152">
        <f t="shared" si="104"/>
        <v>2.9999999999999997E-4</v>
      </c>
      <c r="I275" s="152">
        <f t="shared" si="104"/>
        <v>3</v>
      </c>
      <c r="J275" s="152">
        <f t="shared" si="104"/>
        <v>1E-4</v>
      </c>
      <c r="K275" s="152">
        <f t="shared" si="104"/>
        <v>1</v>
      </c>
      <c r="L275" s="152">
        <f>L271</f>
        <v>2.0000000000000001E-4</v>
      </c>
      <c r="M275" s="152">
        <f>M271</f>
        <v>2</v>
      </c>
      <c r="N275" s="152">
        <f t="shared" si="104"/>
        <v>0</v>
      </c>
      <c r="O275" s="152">
        <f t="shared" si="104"/>
        <v>0</v>
      </c>
      <c r="P275" s="150">
        <v>1</v>
      </c>
      <c r="Q275" s="150">
        <v>9</v>
      </c>
    </row>
    <row r="276" spans="1:21" s="58" customFormat="1" ht="15" x14ac:dyDescent="0.3">
      <c r="B276" s="150">
        <f t="shared" si="100"/>
        <v>20180326</v>
      </c>
      <c r="C276" s="150" t="s">
        <v>34</v>
      </c>
      <c r="D276" s="151" t="str">
        <f>D275</f>
        <v>PTA</v>
      </c>
      <c r="E276" s="150" t="str">
        <f t="shared" si="101"/>
        <v>9999</v>
      </c>
      <c r="F276" s="152">
        <f>F272</f>
        <v>5.0000000000000001E-4</v>
      </c>
      <c r="G276" s="152">
        <f t="shared" ref="G276:O276" si="105">G272</f>
        <v>5</v>
      </c>
      <c r="H276" s="152">
        <f t="shared" si="105"/>
        <v>3.9999999999999996E-4</v>
      </c>
      <c r="I276" s="152">
        <f t="shared" si="105"/>
        <v>4</v>
      </c>
      <c r="J276" s="152">
        <f t="shared" si="105"/>
        <v>2.0000000000000001E-4</v>
      </c>
      <c r="K276" s="152">
        <f t="shared" si="105"/>
        <v>2</v>
      </c>
      <c r="L276" s="152">
        <f>L272</f>
        <v>3.0000000000000003E-4</v>
      </c>
      <c r="M276" s="152">
        <f>M272</f>
        <v>3</v>
      </c>
      <c r="N276" s="152">
        <f t="shared" si="105"/>
        <v>0</v>
      </c>
      <c r="O276" s="152">
        <f t="shared" si="105"/>
        <v>0</v>
      </c>
      <c r="P276" s="150">
        <v>3</v>
      </c>
      <c r="Q276" s="150">
        <v>5</v>
      </c>
    </row>
    <row r="277" spans="1:21" s="58" customFormat="1" ht="15" x14ac:dyDescent="0.3">
      <c r="B277" s="9"/>
      <c r="C277" s="9"/>
      <c r="D277" s="86"/>
      <c r="E277" s="9"/>
      <c r="F277" s="59"/>
      <c r="G277" s="59"/>
      <c r="H277" s="59"/>
      <c r="I277" s="59"/>
      <c r="J277" s="59"/>
      <c r="K277" s="59"/>
      <c r="L277" s="59"/>
      <c r="M277" s="59"/>
      <c r="N277" s="59"/>
      <c r="O277" s="59"/>
      <c r="P277" s="9"/>
      <c r="Q277" s="9"/>
    </row>
    <row r="278" spans="1:21" s="9" customFormat="1" ht="14.4" x14ac:dyDescent="0.25">
      <c r="A278" s="9" t="s">
        <v>1023</v>
      </c>
      <c r="B278" s="9" t="s">
        <v>240</v>
      </c>
      <c r="K278" s="59"/>
      <c r="L278" s="60"/>
      <c r="M278" s="59"/>
      <c r="N278" s="60"/>
    </row>
    <row r="279" spans="1:21" s="9" customFormat="1" ht="14.4" x14ac:dyDescent="0.25">
      <c r="A279" s="57" t="s">
        <v>124</v>
      </c>
      <c r="B279" s="9" t="s">
        <v>1557</v>
      </c>
      <c r="K279" s="59"/>
      <c r="L279" s="60"/>
      <c r="M279" s="59"/>
      <c r="N279" s="60"/>
    </row>
    <row r="280" spans="1:21" s="9" customFormat="1" ht="14.4" x14ac:dyDescent="0.25">
      <c r="A280" s="9" t="s">
        <v>965</v>
      </c>
      <c r="B280" s="683" t="s">
        <v>1505</v>
      </c>
      <c r="C280" s="684"/>
      <c r="D280" s="684"/>
      <c r="E280" s="684"/>
      <c r="F280" s="684"/>
      <c r="G280" s="684"/>
      <c r="H280" s="684"/>
      <c r="I280" s="684"/>
      <c r="J280" s="684"/>
      <c r="K280" s="684"/>
      <c r="L280" s="684"/>
      <c r="M280" s="684"/>
      <c r="N280" s="684"/>
      <c r="O280" s="684"/>
      <c r="P280" s="684"/>
      <c r="Q280" s="684"/>
      <c r="R280" s="684"/>
      <c r="S280" s="684"/>
      <c r="T280" s="684"/>
      <c r="U280" s="432"/>
    </row>
    <row r="281" spans="1:21" s="9" customFormat="1" ht="15" x14ac:dyDescent="0.3">
      <c r="B281" s="146" t="s">
        <v>22</v>
      </c>
      <c r="C281" s="146" t="s">
        <v>24</v>
      </c>
      <c r="D281" s="146" t="s">
        <v>26</v>
      </c>
      <c r="E281" s="146" t="s">
        <v>175</v>
      </c>
      <c r="F281" s="146" t="s">
        <v>23</v>
      </c>
      <c r="G281" s="146" t="s">
        <v>25</v>
      </c>
      <c r="H281" s="146" t="s">
        <v>149</v>
      </c>
      <c r="I281" s="146" t="s">
        <v>177</v>
      </c>
      <c r="J281" s="146" t="s">
        <v>178</v>
      </c>
      <c r="K281" s="146" t="s">
        <v>179</v>
      </c>
      <c r="L281" s="146" t="s">
        <v>180</v>
      </c>
      <c r="M281" s="146" t="s">
        <v>181</v>
      </c>
      <c r="N281" s="146" t="s">
        <v>182</v>
      </c>
      <c r="O281" s="146" t="s">
        <v>183</v>
      </c>
      <c r="P281" s="146" t="s">
        <v>184</v>
      </c>
      <c r="Q281" s="146" t="s">
        <v>185</v>
      </c>
      <c r="R281" s="146" t="s">
        <v>186</v>
      </c>
      <c r="S281" s="146" t="s">
        <v>27</v>
      </c>
      <c r="T281" s="146" t="s">
        <v>176</v>
      </c>
      <c r="U281" s="439"/>
    </row>
    <row r="282" spans="1:21" s="9" customFormat="1" ht="14.4" x14ac:dyDescent="0.25">
      <c r="B282" s="163">
        <f>$B$2</f>
        <v>20180326</v>
      </c>
      <c r="C282" s="150" t="s">
        <v>302</v>
      </c>
      <c r="D282" s="151" t="str">
        <f>D19</f>
        <v>SR</v>
      </c>
      <c r="E282" s="150">
        <v>3</v>
      </c>
      <c r="F282" s="150" t="str">
        <f>$F$5</f>
        <v>9999</v>
      </c>
      <c r="G282" s="150" t="str">
        <f t="shared" ref="G282:H284" si="106">$B$5</f>
        <v>6001</v>
      </c>
      <c r="H282" s="150" t="str">
        <f t="shared" si="106"/>
        <v>6001</v>
      </c>
      <c r="I282" s="152">
        <f>H76</f>
        <v>5.0000000000000001E-4</v>
      </c>
      <c r="J282" s="152">
        <f>I76</f>
        <v>5</v>
      </c>
      <c r="K282" s="152">
        <f>H77</f>
        <v>4.0000000000000002E-4</v>
      </c>
      <c r="L282" s="152">
        <f>I77</f>
        <v>4</v>
      </c>
      <c r="M282" s="152">
        <f>H79</f>
        <v>2.0000000000000001E-4</v>
      </c>
      <c r="N282" s="152">
        <f>I79</f>
        <v>2</v>
      </c>
      <c r="O282" s="152">
        <f>H78</f>
        <v>2.9999999999999997E-4</v>
      </c>
      <c r="P282" s="152">
        <f>I78</f>
        <v>3</v>
      </c>
      <c r="Q282" s="152">
        <v>0</v>
      </c>
      <c r="R282" s="152">
        <v>0</v>
      </c>
      <c r="S282" s="150" t="s">
        <v>33</v>
      </c>
      <c r="T282" s="150">
        <v>3</v>
      </c>
      <c r="U282" s="440"/>
    </row>
    <row r="283" spans="1:21" s="9" customFormat="1" ht="14.4" x14ac:dyDescent="0.25">
      <c r="B283" s="163">
        <f t="shared" ref="B283:B284" si="107">$B$2</f>
        <v>20180326</v>
      </c>
      <c r="C283" s="150" t="s">
        <v>302</v>
      </c>
      <c r="D283" s="151" t="str">
        <f>D21</f>
        <v>OI</v>
      </c>
      <c r="E283" s="150">
        <v>3</v>
      </c>
      <c r="F283" s="150" t="str">
        <f>$F$5</f>
        <v>9999</v>
      </c>
      <c r="G283" s="150" t="str">
        <f t="shared" si="106"/>
        <v>6001</v>
      </c>
      <c r="H283" s="150" t="str">
        <f t="shared" si="106"/>
        <v>6001</v>
      </c>
      <c r="I283" s="152">
        <f>I282</f>
        <v>5.0000000000000001E-4</v>
      </c>
      <c r="J283" s="152">
        <f t="shared" ref="J283:R283" si="108">J282</f>
        <v>5</v>
      </c>
      <c r="K283" s="152">
        <f t="shared" si="108"/>
        <v>4.0000000000000002E-4</v>
      </c>
      <c r="L283" s="152">
        <f t="shared" si="108"/>
        <v>4</v>
      </c>
      <c r="M283" s="152">
        <f t="shared" si="108"/>
        <v>2.0000000000000001E-4</v>
      </c>
      <c r="N283" s="152">
        <f t="shared" si="108"/>
        <v>2</v>
      </c>
      <c r="O283" s="152">
        <f t="shared" si="108"/>
        <v>2.9999999999999997E-4</v>
      </c>
      <c r="P283" s="152">
        <f t="shared" si="108"/>
        <v>3</v>
      </c>
      <c r="Q283" s="152">
        <f t="shared" si="108"/>
        <v>0</v>
      </c>
      <c r="R283" s="152">
        <f t="shared" si="108"/>
        <v>0</v>
      </c>
      <c r="S283" s="163" t="s">
        <v>304</v>
      </c>
      <c r="T283" s="152">
        <v>3</v>
      </c>
      <c r="U283" s="440"/>
    </row>
    <row r="284" spans="1:21" s="9" customFormat="1" ht="14.4" x14ac:dyDescent="0.25">
      <c r="B284" s="163">
        <f t="shared" si="107"/>
        <v>20180326</v>
      </c>
      <c r="C284" s="150" t="s">
        <v>302</v>
      </c>
      <c r="D284" s="151" t="str">
        <f>D22</f>
        <v>PTA</v>
      </c>
      <c r="E284" s="150">
        <v>3</v>
      </c>
      <c r="F284" s="150" t="str">
        <f>$F$5</f>
        <v>9999</v>
      </c>
      <c r="G284" s="150" t="str">
        <f t="shared" si="106"/>
        <v>6001</v>
      </c>
      <c r="H284" s="150" t="str">
        <f t="shared" si="106"/>
        <v>6001</v>
      </c>
      <c r="I284" s="152">
        <f>I282</f>
        <v>5.0000000000000001E-4</v>
      </c>
      <c r="J284" s="152">
        <f t="shared" ref="J284:R284" si="109">J282</f>
        <v>5</v>
      </c>
      <c r="K284" s="152">
        <f t="shared" si="109"/>
        <v>4.0000000000000002E-4</v>
      </c>
      <c r="L284" s="152">
        <f t="shared" si="109"/>
        <v>4</v>
      </c>
      <c r="M284" s="152">
        <f t="shared" si="109"/>
        <v>2.0000000000000001E-4</v>
      </c>
      <c r="N284" s="152">
        <f t="shared" si="109"/>
        <v>2</v>
      </c>
      <c r="O284" s="152">
        <f t="shared" si="109"/>
        <v>2.9999999999999997E-4</v>
      </c>
      <c r="P284" s="152">
        <f t="shared" si="109"/>
        <v>3</v>
      </c>
      <c r="Q284" s="152">
        <f t="shared" si="109"/>
        <v>0</v>
      </c>
      <c r="R284" s="152">
        <f t="shared" si="109"/>
        <v>0</v>
      </c>
      <c r="S284" s="163" t="s">
        <v>304</v>
      </c>
      <c r="T284" s="150">
        <v>3</v>
      </c>
      <c r="U284" s="440"/>
    </row>
    <row r="285" spans="1:21" ht="13.2" x14ac:dyDescent="0.3">
      <c r="H285" s="58"/>
      <c r="I285" s="58"/>
      <c r="J285" s="58"/>
      <c r="K285" s="58"/>
      <c r="L285" s="58"/>
    </row>
    <row r="286" spans="1:21" s="58" customFormat="1" ht="15" x14ac:dyDescent="0.3">
      <c r="A286" s="56" t="s">
        <v>282</v>
      </c>
      <c r="B286" s="87" t="s">
        <v>241</v>
      </c>
      <c r="H286" s="59"/>
      <c r="I286" s="60"/>
      <c r="J286" s="59"/>
      <c r="K286" s="60"/>
      <c r="L286" s="9"/>
    </row>
    <row r="287" spans="1:21" s="58" customFormat="1" ht="15" x14ac:dyDescent="0.3">
      <c r="A287" s="57" t="s">
        <v>124</v>
      </c>
      <c r="B287" s="9" t="s">
        <v>1557</v>
      </c>
      <c r="H287" s="59"/>
      <c r="I287" s="60"/>
      <c r="J287" s="59"/>
      <c r="K287" s="60"/>
      <c r="L287" s="9"/>
    </row>
    <row r="288" spans="1:21" s="9" customFormat="1" ht="14.4" x14ac:dyDescent="0.25">
      <c r="A288" s="9" t="s">
        <v>963</v>
      </c>
      <c r="B288" s="680" t="s">
        <v>1987</v>
      </c>
      <c r="C288" s="681"/>
      <c r="D288" s="681"/>
      <c r="E288" s="681"/>
      <c r="F288" s="681"/>
      <c r="G288" s="681"/>
      <c r="H288" s="681"/>
      <c r="I288" s="681"/>
      <c r="J288" s="681"/>
      <c r="K288" s="681"/>
      <c r="L288" s="681"/>
      <c r="M288" s="681"/>
      <c r="N288" s="681"/>
      <c r="O288" s="681"/>
      <c r="P288" s="681"/>
      <c r="Q288" s="681"/>
      <c r="R288" s="681"/>
      <c r="S288" s="681"/>
    </row>
    <row r="289" spans="1:22" s="9" customFormat="1" ht="15" x14ac:dyDescent="0.3">
      <c r="B289" s="146" t="s">
        <v>22</v>
      </c>
      <c r="C289" s="146" t="s">
        <v>23</v>
      </c>
      <c r="D289" s="146" t="s">
        <v>24</v>
      </c>
      <c r="E289" s="146" t="s">
        <v>26</v>
      </c>
      <c r="F289" s="146" t="s">
        <v>27</v>
      </c>
      <c r="G289" s="146" t="s">
        <v>177</v>
      </c>
      <c r="H289" s="146" t="s">
        <v>178</v>
      </c>
      <c r="I289" s="146" t="s">
        <v>179</v>
      </c>
      <c r="J289" s="146" t="s">
        <v>180</v>
      </c>
      <c r="K289" s="146" t="s">
        <v>181</v>
      </c>
      <c r="L289" s="146" t="s">
        <v>182</v>
      </c>
      <c r="M289" s="146" t="s">
        <v>187</v>
      </c>
      <c r="N289" s="146" t="s">
        <v>188</v>
      </c>
      <c r="O289" s="146" t="s">
        <v>189</v>
      </c>
      <c r="P289" s="146" t="s">
        <v>190</v>
      </c>
      <c r="Q289" s="146" t="s">
        <v>185</v>
      </c>
      <c r="R289" s="146" t="s">
        <v>186</v>
      </c>
      <c r="S289" s="146" t="s">
        <v>176</v>
      </c>
    </row>
    <row r="290" spans="1:22" s="9" customFormat="1" ht="14.4" x14ac:dyDescent="0.25">
      <c r="B290" s="150">
        <f>$B$2</f>
        <v>20180326</v>
      </c>
      <c r="C290" s="150" t="str">
        <f>$F$5</f>
        <v>9999</v>
      </c>
      <c r="D290" s="150" t="s">
        <v>34</v>
      </c>
      <c r="E290" s="151" t="str">
        <f>D27</f>
        <v>SRC</v>
      </c>
      <c r="F290" s="163" t="s">
        <v>242</v>
      </c>
      <c r="G290" s="152">
        <f>J118</f>
        <v>4.0000000000000002E-4</v>
      </c>
      <c r="H290" s="152">
        <f>K118</f>
        <v>4</v>
      </c>
      <c r="I290" s="152">
        <f>J119</f>
        <v>2.9999999999999997E-4</v>
      </c>
      <c r="J290" s="152">
        <f>K119</f>
        <v>3</v>
      </c>
      <c r="K290" s="152">
        <f>J120</f>
        <v>1E-4</v>
      </c>
      <c r="L290" s="152">
        <f>K120</f>
        <v>1</v>
      </c>
      <c r="M290" s="152">
        <f>J121</f>
        <v>3.2000000000000003E-4</v>
      </c>
      <c r="N290" s="152">
        <f>K121</f>
        <v>3.2</v>
      </c>
      <c r="O290" s="152">
        <f>J122</f>
        <v>3.5E-4</v>
      </c>
      <c r="P290" s="152">
        <f>K122</f>
        <v>3.5</v>
      </c>
      <c r="Q290" s="152">
        <v>0</v>
      </c>
      <c r="R290" s="152">
        <v>0</v>
      </c>
      <c r="S290" s="150">
        <v>2</v>
      </c>
    </row>
    <row r="291" spans="1:22" s="9" customFormat="1" ht="14.4" x14ac:dyDescent="0.25">
      <c r="B291" s="150">
        <f t="shared" ref="B291:B297" si="110">$B$2</f>
        <v>20180326</v>
      </c>
      <c r="C291" s="150" t="str">
        <f t="shared" ref="C291:C297" si="111">$F$5</f>
        <v>9999</v>
      </c>
      <c r="D291" s="150" t="s">
        <v>34</v>
      </c>
      <c r="E291" s="151" t="str">
        <f>D27</f>
        <v>SRC</v>
      </c>
      <c r="F291" s="163" t="s">
        <v>243</v>
      </c>
      <c r="G291" s="152">
        <f>J123</f>
        <v>5.0000000000000001E-4</v>
      </c>
      <c r="H291" s="152">
        <f>K123</f>
        <v>5</v>
      </c>
      <c r="I291" s="152">
        <f>J124</f>
        <v>3.9999999999999996E-4</v>
      </c>
      <c r="J291" s="152">
        <f>K124</f>
        <v>4</v>
      </c>
      <c r="K291" s="152">
        <f>J125</f>
        <v>2.0000000000000001E-4</v>
      </c>
      <c r="L291" s="152">
        <f>K125</f>
        <v>2</v>
      </c>
      <c r="M291" s="152">
        <f>J126</f>
        <v>4.2000000000000002E-4</v>
      </c>
      <c r="N291" s="152">
        <f>K126</f>
        <v>4.2</v>
      </c>
      <c r="O291" s="152">
        <f>J127</f>
        <v>4.4999999999999999E-4</v>
      </c>
      <c r="P291" s="152">
        <f>K127</f>
        <v>4.5</v>
      </c>
      <c r="Q291" s="152">
        <v>0</v>
      </c>
      <c r="R291" s="152">
        <v>0</v>
      </c>
      <c r="S291" s="150">
        <v>2</v>
      </c>
    </row>
    <row r="292" spans="1:22" ht="14.4" x14ac:dyDescent="0.25">
      <c r="B292" s="150">
        <f t="shared" si="110"/>
        <v>20180326</v>
      </c>
      <c r="C292" s="150" t="str">
        <f t="shared" si="111"/>
        <v>9999</v>
      </c>
      <c r="D292" s="150" t="s">
        <v>34</v>
      </c>
      <c r="E292" s="151" t="str">
        <f>D28</f>
        <v>SRP</v>
      </c>
      <c r="F292" s="163" t="s">
        <v>242</v>
      </c>
      <c r="G292" s="152">
        <f>G290</f>
        <v>4.0000000000000002E-4</v>
      </c>
      <c r="H292" s="152">
        <f t="shared" ref="H292:R292" si="112">H290</f>
        <v>4</v>
      </c>
      <c r="I292" s="152">
        <f t="shared" si="112"/>
        <v>2.9999999999999997E-4</v>
      </c>
      <c r="J292" s="152">
        <f t="shared" si="112"/>
        <v>3</v>
      </c>
      <c r="K292" s="152">
        <f t="shared" si="112"/>
        <v>1E-4</v>
      </c>
      <c r="L292" s="152">
        <f t="shared" si="112"/>
        <v>1</v>
      </c>
      <c r="M292" s="152">
        <f t="shared" si="112"/>
        <v>3.2000000000000003E-4</v>
      </c>
      <c r="N292" s="152">
        <f t="shared" si="112"/>
        <v>3.2</v>
      </c>
      <c r="O292" s="152">
        <f t="shared" si="112"/>
        <v>3.5E-4</v>
      </c>
      <c r="P292" s="152">
        <f t="shared" si="112"/>
        <v>3.5</v>
      </c>
      <c r="Q292" s="152">
        <f t="shared" si="112"/>
        <v>0</v>
      </c>
      <c r="R292" s="152">
        <f t="shared" si="112"/>
        <v>0</v>
      </c>
      <c r="S292" s="150">
        <v>1</v>
      </c>
    </row>
    <row r="293" spans="1:22" s="58" customFormat="1" ht="15" x14ac:dyDescent="0.3">
      <c r="B293" s="150">
        <f t="shared" si="110"/>
        <v>20180326</v>
      </c>
      <c r="C293" s="150" t="str">
        <f t="shared" si="111"/>
        <v>9999</v>
      </c>
      <c r="D293" s="150" t="s">
        <v>34</v>
      </c>
      <c r="E293" s="151" t="str">
        <f>D29</f>
        <v>SRP</v>
      </c>
      <c r="F293" s="163" t="s">
        <v>243</v>
      </c>
      <c r="G293" s="152">
        <f>G291</f>
        <v>5.0000000000000001E-4</v>
      </c>
      <c r="H293" s="152">
        <f t="shared" ref="H293:R293" si="113">H291</f>
        <v>5</v>
      </c>
      <c r="I293" s="152">
        <f t="shared" si="113"/>
        <v>3.9999999999999996E-4</v>
      </c>
      <c r="J293" s="152">
        <f t="shared" si="113"/>
        <v>4</v>
      </c>
      <c r="K293" s="152">
        <f t="shared" si="113"/>
        <v>2.0000000000000001E-4</v>
      </c>
      <c r="L293" s="152">
        <f t="shared" si="113"/>
        <v>2</v>
      </c>
      <c r="M293" s="152">
        <f t="shared" si="113"/>
        <v>4.2000000000000002E-4</v>
      </c>
      <c r="N293" s="152">
        <f t="shared" si="113"/>
        <v>4.2</v>
      </c>
      <c r="O293" s="152">
        <f t="shared" si="113"/>
        <v>4.4999999999999999E-4</v>
      </c>
      <c r="P293" s="152">
        <f t="shared" si="113"/>
        <v>4.5</v>
      </c>
      <c r="Q293" s="152">
        <f t="shared" si="113"/>
        <v>0</v>
      </c>
      <c r="R293" s="152">
        <f t="shared" si="113"/>
        <v>0</v>
      </c>
      <c r="S293" s="150">
        <v>1</v>
      </c>
    </row>
    <row r="294" spans="1:22" s="58" customFormat="1" ht="15" x14ac:dyDescent="0.3">
      <c r="B294" s="320">
        <f t="shared" si="110"/>
        <v>20180326</v>
      </c>
      <c r="C294" s="320" t="str">
        <f t="shared" si="111"/>
        <v>9999</v>
      </c>
      <c r="D294" s="320" t="s">
        <v>34</v>
      </c>
      <c r="E294" s="165" t="str">
        <f>D24</f>
        <v>PTAC</v>
      </c>
      <c r="F294" s="163" t="s">
        <v>242</v>
      </c>
      <c r="G294" s="289">
        <f>G290</f>
        <v>4.0000000000000002E-4</v>
      </c>
      <c r="H294" s="289">
        <f t="shared" ref="H294:S294" si="114">H290</f>
        <v>4</v>
      </c>
      <c r="I294" s="289">
        <f t="shared" si="114"/>
        <v>2.9999999999999997E-4</v>
      </c>
      <c r="J294" s="289">
        <f t="shared" si="114"/>
        <v>3</v>
      </c>
      <c r="K294" s="289">
        <f t="shared" si="114"/>
        <v>1E-4</v>
      </c>
      <c r="L294" s="289">
        <f t="shared" si="114"/>
        <v>1</v>
      </c>
      <c r="M294" s="289">
        <f t="shared" si="114"/>
        <v>3.2000000000000003E-4</v>
      </c>
      <c r="N294" s="289">
        <f t="shared" si="114"/>
        <v>3.2</v>
      </c>
      <c r="O294" s="289">
        <f t="shared" si="114"/>
        <v>3.5E-4</v>
      </c>
      <c r="P294" s="289">
        <f t="shared" si="114"/>
        <v>3.5</v>
      </c>
      <c r="Q294" s="289">
        <f t="shared" si="114"/>
        <v>0</v>
      </c>
      <c r="R294" s="289">
        <f t="shared" si="114"/>
        <v>0</v>
      </c>
      <c r="S294" s="289">
        <f t="shared" si="114"/>
        <v>2</v>
      </c>
    </row>
    <row r="295" spans="1:22" s="58" customFormat="1" ht="15" x14ac:dyDescent="0.3">
      <c r="B295" s="320">
        <f t="shared" si="110"/>
        <v>20180326</v>
      </c>
      <c r="C295" s="320" t="str">
        <f t="shared" si="111"/>
        <v>9999</v>
      </c>
      <c r="D295" s="320" t="s">
        <v>34</v>
      </c>
      <c r="E295" s="165" t="str">
        <f>E294</f>
        <v>PTAC</v>
      </c>
      <c r="F295" s="163" t="s">
        <v>243</v>
      </c>
      <c r="G295" s="289">
        <f t="shared" ref="G295:S297" si="115">G291</f>
        <v>5.0000000000000001E-4</v>
      </c>
      <c r="H295" s="289">
        <f t="shared" si="115"/>
        <v>5</v>
      </c>
      <c r="I295" s="289">
        <f t="shared" si="115"/>
        <v>3.9999999999999996E-4</v>
      </c>
      <c r="J295" s="289">
        <f t="shared" si="115"/>
        <v>4</v>
      </c>
      <c r="K295" s="289">
        <f t="shared" si="115"/>
        <v>2.0000000000000001E-4</v>
      </c>
      <c r="L295" s="289">
        <f t="shared" si="115"/>
        <v>2</v>
      </c>
      <c r="M295" s="289">
        <f t="shared" si="115"/>
        <v>4.2000000000000002E-4</v>
      </c>
      <c r="N295" s="289">
        <f t="shared" si="115"/>
        <v>4.2</v>
      </c>
      <c r="O295" s="289">
        <f t="shared" si="115"/>
        <v>4.4999999999999999E-4</v>
      </c>
      <c r="P295" s="289">
        <f t="shared" si="115"/>
        <v>4.5</v>
      </c>
      <c r="Q295" s="289">
        <f t="shared" si="115"/>
        <v>0</v>
      </c>
      <c r="R295" s="289">
        <f t="shared" si="115"/>
        <v>0</v>
      </c>
      <c r="S295" s="289">
        <f t="shared" si="115"/>
        <v>2</v>
      </c>
    </row>
    <row r="296" spans="1:22" s="58" customFormat="1" ht="15" x14ac:dyDescent="0.3">
      <c r="B296" s="320">
        <f t="shared" si="110"/>
        <v>20180326</v>
      </c>
      <c r="C296" s="320" t="str">
        <f t="shared" si="111"/>
        <v>9999</v>
      </c>
      <c r="D296" s="320" t="s">
        <v>34</v>
      </c>
      <c r="E296" s="165" t="str">
        <f>D26</f>
        <v>PTAP</v>
      </c>
      <c r="F296" s="163" t="s">
        <v>242</v>
      </c>
      <c r="G296" s="289">
        <f t="shared" si="115"/>
        <v>4.0000000000000002E-4</v>
      </c>
      <c r="H296" s="289">
        <f t="shared" si="115"/>
        <v>4</v>
      </c>
      <c r="I296" s="289">
        <f t="shared" si="115"/>
        <v>2.9999999999999997E-4</v>
      </c>
      <c r="J296" s="289">
        <f t="shared" si="115"/>
        <v>3</v>
      </c>
      <c r="K296" s="289">
        <f t="shared" si="115"/>
        <v>1E-4</v>
      </c>
      <c r="L296" s="289">
        <f t="shared" si="115"/>
        <v>1</v>
      </c>
      <c r="M296" s="289">
        <f t="shared" si="115"/>
        <v>3.2000000000000003E-4</v>
      </c>
      <c r="N296" s="289">
        <f t="shared" si="115"/>
        <v>3.2</v>
      </c>
      <c r="O296" s="289">
        <f t="shared" si="115"/>
        <v>3.5E-4</v>
      </c>
      <c r="P296" s="289">
        <f t="shared" si="115"/>
        <v>3.5</v>
      </c>
      <c r="Q296" s="289">
        <f t="shared" si="115"/>
        <v>0</v>
      </c>
      <c r="R296" s="289">
        <f t="shared" si="115"/>
        <v>0</v>
      </c>
      <c r="S296" s="289">
        <f t="shared" si="115"/>
        <v>1</v>
      </c>
    </row>
    <row r="297" spans="1:22" s="58" customFormat="1" ht="15" x14ac:dyDescent="0.3">
      <c r="B297" s="320">
        <f t="shared" si="110"/>
        <v>20180326</v>
      </c>
      <c r="C297" s="320" t="str">
        <f t="shared" si="111"/>
        <v>9999</v>
      </c>
      <c r="D297" s="320" t="s">
        <v>34</v>
      </c>
      <c r="E297" s="165" t="str">
        <f>E296</f>
        <v>PTAP</v>
      </c>
      <c r="F297" s="163" t="s">
        <v>243</v>
      </c>
      <c r="G297" s="289">
        <f t="shared" si="115"/>
        <v>5.0000000000000001E-4</v>
      </c>
      <c r="H297" s="289">
        <f t="shared" si="115"/>
        <v>5</v>
      </c>
      <c r="I297" s="289">
        <f t="shared" si="115"/>
        <v>3.9999999999999996E-4</v>
      </c>
      <c r="J297" s="289">
        <f t="shared" si="115"/>
        <v>4</v>
      </c>
      <c r="K297" s="289">
        <f t="shared" si="115"/>
        <v>2.0000000000000001E-4</v>
      </c>
      <c r="L297" s="289">
        <f t="shared" si="115"/>
        <v>2</v>
      </c>
      <c r="M297" s="289">
        <f t="shared" si="115"/>
        <v>4.2000000000000002E-4</v>
      </c>
      <c r="N297" s="289">
        <f t="shared" si="115"/>
        <v>4.2</v>
      </c>
      <c r="O297" s="289">
        <f t="shared" si="115"/>
        <v>4.4999999999999999E-4</v>
      </c>
      <c r="P297" s="289">
        <f t="shared" si="115"/>
        <v>4.5</v>
      </c>
      <c r="Q297" s="289">
        <f t="shared" si="115"/>
        <v>0</v>
      </c>
      <c r="R297" s="289">
        <f t="shared" si="115"/>
        <v>0</v>
      </c>
      <c r="S297" s="289">
        <f t="shared" si="115"/>
        <v>1</v>
      </c>
    </row>
    <row r="298" spans="1:22" s="9" customFormat="1" ht="14.4" x14ac:dyDescent="0.25">
      <c r="G298" s="59"/>
      <c r="H298" s="59"/>
      <c r="I298" s="59"/>
      <c r="J298" s="59"/>
      <c r="K298" s="59"/>
      <c r="L298" s="59"/>
      <c r="M298" s="59"/>
      <c r="N298" s="59"/>
      <c r="O298" s="59"/>
      <c r="P298" s="59"/>
      <c r="Q298" s="59"/>
      <c r="R298" s="59"/>
    </row>
    <row r="299" spans="1:22" s="9" customFormat="1" ht="14.4" x14ac:dyDescent="0.25">
      <c r="A299" s="9" t="s">
        <v>283</v>
      </c>
      <c r="B299" s="9" t="s">
        <v>244</v>
      </c>
      <c r="I299" s="59"/>
      <c r="J299" s="59"/>
      <c r="K299" s="59"/>
      <c r="L299" s="59"/>
      <c r="M299" s="59"/>
      <c r="N299" s="59"/>
      <c r="O299" s="59"/>
      <c r="P299" s="59"/>
      <c r="Q299" s="59"/>
      <c r="R299" s="59"/>
    </row>
    <row r="300" spans="1:22" s="9" customFormat="1" ht="14.4" x14ac:dyDescent="0.25">
      <c r="A300" s="57" t="s">
        <v>124</v>
      </c>
      <c r="B300" s="9" t="s">
        <v>1557</v>
      </c>
      <c r="I300" s="59"/>
      <c r="J300" s="59"/>
      <c r="K300" s="59"/>
      <c r="L300" s="59"/>
      <c r="M300" s="59"/>
      <c r="N300" s="59"/>
      <c r="O300" s="59"/>
      <c r="P300" s="59"/>
      <c r="Q300" s="59"/>
      <c r="R300" s="59"/>
    </row>
    <row r="301" spans="1:22" s="9" customFormat="1" ht="14.4" x14ac:dyDescent="0.25">
      <c r="A301" s="9" t="s">
        <v>965</v>
      </c>
      <c r="B301" s="680" t="s">
        <v>1506</v>
      </c>
      <c r="C301" s="681"/>
      <c r="D301" s="681"/>
      <c r="E301" s="681"/>
      <c r="F301" s="681"/>
      <c r="G301" s="681"/>
      <c r="H301" s="681"/>
      <c r="I301" s="681"/>
      <c r="J301" s="681"/>
      <c r="K301" s="681"/>
      <c r="L301" s="681"/>
      <c r="M301" s="681"/>
      <c r="N301" s="681"/>
      <c r="O301" s="681"/>
      <c r="P301" s="681"/>
      <c r="Q301" s="681"/>
      <c r="R301" s="681"/>
      <c r="S301" s="681"/>
      <c r="T301" s="681"/>
      <c r="U301" s="681"/>
      <c r="V301" s="681"/>
    </row>
    <row r="302" spans="1:22" ht="13.2" x14ac:dyDescent="0.3">
      <c r="B302" s="146" t="s">
        <v>22</v>
      </c>
      <c r="C302" s="146" t="s">
        <v>23</v>
      </c>
      <c r="D302" s="146" t="s">
        <v>24</v>
      </c>
      <c r="E302" s="146" t="s">
        <v>26</v>
      </c>
      <c r="F302" s="146" t="s">
        <v>175</v>
      </c>
      <c r="G302" s="146" t="s">
        <v>149</v>
      </c>
      <c r="H302" s="146" t="s">
        <v>25</v>
      </c>
      <c r="I302" s="146" t="s">
        <v>27</v>
      </c>
      <c r="J302" s="146" t="s">
        <v>177</v>
      </c>
      <c r="K302" s="146" t="s">
        <v>178</v>
      </c>
      <c r="L302" s="146" t="s">
        <v>179</v>
      </c>
      <c r="M302" s="146" t="s">
        <v>180</v>
      </c>
      <c r="N302" s="146" t="s">
        <v>181</v>
      </c>
      <c r="O302" s="146" t="s">
        <v>182</v>
      </c>
      <c r="P302" s="146" t="s">
        <v>187</v>
      </c>
      <c r="Q302" s="146" t="s">
        <v>188</v>
      </c>
      <c r="R302" s="146" t="s">
        <v>189</v>
      </c>
      <c r="S302" s="146" t="s">
        <v>190</v>
      </c>
      <c r="T302" s="146" t="s">
        <v>185</v>
      </c>
      <c r="U302" s="146" t="s">
        <v>186</v>
      </c>
      <c r="V302" s="146" t="s">
        <v>176</v>
      </c>
    </row>
    <row r="303" spans="1:22" s="58" customFormat="1" ht="15" x14ac:dyDescent="0.3">
      <c r="B303" s="150">
        <f>$B$2</f>
        <v>20180326</v>
      </c>
      <c r="C303" s="150" t="str">
        <f>$F$5</f>
        <v>9999</v>
      </c>
      <c r="D303" s="150" t="s">
        <v>34</v>
      </c>
      <c r="E303" s="151" t="str">
        <f>D27</f>
        <v>SRC</v>
      </c>
      <c r="F303" s="150" t="s">
        <v>36</v>
      </c>
      <c r="G303" s="150" t="str">
        <f>$B$5</f>
        <v>6001</v>
      </c>
      <c r="H303" s="150" t="str">
        <f>$B$5</f>
        <v>6001</v>
      </c>
      <c r="I303" s="150" t="s">
        <v>33</v>
      </c>
      <c r="J303" s="152">
        <f>H118</f>
        <v>5.0000000000000001E-4</v>
      </c>
      <c r="K303" s="152">
        <f>I118</f>
        <v>5</v>
      </c>
      <c r="L303" s="152">
        <f>H119</f>
        <v>4.0000000000000002E-4</v>
      </c>
      <c r="M303" s="152">
        <f>I119</f>
        <v>4</v>
      </c>
      <c r="N303" s="152">
        <f>H120</f>
        <v>2.0000000000000001E-4</v>
      </c>
      <c r="O303" s="152">
        <f>I120</f>
        <v>2</v>
      </c>
      <c r="P303" s="152">
        <f>H121</f>
        <v>4.2000000000000002E-4</v>
      </c>
      <c r="Q303" s="152">
        <f>I121</f>
        <v>4.2</v>
      </c>
      <c r="R303" s="152">
        <f>H122</f>
        <v>4.4999999999999999E-4</v>
      </c>
      <c r="S303" s="152">
        <f>I122</f>
        <v>4.5</v>
      </c>
      <c r="T303" s="152">
        <v>0</v>
      </c>
      <c r="U303" s="152">
        <v>0</v>
      </c>
      <c r="V303" s="150">
        <v>2</v>
      </c>
    </row>
    <row r="304" spans="1:22" s="9" customFormat="1" ht="14.4" x14ac:dyDescent="0.25">
      <c r="B304" s="150">
        <f>$B$2</f>
        <v>20180326</v>
      </c>
      <c r="C304" s="150" t="str">
        <f>$F$5</f>
        <v>9999</v>
      </c>
      <c r="D304" s="150" t="s">
        <v>34</v>
      </c>
      <c r="E304" s="151" t="str">
        <f>D28</f>
        <v>SRP</v>
      </c>
      <c r="F304" s="150" t="s">
        <v>36</v>
      </c>
      <c r="G304" s="150" t="str">
        <f>$B$5</f>
        <v>6001</v>
      </c>
      <c r="H304" s="150" t="str">
        <f>$B$5</f>
        <v>6001</v>
      </c>
      <c r="I304" s="150" t="s">
        <v>33</v>
      </c>
      <c r="J304" s="152">
        <f>J303</f>
        <v>5.0000000000000001E-4</v>
      </c>
      <c r="K304" s="152">
        <f t="shared" ref="K304:U304" si="116">K303</f>
        <v>5</v>
      </c>
      <c r="L304" s="152">
        <f t="shared" si="116"/>
        <v>4.0000000000000002E-4</v>
      </c>
      <c r="M304" s="152">
        <f t="shared" si="116"/>
        <v>4</v>
      </c>
      <c r="N304" s="152">
        <f t="shared" si="116"/>
        <v>2.0000000000000001E-4</v>
      </c>
      <c r="O304" s="152">
        <f t="shared" si="116"/>
        <v>2</v>
      </c>
      <c r="P304" s="152">
        <f t="shared" si="116"/>
        <v>4.2000000000000002E-4</v>
      </c>
      <c r="Q304" s="152">
        <f t="shared" si="116"/>
        <v>4.2</v>
      </c>
      <c r="R304" s="152">
        <f t="shared" si="116"/>
        <v>4.4999999999999999E-4</v>
      </c>
      <c r="S304" s="152">
        <f t="shared" si="116"/>
        <v>4.5</v>
      </c>
      <c r="T304" s="152">
        <f t="shared" si="116"/>
        <v>0</v>
      </c>
      <c r="U304" s="152">
        <f t="shared" si="116"/>
        <v>0</v>
      </c>
      <c r="V304" s="150">
        <v>1</v>
      </c>
    </row>
    <row r="305" spans="1:22" s="9" customFormat="1" ht="14.4" x14ac:dyDescent="0.25">
      <c r="B305" s="320">
        <f t="shared" ref="B305:B306" si="117">$B$2</f>
        <v>20180326</v>
      </c>
      <c r="C305" s="320" t="str">
        <f t="shared" ref="C305:C306" si="118">$F$5</f>
        <v>9999</v>
      </c>
      <c r="D305" s="320" t="s">
        <v>34</v>
      </c>
      <c r="E305" s="165" t="str">
        <f>D24</f>
        <v>PTAC</v>
      </c>
      <c r="F305" s="320" t="s">
        <v>36</v>
      </c>
      <c r="G305" s="320" t="str">
        <f t="shared" ref="G305:H306" si="119">$B$5</f>
        <v>6001</v>
      </c>
      <c r="H305" s="320" t="str">
        <f t="shared" si="119"/>
        <v>6001</v>
      </c>
      <c r="I305" s="163" t="s">
        <v>1777</v>
      </c>
      <c r="J305" s="289">
        <f>J303</f>
        <v>5.0000000000000001E-4</v>
      </c>
      <c r="K305" s="289">
        <f t="shared" ref="K305:V305" si="120">K303</f>
        <v>5</v>
      </c>
      <c r="L305" s="289">
        <f t="shared" si="120"/>
        <v>4.0000000000000002E-4</v>
      </c>
      <c r="M305" s="289">
        <f t="shared" si="120"/>
        <v>4</v>
      </c>
      <c r="N305" s="289">
        <f t="shared" si="120"/>
        <v>2.0000000000000001E-4</v>
      </c>
      <c r="O305" s="289">
        <f t="shared" si="120"/>
        <v>2</v>
      </c>
      <c r="P305" s="289">
        <f t="shared" si="120"/>
        <v>4.2000000000000002E-4</v>
      </c>
      <c r="Q305" s="289">
        <f t="shared" si="120"/>
        <v>4.2</v>
      </c>
      <c r="R305" s="289">
        <f t="shared" si="120"/>
        <v>4.4999999999999999E-4</v>
      </c>
      <c r="S305" s="289">
        <f t="shared" si="120"/>
        <v>4.5</v>
      </c>
      <c r="T305" s="289">
        <f t="shared" si="120"/>
        <v>0</v>
      </c>
      <c r="U305" s="289">
        <f t="shared" si="120"/>
        <v>0</v>
      </c>
      <c r="V305" s="289">
        <f t="shared" si="120"/>
        <v>2</v>
      </c>
    </row>
    <row r="306" spans="1:22" s="9" customFormat="1" ht="14.4" x14ac:dyDescent="0.25">
      <c r="B306" s="320">
        <f t="shared" si="117"/>
        <v>20180326</v>
      </c>
      <c r="C306" s="320" t="str">
        <f t="shared" si="118"/>
        <v>9999</v>
      </c>
      <c r="D306" s="320" t="s">
        <v>34</v>
      </c>
      <c r="E306" s="165" t="str">
        <f>D26</f>
        <v>PTAP</v>
      </c>
      <c r="F306" s="320" t="s">
        <v>36</v>
      </c>
      <c r="G306" s="320" t="str">
        <f t="shared" si="119"/>
        <v>6001</v>
      </c>
      <c r="H306" s="320" t="str">
        <f t="shared" si="119"/>
        <v>6001</v>
      </c>
      <c r="I306" s="163" t="s">
        <v>1778</v>
      </c>
      <c r="J306" s="289">
        <f>J304</f>
        <v>5.0000000000000001E-4</v>
      </c>
      <c r="K306" s="289">
        <f t="shared" ref="K306:V306" si="121">K304</f>
        <v>5</v>
      </c>
      <c r="L306" s="289">
        <f t="shared" si="121"/>
        <v>4.0000000000000002E-4</v>
      </c>
      <c r="M306" s="289">
        <f t="shared" si="121"/>
        <v>4</v>
      </c>
      <c r="N306" s="289">
        <f t="shared" si="121"/>
        <v>2.0000000000000001E-4</v>
      </c>
      <c r="O306" s="289">
        <f t="shared" si="121"/>
        <v>2</v>
      </c>
      <c r="P306" s="289">
        <f t="shared" si="121"/>
        <v>4.2000000000000002E-4</v>
      </c>
      <c r="Q306" s="289">
        <f t="shared" si="121"/>
        <v>4.2</v>
      </c>
      <c r="R306" s="289">
        <f t="shared" si="121"/>
        <v>4.4999999999999999E-4</v>
      </c>
      <c r="S306" s="289">
        <f t="shared" si="121"/>
        <v>4.5</v>
      </c>
      <c r="T306" s="289">
        <f t="shared" si="121"/>
        <v>0</v>
      </c>
      <c r="U306" s="289">
        <f t="shared" si="121"/>
        <v>0</v>
      </c>
      <c r="V306" s="289">
        <f t="shared" si="121"/>
        <v>1</v>
      </c>
    </row>
    <row r="307" spans="1:22" s="9" customFormat="1" ht="14.4" x14ac:dyDescent="0.25">
      <c r="F307" s="59"/>
      <c r="G307" s="59"/>
      <c r="H307" s="1"/>
      <c r="I307" s="383"/>
      <c r="J307" s="1"/>
      <c r="K307" s="1"/>
      <c r="L307" s="1"/>
      <c r="M307" s="59"/>
      <c r="N307" s="59"/>
      <c r="O307" s="59"/>
    </row>
    <row r="308" spans="1:22" ht="13.2" x14ac:dyDescent="0.3">
      <c r="A308" s="35" t="s">
        <v>283</v>
      </c>
      <c r="B308" s="35" t="s">
        <v>2078</v>
      </c>
      <c r="C308" s="35"/>
      <c r="D308" s="35"/>
      <c r="H308" s="58"/>
      <c r="I308" s="58"/>
      <c r="J308" s="58"/>
      <c r="K308" s="58"/>
      <c r="L308" s="58"/>
    </row>
    <row r="309" spans="1:22" ht="15" x14ac:dyDescent="0.3">
      <c r="A309" s="57" t="s">
        <v>124</v>
      </c>
      <c r="B309" s="9" t="s">
        <v>1557</v>
      </c>
      <c r="C309" s="35"/>
      <c r="D309" s="35"/>
      <c r="H309" s="58"/>
      <c r="I309" s="58"/>
      <c r="J309" s="58"/>
      <c r="K309" s="58"/>
      <c r="L309" s="58"/>
    </row>
    <row r="310" spans="1:22" s="58" customFormat="1" ht="15" x14ac:dyDescent="0.3">
      <c r="A310" s="56" t="s">
        <v>963</v>
      </c>
      <c r="B310" s="678" t="s">
        <v>1507</v>
      </c>
      <c r="C310" s="679"/>
      <c r="D310" s="679"/>
      <c r="E310" s="679"/>
      <c r="F310" s="679"/>
      <c r="G310" s="679"/>
      <c r="H310" s="679"/>
      <c r="I310" s="679"/>
      <c r="J310" s="59"/>
      <c r="K310" s="59"/>
      <c r="L310" s="59"/>
    </row>
    <row r="311" spans="1:22" s="9" customFormat="1" ht="15" x14ac:dyDescent="0.3">
      <c r="B311" s="146" t="s">
        <v>23</v>
      </c>
      <c r="C311" s="146" t="s">
        <v>24</v>
      </c>
      <c r="D311" s="146" t="s">
        <v>246</v>
      </c>
      <c r="E311" s="146" t="s">
        <v>247</v>
      </c>
      <c r="F311" s="146" t="s">
        <v>94</v>
      </c>
      <c r="G311" s="146" t="s">
        <v>248</v>
      </c>
      <c r="H311" s="146" t="s">
        <v>249</v>
      </c>
      <c r="I311" s="146" t="s">
        <v>250</v>
      </c>
      <c r="J311" s="59"/>
      <c r="K311" s="59"/>
      <c r="L311" s="59"/>
      <c r="M311" s="59"/>
      <c r="N311" s="59"/>
      <c r="O311" s="59"/>
      <c r="P311" s="59"/>
      <c r="Q311" s="59"/>
      <c r="R311" s="59"/>
      <c r="S311" s="59"/>
      <c r="T311" s="59"/>
      <c r="U311" s="59"/>
    </row>
    <row r="312" spans="1:22" s="9" customFormat="1" ht="14.4" x14ac:dyDescent="0.25">
      <c r="B312" s="279" t="str">
        <f>$F$5</f>
        <v>9999</v>
      </c>
      <c r="C312" s="279" t="s">
        <v>275</v>
      </c>
      <c r="D312" s="279" t="s">
        <v>251</v>
      </c>
      <c r="E312" s="279" t="s">
        <v>252</v>
      </c>
      <c r="F312" s="279" t="s">
        <v>253</v>
      </c>
      <c r="G312" s="279"/>
      <c r="H312" s="279" t="s">
        <v>254</v>
      </c>
      <c r="I312" s="279" t="s">
        <v>255</v>
      </c>
      <c r="J312" s="59"/>
      <c r="K312" s="59"/>
      <c r="L312" s="59"/>
      <c r="M312" s="59"/>
      <c r="N312" s="59"/>
      <c r="O312" s="59"/>
      <c r="P312" s="59"/>
      <c r="Q312" s="59"/>
      <c r="R312" s="59"/>
      <c r="S312" s="59"/>
      <c r="T312" s="59"/>
      <c r="U312" s="59"/>
    </row>
    <row r="313" spans="1:22" s="9" customFormat="1" ht="14.4" x14ac:dyDescent="0.25">
      <c r="B313" s="676" t="s">
        <v>2142</v>
      </c>
      <c r="C313" s="676"/>
      <c r="D313" s="676"/>
      <c r="E313" s="676"/>
      <c r="F313" s="676"/>
      <c r="G313" s="676"/>
      <c r="H313" s="676"/>
      <c r="I313" s="676"/>
      <c r="J313" s="59"/>
      <c r="K313" s="59"/>
      <c r="L313" s="59"/>
      <c r="M313" s="59"/>
      <c r="N313" s="59"/>
      <c r="O313" s="59"/>
      <c r="P313" s="59"/>
      <c r="Q313" s="59"/>
      <c r="R313" s="59"/>
      <c r="S313" s="59"/>
      <c r="T313" s="59"/>
      <c r="U313" s="59"/>
    </row>
    <row r="314" spans="1:22" s="9" customFormat="1" ht="14.4" x14ac:dyDescent="0.25">
      <c r="B314" s="279" t="str">
        <f t="shared" ref="B314:B325" si="122">$F$5</f>
        <v>9999</v>
      </c>
      <c r="C314" s="279" t="s">
        <v>34</v>
      </c>
      <c r="D314" s="279" t="s">
        <v>256</v>
      </c>
      <c r="E314" s="279" t="s">
        <v>257</v>
      </c>
      <c r="F314" s="279" t="s">
        <v>258</v>
      </c>
      <c r="G314" s="279"/>
      <c r="H314" s="279" t="s">
        <v>259</v>
      </c>
      <c r="I314" s="279" t="s">
        <v>260</v>
      </c>
      <c r="J314" s="21"/>
      <c r="K314" s="21"/>
      <c r="L314" s="21"/>
      <c r="M314" s="59"/>
      <c r="N314" s="59"/>
      <c r="O314" s="59"/>
      <c r="P314" s="59"/>
      <c r="Q314" s="59"/>
      <c r="R314" s="59"/>
      <c r="S314" s="59"/>
      <c r="T314" s="59"/>
      <c r="U314" s="59"/>
    </row>
    <row r="315" spans="1:22" s="21" customFormat="1" ht="15" x14ac:dyDescent="0.3">
      <c r="B315" s="279" t="str">
        <f t="shared" si="122"/>
        <v>9999</v>
      </c>
      <c r="C315" s="279" t="s">
        <v>34</v>
      </c>
      <c r="D315" s="279" t="s">
        <v>261</v>
      </c>
      <c r="E315" s="279" t="s">
        <v>262</v>
      </c>
      <c r="F315" s="279"/>
      <c r="G315" s="279"/>
      <c r="H315" s="279" t="s">
        <v>263</v>
      </c>
      <c r="I315" s="279" t="s">
        <v>264</v>
      </c>
      <c r="J315" s="58"/>
      <c r="K315" s="58"/>
      <c r="L315" s="58"/>
    </row>
    <row r="316" spans="1:22" s="58" customFormat="1" ht="15" x14ac:dyDescent="0.3">
      <c r="B316" s="279" t="str">
        <f t="shared" si="122"/>
        <v>9999</v>
      </c>
      <c r="C316" s="279" t="s">
        <v>34</v>
      </c>
      <c r="D316" s="279" t="s">
        <v>265</v>
      </c>
      <c r="E316" s="279" t="s">
        <v>262</v>
      </c>
      <c r="F316" s="279"/>
      <c r="G316" s="279"/>
      <c r="H316" s="279" t="s">
        <v>263</v>
      </c>
      <c r="I316" s="279" t="s">
        <v>266</v>
      </c>
      <c r="J316" s="59"/>
      <c r="K316" s="59"/>
      <c r="L316" s="59"/>
    </row>
    <row r="317" spans="1:22" s="9" customFormat="1" ht="14.4" x14ac:dyDescent="0.25">
      <c r="B317" s="279" t="str">
        <f t="shared" si="122"/>
        <v>9999</v>
      </c>
      <c r="C317" s="279" t="s">
        <v>34</v>
      </c>
      <c r="D317" s="279" t="s">
        <v>35</v>
      </c>
      <c r="E317" s="279" t="s">
        <v>267</v>
      </c>
      <c r="F317" s="279" t="s">
        <v>268</v>
      </c>
      <c r="G317" s="279"/>
      <c r="H317" s="279" t="s">
        <v>269</v>
      </c>
      <c r="I317" s="279" t="s">
        <v>270</v>
      </c>
      <c r="J317" s="59"/>
      <c r="K317" s="59"/>
      <c r="L317" s="59"/>
      <c r="M317" s="59"/>
      <c r="N317" s="59"/>
      <c r="O317" s="59"/>
      <c r="P317" s="59"/>
      <c r="Q317" s="59"/>
      <c r="R317" s="59"/>
    </row>
    <row r="318" spans="1:22" s="9" customFormat="1" ht="14.4" x14ac:dyDescent="0.25">
      <c r="B318" s="279" t="str">
        <f t="shared" si="122"/>
        <v>9999</v>
      </c>
      <c r="C318" s="279" t="s">
        <v>34</v>
      </c>
      <c r="D318" s="279" t="s">
        <v>39</v>
      </c>
      <c r="E318" s="279" t="s">
        <v>267</v>
      </c>
      <c r="F318" s="279" t="s">
        <v>271</v>
      </c>
      <c r="G318" s="279"/>
      <c r="H318" s="279" t="s">
        <v>269</v>
      </c>
      <c r="I318" s="279" t="s">
        <v>272</v>
      </c>
      <c r="J318" s="1"/>
      <c r="K318" s="1"/>
      <c r="L318" s="1"/>
      <c r="M318" s="59"/>
      <c r="N318" s="59"/>
      <c r="O318" s="59"/>
      <c r="P318" s="59"/>
      <c r="Q318" s="59"/>
      <c r="R318" s="59"/>
    </row>
    <row r="319" spans="1:22" ht="15" x14ac:dyDescent="0.3">
      <c r="B319" s="279" t="str">
        <f t="shared" si="122"/>
        <v>9999</v>
      </c>
      <c r="C319" s="279" t="s">
        <v>34</v>
      </c>
      <c r="D319" s="279" t="s">
        <v>40</v>
      </c>
      <c r="E319" s="279" t="s">
        <v>267</v>
      </c>
      <c r="F319" s="279" t="s">
        <v>273</v>
      </c>
      <c r="G319" s="279"/>
      <c r="H319" s="279" t="s">
        <v>269</v>
      </c>
      <c r="I319" s="279" t="s">
        <v>274</v>
      </c>
      <c r="J319" s="58"/>
      <c r="K319" s="58"/>
      <c r="L319" s="58"/>
    </row>
    <row r="320" spans="1:22" s="21" customFormat="1" ht="15" x14ac:dyDescent="0.3">
      <c r="A320" s="315" t="s">
        <v>2073</v>
      </c>
      <c r="B320" s="290" t="str">
        <f>$F$5</f>
        <v>9999</v>
      </c>
      <c r="C320" s="290" t="s">
        <v>1821</v>
      </c>
      <c r="D320" s="290" t="s">
        <v>261</v>
      </c>
      <c r="E320" s="514" t="s">
        <v>1823</v>
      </c>
      <c r="F320" s="290"/>
      <c r="G320" s="290"/>
      <c r="H320" s="290" t="s">
        <v>263</v>
      </c>
      <c r="I320" s="290" t="s">
        <v>264</v>
      </c>
      <c r="J320" s="515"/>
      <c r="K320" s="515"/>
      <c r="L320" s="515"/>
    </row>
    <row r="321" spans="1:14" s="515" customFormat="1" ht="15" x14ac:dyDescent="0.3">
      <c r="A321" s="315" t="s">
        <v>2073</v>
      </c>
      <c r="B321" s="290" t="str">
        <f t="shared" si="122"/>
        <v>9999</v>
      </c>
      <c r="C321" s="290" t="s">
        <v>1822</v>
      </c>
      <c r="D321" s="290" t="s">
        <v>265</v>
      </c>
      <c r="E321" s="514" t="s">
        <v>1823</v>
      </c>
      <c r="F321" s="290"/>
      <c r="G321" s="290"/>
      <c r="H321" s="290" t="s">
        <v>263</v>
      </c>
      <c r="I321" s="290" t="s">
        <v>266</v>
      </c>
      <c r="J321" s="516"/>
      <c r="K321" s="516"/>
      <c r="L321" s="516"/>
    </row>
    <row r="322" spans="1:14" s="21" customFormat="1" ht="15" x14ac:dyDescent="0.3">
      <c r="A322" s="315" t="s">
        <v>2073</v>
      </c>
      <c r="B322" s="290" t="str">
        <f t="shared" si="122"/>
        <v>9999</v>
      </c>
      <c r="C322" s="290" t="s">
        <v>1818</v>
      </c>
      <c r="D322" s="290" t="s">
        <v>261</v>
      </c>
      <c r="E322" s="514" t="s">
        <v>1823</v>
      </c>
      <c r="F322" s="290"/>
      <c r="G322" s="290"/>
      <c r="H322" s="290" t="s">
        <v>263</v>
      </c>
      <c r="I322" s="290" t="s">
        <v>264</v>
      </c>
      <c r="J322" s="515"/>
      <c r="K322" s="515"/>
      <c r="L322" s="515"/>
    </row>
    <row r="323" spans="1:14" s="515" customFormat="1" ht="15" x14ac:dyDescent="0.3">
      <c r="A323" s="315" t="s">
        <v>2073</v>
      </c>
      <c r="B323" s="290" t="str">
        <f t="shared" si="122"/>
        <v>9999</v>
      </c>
      <c r="C323" s="290" t="s">
        <v>1818</v>
      </c>
      <c r="D323" s="290" t="s">
        <v>265</v>
      </c>
      <c r="E323" s="290" t="s">
        <v>262</v>
      </c>
      <c r="F323" s="290"/>
      <c r="G323" s="290"/>
      <c r="H323" s="290" t="s">
        <v>263</v>
      </c>
      <c r="I323" s="290" t="s">
        <v>266</v>
      </c>
      <c r="J323" s="516"/>
      <c r="K323" s="516"/>
      <c r="L323" s="516"/>
    </row>
    <row r="324" spans="1:14" s="21" customFormat="1" ht="15" x14ac:dyDescent="0.3">
      <c r="A324" s="315" t="s">
        <v>2073</v>
      </c>
      <c r="B324" s="290" t="str">
        <f>$F$5</f>
        <v>9999</v>
      </c>
      <c r="C324" s="290" t="s">
        <v>1819</v>
      </c>
      <c r="D324" s="290" t="s">
        <v>261</v>
      </c>
      <c r="E324" s="514" t="s">
        <v>1823</v>
      </c>
      <c r="F324" s="290"/>
      <c r="G324" s="290"/>
      <c r="H324" s="290" t="s">
        <v>263</v>
      </c>
      <c r="I324" s="290" t="s">
        <v>264</v>
      </c>
      <c r="J324" s="515"/>
      <c r="K324" s="515"/>
      <c r="L324" s="515"/>
    </row>
    <row r="325" spans="1:14" s="515" customFormat="1" ht="15" x14ac:dyDescent="0.3">
      <c r="A325" s="315" t="s">
        <v>2073</v>
      </c>
      <c r="B325" s="290" t="str">
        <f t="shared" si="122"/>
        <v>9999</v>
      </c>
      <c r="C325" s="290" t="s">
        <v>1820</v>
      </c>
      <c r="D325" s="290" t="s">
        <v>265</v>
      </c>
      <c r="E325" s="514" t="s">
        <v>1823</v>
      </c>
      <c r="F325" s="290"/>
      <c r="G325" s="290"/>
      <c r="H325" s="290" t="s">
        <v>263</v>
      </c>
      <c r="I325" s="290" t="s">
        <v>266</v>
      </c>
      <c r="J325" s="516"/>
      <c r="K325" s="516"/>
      <c r="L325" s="516"/>
    </row>
    <row r="326" spans="1:14" s="58" customFormat="1" ht="15" x14ac:dyDescent="0.3">
      <c r="H326" s="9"/>
      <c r="I326" s="9"/>
      <c r="J326" s="9"/>
      <c r="K326" s="59"/>
      <c r="L326" s="60"/>
    </row>
    <row r="327" spans="1:14" s="9" customFormat="1" ht="14.4" x14ac:dyDescent="0.25">
      <c r="A327" s="9" t="s">
        <v>1988</v>
      </c>
      <c r="B327" s="9" t="s">
        <v>276</v>
      </c>
      <c r="K327" s="59"/>
      <c r="L327" s="60"/>
      <c r="M327" s="59"/>
      <c r="N327" s="60"/>
    </row>
    <row r="328" spans="1:14" s="9" customFormat="1" ht="14.4" x14ac:dyDescent="0.25">
      <c r="A328" s="57" t="s">
        <v>124</v>
      </c>
      <c r="B328" s="9" t="s">
        <v>1557</v>
      </c>
      <c r="K328" s="59"/>
      <c r="L328" s="60"/>
      <c r="M328" s="59"/>
      <c r="N328" s="60"/>
    </row>
    <row r="329" spans="1:14" s="9" customFormat="1" ht="14.4" x14ac:dyDescent="0.25">
      <c r="A329" s="9" t="s">
        <v>965</v>
      </c>
      <c r="B329" s="678" t="s">
        <v>2031</v>
      </c>
      <c r="C329" s="679"/>
      <c r="D329" s="679"/>
      <c r="E329" s="679"/>
      <c r="F329" s="679"/>
      <c r="G329" s="679"/>
      <c r="H329" s="679"/>
      <c r="I329" s="679"/>
      <c r="J329" s="678"/>
      <c r="K329" s="679"/>
      <c r="L329" s="679"/>
      <c r="M329" s="59"/>
      <c r="N329" s="60"/>
    </row>
    <row r="330" spans="1:14" s="9" customFormat="1" ht="15" x14ac:dyDescent="0.3">
      <c r="B330" s="146" t="s">
        <v>23</v>
      </c>
      <c r="C330" s="146" t="s">
        <v>175</v>
      </c>
      <c r="D330" s="146" t="s">
        <v>25</v>
      </c>
      <c r="E330" s="146" t="s">
        <v>151</v>
      </c>
      <c r="F330" s="146" t="s">
        <v>150</v>
      </c>
      <c r="G330" s="146" t="s">
        <v>246</v>
      </c>
      <c r="H330" s="146" t="s">
        <v>247</v>
      </c>
      <c r="I330" s="146" t="s">
        <v>94</v>
      </c>
      <c r="J330" s="146" t="s">
        <v>248</v>
      </c>
      <c r="K330" s="146" t="s">
        <v>249</v>
      </c>
      <c r="L330" s="146" t="s">
        <v>250</v>
      </c>
      <c r="M330" s="59"/>
      <c r="N330" s="60"/>
    </row>
    <row r="331" spans="1:14" s="9" customFormat="1" ht="14.4" x14ac:dyDescent="0.25">
      <c r="B331" s="279" t="str">
        <f>$F$5</f>
        <v>9999</v>
      </c>
      <c r="C331" s="279" t="s">
        <v>36</v>
      </c>
      <c r="D331" s="279" t="str">
        <f>$B$5</f>
        <v>6001</v>
      </c>
      <c r="E331" s="279" t="s">
        <v>154</v>
      </c>
      <c r="F331" s="279" t="str">
        <f>C9</f>
        <v>6001</v>
      </c>
      <c r="G331" s="279" t="s">
        <v>33</v>
      </c>
      <c r="H331" s="279" t="s">
        <v>277</v>
      </c>
      <c r="I331" s="279"/>
      <c r="J331" s="150"/>
      <c r="K331" s="150"/>
      <c r="L331" s="150"/>
      <c r="M331" s="59"/>
      <c r="N331" s="60"/>
    </row>
    <row r="332" spans="1:14" ht="14.4" x14ac:dyDescent="0.25">
      <c r="B332" s="279" t="str">
        <f>$F$5</f>
        <v>9999</v>
      </c>
      <c r="C332" s="279" t="s">
        <v>36</v>
      </c>
      <c r="D332" s="279" t="str">
        <f t="shared" ref="D332:D337" si="123">$B$5</f>
        <v>6001</v>
      </c>
      <c r="E332" s="279" t="s">
        <v>154</v>
      </c>
      <c r="F332" s="279" t="str">
        <f>F331</f>
        <v>6001</v>
      </c>
      <c r="G332" s="279" t="s">
        <v>37</v>
      </c>
      <c r="H332" s="279" t="s">
        <v>278</v>
      </c>
      <c r="I332" s="279"/>
      <c r="J332" s="150"/>
      <c r="K332" s="150"/>
      <c r="L332" s="150"/>
    </row>
    <row r="333" spans="1:14" ht="14.4" x14ac:dyDescent="0.25">
      <c r="B333" s="444" t="str">
        <f t="shared" ref="B333:B334" si="124">$F$5</f>
        <v>9999</v>
      </c>
      <c r="C333" s="420">
        <v>3</v>
      </c>
      <c r="D333" s="444" t="str">
        <f t="shared" si="123"/>
        <v>6001</v>
      </c>
      <c r="E333" s="444" t="s">
        <v>1983</v>
      </c>
      <c r="F333" s="444" t="str">
        <f>C10</f>
        <v>6001</v>
      </c>
      <c r="G333" s="420">
        <v>1</v>
      </c>
      <c r="H333" s="420">
        <v>0</v>
      </c>
      <c r="I333" s="444"/>
      <c r="J333" s="444"/>
      <c r="K333" s="444"/>
      <c r="L333" s="444"/>
    </row>
    <row r="334" spans="1:14" ht="14.4" x14ac:dyDescent="0.25">
      <c r="B334" s="444" t="str">
        <f t="shared" si="124"/>
        <v>9999</v>
      </c>
      <c r="C334" s="420">
        <v>3</v>
      </c>
      <c r="D334" s="444" t="str">
        <f t="shared" si="123"/>
        <v>6001</v>
      </c>
      <c r="E334" s="444" t="s">
        <v>1983</v>
      </c>
      <c r="F334" s="444" t="str">
        <f>F333</f>
        <v>6001</v>
      </c>
      <c r="G334" s="420">
        <v>2</v>
      </c>
      <c r="H334" s="420">
        <v>0</v>
      </c>
      <c r="I334" s="444"/>
      <c r="J334" s="444"/>
      <c r="K334" s="444"/>
      <c r="L334" s="444"/>
    </row>
    <row r="335" spans="1:14" ht="14.4" x14ac:dyDescent="0.25">
      <c r="B335" s="279" t="str">
        <f t="shared" ref="B335:B337" si="125">$F$5</f>
        <v>9999</v>
      </c>
      <c r="C335" s="279" t="s">
        <v>36</v>
      </c>
      <c r="D335" s="279" t="str">
        <f t="shared" si="123"/>
        <v>6001</v>
      </c>
      <c r="E335" s="279" t="s">
        <v>279</v>
      </c>
      <c r="F335" s="279" t="str">
        <f>C11</f>
        <v>6001</v>
      </c>
      <c r="G335" s="279" t="s">
        <v>33</v>
      </c>
      <c r="H335" s="163" t="s">
        <v>280</v>
      </c>
      <c r="I335" s="279"/>
      <c r="J335" s="150"/>
      <c r="K335" s="150"/>
      <c r="L335" s="15"/>
    </row>
    <row r="336" spans="1:14" ht="14.4" x14ac:dyDescent="0.25">
      <c r="B336" s="279" t="str">
        <f t="shared" si="125"/>
        <v>9999</v>
      </c>
      <c r="C336" s="279" t="s">
        <v>36</v>
      </c>
      <c r="D336" s="279" t="str">
        <f t="shared" si="123"/>
        <v>6001</v>
      </c>
      <c r="E336" s="279" t="s">
        <v>279</v>
      </c>
      <c r="F336" s="279" t="str">
        <f>F335</f>
        <v>6001</v>
      </c>
      <c r="G336" s="279" t="s">
        <v>37</v>
      </c>
      <c r="H336" s="163" t="s">
        <v>281</v>
      </c>
      <c r="I336" s="279"/>
      <c r="J336" s="150"/>
      <c r="K336" s="150"/>
      <c r="L336" s="15"/>
    </row>
    <row r="337" spans="1:17" ht="14.4" x14ac:dyDescent="0.25">
      <c r="A337" s="49"/>
      <c r="B337" s="392" t="str">
        <f t="shared" si="125"/>
        <v>9999</v>
      </c>
      <c r="C337" s="163" t="s">
        <v>2032</v>
      </c>
      <c r="D337" s="519" t="str">
        <f t="shared" si="123"/>
        <v>6001</v>
      </c>
      <c r="E337" s="392" t="s">
        <v>1803</v>
      </c>
      <c r="F337" s="519" t="str">
        <f>F336</f>
        <v>6001</v>
      </c>
      <c r="G337" s="392">
        <v>5</v>
      </c>
      <c r="H337" s="445">
        <v>1</v>
      </c>
      <c r="I337" s="394" t="s">
        <v>1788</v>
      </c>
      <c r="J337" s="351"/>
      <c r="K337" s="351"/>
      <c r="L337" s="135"/>
    </row>
    <row r="338" spans="1:17" ht="14.4" x14ac:dyDescent="0.25">
      <c r="B338" s="9"/>
      <c r="C338" s="351"/>
      <c r="D338" s="351"/>
      <c r="E338" s="351"/>
      <c r="F338" s="351"/>
      <c r="G338" s="351"/>
      <c r="H338" s="380"/>
      <c r="I338" s="351"/>
      <c r="J338" s="351"/>
      <c r="K338" s="351"/>
      <c r="L338" s="135"/>
    </row>
    <row r="339" spans="1:17" ht="14.4" x14ac:dyDescent="0.25">
      <c r="A339" s="57" t="s">
        <v>124</v>
      </c>
      <c r="B339" s="9" t="s">
        <v>1557</v>
      </c>
    </row>
    <row r="340" spans="1:17" ht="14.4" x14ac:dyDescent="0.25">
      <c r="A340" s="49" t="s">
        <v>963</v>
      </c>
      <c r="B340" s="680" t="s">
        <v>1760</v>
      </c>
      <c r="C340" s="681"/>
      <c r="D340" s="681"/>
      <c r="E340" s="681"/>
      <c r="F340" s="681"/>
      <c r="G340" s="681"/>
      <c r="H340" s="681"/>
      <c r="I340" s="681"/>
      <c r="J340" s="681"/>
      <c r="K340" s="681"/>
      <c r="L340" s="681"/>
      <c r="M340" s="681"/>
      <c r="N340" s="681"/>
      <c r="O340" s="681"/>
      <c r="P340" s="681"/>
      <c r="Q340" s="682"/>
    </row>
    <row r="341" spans="1:17" ht="13.2" x14ac:dyDescent="0.3">
      <c r="B341" s="146" t="s">
        <v>24</v>
      </c>
      <c r="C341" s="146" t="s">
        <v>1508</v>
      </c>
      <c r="D341" s="146" t="s">
        <v>861</v>
      </c>
      <c r="E341" s="146" t="s">
        <v>862</v>
      </c>
      <c r="F341" s="146" t="s">
        <v>863</v>
      </c>
      <c r="G341" s="146" t="s">
        <v>864</v>
      </c>
      <c r="H341" s="146" t="s">
        <v>151</v>
      </c>
      <c r="I341" s="146" t="s">
        <v>865</v>
      </c>
      <c r="J341" s="146" t="s">
        <v>866</v>
      </c>
      <c r="K341" s="146" t="s">
        <v>867</v>
      </c>
      <c r="L341" s="146" t="s">
        <v>868</v>
      </c>
      <c r="M341" s="146" t="s">
        <v>869</v>
      </c>
      <c r="N341" s="146" t="s">
        <v>870</v>
      </c>
      <c r="O341" s="146" t="s">
        <v>871</v>
      </c>
      <c r="P341" s="146" t="s">
        <v>872</v>
      </c>
      <c r="Q341" s="146" t="s">
        <v>176</v>
      </c>
    </row>
    <row r="342" spans="1:17" ht="14.4" x14ac:dyDescent="0.25">
      <c r="B342" s="151" t="str">
        <f>$B$19</f>
        <v>CZCE</v>
      </c>
      <c r="C342" s="151" t="str">
        <f>D19</f>
        <v>SR</v>
      </c>
      <c r="D342" s="151" t="str">
        <f>C342</f>
        <v>SR</v>
      </c>
      <c r="E342" s="150" t="s">
        <v>874</v>
      </c>
      <c r="F342" s="150" t="s">
        <v>33</v>
      </c>
      <c r="G342" s="150" t="s">
        <v>33</v>
      </c>
      <c r="H342" s="150" t="s">
        <v>154</v>
      </c>
      <c r="I342" s="150" t="s">
        <v>154</v>
      </c>
      <c r="J342" s="150" t="s">
        <v>37</v>
      </c>
      <c r="K342" s="150" t="s">
        <v>37</v>
      </c>
      <c r="L342" s="150" t="s">
        <v>33</v>
      </c>
      <c r="M342" s="150" t="s">
        <v>37</v>
      </c>
      <c r="N342" s="150"/>
      <c r="O342" s="150" t="s">
        <v>33</v>
      </c>
      <c r="P342" s="150" t="s">
        <v>35</v>
      </c>
      <c r="Q342" s="150">
        <v>2</v>
      </c>
    </row>
    <row r="343" spans="1:17" ht="14.4" x14ac:dyDescent="0.25">
      <c r="B343" s="151" t="str">
        <f t="shared" ref="B343:B348" si="126">$B$19</f>
        <v>CZCE</v>
      </c>
      <c r="C343" s="151" t="str">
        <f>D27</f>
        <v>SRC</v>
      </c>
      <c r="D343" s="151" t="str">
        <f>D342</f>
        <v>SR</v>
      </c>
      <c r="E343" s="150" t="s">
        <v>885</v>
      </c>
      <c r="F343" s="150" t="s">
        <v>37</v>
      </c>
      <c r="G343" s="150" t="s">
        <v>33</v>
      </c>
      <c r="H343" s="150" t="s">
        <v>154</v>
      </c>
      <c r="I343" s="150" t="s">
        <v>154</v>
      </c>
      <c r="J343" s="150" t="s">
        <v>37</v>
      </c>
      <c r="K343" s="150" t="s">
        <v>37</v>
      </c>
      <c r="L343" s="150" t="s">
        <v>33</v>
      </c>
      <c r="M343" s="150" t="s">
        <v>37</v>
      </c>
      <c r="N343" s="150"/>
      <c r="O343" s="150" t="s">
        <v>33</v>
      </c>
      <c r="P343" s="150" t="s">
        <v>33</v>
      </c>
      <c r="Q343" s="150">
        <v>1</v>
      </c>
    </row>
    <row r="344" spans="1:17" ht="14.4" x14ac:dyDescent="0.25">
      <c r="B344" s="151" t="str">
        <f t="shared" si="126"/>
        <v>CZCE</v>
      </c>
      <c r="C344" s="151" t="str">
        <f>D28</f>
        <v>SRP</v>
      </c>
      <c r="D344" s="151" t="str">
        <f>D342</f>
        <v>SR</v>
      </c>
      <c r="E344" s="150" t="s">
        <v>886</v>
      </c>
      <c r="F344" s="150" t="s">
        <v>37</v>
      </c>
      <c r="G344" s="150" t="s">
        <v>33</v>
      </c>
      <c r="H344" s="150" t="s">
        <v>154</v>
      </c>
      <c r="I344" s="150" t="s">
        <v>154</v>
      </c>
      <c r="J344" s="150" t="s">
        <v>37</v>
      </c>
      <c r="K344" s="150" t="s">
        <v>37</v>
      </c>
      <c r="L344" s="150" t="s">
        <v>33</v>
      </c>
      <c r="M344" s="150" t="s">
        <v>37</v>
      </c>
      <c r="N344" s="150"/>
      <c r="O344" s="150" t="s">
        <v>33</v>
      </c>
      <c r="P344" s="150" t="s">
        <v>33</v>
      </c>
      <c r="Q344" s="150">
        <v>1</v>
      </c>
    </row>
    <row r="345" spans="1:17" ht="14.4" x14ac:dyDescent="0.25">
      <c r="B345" s="151" t="str">
        <f t="shared" si="126"/>
        <v>CZCE</v>
      </c>
      <c r="C345" s="151" t="str">
        <f>D24</f>
        <v>PTAC</v>
      </c>
      <c r="D345" s="151" t="str">
        <f>D22</f>
        <v>PTA</v>
      </c>
      <c r="E345" s="284" t="s">
        <v>1548</v>
      </c>
      <c r="F345" s="163" t="s">
        <v>1575</v>
      </c>
      <c r="G345" s="284" t="s">
        <v>37</v>
      </c>
      <c r="H345" s="284" t="s">
        <v>154</v>
      </c>
      <c r="I345" s="284" t="s">
        <v>154</v>
      </c>
      <c r="J345" s="284" t="s">
        <v>37</v>
      </c>
      <c r="K345" s="284" t="s">
        <v>37</v>
      </c>
      <c r="L345" s="284" t="s">
        <v>33</v>
      </c>
      <c r="M345" s="284" t="s">
        <v>37</v>
      </c>
      <c r="N345" s="284"/>
      <c r="O345" s="284" t="s">
        <v>33</v>
      </c>
      <c r="P345" s="284" t="s">
        <v>33</v>
      </c>
      <c r="Q345" s="284">
        <v>1</v>
      </c>
    </row>
    <row r="346" spans="1:17" ht="14.4" x14ac:dyDescent="0.25">
      <c r="B346" s="151" t="str">
        <f t="shared" si="126"/>
        <v>CZCE</v>
      </c>
      <c r="C346" s="151" t="str">
        <f>D26</f>
        <v>PTAP</v>
      </c>
      <c r="D346" s="151" t="str">
        <f>D345</f>
        <v>PTA</v>
      </c>
      <c r="E346" s="284" t="s">
        <v>1548</v>
      </c>
      <c r="F346" s="163" t="s">
        <v>1576</v>
      </c>
      <c r="G346" s="284" t="s">
        <v>36</v>
      </c>
      <c r="H346" s="284" t="s">
        <v>154</v>
      </c>
      <c r="I346" s="284" t="s">
        <v>154</v>
      </c>
      <c r="J346" s="284" t="s">
        <v>37</v>
      </c>
      <c r="K346" s="284" t="s">
        <v>37</v>
      </c>
      <c r="L346" s="284" t="s">
        <v>33</v>
      </c>
      <c r="M346" s="284" t="s">
        <v>37</v>
      </c>
      <c r="N346" s="284"/>
      <c r="O346" s="284" t="s">
        <v>33</v>
      </c>
      <c r="P346" s="284" t="s">
        <v>33</v>
      </c>
      <c r="Q346" s="284">
        <v>1</v>
      </c>
    </row>
    <row r="347" spans="1:17" ht="14.4" x14ac:dyDescent="0.25">
      <c r="B347" s="151" t="str">
        <f t="shared" si="126"/>
        <v>CZCE</v>
      </c>
      <c r="C347" s="151" t="str">
        <f>D21</f>
        <v>OI</v>
      </c>
      <c r="D347" s="151" t="str">
        <f>C347</f>
        <v>OI</v>
      </c>
      <c r="E347" s="150" t="s">
        <v>876</v>
      </c>
      <c r="F347" s="150" t="s">
        <v>33</v>
      </c>
      <c r="G347" s="150" t="s">
        <v>33</v>
      </c>
      <c r="H347" s="150" t="s">
        <v>154</v>
      </c>
      <c r="I347" s="150" t="s">
        <v>154</v>
      </c>
      <c r="J347" s="150" t="s">
        <v>37</v>
      </c>
      <c r="K347" s="150" t="s">
        <v>33</v>
      </c>
      <c r="L347" s="150" t="s">
        <v>33</v>
      </c>
      <c r="M347" s="150" t="s">
        <v>37</v>
      </c>
      <c r="N347" s="150"/>
      <c r="O347" s="150" t="s">
        <v>33</v>
      </c>
      <c r="P347" s="150" t="s">
        <v>35</v>
      </c>
      <c r="Q347" s="150">
        <v>1</v>
      </c>
    </row>
    <row r="348" spans="1:17" ht="14.4" x14ac:dyDescent="0.25">
      <c r="B348" s="151" t="str">
        <f t="shared" si="126"/>
        <v>CZCE</v>
      </c>
      <c r="C348" s="151" t="str">
        <f>D22</f>
        <v>PTA</v>
      </c>
      <c r="D348" s="151" t="str">
        <f>C348</f>
        <v>PTA</v>
      </c>
      <c r="E348" s="150" t="s">
        <v>1547</v>
      </c>
      <c r="F348" s="150" t="s">
        <v>33</v>
      </c>
      <c r="G348" s="150" t="s">
        <v>33</v>
      </c>
      <c r="H348" s="150" t="s">
        <v>154</v>
      </c>
      <c r="I348" s="150" t="s">
        <v>154</v>
      </c>
      <c r="J348" s="150" t="s">
        <v>37</v>
      </c>
      <c r="K348" s="150" t="s">
        <v>33</v>
      </c>
      <c r="L348" s="150" t="s">
        <v>37</v>
      </c>
      <c r="M348" s="150" t="s">
        <v>37</v>
      </c>
      <c r="N348" s="150"/>
      <c r="O348" s="150" t="s">
        <v>33</v>
      </c>
      <c r="P348" s="150" t="s">
        <v>35</v>
      </c>
      <c r="Q348" s="150">
        <v>1</v>
      </c>
    </row>
    <row r="349" spans="1:17" x14ac:dyDescent="0.25">
      <c r="E349" s="49"/>
      <c r="F349" s="49"/>
      <c r="G349" s="49"/>
      <c r="H349" s="49"/>
      <c r="I349" s="49"/>
      <c r="J349" s="49"/>
    </row>
    <row r="350" spans="1:17" ht="14.4" x14ac:dyDescent="0.25">
      <c r="A350" s="57" t="s">
        <v>124</v>
      </c>
      <c r="B350" s="9" t="s">
        <v>1557</v>
      </c>
      <c r="E350" s="49"/>
      <c r="F350" s="49"/>
      <c r="G350" s="49"/>
      <c r="H350" s="49"/>
      <c r="I350" s="49"/>
      <c r="J350" s="49"/>
    </row>
    <row r="351" spans="1:17" ht="14.4" x14ac:dyDescent="0.25">
      <c r="A351" s="49" t="s">
        <v>966</v>
      </c>
      <c r="B351" s="680" t="s">
        <v>1761</v>
      </c>
      <c r="C351" s="681"/>
      <c r="D351" s="681"/>
      <c r="E351" s="681"/>
      <c r="F351" s="681"/>
      <c r="G351" s="681"/>
      <c r="H351" s="681"/>
      <c r="I351" s="681"/>
      <c r="J351" s="681"/>
      <c r="K351" s="682"/>
    </row>
    <row r="352" spans="1:17" ht="13.2" x14ac:dyDescent="0.3">
      <c r="B352" s="146" t="s">
        <v>24</v>
      </c>
      <c r="C352" s="146" t="s">
        <v>860</v>
      </c>
      <c r="D352" s="146" t="s">
        <v>32</v>
      </c>
      <c r="E352" s="146" t="s">
        <v>879</v>
      </c>
      <c r="F352" s="146" t="s">
        <v>880</v>
      </c>
      <c r="G352" s="146" t="s">
        <v>881</v>
      </c>
      <c r="H352" s="146" t="s">
        <v>882</v>
      </c>
      <c r="I352" s="146" t="s">
        <v>883</v>
      </c>
      <c r="J352" s="146" t="s">
        <v>884</v>
      </c>
      <c r="K352" s="146" t="s">
        <v>176</v>
      </c>
    </row>
    <row r="353" spans="1:16" ht="14.4" x14ac:dyDescent="0.25">
      <c r="B353" s="151" t="str">
        <f>$B$19</f>
        <v>CZCE</v>
      </c>
      <c r="C353" s="151" t="str">
        <f t="shared" ref="C353:C359" si="127">C342</f>
        <v>SR</v>
      </c>
      <c r="D353" s="379">
        <v>10</v>
      </c>
      <c r="E353" s="379">
        <v>100</v>
      </c>
      <c r="F353" s="379">
        <v>1</v>
      </c>
      <c r="G353" s="379">
        <v>100</v>
      </c>
      <c r="H353" s="379">
        <v>1</v>
      </c>
      <c r="I353" s="164">
        <v>5</v>
      </c>
      <c r="J353" s="152"/>
      <c r="K353" s="379">
        <v>2</v>
      </c>
    </row>
    <row r="354" spans="1:16" ht="14.4" x14ac:dyDescent="0.25">
      <c r="B354" s="151" t="str">
        <f t="shared" ref="B354:B359" si="128">$B$19</f>
        <v>CZCE</v>
      </c>
      <c r="C354" s="151" t="str">
        <f t="shared" si="127"/>
        <v>SRC</v>
      </c>
      <c r="D354" s="379">
        <v>10</v>
      </c>
      <c r="E354" s="379">
        <v>1000</v>
      </c>
      <c r="F354" s="379">
        <v>1</v>
      </c>
      <c r="G354" s="379">
        <v>1000</v>
      </c>
      <c r="H354" s="379">
        <v>1</v>
      </c>
      <c r="I354" s="164">
        <v>1</v>
      </c>
      <c r="J354" s="152">
        <v>1</v>
      </c>
      <c r="K354" s="379">
        <v>1</v>
      </c>
    </row>
    <row r="355" spans="1:16" ht="14.4" x14ac:dyDescent="0.25">
      <c r="A355" s="32"/>
      <c r="B355" s="151" t="str">
        <f t="shared" si="128"/>
        <v>CZCE</v>
      </c>
      <c r="C355" s="151" t="str">
        <f t="shared" si="127"/>
        <v>SRP</v>
      </c>
      <c r="D355" s="379">
        <v>10</v>
      </c>
      <c r="E355" s="379">
        <v>1000</v>
      </c>
      <c r="F355" s="379">
        <v>1</v>
      </c>
      <c r="G355" s="379">
        <v>1000</v>
      </c>
      <c r="H355" s="379">
        <v>1</v>
      </c>
      <c r="I355" s="164">
        <v>1</v>
      </c>
      <c r="J355" s="152">
        <v>1</v>
      </c>
      <c r="K355" s="379">
        <v>1</v>
      </c>
    </row>
    <row r="356" spans="1:16" ht="14.4" x14ac:dyDescent="0.25">
      <c r="A356" s="32"/>
      <c r="B356" s="151" t="str">
        <f t="shared" si="128"/>
        <v>CZCE</v>
      </c>
      <c r="C356" s="151" t="str">
        <f t="shared" si="127"/>
        <v>PTAC</v>
      </c>
      <c r="D356" s="379">
        <f>D359</f>
        <v>5</v>
      </c>
      <c r="E356" s="379">
        <f>E359</f>
        <v>100</v>
      </c>
      <c r="F356" s="379">
        <f t="shared" ref="F356:K356" si="129">F359</f>
        <v>1</v>
      </c>
      <c r="G356" s="379">
        <f t="shared" si="129"/>
        <v>100</v>
      </c>
      <c r="H356" s="379">
        <f t="shared" si="129"/>
        <v>1</v>
      </c>
      <c r="I356" s="379">
        <f t="shared" si="129"/>
        <v>5</v>
      </c>
      <c r="J356" s="379">
        <f t="shared" si="129"/>
        <v>0</v>
      </c>
      <c r="K356" s="379">
        <f t="shared" si="129"/>
        <v>1</v>
      </c>
    </row>
    <row r="357" spans="1:16" ht="14.4" x14ac:dyDescent="0.25">
      <c r="A357" s="32"/>
      <c r="B357" s="151" t="str">
        <f t="shared" si="128"/>
        <v>CZCE</v>
      </c>
      <c r="C357" s="151" t="str">
        <f t="shared" si="127"/>
        <v>PTAP</v>
      </c>
      <c r="D357" s="379">
        <f>D356</f>
        <v>5</v>
      </c>
      <c r="E357" s="379">
        <f>E359</f>
        <v>100</v>
      </c>
      <c r="F357" s="379">
        <f t="shared" ref="F357:K357" si="130">F359</f>
        <v>1</v>
      </c>
      <c r="G357" s="379">
        <f t="shared" si="130"/>
        <v>100</v>
      </c>
      <c r="H357" s="379">
        <f t="shared" si="130"/>
        <v>1</v>
      </c>
      <c r="I357" s="379">
        <f t="shared" si="130"/>
        <v>5</v>
      </c>
      <c r="J357" s="379">
        <f t="shared" si="130"/>
        <v>0</v>
      </c>
      <c r="K357" s="379">
        <f t="shared" si="130"/>
        <v>1</v>
      </c>
    </row>
    <row r="358" spans="1:16" ht="14.4" x14ac:dyDescent="0.25">
      <c r="B358" s="151" t="str">
        <f t="shared" si="128"/>
        <v>CZCE</v>
      </c>
      <c r="C358" s="151" t="str">
        <f t="shared" si="127"/>
        <v>OI</v>
      </c>
      <c r="D358" s="379">
        <v>10</v>
      </c>
      <c r="E358" s="379">
        <v>100</v>
      </c>
      <c r="F358" s="379">
        <v>1</v>
      </c>
      <c r="G358" s="379">
        <v>100</v>
      </c>
      <c r="H358" s="379">
        <v>1</v>
      </c>
      <c r="I358" s="164">
        <v>5</v>
      </c>
      <c r="J358" s="152"/>
      <c r="K358" s="379">
        <v>1</v>
      </c>
    </row>
    <row r="359" spans="1:16" ht="14.4" x14ac:dyDescent="0.25">
      <c r="A359" s="17"/>
      <c r="B359" s="151" t="str">
        <f t="shared" si="128"/>
        <v>CZCE</v>
      </c>
      <c r="C359" s="151" t="str">
        <f t="shared" si="127"/>
        <v>PTA</v>
      </c>
      <c r="D359" s="150">
        <v>5</v>
      </c>
      <c r="E359" s="150">
        <v>100</v>
      </c>
      <c r="F359" s="150">
        <v>1</v>
      </c>
      <c r="G359" s="150">
        <v>100</v>
      </c>
      <c r="H359" s="150">
        <v>1</v>
      </c>
      <c r="I359" s="164">
        <v>5</v>
      </c>
      <c r="J359" s="152"/>
      <c r="K359" s="150">
        <v>1</v>
      </c>
    </row>
    <row r="360" spans="1:16" ht="14.4" x14ac:dyDescent="0.25">
      <c r="A360" s="17"/>
      <c r="B360" s="86"/>
      <c r="C360" s="86"/>
      <c r="D360" s="9"/>
      <c r="E360" s="9"/>
      <c r="F360" s="9"/>
      <c r="G360" s="9"/>
      <c r="H360" s="9"/>
      <c r="I360" s="120"/>
      <c r="J360" s="59"/>
      <c r="K360" s="9"/>
    </row>
    <row r="361" spans="1:16" ht="14.4" x14ac:dyDescent="0.25">
      <c r="A361" s="57" t="s">
        <v>124</v>
      </c>
      <c r="B361" s="9" t="s">
        <v>1557</v>
      </c>
    </row>
    <row r="362" spans="1:16" ht="14.4" x14ac:dyDescent="0.25">
      <c r="A362" s="149" t="s">
        <v>963</v>
      </c>
      <c r="B362" s="680" t="s">
        <v>1521</v>
      </c>
      <c r="C362" s="681"/>
      <c r="D362" s="681"/>
      <c r="E362" s="681"/>
      <c r="F362" s="681"/>
      <c r="G362" s="681"/>
      <c r="H362" s="681"/>
      <c r="I362" s="681"/>
      <c r="J362" s="681"/>
      <c r="K362" s="681"/>
      <c r="L362" s="681"/>
      <c r="M362" s="681"/>
      <c r="N362" s="681"/>
      <c r="O362" s="681"/>
      <c r="P362" s="682"/>
    </row>
    <row r="363" spans="1:16" ht="13.2" x14ac:dyDescent="0.3">
      <c r="A363" s="17"/>
      <c r="B363" s="146" t="s">
        <v>26</v>
      </c>
      <c r="C363" s="146" t="s">
        <v>888</v>
      </c>
      <c r="D363" s="146" t="s">
        <v>24</v>
      </c>
      <c r="E363" s="146" t="s">
        <v>860</v>
      </c>
      <c r="F363" s="146" t="s">
        <v>889</v>
      </c>
      <c r="G363" s="146" t="s">
        <v>129</v>
      </c>
      <c r="H363" s="146" t="s">
        <v>890</v>
      </c>
      <c r="I363" s="146" t="s">
        <v>891</v>
      </c>
      <c r="J363" s="146" t="s">
        <v>892</v>
      </c>
      <c r="K363" s="146" t="s">
        <v>893</v>
      </c>
      <c r="L363" s="146" t="s">
        <v>894</v>
      </c>
      <c r="M363" s="146" t="s">
        <v>895</v>
      </c>
      <c r="N363" s="146" t="s">
        <v>896</v>
      </c>
      <c r="O363" s="146" t="s">
        <v>32</v>
      </c>
      <c r="P363" s="146" t="s">
        <v>897</v>
      </c>
    </row>
    <row r="364" spans="1:16" ht="14.4" x14ac:dyDescent="0.25">
      <c r="A364" s="17"/>
      <c r="B364" s="151" t="str">
        <f>C19</f>
        <v>SR807</v>
      </c>
      <c r="C364" s="150" t="s">
        <v>907</v>
      </c>
      <c r="D364" s="151" t="str">
        <f>$B$19</f>
        <v>CZCE</v>
      </c>
      <c r="E364" s="150" t="s">
        <v>953</v>
      </c>
      <c r="F364" s="150" t="s">
        <v>908</v>
      </c>
      <c r="G364" s="150" t="s">
        <v>908</v>
      </c>
      <c r="H364" s="150">
        <f>VLOOKUP(B364,$C$19:$F$31,4,FALSE)</f>
        <v>20180328</v>
      </c>
      <c r="I364" s="150">
        <v>2018</v>
      </c>
      <c r="J364" s="150">
        <v>7</v>
      </c>
      <c r="K364" s="150" t="s">
        <v>909</v>
      </c>
      <c r="L364" s="150" t="s">
        <v>909</v>
      </c>
      <c r="M364" s="163" t="s">
        <v>1586</v>
      </c>
      <c r="N364" s="164">
        <v>0</v>
      </c>
      <c r="O364" s="150">
        <v>10</v>
      </c>
      <c r="P364" s="150" t="s">
        <v>33</v>
      </c>
    </row>
    <row r="365" spans="1:16" ht="14.4" x14ac:dyDescent="0.25">
      <c r="A365" s="17"/>
      <c r="B365" s="151" t="str">
        <f>C20</f>
        <v>SR809</v>
      </c>
      <c r="C365" s="150" t="s">
        <v>910</v>
      </c>
      <c r="D365" s="151" t="str">
        <f t="shared" ref="D365:D368" si="131">$B$19</f>
        <v>CZCE</v>
      </c>
      <c r="E365" s="150" t="s">
        <v>873</v>
      </c>
      <c r="F365" s="150" t="s">
        <v>899</v>
      </c>
      <c r="G365" s="150" t="s">
        <v>905</v>
      </c>
      <c r="H365" s="150">
        <f>VLOOKUP(B365,$C$19:$F$31,4,FALSE)</f>
        <v>20180333</v>
      </c>
      <c r="I365" s="150">
        <v>2018</v>
      </c>
      <c r="J365" s="150">
        <v>9</v>
      </c>
      <c r="K365" s="150" t="s">
        <v>906</v>
      </c>
      <c r="L365" s="150" t="s">
        <v>906</v>
      </c>
      <c r="M365" s="163" t="s">
        <v>1587</v>
      </c>
      <c r="N365" s="164">
        <v>23545</v>
      </c>
      <c r="O365" s="150">
        <v>10</v>
      </c>
      <c r="P365" s="150" t="s">
        <v>33</v>
      </c>
    </row>
    <row r="366" spans="1:16" ht="14.4" x14ac:dyDescent="0.25">
      <c r="A366" s="17"/>
      <c r="B366" s="151" t="str">
        <f>C21</f>
        <v>OI811</v>
      </c>
      <c r="C366" s="150" t="s">
        <v>898</v>
      </c>
      <c r="D366" s="151" t="str">
        <f t="shared" si="131"/>
        <v>CZCE</v>
      </c>
      <c r="E366" s="150" t="s">
        <v>875</v>
      </c>
      <c r="F366" s="150" t="s">
        <v>899</v>
      </c>
      <c r="G366" s="150" t="s">
        <v>900</v>
      </c>
      <c r="H366" s="150">
        <f>VLOOKUP(B366,$C$19:$F$31,4,FALSE)</f>
        <v>20180333</v>
      </c>
      <c r="I366" s="150">
        <v>2018</v>
      </c>
      <c r="J366" s="150">
        <v>11</v>
      </c>
      <c r="K366" s="150" t="s">
        <v>901</v>
      </c>
      <c r="L366" s="150" t="s">
        <v>901</v>
      </c>
      <c r="M366" s="150" t="s">
        <v>901</v>
      </c>
      <c r="N366" s="164">
        <v>1242</v>
      </c>
      <c r="O366" s="150">
        <v>10</v>
      </c>
      <c r="P366" s="150" t="s">
        <v>33</v>
      </c>
    </row>
    <row r="367" spans="1:16" ht="14.4" x14ac:dyDescent="0.25">
      <c r="A367" s="17"/>
      <c r="B367" s="151" t="str">
        <f>C22</f>
        <v>PTA807</v>
      </c>
      <c r="C367" s="150" t="s">
        <v>1549</v>
      </c>
      <c r="D367" s="151" t="str">
        <f t="shared" si="131"/>
        <v>CZCE</v>
      </c>
      <c r="E367" s="150" t="s">
        <v>877</v>
      </c>
      <c r="F367" s="150" t="s">
        <v>899</v>
      </c>
      <c r="G367" s="150" t="s">
        <v>902</v>
      </c>
      <c r="H367" s="150">
        <f>VLOOKUP(B367,$C$19:$F$31,4,FALSE)</f>
        <v>20180328</v>
      </c>
      <c r="I367" s="150">
        <v>2018</v>
      </c>
      <c r="J367" s="150">
        <v>7</v>
      </c>
      <c r="K367" s="150" t="s">
        <v>903</v>
      </c>
      <c r="L367" s="150" t="s">
        <v>903</v>
      </c>
      <c r="M367" s="150" t="s">
        <v>903</v>
      </c>
      <c r="N367" s="164">
        <v>123</v>
      </c>
      <c r="O367" s="150">
        <v>5</v>
      </c>
      <c r="P367" s="150" t="s">
        <v>33</v>
      </c>
    </row>
    <row r="368" spans="1:16" ht="14.4" x14ac:dyDescent="0.25">
      <c r="B368" s="151" t="str">
        <f>C23</f>
        <v>PTA809</v>
      </c>
      <c r="C368" s="150" t="s">
        <v>904</v>
      </c>
      <c r="D368" s="151" t="str">
        <f t="shared" si="131"/>
        <v>CZCE</v>
      </c>
      <c r="E368" s="150" t="s">
        <v>877</v>
      </c>
      <c r="F368" s="150" t="s">
        <v>899</v>
      </c>
      <c r="G368" s="150" t="s">
        <v>905</v>
      </c>
      <c r="H368" s="150">
        <f>VLOOKUP(B368,$C$19:$F$31,4,FALSE)</f>
        <v>20180333</v>
      </c>
      <c r="I368" s="150">
        <v>2018</v>
      </c>
      <c r="J368" s="150">
        <v>9</v>
      </c>
      <c r="K368" s="150" t="s">
        <v>906</v>
      </c>
      <c r="L368" s="150" t="s">
        <v>906</v>
      </c>
      <c r="M368" s="150" t="s">
        <v>906</v>
      </c>
      <c r="N368" s="164">
        <v>1243</v>
      </c>
      <c r="O368" s="150">
        <v>5</v>
      </c>
      <c r="P368" s="150" t="s">
        <v>33</v>
      </c>
    </row>
    <row r="370" spans="1:20" ht="14.4" x14ac:dyDescent="0.25">
      <c r="A370" s="57" t="s">
        <v>124</v>
      </c>
      <c r="B370" s="9" t="s">
        <v>1557</v>
      </c>
      <c r="C370" s="47"/>
      <c r="D370" s="47"/>
      <c r="E370" s="47"/>
    </row>
    <row r="371" spans="1:20" ht="14.4" x14ac:dyDescent="0.25">
      <c r="A371" s="49" t="s">
        <v>967</v>
      </c>
      <c r="B371" s="680" t="s">
        <v>1865</v>
      </c>
      <c r="C371" s="681"/>
      <c r="D371" s="681"/>
      <c r="E371" s="681"/>
      <c r="F371" s="681"/>
      <c r="G371" s="681"/>
      <c r="H371" s="681"/>
      <c r="I371" s="681"/>
      <c r="J371" s="681"/>
      <c r="K371" s="681"/>
      <c r="L371" s="681"/>
      <c r="M371" s="681"/>
      <c r="N371" s="681"/>
      <c r="O371" s="681"/>
      <c r="P371" s="681"/>
      <c r="Q371" s="681"/>
      <c r="R371" s="681"/>
      <c r="S371" s="681"/>
      <c r="T371" s="682"/>
    </row>
    <row r="372" spans="1:20" ht="13.2" x14ac:dyDescent="0.3">
      <c r="B372" s="146" t="s">
        <v>1522</v>
      </c>
      <c r="C372" s="146" t="s">
        <v>888</v>
      </c>
      <c r="D372" s="146" t="s">
        <v>24</v>
      </c>
      <c r="E372" s="146" t="s">
        <v>860</v>
      </c>
      <c r="F372" s="146" t="s">
        <v>889</v>
      </c>
      <c r="G372" s="146" t="s">
        <v>129</v>
      </c>
      <c r="H372" s="146" t="s">
        <v>890</v>
      </c>
      <c r="I372" s="146" t="s">
        <v>891</v>
      </c>
      <c r="J372" s="146" t="s">
        <v>1523</v>
      </c>
      <c r="K372" s="146" t="s">
        <v>893</v>
      </c>
      <c r="L372" s="146" t="s">
        <v>894</v>
      </c>
      <c r="M372" s="146" t="s">
        <v>895</v>
      </c>
      <c r="N372" s="146" t="s">
        <v>896</v>
      </c>
      <c r="O372" s="146" t="s">
        <v>911</v>
      </c>
      <c r="P372" s="146" t="s">
        <v>912</v>
      </c>
      <c r="Q372" s="146" t="s">
        <v>913</v>
      </c>
      <c r="R372" s="146" t="s">
        <v>1524</v>
      </c>
      <c r="S372" s="146" t="s">
        <v>32</v>
      </c>
      <c r="T372" s="146" t="s">
        <v>897</v>
      </c>
    </row>
    <row r="373" spans="1:20" ht="14.4" x14ac:dyDescent="0.25">
      <c r="B373" s="151" t="str">
        <f>C27</f>
        <v>SR807C6500</v>
      </c>
      <c r="C373" s="321" t="s">
        <v>914</v>
      </c>
      <c r="D373" s="151" t="str">
        <f>$B$19</f>
        <v>CZCE</v>
      </c>
      <c r="E373" s="151" t="str">
        <f t="shared" ref="E373:E380" si="132">VLOOKUP(B373,$C$19:$K$31,2,FALSE)</f>
        <v>SRC</v>
      </c>
      <c r="F373" s="163" t="s">
        <v>1577</v>
      </c>
      <c r="G373" s="321" t="s">
        <v>915</v>
      </c>
      <c r="H373" s="321">
        <f>VLOOKUP(B373,$C$19:$F$31,4,FALSE)</f>
        <v>20180327</v>
      </c>
      <c r="I373" s="321">
        <v>2018</v>
      </c>
      <c r="J373" s="321">
        <v>3</v>
      </c>
      <c r="K373" s="321">
        <v>20180525</v>
      </c>
      <c r="L373" s="321" t="s">
        <v>916</v>
      </c>
      <c r="M373" s="321"/>
      <c r="N373" s="164">
        <v>0</v>
      </c>
      <c r="O373" s="321" t="s">
        <v>33</v>
      </c>
      <c r="P373" s="164">
        <f t="shared" ref="P373:P380" si="133">VLOOKUP(B373,$C$19:$J$31,8,FALSE)</f>
        <v>6500</v>
      </c>
      <c r="Q373" s="321" t="str">
        <f t="shared" ref="Q373:Q380" si="134">VLOOKUP(B373,$C$19:$I$31, 7,FALSE)</f>
        <v>SR807</v>
      </c>
      <c r="R373" s="152">
        <v>1</v>
      </c>
      <c r="S373" s="321">
        <f t="shared" ref="S373:S380" si="135">VLOOKUP(B373,$C$19:$K$31,3,FALSE)</f>
        <v>10</v>
      </c>
      <c r="T373" s="321" t="s">
        <v>33</v>
      </c>
    </row>
    <row r="374" spans="1:20" ht="14.4" x14ac:dyDescent="0.25">
      <c r="B374" s="151" t="str">
        <f>C28</f>
        <v>SR807P6500</v>
      </c>
      <c r="C374" s="321" t="s">
        <v>920</v>
      </c>
      <c r="D374" s="151" t="str">
        <f t="shared" ref="D374:D380" si="136">$B$19</f>
        <v>CZCE</v>
      </c>
      <c r="E374" s="151" t="str">
        <f t="shared" si="132"/>
        <v>SRP</v>
      </c>
      <c r="F374" s="321" t="s">
        <v>915</v>
      </c>
      <c r="G374" s="321" t="s">
        <v>915</v>
      </c>
      <c r="H374" s="321">
        <f t="shared" ref="H374:H380" si="137">VLOOKUP(B374,$C$19:$F$31,4,FALSE)</f>
        <v>20180327</v>
      </c>
      <c r="I374" s="321">
        <v>2018</v>
      </c>
      <c r="J374" s="321">
        <v>3</v>
      </c>
      <c r="K374" s="321" t="s">
        <v>916</v>
      </c>
      <c r="L374" s="321" t="s">
        <v>916</v>
      </c>
      <c r="M374" s="321"/>
      <c r="N374" s="164">
        <v>0</v>
      </c>
      <c r="O374" s="321" t="s">
        <v>37</v>
      </c>
      <c r="P374" s="164">
        <f t="shared" si="133"/>
        <v>6500</v>
      </c>
      <c r="Q374" s="321" t="str">
        <f t="shared" si="134"/>
        <v>SR807</v>
      </c>
      <c r="R374" s="152">
        <v>1</v>
      </c>
      <c r="S374" s="321">
        <f t="shared" si="135"/>
        <v>10</v>
      </c>
      <c r="T374" s="321" t="s">
        <v>33</v>
      </c>
    </row>
    <row r="375" spans="1:20" ht="14.4" x14ac:dyDescent="0.25">
      <c r="B375" s="151" t="str">
        <f>C29</f>
        <v>SR807P6400</v>
      </c>
      <c r="C375" s="321" t="s">
        <v>917</v>
      </c>
      <c r="D375" s="151" t="str">
        <f t="shared" si="136"/>
        <v>CZCE</v>
      </c>
      <c r="E375" s="151" t="str">
        <f t="shared" si="132"/>
        <v>SRP</v>
      </c>
      <c r="F375" s="321" t="s">
        <v>899</v>
      </c>
      <c r="G375" s="321" t="s">
        <v>918</v>
      </c>
      <c r="H375" s="321">
        <f t="shared" si="137"/>
        <v>20180327</v>
      </c>
      <c r="I375" s="321">
        <v>2018</v>
      </c>
      <c r="J375" s="321">
        <v>7</v>
      </c>
      <c r="K375" s="321" t="s">
        <v>919</v>
      </c>
      <c r="L375" s="321" t="s">
        <v>919</v>
      </c>
      <c r="M375" s="321" t="s">
        <v>919</v>
      </c>
      <c r="N375" s="164">
        <v>4</v>
      </c>
      <c r="O375" s="321" t="s">
        <v>37</v>
      </c>
      <c r="P375" s="164">
        <f t="shared" si="133"/>
        <v>6400</v>
      </c>
      <c r="Q375" s="321" t="str">
        <f t="shared" si="134"/>
        <v>SR807</v>
      </c>
      <c r="R375" s="152">
        <v>1</v>
      </c>
      <c r="S375" s="321">
        <f t="shared" si="135"/>
        <v>10</v>
      </c>
      <c r="T375" s="321" t="s">
        <v>33</v>
      </c>
    </row>
    <row r="376" spans="1:20" ht="14.4" x14ac:dyDescent="0.25">
      <c r="B376" s="151" t="str">
        <f>C31</f>
        <v>SR809C6500</v>
      </c>
      <c r="C376" s="321" t="s">
        <v>921</v>
      </c>
      <c r="D376" s="151" t="str">
        <f t="shared" si="136"/>
        <v>CZCE</v>
      </c>
      <c r="E376" s="151" t="str">
        <f t="shared" si="132"/>
        <v>SRC</v>
      </c>
      <c r="F376" s="321" t="s">
        <v>899</v>
      </c>
      <c r="G376" s="163" t="s">
        <v>1579</v>
      </c>
      <c r="H376" s="321">
        <f t="shared" si="137"/>
        <v>20180327</v>
      </c>
      <c r="I376" s="321">
        <v>2018</v>
      </c>
      <c r="J376" s="321">
        <v>9</v>
      </c>
      <c r="K376" s="321" t="s">
        <v>906</v>
      </c>
      <c r="L376" s="321">
        <v>20180915</v>
      </c>
      <c r="M376" s="321" t="s">
        <v>906</v>
      </c>
      <c r="N376" s="164">
        <v>235</v>
      </c>
      <c r="O376" s="321" t="s">
        <v>33</v>
      </c>
      <c r="P376" s="164">
        <f t="shared" si="133"/>
        <v>6500</v>
      </c>
      <c r="Q376" s="321" t="str">
        <f t="shared" si="134"/>
        <v>SR809</v>
      </c>
      <c r="R376" s="152">
        <v>1</v>
      </c>
      <c r="S376" s="321">
        <f t="shared" si="135"/>
        <v>10</v>
      </c>
      <c r="T376" s="321" t="s">
        <v>33</v>
      </c>
    </row>
    <row r="377" spans="1:20" ht="14.4" x14ac:dyDescent="0.25">
      <c r="B377" s="151" t="str">
        <f>C30</f>
        <v>SR809C6600</v>
      </c>
      <c r="C377" s="450" t="s">
        <v>2008</v>
      </c>
      <c r="D377" s="151" t="str">
        <f t="shared" si="136"/>
        <v>CZCE</v>
      </c>
      <c r="E377" s="151" t="str">
        <f t="shared" ref="E377" si="138">VLOOKUP(B377,$C$19:$K$31,2,FALSE)</f>
        <v>SRC</v>
      </c>
      <c r="F377" s="450" t="s">
        <v>899</v>
      </c>
      <c r="G377" s="163" t="s">
        <v>1579</v>
      </c>
      <c r="H377" s="450">
        <f t="shared" ref="H377" si="139">VLOOKUP(B377,$C$19:$F$31,4,FALSE)</f>
        <v>20180332</v>
      </c>
      <c r="I377" s="450">
        <v>2018</v>
      </c>
      <c r="J377" s="450">
        <v>9</v>
      </c>
      <c r="K377" s="450" t="s">
        <v>906</v>
      </c>
      <c r="L377" s="450" t="s">
        <v>906</v>
      </c>
      <c r="M377" s="450" t="s">
        <v>906</v>
      </c>
      <c r="N377" s="164">
        <v>236</v>
      </c>
      <c r="O377" s="450">
        <v>1</v>
      </c>
      <c r="P377" s="164">
        <f t="shared" ref="P377" si="140">VLOOKUP(B377,$C$19:$J$31,8,FALSE)</f>
        <v>6600</v>
      </c>
      <c r="Q377" s="450" t="str">
        <f t="shared" ref="Q377" si="141">VLOOKUP(B377,$C$19:$I$31, 7,FALSE)</f>
        <v>SR809</v>
      </c>
      <c r="R377" s="152">
        <v>1</v>
      </c>
      <c r="S377" s="450">
        <f t="shared" ref="S377" si="142">VLOOKUP(B377,$C$19:$K$31,3,FALSE)</f>
        <v>10</v>
      </c>
      <c r="T377" s="450">
        <v>1</v>
      </c>
    </row>
    <row r="378" spans="1:20" ht="14.4" x14ac:dyDescent="0.25">
      <c r="B378" s="151" t="str">
        <f>$C$24</f>
        <v>PTA807C6500</v>
      </c>
      <c r="C378" s="290" t="s">
        <v>1551</v>
      </c>
      <c r="D378" s="151" t="str">
        <f t="shared" si="136"/>
        <v>CZCE</v>
      </c>
      <c r="E378" s="151" t="str">
        <f t="shared" si="132"/>
        <v>PTAC</v>
      </c>
      <c r="F378" s="163" t="s">
        <v>1577</v>
      </c>
      <c r="G378" s="163" t="s">
        <v>1579</v>
      </c>
      <c r="H378" s="290">
        <f t="shared" si="137"/>
        <v>20180328</v>
      </c>
      <c r="I378" s="321">
        <f>I373</f>
        <v>2018</v>
      </c>
      <c r="J378" s="321">
        <f t="shared" ref="J378:O378" si="143">J373</f>
        <v>3</v>
      </c>
      <c r="K378" s="321">
        <f t="shared" si="143"/>
        <v>20180525</v>
      </c>
      <c r="L378" s="321" t="str">
        <f t="shared" si="143"/>
        <v>20180525</v>
      </c>
      <c r="M378" s="321">
        <f t="shared" si="143"/>
        <v>0</v>
      </c>
      <c r="N378" s="321">
        <f t="shared" si="143"/>
        <v>0</v>
      </c>
      <c r="O378" s="321" t="str">
        <f t="shared" si="143"/>
        <v>1</v>
      </c>
      <c r="P378" s="164">
        <f t="shared" si="133"/>
        <v>6500</v>
      </c>
      <c r="Q378" s="290" t="str">
        <f t="shared" si="134"/>
        <v>PTA807</v>
      </c>
      <c r="R378" s="152">
        <v>1</v>
      </c>
      <c r="S378" s="321">
        <f t="shared" si="135"/>
        <v>5</v>
      </c>
      <c r="T378" s="321">
        <v>1</v>
      </c>
    </row>
    <row r="379" spans="1:20" ht="14.4" x14ac:dyDescent="0.25">
      <c r="B379" s="151" t="str">
        <f>$C$25</f>
        <v>PTA807P6200</v>
      </c>
      <c r="C379" s="290" t="s">
        <v>1550</v>
      </c>
      <c r="D379" s="151" t="str">
        <f t="shared" si="136"/>
        <v>CZCE</v>
      </c>
      <c r="E379" s="151" t="str">
        <f t="shared" si="132"/>
        <v>PTAP</v>
      </c>
      <c r="F379" s="321" t="s">
        <v>915</v>
      </c>
      <c r="G379" s="163" t="s">
        <v>1579</v>
      </c>
      <c r="H379" s="290">
        <f t="shared" si="137"/>
        <v>20180328</v>
      </c>
      <c r="I379" s="321">
        <f>I374</f>
        <v>2018</v>
      </c>
      <c r="J379" s="321">
        <f t="shared" ref="J379:O380" si="144">J374</f>
        <v>3</v>
      </c>
      <c r="K379" s="321" t="str">
        <f t="shared" si="144"/>
        <v>20180525</v>
      </c>
      <c r="L379" s="321" t="str">
        <f t="shared" si="144"/>
        <v>20180525</v>
      </c>
      <c r="M379" s="321">
        <f t="shared" si="144"/>
        <v>0</v>
      </c>
      <c r="N379" s="321">
        <f t="shared" si="144"/>
        <v>0</v>
      </c>
      <c r="O379" s="321" t="str">
        <f t="shared" si="144"/>
        <v>2</v>
      </c>
      <c r="P379" s="164">
        <f t="shared" si="133"/>
        <v>6200</v>
      </c>
      <c r="Q379" s="290" t="str">
        <f t="shared" si="134"/>
        <v>PTA807</v>
      </c>
      <c r="R379" s="152">
        <v>1</v>
      </c>
      <c r="S379" s="321">
        <f t="shared" si="135"/>
        <v>5</v>
      </c>
      <c r="T379" s="321">
        <v>1</v>
      </c>
    </row>
    <row r="380" spans="1:20" ht="14.4" x14ac:dyDescent="0.25">
      <c r="B380" s="151" t="str">
        <f>$C$26</f>
        <v>PTA807P6500</v>
      </c>
      <c r="C380" s="290" t="s">
        <v>1550</v>
      </c>
      <c r="D380" s="151" t="str">
        <f t="shared" si="136"/>
        <v>CZCE</v>
      </c>
      <c r="E380" s="151" t="str">
        <f t="shared" si="132"/>
        <v>PTAP</v>
      </c>
      <c r="F380" s="163" t="s">
        <v>1578</v>
      </c>
      <c r="G380" s="163" t="s">
        <v>1579</v>
      </c>
      <c r="H380" s="290">
        <f t="shared" si="137"/>
        <v>20180328</v>
      </c>
      <c r="I380" s="321">
        <f>I375</f>
        <v>2018</v>
      </c>
      <c r="J380" s="321">
        <f t="shared" si="144"/>
        <v>7</v>
      </c>
      <c r="K380" s="321" t="str">
        <f t="shared" si="144"/>
        <v>20180813</v>
      </c>
      <c r="L380" s="321" t="str">
        <f t="shared" si="144"/>
        <v>20180813</v>
      </c>
      <c r="M380" s="321" t="str">
        <f t="shared" si="144"/>
        <v>20180813</v>
      </c>
      <c r="N380" s="321">
        <f t="shared" si="144"/>
        <v>4</v>
      </c>
      <c r="O380" s="321" t="str">
        <f t="shared" si="144"/>
        <v>2</v>
      </c>
      <c r="P380" s="164">
        <f t="shared" si="133"/>
        <v>6500</v>
      </c>
      <c r="Q380" s="290" t="str">
        <f t="shared" si="134"/>
        <v>PTA807</v>
      </c>
      <c r="R380" s="152">
        <v>1</v>
      </c>
      <c r="S380" s="321">
        <f t="shared" si="135"/>
        <v>5</v>
      </c>
      <c r="T380" s="321">
        <v>1</v>
      </c>
    </row>
    <row r="381" spans="1:20" ht="14.4" x14ac:dyDescent="0.25">
      <c r="B381" s="86"/>
      <c r="C381" s="9"/>
      <c r="D381" s="86"/>
      <c r="E381" s="86"/>
      <c r="F381" s="9"/>
      <c r="G381" s="9"/>
      <c r="H381" s="9"/>
      <c r="I381" s="9"/>
      <c r="J381" s="9"/>
      <c r="K381" s="9"/>
      <c r="L381" s="9"/>
      <c r="M381" s="9"/>
      <c r="N381" s="120"/>
      <c r="O381" s="9"/>
      <c r="P381" s="120"/>
      <c r="Q381" s="9"/>
      <c r="R381" s="59"/>
      <c r="S381" s="9"/>
      <c r="T381" s="9"/>
    </row>
    <row r="382" spans="1:20" ht="14.4" x14ac:dyDescent="0.25">
      <c r="A382" s="57" t="s">
        <v>124</v>
      </c>
      <c r="B382" s="9" t="s">
        <v>1557</v>
      </c>
      <c r="C382" s="32"/>
    </row>
    <row r="383" spans="1:20" ht="14.4" x14ac:dyDescent="0.25">
      <c r="A383" s="49" t="s">
        <v>962</v>
      </c>
      <c r="B383" s="680" t="s">
        <v>1509</v>
      </c>
      <c r="C383" s="681"/>
      <c r="D383" s="681"/>
      <c r="E383" s="681"/>
      <c r="F383" s="681"/>
      <c r="G383" s="681"/>
      <c r="H383" s="681"/>
      <c r="I383" s="681"/>
      <c r="J383" s="682"/>
      <c r="R383" s="21"/>
    </row>
    <row r="384" spans="1:20" ht="13.2" x14ac:dyDescent="0.3">
      <c r="B384" s="146" t="s">
        <v>26</v>
      </c>
      <c r="C384" s="146" t="s">
        <v>24</v>
      </c>
      <c r="D384" s="146" t="s">
        <v>879</v>
      </c>
      <c r="E384" s="146" t="s">
        <v>880</v>
      </c>
      <c r="F384" s="146" t="s">
        <v>881</v>
      </c>
      <c r="G384" s="146" t="s">
        <v>882</v>
      </c>
      <c r="H384" s="146" t="s">
        <v>922</v>
      </c>
      <c r="I384" s="146" t="s">
        <v>883</v>
      </c>
      <c r="J384" s="146" t="s">
        <v>868</v>
      </c>
    </row>
    <row r="385" spans="1:12" ht="14.4" x14ac:dyDescent="0.25">
      <c r="B385" s="151" t="str">
        <f>C19</f>
        <v>SR807</v>
      </c>
      <c r="C385" s="151" t="str">
        <f>$B$19</f>
        <v>CZCE</v>
      </c>
      <c r="D385" s="321">
        <v>1000</v>
      </c>
      <c r="E385" s="321">
        <v>1</v>
      </c>
      <c r="F385" s="321">
        <v>1000</v>
      </c>
      <c r="G385" s="321">
        <v>1</v>
      </c>
      <c r="H385" s="321">
        <v>1</v>
      </c>
      <c r="I385" s="340">
        <v>1</v>
      </c>
      <c r="J385" s="321" t="s">
        <v>37</v>
      </c>
    </row>
    <row r="386" spans="1:12" ht="14.4" x14ac:dyDescent="0.25">
      <c r="B386" s="151" t="str">
        <f>C20</f>
        <v>SR809</v>
      </c>
      <c r="C386" s="151" t="str">
        <f t="shared" ref="C386:C396" si="145">$B$19</f>
        <v>CZCE</v>
      </c>
      <c r="D386" s="321">
        <v>100</v>
      </c>
      <c r="E386" s="321">
        <v>1</v>
      </c>
      <c r="F386" s="321">
        <v>100</v>
      </c>
      <c r="G386" s="321">
        <v>1</v>
      </c>
      <c r="H386" s="321">
        <v>1</v>
      </c>
      <c r="I386" s="340">
        <v>5</v>
      </c>
      <c r="J386" s="321" t="s">
        <v>33</v>
      </c>
    </row>
    <row r="387" spans="1:12" ht="14.4" x14ac:dyDescent="0.25">
      <c r="B387" s="151" t="str">
        <f>C21</f>
        <v>OI811</v>
      </c>
      <c r="C387" s="151" t="str">
        <f t="shared" si="145"/>
        <v>CZCE</v>
      </c>
      <c r="D387" s="321">
        <v>100</v>
      </c>
      <c r="E387" s="321">
        <v>1</v>
      </c>
      <c r="F387" s="321">
        <v>100</v>
      </c>
      <c r="G387" s="321">
        <v>1</v>
      </c>
      <c r="H387" s="321">
        <v>1</v>
      </c>
      <c r="I387" s="340">
        <v>5</v>
      </c>
      <c r="J387" s="321" t="s">
        <v>33</v>
      </c>
    </row>
    <row r="388" spans="1:12" ht="14.4" x14ac:dyDescent="0.25">
      <c r="B388" s="151" t="str">
        <f>C22</f>
        <v>PTA807</v>
      </c>
      <c r="C388" s="151" t="str">
        <f t="shared" si="145"/>
        <v>CZCE</v>
      </c>
      <c r="D388" s="321">
        <v>100</v>
      </c>
      <c r="E388" s="321">
        <v>1</v>
      </c>
      <c r="F388" s="321">
        <v>100</v>
      </c>
      <c r="G388" s="321">
        <v>1</v>
      </c>
      <c r="H388" s="321">
        <v>1</v>
      </c>
      <c r="I388" s="340">
        <v>5</v>
      </c>
      <c r="J388" s="321" t="s">
        <v>37</v>
      </c>
    </row>
    <row r="389" spans="1:12" ht="14.4" x14ac:dyDescent="0.25">
      <c r="B389" s="151" t="str">
        <f>C23</f>
        <v>PTA809</v>
      </c>
      <c r="C389" s="151" t="str">
        <f t="shared" si="145"/>
        <v>CZCE</v>
      </c>
      <c r="D389" s="321">
        <v>100</v>
      </c>
      <c r="E389" s="321">
        <v>1</v>
      </c>
      <c r="F389" s="321">
        <v>100</v>
      </c>
      <c r="G389" s="321">
        <v>1</v>
      </c>
      <c r="H389" s="321">
        <v>1</v>
      </c>
      <c r="I389" s="340">
        <v>5</v>
      </c>
      <c r="J389" s="321" t="s">
        <v>37</v>
      </c>
    </row>
    <row r="390" spans="1:12" ht="14.4" x14ac:dyDescent="0.25">
      <c r="B390" s="151" t="str">
        <f>C27</f>
        <v>SR807C6500</v>
      </c>
      <c r="C390" s="151" t="str">
        <f t="shared" si="145"/>
        <v>CZCE</v>
      </c>
      <c r="D390" s="321">
        <v>20</v>
      </c>
      <c r="E390" s="321">
        <v>1</v>
      </c>
      <c r="F390" s="321">
        <v>20</v>
      </c>
      <c r="G390" s="321">
        <v>1</v>
      </c>
      <c r="H390" s="321">
        <v>1</v>
      </c>
      <c r="I390" s="340">
        <v>0.5</v>
      </c>
      <c r="J390" s="321" t="s">
        <v>37</v>
      </c>
    </row>
    <row r="391" spans="1:12" ht="14.4" x14ac:dyDescent="0.25">
      <c r="B391" s="151" t="str">
        <f>C28</f>
        <v>SR807P6500</v>
      </c>
      <c r="C391" s="151" t="str">
        <f t="shared" si="145"/>
        <v>CZCE</v>
      </c>
      <c r="D391" s="321">
        <v>20</v>
      </c>
      <c r="E391" s="321">
        <v>1</v>
      </c>
      <c r="F391" s="321">
        <v>20</v>
      </c>
      <c r="G391" s="321">
        <v>1</v>
      </c>
      <c r="H391" s="321">
        <v>1</v>
      </c>
      <c r="I391" s="340">
        <v>0.5</v>
      </c>
      <c r="J391" s="321" t="s">
        <v>37</v>
      </c>
    </row>
    <row r="392" spans="1:12" ht="14.4" x14ac:dyDescent="0.25">
      <c r="B392" s="151" t="str">
        <f>C29</f>
        <v>SR807P6400</v>
      </c>
      <c r="C392" s="151" t="str">
        <f t="shared" si="145"/>
        <v>CZCE</v>
      </c>
      <c r="D392" s="321">
        <v>1000</v>
      </c>
      <c r="E392" s="321">
        <v>1</v>
      </c>
      <c r="F392" s="321">
        <v>1000</v>
      </c>
      <c r="G392" s="321">
        <v>1</v>
      </c>
      <c r="H392" s="321">
        <v>1</v>
      </c>
      <c r="I392" s="340">
        <v>1</v>
      </c>
      <c r="J392" s="321" t="s">
        <v>33</v>
      </c>
    </row>
    <row r="393" spans="1:12" ht="14.4" x14ac:dyDescent="0.25">
      <c r="B393" s="151" t="str">
        <f>C31</f>
        <v>SR809C6500</v>
      </c>
      <c r="C393" s="151" t="str">
        <f t="shared" si="145"/>
        <v>CZCE</v>
      </c>
      <c r="D393" s="321">
        <v>1000</v>
      </c>
      <c r="E393" s="321">
        <v>1</v>
      </c>
      <c r="F393" s="321">
        <v>1000</v>
      </c>
      <c r="G393" s="321">
        <v>1</v>
      </c>
      <c r="H393" s="321">
        <v>1</v>
      </c>
      <c r="I393" s="340">
        <v>1</v>
      </c>
      <c r="J393" s="321" t="s">
        <v>33</v>
      </c>
    </row>
    <row r="394" spans="1:12" ht="14.4" x14ac:dyDescent="0.25">
      <c r="B394" s="151" t="str">
        <f>$C$24</f>
        <v>PTA807C6500</v>
      </c>
      <c r="C394" s="151" t="str">
        <f t="shared" si="145"/>
        <v>CZCE</v>
      </c>
      <c r="D394" s="321">
        <f>D388</f>
        <v>100</v>
      </c>
      <c r="E394" s="321">
        <f>E388</f>
        <v>1</v>
      </c>
      <c r="F394" s="321">
        <f t="shared" ref="F394:J394" si="146">F388</f>
        <v>100</v>
      </c>
      <c r="G394" s="321">
        <f t="shared" si="146"/>
        <v>1</v>
      </c>
      <c r="H394" s="321">
        <f t="shared" si="146"/>
        <v>1</v>
      </c>
      <c r="I394" s="341">
        <f t="shared" si="146"/>
        <v>5</v>
      </c>
      <c r="J394" s="321" t="str">
        <f t="shared" si="146"/>
        <v>2</v>
      </c>
    </row>
    <row r="395" spans="1:12" ht="14.4" x14ac:dyDescent="0.25">
      <c r="B395" s="151" t="str">
        <f>$C$25</f>
        <v>PTA807P6200</v>
      </c>
      <c r="C395" s="151" t="str">
        <f t="shared" si="145"/>
        <v>CZCE</v>
      </c>
      <c r="D395" s="321">
        <f>D394</f>
        <v>100</v>
      </c>
      <c r="E395" s="321">
        <f>E394</f>
        <v>1</v>
      </c>
      <c r="F395" s="321">
        <f t="shared" ref="F395:J395" si="147">F394</f>
        <v>100</v>
      </c>
      <c r="G395" s="321">
        <f t="shared" si="147"/>
        <v>1</v>
      </c>
      <c r="H395" s="321">
        <f t="shared" si="147"/>
        <v>1</v>
      </c>
      <c r="I395" s="341">
        <f t="shared" si="147"/>
        <v>5</v>
      </c>
      <c r="J395" s="321" t="str">
        <f t="shared" si="147"/>
        <v>2</v>
      </c>
    </row>
    <row r="396" spans="1:12" ht="14.4" x14ac:dyDescent="0.25">
      <c r="B396" s="151" t="str">
        <f>$C$26</f>
        <v>PTA807P6500</v>
      </c>
      <c r="C396" s="151" t="str">
        <f t="shared" si="145"/>
        <v>CZCE</v>
      </c>
      <c r="D396" s="321">
        <f>D394</f>
        <v>100</v>
      </c>
      <c r="E396" s="321">
        <f>E394</f>
        <v>1</v>
      </c>
      <c r="F396" s="321">
        <f t="shared" ref="F396:J396" si="148">F394</f>
        <v>100</v>
      </c>
      <c r="G396" s="321">
        <f t="shared" si="148"/>
        <v>1</v>
      </c>
      <c r="H396" s="321">
        <f t="shared" si="148"/>
        <v>1</v>
      </c>
      <c r="I396" s="341">
        <f t="shared" si="148"/>
        <v>5</v>
      </c>
      <c r="J396" s="321" t="str">
        <f t="shared" si="148"/>
        <v>2</v>
      </c>
    </row>
    <row r="397" spans="1:12" ht="14.4" x14ac:dyDescent="0.25">
      <c r="A397" s="49" t="s">
        <v>1024</v>
      </c>
      <c r="B397" s="86" t="s">
        <v>1022</v>
      </c>
      <c r="C397" s="86"/>
      <c r="D397" s="9"/>
      <c r="E397" s="9"/>
      <c r="F397" s="9"/>
      <c r="G397" s="9"/>
      <c r="H397" s="9"/>
      <c r="I397" s="120"/>
      <c r="J397" s="9"/>
    </row>
    <row r="398" spans="1:12" ht="14.4" x14ac:dyDescent="0.25">
      <c r="A398" s="57" t="s">
        <v>124</v>
      </c>
      <c r="B398" s="9" t="s">
        <v>1557</v>
      </c>
    </row>
    <row r="399" spans="1:12" ht="14.4" x14ac:dyDescent="0.25">
      <c r="A399" s="49" t="s">
        <v>965</v>
      </c>
      <c r="B399" s="680" t="s">
        <v>1510</v>
      </c>
      <c r="C399" s="681"/>
      <c r="D399" s="681"/>
      <c r="E399" s="681"/>
      <c r="F399" s="681"/>
      <c r="G399" s="681"/>
      <c r="H399" s="681"/>
      <c r="I399" s="681"/>
      <c r="J399" s="681"/>
      <c r="K399" s="681"/>
      <c r="L399" s="682"/>
    </row>
    <row r="400" spans="1:12" ht="13.2" x14ac:dyDescent="0.3">
      <c r="B400" s="146" t="s">
        <v>23</v>
      </c>
      <c r="C400" s="146" t="s">
        <v>24</v>
      </c>
      <c r="D400" s="146" t="s">
        <v>860</v>
      </c>
      <c r="E400" s="146" t="s">
        <v>923</v>
      </c>
      <c r="F400" s="146" t="s">
        <v>924</v>
      </c>
      <c r="G400" s="146" t="s">
        <v>925</v>
      </c>
      <c r="H400" s="146" t="s">
        <v>926</v>
      </c>
      <c r="I400" s="146" t="s">
        <v>927</v>
      </c>
      <c r="J400" s="146" t="s">
        <v>248</v>
      </c>
      <c r="K400" s="146" t="s">
        <v>928</v>
      </c>
      <c r="L400" s="146" t="s">
        <v>929</v>
      </c>
    </row>
    <row r="401" spans="1:12" ht="14.4" x14ac:dyDescent="0.25">
      <c r="B401" s="150" t="str">
        <f>$F$5</f>
        <v>9999</v>
      </c>
      <c r="C401" s="151" t="str">
        <f>$B$19</f>
        <v>CZCE</v>
      </c>
      <c r="D401" s="151" t="str">
        <f>D19</f>
        <v>SR</v>
      </c>
      <c r="E401" s="150" t="s">
        <v>930</v>
      </c>
      <c r="F401" s="150" t="s">
        <v>931</v>
      </c>
      <c r="G401" s="150">
        <v>1</v>
      </c>
      <c r="H401" s="150" t="s">
        <v>37</v>
      </c>
      <c r="I401" s="150"/>
      <c r="J401" s="150" t="s">
        <v>932</v>
      </c>
      <c r="K401" s="150" t="s">
        <v>933</v>
      </c>
      <c r="L401" s="150" t="s">
        <v>934</v>
      </c>
    </row>
    <row r="402" spans="1:12" ht="14.4" x14ac:dyDescent="0.25">
      <c r="B402" s="150" t="str">
        <f t="shared" ref="B402:B403" si="149">$F$5</f>
        <v>9999</v>
      </c>
      <c r="C402" s="151" t="str">
        <f t="shared" ref="C402:C403" si="150">$B$19</f>
        <v>CZCE</v>
      </c>
      <c r="D402" s="151" t="str">
        <f>D21</f>
        <v>OI</v>
      </c>
      <c r="E402" s="150" t="s">
        <v>930</v>
      </c>
      <c r="F402" s="150" t="s">
        <v>931</v>
      </c>
      <c r="G402" s="150">
        <v>1</v>
      </c>
      <c r="H402" s="150" t="s">
        <v>37</v>
      </c>
      <c r="I402" s="150"/>
      <c r="J402" s="150" t="s">
        <v>932</v>
      </c>
      <c r="K402" s="150" t="s">
        <v>933</v>
      </c>
      <c r="L402" s="150" t="s">
        <v>935</v>
      </c>
    </row>
    <row r="403" spans="1:12" ht="14.4" x14ac:dyDescent="0.25">
      <c r="B403" s="150" t="str">
        <f t="shared" si="149"/>
        <v>9999</v>
      </c>
      <c r="C403" s="151" t="str">
        <f t="shared" si="150"/>
        <v>CZCE</v>
      </c>
      <c r="D403" s="151" t="str">
        <f>D22</f>
        <v>PTA</v>
      </c>
      <c r="E403" s="150" t="s">
        <v>930</v>
      </c>
      <c r="F403" s="150" t="s">
        <v>931</v>
      </c>
      <c r="G403" s="150">
        <v>1</v>
      </c>
      <c r="H403" s="150" t="s">
        <v>37</v>
      </c>
      <c r="I403" s="150"/>
      <c r="J403" s="150" t="s">
        <v>936</v>
      </c>
      <c r="K403" s="150" t="s">
        <v>933</v>
      </c>
      <c r="L403" s="150" t="s">
        <v>937</v>
      </c>
    </row>
    <row r="404" spans="1:12" ht="14.4" x14ac:dyDescent="0.25">
      <c r="B404" s="9"/>
      <c r="C404" s="86"/>
      <c r="D404" s="86"/>
      <c r="E404" s="9"/>
      <c r="F404" s="9"/>
      <c r="G404" s="9"/>
      <c r="H404" s="9"/>
      <c r="I404" s="9"/>
      <c r="J404" s="9"/>
      <c r="K404" s="9"/>
      <c r="L404" s="9"/>
    </row>
    <row r="405" spans="1:12" ht="14.4" x14ac:dyDescent="0.25">
      <c r="A405" s="57" t="s">
        <v>124</v>
      </c>
      <c r="B405" s="9" t="s">
        <v>1557</v>
      </c>
    </row>
    <row r="406" spans="1:12" ht="14.4" x14ac:dyDescent="0.25">
      <c r="A406" s="49" t="s">
        <v>968</v>
      </c>
      <c r="B406" s="678" t="s">
        <v>1511</v>
      </c>
      <c r="C406" s="679"/>
      <c r="D406" s="679"/>
      <c r="E406" s="679"/>
      <c r="F406" s="679"/>
      <c r="G406" s="679"/>
    </row>
    <row r="407" spans="1:12" ht="13.2" x14ac:dyDescent="0.3">
      <c r="B407" s="146" t="s">
        <v>23</v>
      </c>
      <c r="C407" s="146" t="s">
        <v>24</v>
      </c>
      <c r="D407" s="146" t="s">
        <v>860</v>
      </c>
      <c r="E407" s="146" t="s">
        <v>923</v>
      </c>
      <c r="F407" s="146" t="s">
        <v>26</v>
      </c>
      <c r="G407" s="146" t="s">
        <v>938</v>
      </c>
    </row>
    <row r="408" spans="1:12" ht="14.4" x14ac:dyDescent="0.25">
      <c r="B408" s="150" t="str">
        <f t="shared" ref="B408:B412" si="151">$F$5</f>
        <v>9999</v>
      </c>
      <c r="C408" s="151" t="str">
        <f t="shared" ref="C408:C412" si="152">$B$19</f>
        <v>CZCE</v>
      </c>
      <c r="D408" s="151" t="str">
        <f>D19</f>
        <v>SR</v>
      </c>
      <c r="E408" s="150" t="s">
        <v>930</v>
      </c>
      <c r="F408" s="151" t="str">
        <f>C19</f>
        <v>SR807</v>
      </c>
      <c r="G408" s="150" t="s">
        <v>942</v>
      </c>
    </row>
    <row r="409" spans="1:12" ht="14.4" x14ac:dyDescent="0.25">
      <c r="B409" s="150" t="str">
        <f t="shared" si="151"/>
        <v>9999</v>
      </c>
      <c r="C409" s="151" t="str">
        <f t="shared" si="152"/>
        <v>CZCE</v>
      </c>
      <c r="D409" s="151" t="str">
        <f>D20</f>
        <v>SR</v>
      </c>
      <c r="E409" s="150" t="s">
        <v>930</v>
      </c>
      <c r="F409" s="151" t="str">
        <f>C20</f>
        <v>SR809</v>
      </c>
      <c r="G409" s="150" t="s">
        <v>940</v>
      </c>
    </row>
    <row r="410" spans="1:12" ht="14.4" x14ac:dyDescent="0.25">
      <c r="B410" s="150" t="str">
        <f>$F$5</f>
        <v>9999</v>
      </c>
      <c r="C410" s="151" t="str">
        <f>$B$19</f>
        <v>CZCE</v>
      </c>
      <c r="D410" s="151" t="str">
        <f>D21</f>
        <v>OI</v>
      </c>
      <c r="E410" s="150" t="s">
        <v>930</v>
      </c>
      <c r="F410" s="151" t="str">
        <f>C21</f>
        <v>OI811</v>
      </c>
      <c r="G410" s="150" t="s">
        <v>939</v>
      </c>
    </row>
    <row r="411" spans="1:12" ht="14.4" x14ac:dyDescent="0.25">
      <c r="B411" s="150" t="str">
        <f t="shared" si="151"/>
        <v>9999</v>
      </c>
      <c r="C411" s="151" t="str">
        <f t="shared" si="152"/>
        <v>CZCE</v>
      </c>
      <c r="D411" s="151" t="str">
        <f>D22</f>
        <v>PTA</v>
      </c>
      <c r="E411" s="150" t="s">
        <v>930</v>
      </c>
      <c r="F411" s="151" t="str">
        <f>C22</f>
        <v>PTA807</v>
      </c>
      <c r="G411" s="150" t="s">
        <v>940</v>
      </c>
    </row>
    <row r="412" spans="1:12" ht="14.4" x14ac:dyDescent="0.25">
      <c r="B412" s="150" t="str">
        <f t="shared" si="151"/>
        <v>9999</v>
      </c>
      <c r="C412" s="151" t="str">
        <f t="shared" si="152"/>
        <v>CZCE</v>
      </c>
      <c r="D412" s="151" t="str">
        <f>D23</f>
        <v>PTA</v>
      </c>
      <c r="E412" s="150" t="s">
        <v>930</v>
      </c>
      <c r="F412" s="151" t="str">
        <f>C23</f>
        <v>PTA809</v>
      </c>
      <c r="G412" s="150" t="s">
        <v>941</v>
      </c>
    </row>
    <row r="414" spans="1:12" x14ac:dyDescent="0.25">
      <c r="A414" s="49" t="s">
        <v>958</v>
      </c>
      <c r="B414" s="49" t="s">
        <v>955</v>
      </c>
    </row>
    <row r="415" spans="1:12" ht="14.4" x14ac:dyDescent="0.25">
      <c r="A415" s="57" t="s">
        <v>124</v>
      </c>
      <c r="B415" s="9" t="s">
        <v>1557</v>
      </c>
    </row>
    <row r="416" spans="1:12" ht="14.4" x14ac:dyDescent="0.25">
      <c r="A416" s="49" t="s">
        <v>969</v>
      </c>
      <c r="B416" s="687" t="s">
        <v>943</v>
      </c>
      <c r="C416" s="688"/>
      <c r="D416" s="688"/>
      <c r="E416" s="688"/>
      <c r="F416" s="688"/>
      <c r="G416" s="688"/>
      <c r="H416" s="688"/>
      <c r="I416" s="688"/>
      <c r="J416" s="688"/>
      <c r="K416" s="689"/>
    </row>
    <row r="417" spans="1:11" ht="13.2" x14ac:dyDescent="0.3">
      <c r="B417" s="146" t="s">
        <v>23</v>
      </c>
      <c r="C417" s="146" t="s">
        <v>24</v>
      </c>
      <c r="D417" s="146" t="s">
        <v>26</v>
      </c>
      <c r="E417" s="146" t="s">
        <v>923</v>
      </c>
      <c r="F417" s="146" t="s">
        <v>27</v>
      </c>
      <c r="G417" s="146" t="s">
        <v>944</v>
      </c>
      <c r="H417" s="146" t="s">
        <v>945</v>
      </c>
      <c r="I417" s="146" t="s">
        <v>946</v>
      </c>
      <c r="J417" s="146" t="s">
        <v>947</v>
      </c>
      <c r="K417" s="146" t="s">
        <v>176</v>
      </c>
    </row>
    <row r="418" spans="1:11" ht="14.4" x14ac:dyDescent="0.25">
      <c r="B418" s="163" t="str">
        <f>$F$5</f>
        <v>9999</v>
      </c>
      <c r="C418" s="151" t="str">
        <f>$B$19</f>
        <v>CZCE</v>
      </c>
      <c r="D418" s="151" t="str">
        <f>$D$19</f>
        <v>SR</v>
      </c>
      <c r="E418" s="150" t="s">
        <v>930</v>
      </c>
      <c r="F418" s="150" t="s">
        <v>33</v>
      </c>
      <c r="G418" s="152">
        <f>G54</f>
        <v>0.04</v>
      </c>
      <c r="H418" s="152">
        <f>H54</f>
        <v>4</v>
      </c>
      <c r="I418" s="152">
        <f>G55</f>
        <v>4.1000000000000002E-2</v>
      </c>
      <c r="J418" s="152">
        <f>H55</f>
        <v>4.0999999999999996</v>
      </c>
      <c r="K418" s="150">
        <v>12</v>
      </c>
    </row>
    <row r="419" spans="1:11" ht="14.4" x14ac:dyDescent="0.25">
      <c r="B419" s="163" t="str">
        <f t="shared" ref="B419:B429" si="153">$F$5</f>
        <v>9999</v>
      </c>
      <c r="C419" s="151" t="str">
        <f t="shared" ref="C419:C429" si="154">$B$19</f>
        <v>CZCE</v>
      </c>
      <c r="D419" s="151" t="str">
        <f t="shared" ref="D419:D421" si="155">$D$19</f>
        <v>SR</v>
      </c>
      <c r="E419" s="150" t="s">
        <v>930</v>
      </c>
      <c r="F419" s="150" t="s">
        <v>37</v>
      </c>
      <c r="G419" s="152">
        <f>G418</f>
        <v>0.04</v>
      </c>
      <c r="H419" s="152">
        <f t="shared" ref="H419:J419" si="156">H418</f>
        <v>4</v>
      </c>
      <c r="I419" s="152">
        <f t="shared" si="156"/>
        <v>4.1000000000000002E-2</v>
      </c>
      <c r="J419" s="152">
        <f t="shared" si="156"/>
        <v>4.0999999999999996</v>
      </c>
      <c r="K419" s="150">
        <v>12</v>
      </c>
    </row>
    <row r="420" spans="1:11" ht="14.4" x14ac:dyDescent="0.25">
      <c r="B420" s="163" t="str">
        <f t="shared" si="153"/>
        <v>9999</v>
      </c>
      <c r="C420" s="151" t="str">
        <f t="shared" si="154"/>
        <v>CZCE</v>
      </c>
      <c r="D420" s="151" t="str">
        <f t="shared" si="155"/>
        <v>SR</v>
      </c>
      <c r="E420" s="150" t="s">
        <v>930</v>
      </c>
      <c r="F420" s="150" t="s">
        <v>36</v>
      </c>
      <c r="G420" s="152">
        <f>G56</f>
        <v>4.2000000000000003E-2</v>
      </c>
      <c r="H420" s="152">
        <f>H56</f>
        <v>4.2</v>
      </c>
      <c r="I420" s="152">
        <f>G57</f>
        <v>4.2999999999999997E-2</v>
      </c>
      <c r="J420" s="152">
        <f>H57</f>
        <v>4.3</v>
      </c>
      <c r="K420" s="150">
        <v>12</v>
      </c>
    </row>
    <row r="421" spans="1:11" ht="14.4" x14ac:dyDescent="0.25">
      <c r="B421" s="163" t="str">
        <f t="shared" si="153"/>
        <v>9999</v>
      </c>
      <c r="C421" s="151" t="str">
        <f t="shared" si="154"/>
        <v>CZCE</v>
      </c>
      <c r="D421" s="151" t="str">
        <f t="shared" si="155"/>
        <v>SR</v>
      </c>
      <c r="E421" s="150" t="s">
        <v>930</v>
      </c>
      <c r="F421" s="150" t="s">
        <v>38</v>
      </c>
      <c r="G421" s="152">
        <f>G420</f>
        <v>4.2000000000000003E-2</v>
      </c>
      <c r="H421" s="152">
        <f t="shared" ref="H421:J421" si="157">H420</f>
        <v>4.2</v>
      </c>
      <c r="I421" s="152">
        <f t="shared" si="157"/>
        <v>4.2999999999999997E-2</v>
      </c>
      <c r="J421" s="152">
        <f t="shared" si="157"/>
        <v>4.3</v>
      </c>
      <c r="K421" s="150">
        <v>12</v>
      </c>
    </row>
    <row r="422" spans="1:11" ht="14.4" x14ac:dyDescent="0.25">
      <c r="B422" s="163" t="str">
        <f t="shared" si="153"/>
        <v>9999</v>
      </c>
      <c r="C422" s="151" t="str">
        <f t="shared" si="154"/>
        <v>CZCE</v>
      </c>
      <c r="D422" s="151" t="str">
        <f>$D$21</f>
        <v>OI</v>
      </c>
      <c r="E422" s="150" t="s">
        <v>930</v>
      </c>
      <c r="F422" s="150" t="s">
        <v>33</v>
      </c>
      <c r="G422" s="152">
        <f>G418</f>
        <v>0.04</v>
      </c>
      <c r="H422" s="152">
        <f t="shared" ref="H422:J422" si="158">H418</f>
        <v>4</v>
      </c>
      <c r="I422" s="152">
        <f t="shared" si="158"/>
        <v>4.1000000000000002E-2</v>
      </c>
      <c r="J422" s="152">
        <f t="shared" si="158"/>
        <v>4.0999999999999996</v>
      </c>
      <c r="K422" s="150">
        <v>1</v>
      </c>
    </row>
    <row r="423" spans="1:11" ht="14.4" x14ac:dyDescent="0.25">
      <c r="B423" s="163" t="str">
        <f t="shared" si="153"/>
        <v>9999</v>
      </c>
      <c r="C423" s="151" t="str">
        <f t="shared" si="154"/>
        <v>CZCE</v>
      </c>
      <c r="D423" s="151" t="str">
        <f t="shared" ref="D423:D425" si="159">$D$21</f>
        <v>OI</v>
      </c>
      <c r="E423" s="150" t="s">
        <v>930</v>
      </c>
      <c r="F423" s="150" t="s">
        <v>37</v>
      </c>
      <c r="G423" s="152">
        <f t="shared" ref="G423:J423" si="160">G419</f>
        <v>0.04</v>
      </c>
      <c r="H423" s="152">
        <f t="shared" si="160"/>
        <v>4</v>
      </c>
      <c r="I423" s="152">
        <f t="shared" si="160"/>
        <v>4.1000000000000002E-2</v>
      </c>
      <c r="J423" s="152">
        <f t="shared" si="160"/>
        <v>4.0999999999999996</v>
      </c>
      <c r="K423" s="150">
        <v>1</v>
      </c>
    </row>
    <row r="424" spans="1:11" ht="14.4" x14ac:dyDescent="0.25">
      <c r="B424" s="163" t="str">
        <f t="shared" si="153"/>
        <v>9999</v>
      </c>
      <c r="C424" s="151" t="str">
        <f t="shared" si="154"/>
        <v>CZCE</v>
      </c>
      <c r="D424" s="151" t="str">
        <f t="shared" si="159"/>
        <v>OI</v>
      </c>
      <c r="E424" s="150" t="s">
        <v>930</v>
      </c>
      <c r="F424" s="150" t="s">
        <v>36</v>
      </c>
      <c r="G424" s="152">
        <f t="shared" ref="G424:J424" si="161">G420</f>
        <v>4.2000000000000003E-2</v>
      </c>
      <c r="H424" s="152">
        <f t="shared" si="161"/>
        <v>4.2</v>
      </c>
      <c r="I424" s="152">
        <f t="shared" si="161"/>
        <v>4.2999999999999997E-2</v>
      </c>
      <c r="J424" s="152">
        <f t="shared" si="161"/>
        <v>4.3</v>
      </c>
      <c r="K424" s="150">
        <v>1</v>
      </c>
    </row>
    <row r="425" spans="1:11" ht="14.4" x14ac:dyDescent="0.25">
      <c r="B425" s="163" t="str">
        <f t="shared" si="153"/>
        <v>9999</v>
      </c>
      <c r="C425" s="151" t="str">
        <f t="shared" si="154"/>
        <v>CZCE</v>
      </c>
      <c r="D425" s="151" t="str">
        <f t="shared" si="159"/>
        <v>OI</v>
      </c>
      <c r="E425" s="150" t="s">
        <v>930</v>
      </c>
      <c r="F425" s="150" t="s">
        <v>38</v>
      </c>
      <c r="G425" s="152">
        <f t="shared" ref="G425:J425" si="162">G421</f>
        <v>4.2000000000000003E-2</v>
      </c>
      <c r="H425" s="152">
        <f t="shared" si="162"/>
        <v>4.2</v>
      </c>
      <c r="I425" s="152">
        <f t="shared" si="162"/>
        <v>4.2999999999999997E-2</v>
      </c>
      <c r="J425" s="152">
        <f t="shared" si="162"/>
        <v>4.3</v>
      </c>
      <c r="K425" s="150">
        <v>1</v>
      </c>
    </row>
    <row r="426" spans="1:11" ht="14.4" x14ac:dyDescent="0.25">
      <c r="B426" s="163" t="str">
        <f t="shared" si="153"/>
        <v>9999</v>
      </c>
      <c r="C426" s="151" t="str">
        <f t="shared" si="154"/>
        <v>CZCE</v>
      </c>
      <c r="D426" s="151" t="str">
        <f>$D$22</f>
        <v>PTA</v>
      </c>
      <c r="E426" s="150" t="s">
        <v>930</v>
      </c>
      <c r="F426" s="150" t="s">
        <v>33</v>
      </c>
      <c r="G426" s="152">
        <f t="shared" ref="G426:J426" si="163">G422</f>
        <v>0.04</v>
      </c>
      <c r="H426" s="152">
        <f t="shared" si="163"/>
        <v>4</v>
      </c>
      <c r="I426" s="152">
        <f t="shared" si="163"/>
        <v>4.1000000000000002E-2</v>
      </c>
      <c r="J426" s="152">
        <f t="shared" si="163"/>
        <v>4.0999999999999996</v>
      </c>
      <c r="K426" s="150">
        <v>1</v>
      </c>
    </row>
    <row r="427" spans="1:11" ht="14.4" x14ac:dyDescent="0.25">
      <c r="B427" s="163" t="str">
        <f t="shared" si="153"/>
        <v>9999</v>
      </c>
      <c r="C427" s="151" t="str">
        <f t="shared" si="154"/>
        <v>CZCE</v>
      </c>
      <c r="D427" s="151" t="str">
        <f t="shared" ref="D427:D429" si="164">$D$22</f>
        <v>PTA</v>
      </c>
      <c r="E427" s="150" t="s">
        <v>930</v>
      </c>
      <c r="F427" s="150" t="s">
        <v>37</v>
      </c>
      <c r="G427" s="152">
        <f t="shared" ref="G427:J427" si="165">G423</f>
        <v>0.04</v>
      </c>
      <c r="H427" s="152">
        <f t="shared" si="165"/>
        <v>4</v>
      </c>
      <c r="I427" s="152">
        <f t="shared" si="165"/>
        <v>4.1000000000000002E-2</v>
      </c>
      <c r="J427" s="152">
        <f t="shared" si="165"/>
        <v>4.0999999999999996</v>
      </c>
      <c r="K427" s="150">
        <v>1</v>
      </c>
    </row>
    <row r="428" spans="1:11" ht="14.4" x14ac:dyDescent="0.25">
      <c r="B428" s="163" t="str">
        <f t="shared" si="153"/>
        <v>9999</v>
      </c>
      <c r="C428" s="151" t="str">
        <f t="shared" si="154"/>
        <v>CZCE</v>
      </c>
      <c r="D428" s="151" t="str">
        <f t="shared" si="164"/>
        <v>PTA</v>
      </c>
      <c r="E428" s="150" t="s">
        <v>930</v>
      </c>
      <c r="F428" s="150" t="s">
        <v>36</v>
      </c>
      <c r="G428" s="152">
        <f t="shared" ref="G428:J428" si="166">G424</f>
        <v>4.2000000000000003E-2</v>
      </c>
      <c r="H428" s="152">
        <f t="shared" si="166"/>
        <v>4.2</v>
      </c>
      <c r="I428" s="152">
        <f t="shared" si="166"/>
        <v>4.2999999999999997E-2</v>
      </c>
      <c r="J428" s="152">
        <f t="shared" si="166"/>
        <v>4.3</v>
      </c>
      <c r="K428" s="150">
        <v>1</v>
      </c>
    </row>
    <row r="429" spans="1:11" ht="14.4" x14ac:dyDescent="0.25">
      <c r="B429" s="163" t="str">
        <f t="shared" si="153"/>
        <v>9999</v>
      </c>
      <c r="C429" s="151" t="str">
        <f t="shared" si="154"/>
        <v>CZCE</v>
      </c>
      <c r="D429" s="151" t="str">
        <f t="shared" si="164"/>
        <v>PTA</v>
      </c>
      <c r="E429" s="150" t="s">
        <v>930</v>
      </c>
      <c r="F429" s="150" t="s">
        <v>38</v>
      </c>
      <c r="G429" s="152">
        <f t="shared" ref="G429:J429" si="167">G425</f>
        <v>4.2000000000000003E-2</v>
      </c>
      <c r="H429" s="152">
        <f t="shared" si="167"/>
        <v>4.2</v>
      </c>
      <c r="I429" s="152">
        <f t="shared" si="167"/>
        <v>4.2999999999999997E-2</v>
      </c>
      <c r="J429" s="152">
        <f t="shared" si="167"/>
        <v>4.3</v>
      </c>
      <c r="K429" s="150">
        <v>1</v>
      </c>
    </row>
    <row r="430" spans="1:11" ht="14.4" x14ac:dyDescent="0.25">
      <c r="B430" s="88"/>
      <c r="C430" s="86"/>
      <c r="D430" s="86"/>
      <c r="E430" s="9"/>
      <c r="F430" s="9"/>
      <c r="G430" s="59"/>
      <c r="H430" s="59"/>
      <c r="I430" s="59"/>
      <c r="J430" s="59"/>
      <c r="K430" s="9"/>
    </row>
    <row r="431" spans="1:11" ht="14.4" x14ac:dyDescent="0.25">
      <c r="A431" s="49" t="s">
        <v>959</v>
      </c>
      <c r="B431" s="9" t="s">
        <v>950</v>
      </c>
      <c r="C431" s="9"/>
      <c r="D431" s="9"/>
      <c r="E431" s="9"/>
      <c r="F431" s="9"/>
      <c r="G431" s="59"/>
      <c r="H431" s="60"/>
      <c r="I431" s="59"/>
      <c r="J431" s="60"/>
      <c r="K431" s="9"/>
    </row>
    <row r="432" spans="1:11" ht="14.4" x14ac:dyDescent="0.25">
      <c r="A432" s="57" t="s">
        <v>124</v>
      </c>
      <c r="B432" s="9" t="s">
        <v>1557</v>
      </c>
      <c r="C432" s="9"/>
      <c r="D432" s="9"/>
      <c r="E432" s="9"/>
      <c r="F432" s="9"/>
      <c r="G432" s="59"/>
      <c r="H432" s="60"/>
      <c r="I432" s="59"/>
      <c r="J432" s="60"/>
      <c r="K432" s="9"/>
    </row>
    <row r="433" spans="1:13" ht="14.4" x14ac:dyDescent="0.25">
      <c r="A433" s="49" t="s">
        <v>965</v>
      </c>
      <c r="B433" s="678" t="s">
        <v>1525</v>
      </c>
      <c r="C433" s="679"/>
      <c r="D433" s="679"/>
      <c r="E433" s="679"/>
      <c r="F433" s="679"/>
      <c r="G433" s="679"/>
      <c r="H433" s="679"/>
      <c r="I433" s="679"/>
      <c r="J433" s="679"/>
      <c r="K433" s="679"/>
      <c r="L433" s="679"/>
      <c r="M433" s="679"/>
    </row>
    <row r="434" spans="1:13" ht="13.2" x14ac:dyDescent="0.3">
      <c r="B434" s="146" t="s">
        <v>22</v>
      </c>
      <c r="C434" s="146" t="s">
        <v>23</v>
      </c>
      <c r="D434" s="146" t="s">
        <v>24</v>
      </c>
      <c r="E434" s="146" t="s">
        <v>26</v>
      </c>
      <c r="F434" s="146" t="s">
        <v>948</v>
      </c>
      <c r="G434" s="146" t="s">
        <v>27</v>
      </c>
      <c r="H434" s="146" t="s">
        <v>944</v>
      </c>
      <c r="I434" s="146" t="s">
        <v>945</v>
      </c>
      <c r="J434" s="146" t="s">
        <v>946</v>
      </c>
      <c r="K434" s="146" t="s">
        <v>947</v>
      </c>
      <c r="L434" s="146" t="s">
        <v>949</v>
      </c>
      <c r="M434" s="146" t="s">
        <v>176</v>
      </c>
    </row>
    <row r="435" spans="1:13" ht="14.4" x14ac:dyDescent="0.25">
      <c r="B435" s="279">
        <f>$B$2</f>
        <v>20180326</v>
      </c>
      <c r="C435" s="279" t="str">
        <f>$F$5</f>
        <v>9999</v>
      </c>
      <c r="D435" s="151" t="str">
        <f>$B$19</f>
        <v>CZCE</v>
      </c>
      <c r="E435" s="151" t="str">
        <f>$D$19</f>
        <v>SR</v>
      </c>
      <c r="F435" s="279" t="s">
        <v>33</v>
      </c>
      <c r="G435" s="279" t="s">
        <v>33</v>
      </c>
      <c r="H435" s="152">
        <f>G418</f>
        <v>0.04</v>
      </c>
      <c r="I435" s="152">
        <f t="shared" ref="I435:K435" si="168">H418</f>
        <v>4</v>
      </c>
      <c r="J435" s="152">
        <f t="shared" si="168"/>
        <v>4.1000000000000002E-2</v>
      </c>
      <c r="K435" s="152">
        <f t="shared" si="168"/>
        <v>4.0999999999999996</v>
      </c>
      <c r="L435" s="279" t="s">
        <v>930</v>
      </c>
      <c r="M435" s="279">
        <v>1</v>
      </c>
    </row>
    <row r="436" spans="1:13" ht="14.4" x14ac:dyDescent="0.25">
      <c r="B436" s="279">
        <f t="shared" ref="B436:B466" si="169">$B$2</f>
        <v>20180326</v>
      </c>
      <c r="C436" s="279" t="str">
        <f t="shared" ref="C436:C466" si="170">$F$5</f>
        <v>9999</v>
      </c>
      <c r="D436" s="151" t="str">
        <f t="shared" ref="D436:D466" si="171">$B$19</f>
        <v>CZCE</v>
      </c>
      <c r="E436" s="151" t="str">
        <f t="shared" ref="E436:E438" si="172">$D$19</f>
        <v>SR</v>
      </c>
      <c r="F436" s="279" t="s">
        <v>33</v>
      </c>
      <c r="G436" s="279" t="s">
        <v>37</v>
      </c>
      <c r="H436" s="152">
        <f>H435</f>
        <v>0.04</v>
      </c>
      <c r="I436" s="152">
        <f t="shared" ref="I436:K436" si="173">I435</f>
        <v>4</v>
      </c>
      <c r="J436" s="152">
        <f t="shared" si="173"/>
        <v>4.1000000000000002E-2</v>
      </c>
      <c r="K436" s="152">
        <f t="shared" si="173"/>
        <v>4.0999999999999996</v>
      </c>
      <c r="L436" s="279" t="s">
        <v>930</v>
      </c>
      <c r="M436" s="279">
        <v>1</v>
      </c>
    </row>
    <row r="437" spans="1:13" ht="14.4" x14ac:dyDescent="0.25">
      <c r="B437" s="279">
        <f t="shared" si="169"/>
        <v>20180326</v>
      </c>
      <c r="C437" s="279" t="str">
        <f t="shared" si="170"/>
        <v>9999</v>
      </c>
      <c r="D437" s="151" t="str">
        <f t="shared" si="171"/>
        <v>CZCE</v>
      </c>
      <c r="E437" s="151" t="str">
        <f t="shared" si="172"/>
        <v>SR</v>
      </c>
      <c r="F437" s="279" t="s">
        <v>33</v>
      </c>
      <c r="G437" s="279" t="s">
        <v>36</v>
      </c>
      <c r="H437" s="152">
        <f>G420</f>
        <v>4.2000000000000003E-2</v>
      </c>
      <c r="I437" s="152">
        <f t="shared" ref="I437:K437" si="174">H420</f>
        <v>4.2</v>
      </c>
      <c r="J437" s="152">
        <f t="shared" si="174"/>
        <v>4.2999999999999997E-2</v>
      </c>
      <c r="K437" s="152">
        <f t="shared" si="174"/>
        <v>4.3</v>
      </c>
      <c r="L437" s="279" t="s">
        <v>930</v>
      </c>
      <c r="M437" s="279">
        <v>1</v>
      </c>
    </row>
    <row r="438" spans="1:13" ht="14.4" x14ac:dyDescent="0.25">
      <c r="B438" s="279">
        <f t="shared" si="169"/>
        <v>20180326</v>
      </c>
      <c r="C438" s="279" t="str">
        <f t="shared" si="170"/>
        <v>9999</v>
      </c>
      <c r="D438" s="151" t="str">
        <f t="shared" si="171"/>
        <v>CZCE</v>
      </c>
      <c r="E438" s="151" t="str">
        <f t="shared" si="172"/>
        <v>SR</v>
      </c>
      <c r="F438" s="279" t="s">
        <v>33</v>
      </c>
      <c r="G438" s="279" t="s">
        <v>38</v>
      </c>
      <c r="H438" s="152">
        <f>H437</f>
        <v>4.2000000000000003E-2</v>
      </c>
      <c r="I438" s="152">
        <f t="shared" ref="I438:K438" si="175">I437</f>
        <v>4.2</v>
      </c>
      <c r="J438" s="152">
        <f t="shared" si="175"/>
        <v>4.2999999999999997E-2</v>
      </c>
      <c r="K438" s="152">
        <f t="shared" si="175"/>
        <v>4.3</v>
      </c>
      <c r="L438" s="279" t="s">
        <v>930</v>
      </c>
      <c r="M438" s="279">
        <v>1</v>
      </c>
    </row>
    <row r="439" spans="1:13" ht="14.4" x14ac:dyDescent="0.25">
      <c r="B439" s="279">
        <f t="shared" si="169"/>
        <v>20180326</v>
      </c>
      <c r="C439" s="279" t="str">
        <f t="shared" si="170"/>
        <v>9999</v>
      </c>
      <c r="D439" s="151" t="str">
        <f t="shared" si="171"/>
        <v>CZCE</v>
      </c>
      <c r="E439" s="151" t="str">
        <f>$C$19</f>
        <v>SR807</v>
      </c>
      <c r="F439" s="279" t="s">
        <v>33</v>
      </c>
      <c r="G439" s="279" t="s">
        <v>33</v>
      </c>
      <c r="H439" s="152">
        <f>H435</f>
        <v>0.04</v>
      </c>
      <c r="I439" s="152">
        <f t="shared" ref="I439:K439" si="176">I435</f>
        <v>4</v>
      </c>
      <c r="J439" s="152">
        <f t="shared" si="176"/>
        <v>4.1000000000000002E-2</v>
      </c>
      <c r="K439" s="152">
        <f t="shared" si="176"/>
        <v>4.0999999999999996</v>
      </c>
      <c r="L439" s="279" t="s">
        <v>930</v>
      </c>
      <c r="M439" s="279">
        <v>1</v>
      </c>
    </row>
    <row r="440" spans="1:13" ht="14.4" x14ac:dyDescent="0.25">
      <c r="B440" s="279">
        <f t="shared" si="169"/>
        <v>20180326</v>
      </c>
      <c r="C440" s="279" t="str">
        <f t="shared" si="170"/>
        <v>9999</v>
      </c>
      <c r="D440" s="151" t="str">
        <f t="shared" si="171"/>
        <v>CZCE</v>
      </c>
      <c r="E440" s="151" t="str">
        <f t="shared" ref="E440:E442" si="177">$C$19</f>
        <v>SR807</v>
      </c>
      <c r="F440" s="279" t="s">
        <v>33</v>
      </c>
      <c r="G440" s="279" t="s">
        <v>37</v>
      </c>
      <c r="H440" s="152">
        <f t="shared" ref="H440:K440" si="178">H436</f>
        <v>0.04</v>
      </c>
      <c r="I440" s="152">
        <f t="shared" si="178"/>
        <v>4</v>
      </c>
      <c r="J440" s="152">
        <f t="shared" si="178"/>
        <v>4.1000000000000002E-2</v>
      </c>
      <c r="K440" s="152">
        <f t="shared" si="178"/>
        <v>4.0999999999999996</v>
      </c>
      <c r="L440" s="279" t="s">
        <v>930</v>
      </c>
      <c r="M440" s="279">
        <v>1</v>
      </c>
    </row>
    <row r="441" spans="1:13" ht="14.4" x14ac:dyDescent="0.25">
      <c r="B441" s="279">
        <f t="shared" si="169"/>
        <v>20180326</v>
      </c>
      <c r="C441" s="279" t="str">
        <f t="shared" si="170"/>
        <v>9999</v>
      </c>
      <c r="D441" s="151" t="str">
        <f t="shared" si="171"/>
        <v>CZCE</v>
      </c>
      <c r="E441" s="151" t="str">
        <f t="shared" si="177"/>
        <v>SR807</v>
      </c>
      <c r="F441" s="279" t="s">
        <v>33</v>
      </c>
      <c r="G441" s="279" t="s">
        <v>36</v>
      </c>
      <c r="H441" s="152">
        <f t="shared" ref="H441:K441" si="179">H437</f>
        <v>4.2000000000000003E-2</v>
      </c>
      <c r="I441" s="152">
        <f t="shared" si="179"/>
        <v>4.2</v>
      </c>
      <c r="J441" s="152">
        <f t="shared" si="179"/>
        <v>4.2999999999999997E-2</v>
      </c>
      <c r="K441" s="152">
        <f t="shared" si="179"/>
        <v>4.3</v>
      </c>
      <c r="L441" s="279" t="s">
        <v>930</v>
      </c>
      <c r="M441" s="279">
        <v>1</v>
      </c>
    </row>
    <row r="442" spans="1:13" ht="14.4" x14ac:dyDescent="0.25">
      <c r="B442" s="279">
        <f t="shared" si="169"/>
        <v>20180326</v>
      </c>
      <c r="C442" s="279" t="str">
        <f t="shared" si="170"/>
        <v>9999</v>
      </c>
      <c r="D442" s="151" t="str">
        <f t="shared" si="171"/>
        <v>CZCE</v>
      </c>
      <c r="E442" s="151" t="str">
        <f t="shared" si="177"/>
        <v>SR807</v>
      </c>
      <c r="F442" s="279" t="s">
        <v>33</v>
      </c>
      <c r="G442" s="279" t="s">
        <v>38</v>
      </c>
      <c r="H442" s="152">
        <f t="shared" ref="H442:K442" si="180">H438</f>
        <v>4.2000000000000003E-2</v>
      </c>
      <c r="I442" s="152">
        <f t="shared" si="180"/>
        <v>4.2</v>
      </c>
      <c r="J442" s="152">
        <f t="shared" si="180"/>
        <v>4.2999999999999997E-2</v>
      </c>
      <c r="K442" s="152">
        <f t="shared" si="180"/>
        <v>4.3</v>
      </c>
      <c r="L442" s="279" t="s">
        <v>930</v>
      </c>
      <c r="M442" s="279">
        <v>1</v>
      </c>
    </row>
    <row r="443" spans="1:13" ht="14.4" x14ac:dyDescent="0.25">
      <c r="B443" s="279">
        <f t="shared" si="169"/>
        <v>20180326</v>
      </c>
      <c r="C443" s="279" t="str">
        <f t="shared" si="170"/>
        <v>9999</v>
      </c>
      <c r="D443" s="151" t="str">
        <f t="shared" si="171"/>
        <v>CZCE</v>
      </c>
      <c r="E443" s="151" t="str">
        <f>$C$20</f>
        <v>SR809</v>
      </c>
      <c r="F443" s="279" t="s">
        <v>33</v>
      </c>
      <c r="G443" s="279" t="s">
        <v>33</v>
      </c>
      <c r="H443" s="152">
        <f t="shared" ref="H443:K443" si="181">H439</f>
        <v>0.04</v>
      </c>
      <c r="I443" s="152">
        <f t="shared" si="181"/>
        <v>4</v>
      </c>
      <c r="J443" s="152">
        <f t="shared" si="181"/>
        <v>4.1000000000000002E-2</v>
      </c>
      <c r="K443" s="152">
        <f t="shared" si="181"/>
        <v>4.0999999999999996</v>
      </c>
      <c r="L443" s="279" t="s">
        <v>930</v>
      </c>
      <c r="M443" s="279">
        <v>1</v>
      </c>
    </row>
    <row r="444" spans="1:13" ht="14.4" x14ac:dyDescent="0.25">
      <c r="B444" s="279">
        <f t="shared" si="169"/>
        <v>20180326</v>
      </c>
      <c r="C444" s="279" t="str">
        <f t="shared" si="170"/>
        <v>9999</v>
      </c>
      <c r="D444" s="151" t="str">
        <f t="shared" si="171"/>
        <v>CZCE</v>
      </c>
      <c r="E444" s="151" t="str">
        <f t="shared" ref="E444:E446" si="182">$C$20</f>
        <v>SR809</v>
      </c>
      <c r="F444" s="279" t="s">
        <v>33</v>
      </c>
      <c r="G444" s="279" t="s">
        <v>37</v>
      </c>
      <c r="H444" s="152">
        <f t="shared" ref="H444:K444" si="183">H440</f>
        <v>0.04</v>
      </c>
      <c r="I444" s="152">
        <f t="shared" si="183"/>
        <v>4</v>
      </c>
      <c r="J444" s="152">
        <f t="shared" si="183"/>
        <v>4.1000000000000002E-2</v>
      </c>
      <c r="K444" s="152">
        <f t="shared" si="183"/>
        <v>4.0999999999999996</v>
      </c>
      <c r="L444" s="279" t="s">
        <v>930</v>
      </c>
      <c r="M444" s="279">
        <v>1</v>
      </c>
    </row>
    <row r="445" spans="1:13" ht="14.4" x14ac:dyDescent="0.25">
      <c r="B445" s="279">
        <f t="shared" si="169"/>
        <v>20180326</v>
      </c>
      <c r="C445" s="279" t="str">
        <f t="shared" si="170"/>
        <v>9999</v>
      </c>
      <c r="D445" s="151" t="str">
        <f t="shared" si="171"/>
        <v>CZCE</v>
      </c>
      <c r="E445" s="151" t="str">
        <f t="shared" si="182"/>
        <v>SR809</v>
      </c>
      <c r="F445" s="279" t="s">
        <v>33</v>
      </c>
      <c r="G445" s="279" t="s">
        <v>36</v>
      </c>
      <c r="H445" s="152">
        <f t="shared" ref="H445:K445" si="184">H441</f>
        <v>4.2000000000000003E-2</v>
      </c>
      <c r="I445" s="152">
        <f t="shared" si="184"/>
        <v>4.2</v>
      </c>
      <c r="J445" s="152">
        <f t="shared" si="184"/>
        <v>4.2999999999999997E-2</v>
      </c>
      <c r="K445" s="152">
        <f t="shared" si="184"/>
        <v>4.3</v>
      </c>
      <c r="L445" s="279" t="s">
        <v>930</v>
      </c>
      <c r="M445" s="279">
        <v>1</v>
      </c>
    </row>
    <row r="446" spans="1:13" ht="14.4" x14ac:dyDescent="0.25">
      <c r="B446" s="279">
        <f t="shared" si="169"/>
        <v>20180326</v>
      </c>
      <c r="C446" s="279" t="str">
        <f t="shared" si="170"/>
        <v>9999</v>
      </c>
      <c r="D446" s="151" t="str">
        <f t="shared" si="171"/>
        <v>CZCE</v>
      </c>
      <c r="E446" s="151" t="str">
        <f t="shared" si="182"/>
        <v>SR809</v>
      </c>
      <c r="F446" s="279" t="s">
        <v>33</v>
      </c>
      <c r="G446" s="279" t="s">
        <v>38</v>
      </c>
      <c r="H446" s="152">
        <f t="shared" ref="H446:K446" si="185">H442</f>
        <v>4.2000000000000003E-2</v>
      </c>
      <c r="I446" s="152">
        <f t="shared" si="185"/>
        <v>4.2</v>
      </c>
      <c r="J446" s="152">
        <f t="shared" si="185"/>
        <v>4.2999999999999997E-2</v>
      </c>
      <c r="K446" s="152">
        <f t="shared" si="185"/>
        <v>4.3</v>
      </c>
      <c r="L446" s="279" t="s">
        <v>930</v>
      </c>
      <c r="M446" s="279">
        <v>1</v>
      </c>
    </row>
    <row r="447" spans="1:13" ht="14.4" x14ac:dyDescent="0.25">
      <c r="B447" s="279">
        <f t="shared" si="169"/>
        <v>20180326</v>
      </c>
      <c r="C447" s="279" t="str">
        <f t="shared" si="170"/>
        <v>9999</v>
      </c>
      <c r="D447" s="151" t="str">
        <f t="shared" si="171"/>
        <v>CZCE</v>
      </c>
      <c r="E447" s="151" t="str">
        <f>$D$21</f>
        <v>OI</v>
      </c>
      <c r="F447" s="279" t="s">
        <v>33</v>
      </c>
      <c r="G447" s="279" t="s">
        <v>33</v>
      </c>
      <c r="H447" s="152">
        <f t="shared" ref="H447:K447" si="186">H443</f>
        <v>0.04</v>
      </c>
      <c r="I447" s="152">
        <f t="shared" si="186"/>
        <v>4</v>
      </c>
      <c r="J447" s="152">
        <f t="shared" si="186"/>
        <v>4.1000000000000002E-2</v>
      </c>
      <c r="K447" s="152">
        <f t="shared" si="186"/>
        <v>4.0999999999999996</v>
      </c>
      <c r="L447" s="279" t="s">
        <v>930</v>
      </c>
      <c r="M447" s="279">
        <v>1</v>
      </c>
    </row>
    <row r="448" spans="1:13" ht="14.4" x14ac:dyDescent="0.25">
      <c r="B448" s="279">
        <f t="shared" si="169"/>
        <v>20180326</v>
      </c>
      <c r="C448" s="279" t="str">
        <f t="shared" si="170"/>
        <v>9999</v>
      </c>
      <c r="D448" s="151" t="str">
        <f t="shared" si="171"/>
        <v>CZCE</v>
      </c>
      <c r="E448" s="151" t="str">
        <f t="shared" ref="E448:E450" si="187">$D$21</f>
        <v>OI</v>
      </c>
      <c r="F448" s="279" t="s">
        <v>33</v>
      </c>
      <c r="G448" s="279" t="s">
        <v>37</v>
      </c>
      <c r="H448" s="152">
        <f t="shared" ref="H448:K448" si="188">H444</f>
        <v>0.04</v>
      </c>
      <c r="I448" s="152">
        <f t="shared" si="188"/>
        <v>4</v>
      </c>
      <c r="J448" s="152">
        <f t="shared" si="188"/>
        <v>4.1000000000000002E-2</v>
      </c>
      <c r="K448" s="152">
        <f t="shared" si="188"/>
        <v>4.0999999999999996</v>
      </c>
      <c r="L448" s="279" t="s">
        <v>930</v>
      </c>
      <c r="M448" s="279">
        <v>1</v>
      </c>
    </row>
    <row r="449" spans="2:13" ht="14.4" x14ac:dyDescent="0.25">
      <c r="B449" s="279">
        <f t="shared" si="169"/>
        <v>20180326</v>
      </c>
      <c r="C449" s="279" t="str">
        <f t="shared" si="170"/>
        <v>9999</v>
      </c>
      <c r="D449" s="151" t="str">
        <f t="shared" si="171"/>
        <v>CZCE</v>
      </c>
      <c r="E449" s="151" t="str">
        <f t="shared" si="187"/>
        <v>OI</v>
      </c>
      <c r="F449" s="279" t="s">
        <v>33</v>
      </c>
      <c r="G449" s="279" t="s">
        <v>36</v>
      </c>
      <c r="H449" s="152">
        <f t="shared" ref="H449:K449" si="189">H445</f>
        <v>4.2000000000000003E-2</v>
      </c>
      <c r="I449" s="152">
        <f t="shared" si="189"/>
        <v>4.2</v>
      </c>
      <c r="J449" s="152">
        <f t="shared" si="189"/>
        <v>4.2999999999999997E-2</v>
      </c>
      <c r="K449" s="152">
        <f t="shared" si="189"/>
        <v>4.3</v>
      </c>
      <c r="L449" s="279" t="s">
        <v>930</v>
      </c>
      <c r="M449" s="279">
        <v>1</v>
      </c>
    </row>
    <row r="450" spans="2:13" ht="14.4" x14ac:dyDescent="0.25">
      <c r="B450" s="279">
        <f t="shared" si="169"/>
        <v>20180326</v>
      </c>
      <c r="C450" s="279" t="str">
        <f t="shared" si="170"/>
        <v>9999</v>
      </c>
      <c r="D450" s="151" t="str">
        <f t="shared" si="171"/>
        <v>CZCE</v>
      </c>
      <c r="E450" s="151" t="str">
        <f t="shared" si="187"/>
        <v>OI</v>
      </c>
      <c r="F450" s="279" t="s">
        <v>33</v>
      </c>
      <c r="G450" s="279" t="s">
        <v>38</v>
      </c>
      <c r="H450" s="152">
        <f t="shared" ref="H450:K450" si="190">H446</f>
        <v>4.2000000000000003E-2</v>
      </c>
      <c r="I450" s="152">
        <f t="shared" si="190"/>
        <v>4.2</v>
      </c>
      <c r="J450" s="152">
        <f t="shared" si="190"/>
        <v>4.2999999999999997E-2</v>
      </c>
      <c r="K450" s="152">
        <f t="shared" si="190"/>
        <v>4.3</v>
      </c>
      <c r="L450" s="279" t="s">
        <v>930</v>
      </c>
      <c r="M450" s="279">
        <v>1</v>
      </c>
    </row>
    <row r="451" spans="2:13" ht="14.4" x14ac:dyDescent="0.25">
      <c r="B451" s="279">
        <f t="shared" si="169"/>
        <v>20180326</v>
      </c>
      <c r="C451" s="279" t="str">
        <f t="shared" si="170"/>
        <v>9999</v>
      </c>
      <c r="D451" s="151" t="str">
        <f t="shared" si="171"/>
        <v>CZCE</v>
      </c>
      <c r="E451" s="151" t="str">
        <f>$C$21</f>
        <v>OI811</v>
      </c>
      <c r="F451" s="279" t="s">
        <v>33</v>
      </c>
      <c r="G451" s="279" t="s">
        <v>33</v>
      </c>
      <c r="H451" s="152">
        <f t="shared" ref="H451:K451" si="191">H447</f>
        <v>0.04</v>
      </c>
      <c r="I451" s="152">
        <f t="shared" si="191"/>
        <v>4</v>
      </c>
      <c r="J451" s="152">
        <f t="shared" si="191"/>
        <v>4.1000000000000002E-2</v>
      </c>
      <c r="K451" s="152">
        <f t="shared" si="191"/>
        <v>4.0999999999999996</v>
      </c>
      <c r="L451" s="279" t="s">
        <v>930</v>
      </c>
      <c r="M451" s="279">
        <v>1</v>
      </c>
    </row>
    <row r="452" spans="2:13" ht="14.4" x14ac:dyDescent="0.25">
      <c r="B452" s="279">
        <f t="shared" si="169"/>
        <v>20180326</v>
      </c>
      <c r="C452" s="279" t="str">
        <f t="shared" si="170"/>
        <v>9999</v>
      </c>
      <c r="D452" s="151" t="str">
        <f t="shared" si="171"/>
        <v>CZCE</v>
      </c>
      <c r="E452" s="151" t="str">
        <f t="shared" ref="E452:E454" si="192">$C$21</f>
        <v>OI811</v>
      </c>
      <c r="F452" s="279" t="s">
        <v>33</v>
      </c>
      <c r="G452" s="279" t="s">
        <v>37</v>
      </c>
      <c r="H452" s="152">
        <f t="shared" ref="H452:K452" si="193">H448</f>
        <v>0.04</v>
      </c>
      <c r="I452" s="152">
        <f t="shared" si="193"/>
        <v>4</v>
      </c>
      <c r="J452" s="152">
        <f t="shared" si="193"/>
        <v>4.1000000000000002E-2</v>
      </c>
      <c r="K452" s="152">
        <f t="shared" si="193"/>
        <v>4.0999999999999996</v>
      </c>
      <c r="L452" s="279" t="s">
        <v>930</v>
      </c>
      <c r="M452" s="279">
        <v>1</v>
      </c>
    </row>
    <row r="453" spans="2:13" ht="14.4" x14ac:dyDescent="0.25">
      <c r="B453" s="279">
        <f t="shared" si="169"/>
        <v>20180326</v>
      </c>
      <c r="C453" s="279" t="str">
        <f t="shared" si="170"/>
        <v>9999</v>
      </c>
      <c r="D453" s="151" t="str">
        <f t="shared" si="171"/>
        <v>CZCE</v>
      </c>
      <c r="E453" s="151" t="str">
        <f t="shared" si="192"/>
        <v>OI811</v>
      </c>
      <c r="F453" s="279" t="s">
        <v>33</v>
      </c>
      <c r="G453" s="279" t="s">
        <v>36</v>
      </c>
      <c r="H453" s="152">
        <f t="shared" ref="H453:K453" si="194">H449</f>
        <v>4.2000000000000003E-2</v>
      </c>
      <c r="I453" s="152">
        <f t="shared" si="194"/>
        <v>4.2</v>
      </c>
      <c r="J453" s="152">
        <f t="shared" si="194"/>
        <v>4.2999999999999997E-2</v>
      </c>
      <c r="K453" s="152">
        <f t="shared" si="194"/>
        <v>4.3</v>
      </c>
      <c r="L453" s="279" t="s">
        <v>930</v>
      </c>
      <c r="M453" s="279">
        <v>1</v>
      </c>
    </row>
    <row r="454" spans="2:13" ht="14.4" x14ac:dyDescent="0.25">
      <c r="B454" s="279">
        <f t="shared" si="169"/>
        <v>20180326</v>
      </c>
      <c r="C454" s="279" t="str">
        <f t="shared" si="170"/>
        <v>9999</v>
      </c>
      <c r="D454" s="151" t="str">
        <f t="shared" si="171"/>
        <v>CZCE</v>
      </c>
      <c r="E454" s="151" t="str">
        <f t="shared" si="192"/>
        <v>OI811</v>
      </c>
      <c r="F454" s="279" t="s">
        <v>33</v>
      </c>
      <c r="G454" s="279" t="s">
        <v>38</v>
      </c>
      <c r="H454" s="152">
        <f t="shared" ref="H454:K454" si="195">H450</f>
        <v>4.2000000000000003E-2</v>
      </c>
      <c r="I454" s="152">
        <f t="shared" si="195"/>
        <v>4.2</v>
      </c>
      <c r="J454" s="152">
        <f t="shared" si="195"/>
        <v>4.2999999999999997E-2</v>
      </c>
      <c r="K454" s="152">
        <f t="shared" si="195"/>
        <v>4.3</v>
      </c>
      <c r="L454" s="279" t="s">
        <v>930</v>
      </c>
      <c r="M454" s="279">
        <v>1</v>
      </c>
    </row>
    <row r="455" spans="2:13" ht="14.4" x14ac:dyDescent="0.25">
      <c r="B455" s="279">
        <f t="shared" si="169"/>
        <v>20180326</v>
      </c>
      <c r="C455" s="279" t="str">
        <f t="shared" si="170"/>
        <v>9999</v>
      </c>
      <c r="D455" s="151" t="str">
        <f t="shared" si="171"/>
        <v>CZCE</v>
      </c>
      <c r="E455" s="151" t="str">
        <f>$D$22</f>
        <v>PTA</v>
      </c>
      <c r="F455" s="279" t="s">
        <v>33</v>
      </c>
      <c r="G455" s="279" t="s">
        <v>33</v>
      </c>
      <c r="H455" s="152">
        <f t="shared" ref="H455:K455" si="196">H451</f>
        <v>0.04</v>
      </c>
      <c r="I455" s="152">
        <f t="shared" si="196"/>
        <v>4</v>
      </c>
      <c r="J455" s="152">
        <f t="shared" si="196"/>
        <v>4.1000000000000002E-2</v>
      </c>
      <c r="K455" s="152">
        <f t="shared" si="196"/>
        <v>4.0999999999999996</v>
      </c>
      <c r="L455" s="279" t="s">
        <v>930</v>
      </c>
      <c r="M455" s="279">
        <v>1</v>
      </c>
    </row>
    <row r="456" spans="2:13" ht="14.4" x14ac:dyDescent="0.25">
      <c r="B456" s="279">
        <f t="shared" si="169"/>
        <v>20180326</v>
      </c>
      <c r="C456" s="279" t="str">
        <f t="shared" si="170"/>
        <v>9999</v>
      </c>
      <c r="D456" s="151" t="str">
        <f t="shared" si="171"/>
        <v>CZCE</v>
      </c>
      <c r="E456" s="151" t="str">
        <f t="shared" ref="E456:E458" si="197">$D$22</f>
        <v>PTA</v>
      </c>
      <c r="F456" s="279" t="s">
        <v>33</v>
      </c>
      <c r="G456" s="279" t="s">
        <v>37</v>
      </c>
      <c r="H456" s="152">
        <f t="shared" ref="H456:K456" si="198">H452</f>
        <v>0.04</v>
      </c>
      <c r="I456" s="152">
        <f t="shared" si="198"/>
        <v>4</v>
      </c>
      <c r="J456" s="152">
        <f t="shared" si="198"/>
        <v>4.1000000000000002E-2</v>
      </c>
      <c r="K456" s="152">
        <f t="shared" si="198"/>
        <v>4.0999999999999996</v>
      </c>
      <c r="L456" s="279" t="s">
        <v>930</v>
      </c>
      <c r="M456" s="279">
        <v>1</v>
      </c>
    </row>
    <row r="457" spans="2:13" ht="14.4" x14ac:dyDescent="0.25">
      <c r="B457" s="279">
        <f t="shared" si="169"/>
        <v>20180326</v>
      </c>
      <c r="C457" s="279" t="str">
        <f t="shared" si="170"/>
        <v>9999</v>
      </c>
      <c r="D457" s="151" t="str">
        <f t="shared" si="171"/>
        <v>CZCE</v>
      </c>
      <c r="E457" s="151" t="str">
        <f t="shared" si="197"/>
        <v>PTA</v>
      </c>
      <c r="F457" s="279" t="s">
        <v>33</v>
      </c>
      <c r="G457" s="279" t="s">
        <v>36</v>
      </c>
      <c r="H457" s="152">
        <f t="shared" ref="H457:K457" si="199">H453</f>
        <v>4.2000000000000003E-2</v>
      </c>
      <c r="I457" s="152">
        <f t="shared" si="199"/>
        <v>4.2</v>
      </c>
      <c r="J457" s="152">
        <f t="shared" si="199"/>
        <v>4.2999999999999997E-2</v>
      </c>
      <c r="K457" s="152">
        <f t="shared" si="199"/>
        <v>4.3</v>
      </c>
      <c r="L457" s="279" t="s">
        <v>930</v>
      </c>
      <c r="M457" s="279">
        <v>1</v>
      </c>
    </row>
    <row r="458" spans="2:13" ht="14.4" x14ac:dyDescent="0.25">
      <c r="B458" s="279">
        <f t="shared" si="169"/>
        <v>20180326</v>
      </c>
      <c r="C458" s="279" t="str">
        <f t="shared" si="170"/>
        <v>9999</v>
      </c>
      <c r="D458" s="151" t="str">
        <f t="shared" si="171"/>
        <v>CZCE</v>
      </c>
      <c r="E458" s="151" t="str">
        <f t="shared" si="197"/>
        <v>PTA</v>
      </c>
      <c r="F458" s="279" t="s">
        <v>33</v>
      </c>
      <c r="G458" s="279" t="s">
        <v>38</v>
      </c>
      <c r="H458" s="152">
        <f t="shared" ref="H458:K458" si="200">H454</f>
        <v>4.2000000000000003E-2</v>
      </c>
      <c r="I458" s="152">
        <f t="shared" si="200"/>
        <v>4.2</v>
      </c>
      <c r="J458" s="152">
        <f t="shared" si="200"/>
        <v>4.2999999999999997E-2</v>
      </c>
      <c r="K458" s="152">
        <f t="shared" si="200"/>
        <v>4.3</v>
      </c>
      <c r="L458" s="279" t="s">
        <v>930</v>
      </c>
      <c r="M458" s="279">
        <v>1</v>
      </c>
    </row>
    <row r="459" spans="2:13" ht="14.4" x14ac:dyDescent="0.25">
      <c r="B459" s="279">
        <f t="shared" si="169"/>
        <v>20180326</v>
      </c>
      <c r="C459" s="279" t="str">
        <f t="shared" si="170"/>
        <v>9999</v>
      </c>
      <c r="D459" s="151" t="str">
        <f t="shared" si="171"/>
        <v>CZCE</v>
      </c>
      <c r="E459" s="151" t="str">
        <f>$C$22</f>
        <v>PTA807</v>
      </c>
      <c r="F459" s="279" t="s">
        <v>33</v>
      </c>
      <c r="G459" s="279" t="s">
        <v>33</v>
      </c>
      <c r="H459" s="152">
        <f t="shared" ref="H459:K459" si="201">H455</f>
        <v>0.04</v>
      </c>
      <c r="I459" s="152">
        <f t="shared" si="201"/>
        <v>4</v>
      </c>
      <c r="J459" s="152">
        <f t="shared" si="201"/>
        <v>4.1000000000000002E-2</v>
      </c>
      <c r="K459" s="152">
        <f t="shared" si="201"/>
        <v>4.0999999999999996</v>
      </c>
      <c r="L459" s="279" t="s">
        <v>930</v>
      </c>
      <c r="M459" s="279">
        <v>1</v>
      </c>
    </row>
    <row r="460" spans="2:13" ht="14.4" x14ac:dyDescent="0.25">
      <c r="B460" s="279">
        <f t="shared" si="169"/>
        <v>20180326</v>
      </c>
      <c r="C460" s="279" t="str">
        <f t="shared" si="170"/>
        <v>9999</v>
      </c>
      <c r="D460" s="151" t="str">
        <f t="shared" si="171"/>
        <v>CZCE</v>
      </c>
      <c r="E460" s="151" t="str">
        <f t="shared" ref="E460:E462" si="202">$C$22</f>
        <v>PTA807</v>
      </c>
      <c r="F460" s="279" t="s">
        <v>33</v>
      </c>
      <c r="G460" s="279" t="s">
        <v>37</v>
      </c>
      <c r="H460" s="152">
        <f t="shared" ref="H460:K460" si="203">H456</f>
        <v>0.04</v>
      </c>
      <c r="I460" s="152">
        <f t="shared" si="203"/>
        <v>4</v>
      </c>
      <c r="J460" s="152">
        <f t="shared" si="203"/>
        <v>4.1000000000000002E-2</v>
      </c>
      <c r="K460" s="152">
        <f t="shared" si="203"/>
        <v>4.0999999999999996</v>
      </c>
      <c r="L460" s="279" t="s">
        <v>930</v>
      </c>
      <c r="M460" s="279">
        <v>1</v>
      </c>
    </row>
    <row r="461" spans="2:13" ht="14.4" x14ac:dyDescent="0.25">
      <c r="B461" s="279">
        <f t="shared" si="169"/>
        <v>20180326</v>
      </c>
      <c r="C461" s="279" t="str">
        <f t="shared" si="170"/>
        <v>9999</v>
      </c>
      <c r="D461" s="151" t="str">
        <f t="shared" si="171"/>
        <v>CZCE</v>
      </c>
      <c r="E461" s="151" t="str">
        <f t="shared" si="202"/>
        <v>PTA807</v>
      </c>
      <c r="F461" s="279" t="s">
        <v>33</v>
      </c>
      <c r="G461" s="279" t="s">
        <v>36</v>
      </c>
      <c r="H461" s="152">
        <f t="shared" ref="H461:K461" si="204">H457</f>
        <v>4.2000000000000003E-2</v>
      </c>
      <c r="I461" s="152">
        <f t="shared" si="204"/>
        <v>4.2</v>
      </c>
      <c r="J461" s="152">
        <f t="shared" si="204"/>
        <v>4.2999999999999997E-2</v>
      </c>
      <c r="K461" s="152">
        <f t="shared" si="204"/>
        <v>4.3</v>
      </c>
      <c r="L461" s="279" t="s">
        <v>930</v>
      </c>
      <c r="M461" s="279">
        <v>1</v>
      </c>
    </row>
    <row r="462" spans="2:13" ht="14.4" x14ac:dyDescent="0.25">
      <c r="B462" s="279">
        <f t="shared" si="169"/>
        <v>20180326</v>
      </c>
      <c r="C462" s="279" t="str">
        <f t="shared" si="170"/>
        <v>9999</v>
      </c>
      <c r="D462" s="151" t="str">
        <f t="shared" si="171"/>
        <v>CZCE</v>
      </c>
      <c r="E462" s="151" t="str">
        <f t="shared" si="202"/>
        <v>PTA807</v>
      </c>
      <c r="F462" s="279" t="s">
        <v>33</v>
      </c>
      <c r="G462" s="279" t="s">
        <v>38</v>
      </c>
      <c r="H462" s="152">
        <f t="shared" ref="H462:K462" si="205">H458</f>
        <v>4.2000000000000003E-2</v>
      </c>
      <c r="I462" s="152">
        <f t="shared" si="205"/>
        <v>4.2</v>
      </c>
      <c r="J462" s="152">
        <f t="shared" si="205"/>
        <v>4.2999999999999997E-2</v>
      </c>
      <c r="K462" s="152">
        <f t="shared" si="205"/>
        <v>4.3</v>
      </c>
      <c r="L462" s="279" t="s">
        <v>930</v>
      </c>
      <c r="M462" s="279">
        <v>1</v>
      </c>
    </row>
    <row r="463" spans="2:13" ht="14.4" x14ac:dyDescent="0.25">
      <c r="B463" s="279">
        <f t="shared" si="169"/>
        <v>20180326</v>
      </c>
      <c r="C463" s="279" t="str">
        <f t="shared" si="170"/>
        <v>9999</v>
      </c>
      <c r="D463" s="151" t="str">
        <f t="shared" si="171"/>
        <v>CZCE</v>
      </c>
      <c r="E463" s="151" t="str">
        <f>$C$23</f>
        <v>PTA809</v>
      </c>
      <c r="F463" s="279" t="s">
        <v>33</v>
      </c>
      <c r="G463" s="279" t="s">
        <v>33</v>
      </c>
      <c r="H463" s="152">
        <f t="shared" ref="H463:K463" si="206">H459</f>
        <v>0.04</v>
      </c>
      <c r="I463" s="152">
        <f t="shared" si="206"/>
        <v>4</v>
      </c>
      <c r="J463" s="152">
        <f t="shared" si="206"/>
        <v>4.1000000000000002E-2</v>
      </c>
      <c r="K463" s="152">
        <f t="shared" si="206"/>
        <v>4.0999999999999996</v>
      </c>
      <c r="L463" s="279" t="s">
        <v>930</v>
      </c>
      <c r="M463" s="279">
        <v>1</v>
      </c>
    </row>
    <row r="464" spans="2:13" ht="14.4" x14ac:dyDescent="0.25">
      <c r="B464" s="279">
        <f t="shared" si="169"/>
        <v>20180326</v>
      </c>
      <c r="C464" s="279" t="str">
        <f t="shared" si="170"/>
        <v>9999</v>
      </c>
      <c r="D464" s="151" t="str">
        <f t="shared" si="171"/>
        <v>CZCE</v>
      </c>
      <c r="E464" s="151" t="str">
        <f t="shared" ref="E464:E466" si="207">$C$23</f>
        <v>PTA809</v>
      </c>
      <c r="F464" s="279" t="s">
        <v>33</v>
      </c>
      <c r="G464" s="279" t="s">
        <v>37</v>
      </c>
      <c r="H464" s="152">
        <f t="shared" ref="H464:K464" si="208">H460</f>
        <v>0.04</v>
      </c>
      <c r="I464" s="152">
        <f t="shared" si="208"/>
        <v>4</v>
      </c>
      <c r="J464" s="152">
        <f t="shared" si="208"/>
        <v>4.1000000000000002E-2</v>
      </c>
      <c r="K464" s="152">
        <f t="shared" si="208"/>
        <v>4.0999999999999996</v>
      </c>
      <c r="L464" s="279" t="s">
        <v>930</v>
      </c>
      <c r="M464" s="279">
        <v>1</v>
      </c>
    </row>
    <row r="465" spans="1:15" ht="14.4" x14ac:dyDescent="0.25">
      <c r="B465" s="279">
        <f t="shared" si="169"/>
        <v>20180326</v>
      </c>
      <c r="C465" s="279" t="str">
        <f t="shared" si="170"/>
        <v>9999</v>
      </c>
      <c r="D465" s="151" t="str">
        <f t="shared" si="171"/>
        <v>CZCE</v>
      </c>
      <c r="E465" s="151" t="str">
        <f t="shared" si="207"/>
        <v>PTA809</v>
      </c>
      <c r="F465" s="279" t="s">
        <v>33</v>
      </c>
      <c r="G465" s="279" t="s">
        <v>36</v>
      </c>
      <c r="H465" s="152">
        <f t="shared" ref="H465:K465" si="209">H461</f>
        <v>4.2000000000000003E-2</v>
      </c>
      <c r="I465" s="152">
        <f t="shared" si="209"/>
        <v>4.2</v>
      </c>
      <c r="J465" s="152">
        <f t="shared" si="209"/>
        <v>4.2999999999999997E-2</v>
      </c>
      <c r="K465" s="152">
        <f t="shared" si="209"/>
        <v>4.3</v>
      </c>
      <c r="L465" s="279" t="s">
        <v>930</v>
      </c>
      <c r="M465" s="279">
        <v>1</v>
      </c>
    </row>
    <row r="466" spans="1:15" ht="14.4" x14ac:dyDescent="0.25">
      <c r="B466" s="279">
        <f t="shared" si="169"/>
        <v>20180326</v>
      </c>
      <c r="C466" s="279" t="str">
        <f t="shared" si="170"/>
        <v>9999</v>
      </c>
      <c r="D466" s="151" t="str">
        <f t="shared" si="171"/>
        <v>CZCE</v>
      </c>
      <c r="E466" s="151" t="str">
        <f t="shared" si="207"/>
        <v>PTA809</v>
      </c>
      <c r="F466" s="279" t="s">
        <v>33</v>
      </c>
      <c r="G466" s="279" t="s">
        <v>38</v>
      </c>
      <c r="H466" s="152">
        <f t="shared" ref="H466:K466" si="210">H462</f>
        <v>4.2000000000000003E-2</v>
      </c>
      <c r="I466" s="152">
        <f t="shared" si="210"/>
        <v>4.2</v>
      </c>
      <c r="J466" s="152">
        <f t="shared" si="210"/>
        <v>4.2999999999999997E-2</v>
      </c>
      <c r="K466" s="152">
        <f t="shared" si="210"/>
        <v>4.3</v>
      </c>
      <c r="L466" s="279" t="s">
        <v>930</v>
      </c>
      <c r="M466" s="279">
        <v>1</v>
      </c>
    </row>
    <row r="467" spans="1:15" ht="14.4" x14ac:dyDescent="0.25">
      <c r="B467" s="9"/>
      <c r="C467" s="9"/>
      <c r="D467" s="86"/>
      <c r="E467" s="9"/>
      <c r="F467" s="9"/>
      <c r="G467" s="9"/>
      <c r="H467" s="59"/>
      <c r="I467" s="60"/>
      <c r="J467" s="59"/>
      <c r="K467" s="60"/>
      <c r="L467" s="9"/>
      <c r="M467" s="9"/>
    </row>
    <row r="468" spans="1:15" x14ac:dyDescent="0.25">
      <c r="A468" s="49" t="s">
        <v>959</v>
      </c>
      <c r="B468" s="49" t="s">
        <v>956</v>
      </c>
    </row>
    <row r="469" spans="1:15" ht="14.4" x14ac:dyDescent="0.25">
      <c r="A469" s="57" t="s">
        <v>124</v>
      </c>
      <c r="B469" s="9" t="s">
        <v>1557</v>
      </c>
    </row>
    <row r="470" spans="1:15" ht="14.4" x14ac:dyDescent="0.25">
      <c r="A470" s="49" t="s">
        <v>969</v>
      </c>
      <c r="B470" s="687" t="s">
        <v>1526</v>
      </c>
      <c r="C470" s="688"/>
      <c r="D470" s="688"/>
      <c r="E470" s="688"/>
      <c r="F470" s="688"/>
      <c r="G470" s="688"/>
      <c r="H470" s="688"/>
      <c r="I470" s="688"/>
      <c r="J470" s="688"/>
      <c r="K470" s="688"/>
      <c r="L470" s="688"/>
      <c r="M470" s="688"/>
      <c r="N470" s="688"/>
      <c r="O470" s="689"/>
    </row>
    <row r="471" spans="1:15" ht="13.2" x14ac:dyDescent="0.3">
      <c r="B471" s="146" t="s">
        <v>23</v>
      </c>
      <c r="C471" s="146" t="s">
        <v>24</v>
      </c>
      <c r="D471" s="146" t="s">
        <v>26</v>
      </c>
      <c r="E471" s="146" t="s">
        <v>175</v>
      </c>
      <c r="F471" s="146" t="s">
        <v>25</v>
      </c>
      <c r="G471" s="146" t="s">
        <v>149</v>
      </c>
      <c r="H471" s="146" t="s">
        <v>923</v>
      </c>
      <c r="I471" s="146" t="s">
        <v>27</v>
      </c>
      <c r="J471" s="146" t="s">
        <v>944</v>
      </c>
      <c r="K471" s="146" t="s">
        <v>945</v>
      </c>
      <c r="L471" s="146" t="s">
        <v>946</v>
      </c>
      <c r="M471" s="146" t="s">
        <v>947</v>
      </c>
      <c r="N471" s="146" t="s">
        <v>951</v>
      </c>
      <c r="O471" s="146" t="s">
        <v>176</v>
      </c>
    </row>
    <row r="472" spans="1:15" ht="14.4" x14ac:dyDescent="0.25">
      <c r="B472" s="150" t="str">
        <f>$F$5</f>
        <v>9999</v>
      </c>
      <c r="C472" s="151" t="str">
        <f>$B$19</f>
        <v>CZCE</v>
      </c>
      <c r="D472" s="151" t="str">
        <f>$D$19</f>
        <v>SR</v>
      </c>
      <c r="E472" s="150" t="s">
        <v>36</v>
      </c>
      <c r="F472" s="150" t="str">
        <f>$B$5</f>
        <v>6001</v>
      </c>
      <c r="G472" s="150" t="str">
        <f>$B$5</f>
        <v>6001</v>
      </c>
      <c r="H472" s="150" t="s">
        <v>930</v>
      </c>
      <c r="I472" s="150" t="s">
        <v>33</v>
      </c>
      <c r="J472" s="152">
        <f>I54</f>
        <v>0.05</v>
      </c>
      <c r="K472" s="152">
        <f>J54</f>
        <v>5</v>
      </c>
      <c r="L472" s="152">
        <f>I55</f>
        <v>5.0999999999999997E-2</v>
      </c>
      <c r="M472" s="152">
        <f>J55</f>
        <v>5.0999999999999996</v>
      </c>
      <c r="N472" s="150">
        <v>0</v>
      </c>
      <c r="O472" s="150">
        <v>1</v>
      </c>
    </row>
    <row r="473" spans="1:15" ht="14.4" x14ac:dyDescent="0.25">
      <c r="B473" s="150" t="str">
        <f t="shared" ref="B473:B483" si="211">$F$5</f>
        <v>9999</v>
      </c>
      <c r="C473" s="151" t="str">
        <f t="shared" ref="C473:C483" si="212">$B$19</f>
        <v>CZCE</v>
      </c>
      <c r="D473" s="151" t="str">
        <f t="shared" ref="D473:D475" si="213">$D$19</f>
        <v>SR</v>
      </c>
      <c r="E473" s="150" t="s">
        <v>36</v>
      </c>
      <c r="F473" s="150" t="str">
        <f t="shared" ref="F473:G483" si="214">$B$5</f>
        <v>6001</v>
      </c>
      <c r="G473" s="150" t="str">
        <f t="shared" si="214"/>
        <v>6001</v>
      </c>
      <c r="H473" s="150" t="s">
        <v>930</v>
      </c>
      <c r="I473" s="150" t="s">
        <v>37</v>
      </c>
      <c r="J473" s="152">
        <f>J472</f>
        <v>0.05</v>
      </c>
      <c r="K473" s="152">
        <f t="shared" ref="K473:M473" si="215">K472</f>
        <v>5</v>
      </c>
      <c r="L473" s="152">
        <f t="shared" si="215"/>
        <v>5.0999999999999997E-2</v>
      </c>
      <c r="M473" s="152">
        <f t="shared" si="215"/>
        <v>5.0999999999999996</v>
      </c>
      <c r="N473" s="150">
        <v>0</v>
      </c>
      <c r="O473" s="150">
        <v>1</v>
      </c>
    </row>
    <row r="474" spans="1:15" ht="14.4" x14ac:dyDescent="0.25">
      <c r="B474" s="150" t="str">
        <f t="shared" si="211"/>
        <v>9999</v>
      </c>
      <c r="C474" s="151" t="str">
        <f t="shared" si="212"/>
        <v>CZCE</v>
      </c>
      <c r="D474" s="151" t="str">
        <f t="shared" si="213"/>
        <v>SR</v>
      </c>
      <c r="E474" s="150" t="s">
        <v>36</v>
      </c>
      <c r="F474" s="150" t="str">
        <f t="shared" si="214"/>
        <v>6001</v>
      </c>
      <c r="G474" s="150" t="str">
        <f t="shared" si="214"/>
        <v>6001</v>
      </c>
      <c r="H474" s="150" t="s">
        <v>930</v>
      </c>
      <c r="I474" s="150" t="s">
        <v>36</v>
      </c>
      <c r="J474" s="152">
        <f>I56</f>
        <v>5.1999999999999998E-2</v>
      </c>
      <c r="K474" s="152">
        <f>J56</f>
        <v>5.2</v>
      </c>
      <c r="L474" s="152">
        <f>I57</f>
        <v>5.2999999999999999E-2</v>
      </c>
      <c r="M474" s="152">
        <f>J57</f>
        <v>5.3</v>
      </c>
      <c r="N474" s="150">
        <v>0</v>
      </c>
      <c r="O474" s="150">
        <v>1</v>
      </c>
    </row>
    <row r="475" spans="1:15" ht="14.4" x14ac:dyDescent="0.25">
      <c r="B475" s="150" t="str">
        <f t="shared" si="211"/>
        <v>9999</v>
      </c>
      <c r="C475" s="151" t="str">
        <f t="shared" si="212"/>
        <v>CZCE</v>
      </c>
      <c r="D475" s="151" t="str">
        <f t="shared" si="213"/>
        <v>SR</v>
      </c>
      <c r="E475" s="150" t="s">
        <v>36</v>
      </c>
      <c r="F475" s="150" t="str">
        <f t="shared" si="214"/>
        <v>6001</v>
      </c>
      <c r="G475" s="150" t="str">
        <f t="shared" si="214"/>
        <v>6001</v>
      </c>
      <c r="H475" s="150" t="s">
        <v>930</v>
      </c>
      <c r="I475" s="150" t="s">
        <v>38</v>
      </c>
      <c r="J475" s="152">
        <f>J472</f>
        <v>0.05</v>
      </c>
      <c r="K475" s="152">
        <f t="shared" ref="K475:M475" si="216">K472</f>
        <v>5</v>
      </c>
      <c r="L475" s="152">
        <f t="shared" si="216"/>
        <v>5.0999999999999997E-2</v>
      </c>
      <c r="M475" s="152">
        <f t="shared" si="216"/>
        <v>5.0999999999999996</v>
      </c>
      <c r="N475" s="150">
        <v>0</v>
      </c>
      <c r="O475" s="150">
        <v>1</v>
      </c>
    </row>
    <row r="476" spans="1:15" ht="14.4" x14ac:dyDescent="0.25">
      <c r="B476" s="150" t="str">
        <f t="shared" si="211"/>
        <v>9999</v>
      </c>
      <c r="C476" s="151" t="str">
        <f t="shared" si="212"/>
        <v>CZCE</v>
      </c>
      <c r="D476" s="151" t="str">
        <f>$D$21</f>
        <v>OI</v>
      </c>
      <c r="E476" s="150" t="s">
        <v>36</v>
      </c>
      <c r="F476" s="150" t="str">
        <f t="shared" si="214"/>
        <v>6001</v>
      </c>
      <c r="G476" s="150" t="str">
        <f t="shared" si="214"/>
        <v>6001</v>
      </c>
      <c r="H476" s="150" t="s">
        <v>930</v>
      </c>
      <c r="I476" s="150" t="s">
        <v>33</v>
      </c>
      <c r="J476" s="152">
        <f>J472</f>
        <v>0.05</v>
      </c>
      <c r="K476" s="152">
        <f t="shared" ref="K476:M476" si="217">K472</f>
        <v>5</v>
      </c>
      <c r="L476" s="152">
        <f t="shared" si="217"/>
        <v>5.0999999999999997E-2</v>
      </c>
      <c r="M476" s="152">
        <f t="shared" si="217"/>
        <v>5.0999999999999996</v>
      </c>
      <c r="N476" s="150">
        <v>0</v>
      </c>
      <c r="O476" s="150">
        <v>1</v>
      </c>
    </row>
    <row r="477" spans="1:15" ht="14.4" x14ac:dyDescent="0.25">
      <c r="B477" s="150" t="str">
        <f t="shared" si="211"/>
        <v>9999</v>
      </c>
      <c r="C477" s="151" t="str">
        <f t="shared" si="212"/>
        <v>CZCE</v>
      </c>
      <c r="D477" s="151" t="str">
        <f t="shared" ref="D477:D479" si="218">$D$21</f>
        <v>OI</v>
      </c>
      <c r="E477" s="150" t="s">
        <v>36</v>
      </c>
      <c r="F477" s="150" t="str">
        <f t="shared" si="214"/>
        <v>6001</v>
      </c>
      <c r="G477" s="150" t="str">
        <f t="shared" si="214"/>
        <v>6001</v>
      </c>
      <c r="H477" s="150" t="s">
        <v>930</v>
      </c>
      <c r="I477" s="150" t="s">
        <v>37</v>
      </c>
      <c r="J477" s="152">
        <f t="shared" ref="J477:M477" si="219">J473</f>
        <v>0.05</v>
      </c>
      <c r="K477" s="152">
        <f t="shared" si="219"/>
        <v>5</v>
      </c>
      <c r="L477" s="152">
        <f t="shared" si="219"/>
        <v>5.0999999999999997E-2</v>
      </c>
      <c r="M477" s="152">
        <f t="shared" si="219"/>
        <v>5.0999999999999996</v>
      </c>
      <c r="N477" s="150">
        <v>0</v>
      </c>
      <c r="O477" s="150">
        <v>1</v>
      </c>
    </row>
    <row r="478" spans="1:15" ht="14.4" x14ac:dyDescent="0.25">
      <c r="B478" s="150" t="str">
        <f t="shared" si="211"/>
        <v>9999</v>
      </c>
      <c r="C478" s="151" t="str">
        <f t="shared" si="212"/>
        <v>CZCE</v>
      </c>
      <c r="D478" s="151" t="str">
        <f t="shared" si="218"/>
        <v>OI</v>
      </c>
      <c r="E478" s="150" t="s">
        <v>36</v>
      </c>
      <c r="F478" s="150" t="str">
        <f t="shared" si="214"/>
        <v>6001</v>
      </c>
      <c r="G478" s="150" t="str">
        <f t="shared" si="214"/>
        <v>6001</v>
      </c>
      <c r="H478" s="150" t="s">
        <v>930</v>
      </c>
      <c r="I478" s="150" t="s">
        <v>36</v>
      </c>
      <c r="J478" s="152">
        <f t="shared" ref="J478:M478" si="220">J474</f>
        <v>5.1999999999999998E-2</v>
      </c>
      <c r="K478" s="152">
        <f t="shared" si="220"/>
        <v>5.2</v>
      </c>
      <c r="L478" s="152">
        <f t="shared" si="220"/>
        <v>5.2999999999999999E-2</v>
      </c>
      <c r="M478" s="152">
        <f t="shared" si="220"/>
        <v>5.3</v>
      </c>
      <c r="N478" s="150">
        <v>0</v>
      </c>
      <c r="O478" s="150">
        <v>1</v>
      </c>
    </row>
    <row r="479" spans="1:15" ht="14.4" x14ac:dyDescent="0.25">
      <c r="B479" s="150" t="str">
        <f t="shared" si="211"/>
        <v>9999</v>
      </c>
      <c r="C479" s="151" t="str">
        <f t="shared" si="212"/>
        <v>CZCE</v>
      </c>
      <c r="D479" s="151" t="str">
        <f t="shared" si="218"/>
        <v>OI</v>
      </c>
      <c r="E479" s="150" t="s">
        <v>36</v>
      </c>
      <c r="F479" s="150" t="str">
        <f t="shared" si="214"/>
        <v>6001</v>
      </c>
      <c r="G479" s="150" t="str">
        <f t="shared" si="214"/>
        <v>6001</v>
      </c>
      <c r="H479" s="150" t="s">
        <v>930</v>
      </c>
      <c r="I479" s="150" t="s">
        <v>38</v>
      </c>
      <c r="J479" s="152">
        <f t="shared" ref="J479:M479" si="221">J475</f>
        <v>0.05</v>
      </c>
      <c r="K479" s="152">
        <f t="shared" si="221"/>
        <v>5</v>
      </c>
      <c r="L479" s="152">
        <f t="shared" si="221"/>
        <v>5.0999999999999997E-2</v>
      </c>
      <c r="M479" s="152">
        <f t="shared" si="221"/>
        <v>5.0999999999999996</v>
      </c>
      <c r="N479" s="150">
        <v>0</v>
      </c>
      <c r="O479" s="150">
        <v>1</v>
      </c>
    </row>
    <row r="480" spans="1:15" ht="14.4" x14ac:dyDescent="0.25">
      <c r="B480" s="150" t="str">
        <f t="shared" si="211"/>
        <v>9999</v>
      </c>
      <c r="C480" s="151" t="str">
        <f t="shared" si="212"/>
        <v>CZCE</v>
      </c>
      <c r="D480" s="151" t="str">
        <f>$D$23</f>
        <v>PTA</v>
      </c>
      <c r="E480" s="150" t="s">
        <v>36</v>
      </c>
      <c r="F480" s="150" t="str">
        <f t="shared" si="214"/>
        <v>6001</v>
      </c>
      <c r="G480" s="150" t="str">
        <f t="shared" si="214"/>
        <v>6001</v>
      </c>
      <c r="H480" s="150" t="s">
        <v>930</v>
      </c>
      <c r="I480" s="150" t="s">
        <v>33</v>
      </c>
      <c r="J480" s="152">
        <f>J472</f>
        <v>0.05</v>
      </c>
      <c r="K480" s="152">
        <f t="shared" ref="K480:M480" si="222">K472</f>
        <v>5</v>
      </c>
      <c r="L480" s="152">
        <f t="shared" si="222"/>
        <v>5.0999999999999997E-2</v>
      </c>
      <c r="M480" s="152">
        <f t="shared" si="222"/>
        <v>5.0999999999999996</v>
      </c>
      <c r="N480" s="150">
        <v>0</v>
      </c>
      <c r="O480" s="150">
        <v>1</v>
      </c>
    </row>
    <row r="481" spans="1:17" ht="14.4" x14ac:dyDescent="0.25">
      <c r="B481" s="150" t="str">
        <f t="shared" si="211"/>
        <v>9999</v>
      </c>
      <c r="C481" s="151" t="str">
        <f t="shared" si="212"/>
        <v>CZCE</v>
      </c>
      <c r="D481" s="151" t="str">
        <f t="shared" ref="D481:D483" si="223">$D$23</f>
        <v>PTA</v>
      </c>
      <c r="E481" s="150" t="s">
        <v>36</v>
      </c>
      <c r="F481" s="150" t="str">
        <f t="shared" si="214"/>
        <v>6001</v>
      </c>
      <c r="G481" s="150" t="str">
        <f t="shared" si="214"/>
        <v>6001</v>
      </c>
      <c r="H481" s="150" t="s">
        <v>930</v>
      </c>
      <c r="I481" s="150" t="s">
        <v>37</v>
      </c>
      <c r="J481" s="152">
        <f t="shared" ref="J481:M481" si="224">J473</f>
        <v>0.05</v>
      </c>
      <c r="K481" s="152">
        <f t="shared" si="224"/>
        <v>5</v>
      </c>
      <c r="L481" s="152">
        <f t="shared" si="224"/>
        <v>5.0999999999999997E-2</v>
      </c>
      <c r="M481" s="152">
        <f t="shared" si="224"/>
        <v>5.0999999999999996</v>
      </c>
      <c r="N481" s="150">
        <v>0</v>
      </c>
      <c r="O481" s="150">
        <v>1</v>
      </c>
    </row>
    <row r="482" spans="1:17" ht="14.4" x14ac:dyDescent="0.25">
      <c r="B482" s="150" t="str">
        <f t="shared" si="211"/>
        <v>9999</v>
      </c>
      <c r="C482" s="151" t="str">
        <f t="shared" si="212"/>
        <v>CZCE</v>
      </c>
      <c r="D482" s="151" t="str">
        <f t="shared" si="223"/>
        <v>PTA</v>
      </c>
      <c r="E482" s="150" t="s">
        <v>36</v>
      </c>
      <c r="F482" s="150" t="str">
        <f t="shared" si="214"/>
        <v>6001</v>
      </c>
      <c r="G482" s="150" t="str">
        <f t="shared" si="214"/>
        <v>6001</v>
      </c>
      <c r="H482" s="150" t="s">
        <v>930</v>
      </c>
      <c r="I482" s="150" t="s">
        <v>36</v>
      </c>
      <c r="J482" s="152">
        <f t="shared" ref="J482:M482" si="225">J474</f>
        <v>5.1999999999999998E-2</v>
      </c>
      <c r="K482" s="152">
        <f t="shared" si="225"/>
        <v>5.2</v>
      </c>
      <c r="L482" s="152">
        <f t="shared" si="225"/>
        <v>5.2999999999999999E-2</v>
      </c>
      <c r="M482" s="152">
        <f t="shared" si="225"/>
        <v>5.3</v>
      </c>
      <c r="N482" s="150">
        <v>0</v>
      </c>
      <c r="O482" s="150">
        <v>1</v>
      </c>
    </row>
    <row r="483" spans="1:17" ht="14.4" x14ac:dyDescent="0.25">
      <c r="B483" s="150" t="str">
        <f t="shared" si="211"/>
        <v>9999</v>
      </c>
      <c r="C483" s="151" t="str">
        <f t="shared" si="212"/>
        <v>CZCE</v>
      </c>
      <c r="D483" s="151" t="str">
        <f t="shared" si="223"/>
        <v>PTA</v>
      </c>
      <c r="E483" s="150" t="s">
        <v>36</v>
      </c>
      <c r="F483" s="150" t="str">
        <f t="shared" si="214"/>
        <v>6001</v>
      </c>
      <c r="G483" s="150" t="str">
        <f t="shared" si="214"/>
        <v>6001</v>
      </c>
      <c r="H483" s="150" t="s">
        <v>930</v>
      </c>
      <c r="I483" s="150" t="s">
        <v>38</v>
      </c>
      <c r="J483" s="152">
        <f t="shared" ref="J483:M483" si="226">J475</f>
        <v>0.05</v>
      </c>
      <c r="K483" s="152">
        <f t="shared" si="226"/>
        <v>5</v>
      </c>
      <c r="L483" s="152">
        <f t="shared" si="226"/>
        <v>5.0999999999999997E-2</v>
      </c>
      <c r="M483" s="152">
        <f t="shared" si="226"/>
        <v>5.0999999999999996</v>
      </c>
      <c r="N483" s="150">
        <v>0</v>
      </c>
      <c r="O483" s="150">
        <v>1</v>
      </c>
    </row>
    <row r="484" spans="1:17" ht="14.4" x14ac:dyDescent="0.25">
      <c r="B484" s="9"/>
      <c r="C484" s="86"/>
      <c r="D484" s="86"/>
      <c r="E484" s="9"/>
      <c r="F484" s="9"/>
      <c r="G484" s="9"/>
      <c r="H484" s="9"/>
      <c r="I484" s="9"/>
      <c r="J484" s="59"/>
      <c r="K484" s="59"/>
      <c r="L484" s="59"/>
      <c r="M484" s="59"/>
      <c r="N484" s="9"/>
      <c r="O484" s="9"/>
    </row>
    <row r="485" spans="1:17" x14ac:dyDescent="0.25">
      <c r="A485" s="49" t="s">
        <v>960</v>
      </c>
      <c r="B485" s="49" t="s">
        <v>952</v>
      </c>
    </row>
    <row r="486" spans="1:17" ht="14.4" x14ac:dyDescent="0.25">
      <c r="A486" s="57" t="s">
        <v>124</v>
      </c>
      <c r="B486" s="9" t="s">
        <v>1557</v>
      </c>
    </row>
    <row r="487" spans="1:17" ht="14.4" x14ac:dyDescent="0.25">
      <c r="A487" s="49" t="s">
        <v>968</v>
      </c>
      <c r="B487" s="687" t="s">
        <v>2047</v>
      </c>
      <c r="C487" s="688"/>
      <c r="D487" s="688"/>
      <c r="E487" s="688"/>
      <c r="F487" s="688"/>
      <c r="G487" s="688"/>
      <c r="H487" s="688"/>
      <c r="I487" s="688"/>
      <c r="J487" s="688"/>
      <c r="K487" s="688"/>
      <c r="L487" s="688"/>
      <c r="M487" s="688"/>
      <c r="N487" s="688"/>
      <c r="O487" s="688"/>
      <c r="P487" s="688"/>
      <c r="Q487" s="689"/>
    </row>
    <row r="488" spans="1:17" ht="13.2" x14ac:dyDescent="0.3">
      <c r="B488" s="146" t="s">
        <v>22</v>
      </c>
      <c r="C488" s="146" t="s">
        <v>23</v>
      </c>
      <c r="D488" s="146" t="s">
        <v>24</v>
      </c>
      <c r="E488" s="146" t="s">
        <v>26</v>
      </c>
      <c r="F488" s="146" t="s">
        <v>175</v>
      </c>
      <c r="G488" s="146" t="s">
        <v>25</v>
      </c>
      <c r="H488" s="146" t="s">
        <v>149</v>
      </c>
      <c r="I488" s="146" t="s">
        <v>948</v>
      </c>
      <c r="J488" s="146" t="s">
        <v>27</v>
      </c>
      <c r="K488" s="146" t="s">
        <v>944</v>
      </c>
      <c r="L488" s="146" t="s">
        <v>945</v>
      </c>
      <c r="M488" s="146" t="s">
        <v>946</v>
      </c>
      <c r="N488" s="146" t="s">
        <v>947</v>
      </c>
      <c r="O488" s="146" t="s">
        <v>951</v>
      </c>
      <c r="P488" s="146" t="s">
        <v>949</v>
      </c>
      <c r="Q488" s="146" t="s">
        <v>176</v>
      </c>
    </row>
    <row r="489" spans="1:17" ht="14.4" x14ac:dyDescent="0.25">
      <c r="B489" s="150">
        <f>$B$2</f>
        <v>20180326</v>
      </c>
      <c r="C489" s="150" t="str">
        <f>$F$5</f>
        <v>9999</v>
      </c>
      <c r="D489" s="151" t="str">
        <f>$B$19</f>
        <v>CZCE</v>
      </c>
      <c r="E489" s="151" t="str">
        <f>$D$19</f>
        <v>SR</v>
      </c>
      <c r="F489" s="150" t="s">
        <v>36</v>
      </c>
      <c r="G489" s="150" t="str">
        <f>$B$5</f>
        <v>6001</v>
      </c>
      <c r="H489" s="150" t="str">
        <f>$B$5</f>
        <v>6001</v>
      </c>
      <c r="I489" s="150" t="s">
        <v>33</v>
      </c>
      <c r="J489" s="150" t="s">
        <v>33</v>
      </c>
      <c r="K489" s="152">
        <f>J472</f>
        <v>0.05</v>
      </c>
      <c r="L489" s="152">
        <f t="shared" ref="L489:N489" si="227">K472</f>
        <v>5</v>
      </c>
      <c r="M489" s="152">
        <f t="shared" si="227"/>
        <v>5.0999999999999997E-2</v>
      </c>
      <c r="N489" s="152">
        <f t="shared" si="227"/>
        <v>5.0999999999999996</v>
      </c>
      <c r="O489" s="150">
        <v>0</v>
      </c>
      <c r="P489" s="150" t="s">
        <v>930</v>
      </c>
      <c r="Q489" s="150">
        <v>1</v>
      </c>
    </row>
    <row r="490" spans="1:17" ht="14.4" x14ac:dyDescent="0.25">
      <c r="B490" s="150">
        <f t="shared" ref="B490:B500" si="228">$B$2</f>
        <v>20180326</v>
      </c>
      <c r="C490" s="150" t="str">
        <f t="shared" ref="C490:C500" si="229">$F$5</f>
        <v>9999</v>
      </c>
      <c r="D490" s="151" t="str">
        <f t="shared" ref="D490:D500" si="230">$B$19</f>
        <v>CZCE</v>
      </c>
      <c r="E490" s="151" t="str">
        <f t="shared" ref="E490:E492" si="231">$D$19</f>
        <v>SR</v>
      </c>
      <c r="F490" s="150" t="s">
        <v>36</v>
      </c>
      <c r="G490" s="150" t="str">
        <f t="shared" ref="G490:H500" si="232">$B$5</f>
        <v>6001</v>
      </c>
      <c r="H490" s="150" t="str">
        <f t="shared" si="232"/>
        <v>6001</v>
      </c>
      <c r="I490" s="150" t="s">
        <v>33</v>
      </c>
      <c r="J490" s="150" t="s">
        <v>37</v>
      </c>
      <c r="K490" s="152">
        <f t="shared" ref="K490:N490" si="233">J473</f>
        <v>0.05</v>
      </c>
      <c r="L490" s="152">
        <f t="shared" si="233"/>
        <v>5</v>
      </c>
      <c r="M490" s="152">
        <f t="shared" si="233"/>
        <v>5.0999999999999997E-2</v>
      </c>
      <c r="N490" s="152">
        <f t="shared" si="233"/>
        <v>5.0999999999999996</v>
      </c>
      <c r="O490" s="150">
        <v>0</v>
      </c>
      <c r="P490" s="150" t="s">
        <v>930</v>
      </c>
      <c r="Q490" s="150">
        <v>1</v>
      </c>
    </row>
    <row r="491" spans="1:17" ht="14.4" x14ac:dyDescent="0.25">
      <c r="B491" s="150">
        <f t="shared" si="228"/>
        <v>20180326</v>
      </c>
      <c r="C491" s="150" t="str">
        <f t="shared" si="229"/>
        <v>9999</v>
      </c>
      <c r="D491" s="151" t="str">
        <f t="shared" si="230"/>
        <v>CZCE</v>
      </c>
      <c r="E491" s="151" t="str">
        <f t="shared" si="231"/>
        <v>SR</v>
      </c>
      <c r="F491" s="150" t="s">
        <v>36</v>
      </c>
      <c r="G491" s="150" t="str">
        <f t="shared" si="232"/>
        <v>6001</v>
      </c>
      <c r="H491" s="150" t="str">
        <f t="shared" si="232"/>
        <v>6001</v>
      </c>
      <c r="I491" s="150" t="s">
        <v>33</v>
      </c>
      <c r="J491" s="150" t="s">
        <v>36</v>
      </c>
      <c r="K491" s="152">
        <f>J474</f>
        <v>5.1999999999999998E-2</v>
      </c>
      <c r="L491" s="152">
        <f t="shared" ref="L491:N491" si="234">K474</f>
        <v>5.2</v>
      </c>
      <c r="M491" s="152">
        <f t="shared" si="234"/>
        <v>5.2999999999999999E-2</v>
      </c>
      <c r="N491" s="152">
        <f t="shared" si="234"/>
        <v>5.3</v>
      </c>
      <c r="O491" s="150">
        <v>0</v>
      </c>
      <c r="P491" s="150" t="s">
        <v>930</v>
      </c>
      <c r="Q491" s="150">
        <v>1</v>
      </c>
    </row>
    <row r="492" spans="1:17" ht="14.4" x14ac:dyDescent="0.25">
      <c r="B492" s="150">
        <f t="shared" si="228"/>
        <v>20180326</v>
      </c>
      <c r="C492" s="150" t="str">
        <f t="shared" si="229"/>
        <v>9999</v>
      </c>
      <c r="D492" s="151" t="str">
        <f t="shared" si="230"/>
        <v>CZCE</v>
      </c>
      <c r="E492" s="151" t="str">
        <f t="shared" si="231"/>
        <v>SR</v>
      </c>
      <c r="F492" s="150" t="s">
        <v>36</v>
      </c>
      <c r="G492" s="150" t="str">
        <f t="shared" si="232"/>
        <v>6001</v>
      </c>
      <c r="H492" s="150" t="str">
        <f t="shared" si="232"/>
        <v>6001</v>
      </c>
      <c r="I492" s="150" t="s">
        <v>33</v>
      </c>
      <c r="J492" s="150" t="s">
        <v>38</v>
      </c>
      <c r="K492" s="152">
        <f t="shared" ref="K492:N492" si="235">J475</f>
        <v>0.05</v>
      </c>
      <c r="L492" s="152">
        <f t="shared" si="235"/>
        <v>5</v>
      </c>
      <c r="M492" s="152">
        <f t="shared" si="235"/>
        <v>5.0999999999999997E-2</v>
      </c>
      <c r="N492" s="152">
        <f t="shared" si="235"/>
        <v>5.0999999999999996</v>
      </c>
      <c r="O492" s="150">
        <v>0</v>
      </c>
      <c r="P492" s="150" t="s">
        <v>930</v>
      </c>
      <c r="Q492" s="150">
        <v>1</v>
      </c>
    </row>
    <row r="493" spans="1:17" ht="14.4" x14ac:dyDescent="0.25">
      <c r="B493" s="150">
        <f t="shared" si="228"/>
        <v>20180326</v>
      </c>
      <c r="C493" s="150" t="str">
        <f t="shared" si="229"/>
        <v>9999</v>
      </c>
      <c r="D493" s="151" t="str">
        <f t="shared" si="230"/>
        <v>CZCE</v>
      </c>
      <c r="E493" s="151" t="str">
        <f>$D$21</f>
        <v>OI</v>
      </c>
      <c r="F493" s="150" t="s">
        <v>36</v>
      </c>
      <c r="G493" s="150" t="str">
        <f t="shared" si="232"/>
        <v>6001</v>
      </c>
      <c r="H493" s="150" t="str">
        <f t="shared" si="232"/>
        <v>6001</v>
      </c>
      <c r="I493" s="150" t="s">
        <v>33</v>
      </c>
      <c r="J493" s="150" t="s">
        <v>33</v>
      </c>
      <c r="K493" s="152">
        <f t="shared" ref="K493:N493" si="236">J476</f>
        <v>0.05</v>
      </c>
      <c r="L493" s="152">
        <f t="shared" si="236"/>
        <v>5</v>
      </c>
      <c r="M493" s="152">
        <f t="shared" si="236"/>
        <v>5.0999999999999997E-2</v>
      </c>
      <c r="N493" s="152">
        <f t="shared" si="236"/>
        <v>5.0999999999999996</v>
      </c>
      <c r="O493" s="150">
        <v>0</v>
      </c>
      <c r="P493" s="150" t="s">
        <v>930</v>
      </c>
      <c r="Q493" s="150">
        <v>1</v>
      </c>
    </row>
    <row r="494" spans="1:17" ht="14.4" x14ac:dyDescent="0.25">
      <c r="B494" s="150">
        <f t="shared" si="228"/>
        <v>20180326</v>
      </c>
      <c r="C494" s="150" t="str">
        <f t="shared" si="229"/>
        <v>9999</v>
      </c>
      <c r="D494" s="151" t="str">
        <f t="shared" si="230"/>
        <v>CZCE</v>
      </c>
      <c r="E494" s="151" t="str">
        <f t="shared" ref="E494:E496" si="237">$D$21</f>
        <v>OI</v>
      </c>
      <c r="F494" s="150" t="s">
        <v>36</v>
      </c>
      <c r="G494" s="150" t="str">
        <f t="shared" si="232"/>
        <v>6001</v>
      </c>
      <c r="H494" s="150" t="str">
        <f t="shared" si="232"/>
        <v>6001</v>
      </c>
      <c r="I494" s="150" t="s">
        <v>33</v>
      </c>
      <c r="J494" s="150" t="s">
        <v>37</v>
      </c>
      <c r="K494" s="152">
        <f t="shared" ref="K494:N494" si="238">J477</f>
        <v>0.05</v>
      </c>
      <c r="L494" s="152">
        <f t="shared" si="238"/>
        <v>5</v>
      </c>
      <c r="M494" s="152">
        <f t="shared" si="238"/>
        <v>5.0999999999999997E-2</v>
      </c>
      <c r="N494" s="152">
        <f t="shared" si="238"/>
        <v>5.0999999999999996</v>
      </c>
      <c r="O494" s="150">
        <v>0</v>
      </c>
      <c r="P494" s="150" t="s">
        <v>930</v>
      </c>
      <c r="Q494" s="150">
        <v>1</v>
      </c>
    </row>
    <row r="495" spans="1:17" ht="14.4" x14ac:dyDescent="0.25">
      <c r="B495" s="150">
        <f t="shared" si="228"/>
        <v>20180326</v>
      </c>
      <c r="C495" s="150" t="str">
        <f t="shared" si="229"/>
        <v>9999</v>
      </c>
      <c r="D495" s="151" t="str">
        <f t="shared" si="230"/>
        <v>CZCE</v>
      </c>
      <c r="E495" s="151" t="str">
        <f t="shared" si="237"/>
        <v>OI</v>
      </c>
      <c r="F495" s="150" t="s">
        <v>36</v>
      </c>
      <c r="G495" s="150" t="str">
        <f t="shared" si="232"/>
        <v>6001</v>
      </c>
      <c r="H495" s="150" t="str">
        <f t="shared" si="232"/>
        <v>6001</v>
      </c>
      <c r="I495" s="150" t="s">
        <v>33</v>
      </c>
      <c r="J495" s="150" t="s">
        <v>36</v>
      </c>
      <c r="K495" s="152">
        <f t="shared" ref="K495:N495" si="239">J478</f>
        <v>5.1999999999999998E-2</v>
      </c>
      <c r="L495" s="152">
        <f t="shared" si="239"/>
        <v>5.2</v>
      </c>
      <c r="M495" s="152">
        <f t="shared" si="239"/>
        <v>5.2999999999999999E-2</v>
      </c>
      <c r="N495" s="152">
        <f t="shared" si="239"/>
        <v>5.3</v>
      </c>
      <c r="O495" s="150">
        <v>0</v>
      </c>
      <c r="P495" s="150" t="s">
        <v>930</v>
      </c>
      <c r="Q495" s="150">
        <v>1</v>
      </c>
    </row>
    <row r="496" spans="1:17" ht="14.4" x14ac:dyDescent="0.25">
      <c r="B496" s="150">
        <f t="shared" si="228"/>
        <v>20180326</v>
      </c>
      <c r="C496" s="150" t="str">
        <f t="shared" si="229"/>
        <v>9999</v>
      </c>
      <c r="D496" s="151" t="str">
        <f t="shared" si="230"/>
        <v>CZCE</v>
      </c>
      <c r="E496" s="151" t="str">
        <f t="shared" si="237"/>
        <v>OI</v>
      </c>
      <c r="F496" s="150" t="s">
        <v>36</v>
      </c>
      <c r="G496" s="150" t="str">
        <f t="shared" si="232"/>
        <v>6001</v>
      </c>
      <c r="H496" s="150" t="str">
        <f t="shared" si="232"/>
        <v>6001</v>
      </c>
      <c r="I496" s="150" t="s">
        <v>33</v>
      </c>
      <c r="J496" s="150" t="s">
        <v>38</v>
      </c>
      <c r="K496" s="152">
        <f t="shared" ref="K496:N496" si="240">J479</f>
        <v>0.05</v>
      </c>
      <c r="L496" s="152">
        <f t="shared" si="240"/>
        <v>5</v>
      </c>
      <c r="M496" s="152">
        <f t="shared" si="240"/>
        <v>5.0999999999999997E-2</v>
      </c>
      <c r="N496" s="152">
        <f t="shared" si="240"/>
        <v>5.0999999999999996</v>
      </c>
      <c r="O496" s="150">
        <v>0</v>
      </c>
      <c r="P496" s="150" t="s">
        <v>930</v>
      </c>
      <c r="Q496" s="150">
        <v>1</v>
      </c>
    </row>
    <row r="497" spans="1:17" ht="14.4" x14ac:dyDescent="0.25">
      <c r="B497" s="150">
        <f t="shared" si="228"/>
        <v>20180326</v>
      </c>
      <c r="C497" s="150" t="str">
        <f t="shared" si="229"/>
        <v>9999</v>
      </c>
      <c r="D497" s="151" t="str">
        <f t="shared" si="230"/>
        <v>CZCE</v>
      </c>
      <c r="E497" s="151" t="str">
        <f>$D$23</f>
        <v>PTA</v>
      </c>
      <c r="F497" s="150" t="s">
        <v>36</v>
      </c>
      <c r="G497" s="150" t="str">
        <f t="shared" si="232"/>
        <v>6001</v>
      </c>
      <c r="H497" s="150" t="str">
        <f t="shared" si="232"/>
        <v>6001</v>
      </c>
      <c r="I497" s="150" t="s">
        <v>33</v>
      </c>
      <c r="J497" s="150" t="s">
        <v>33</v>
      </c>
      <c r="K497" s="152">
        <f t="shared" ref="K497:N497" si="241">J480</f>
        <v>0.05</v>
      </c>
      <c r="L497" s="152">
        <f t="shared" si="241"/>
        <v>5</v>
      </c>
      <c r="M497" s="152">
        <f t="shared" si="241"/>
        <v>5.0999999999999997E-2</v>
      </c>
      <c r="N497" s="152">
        <f t="shared" si="241"/>
        <v>5.0999999999999996</v>
      </c>
      <c r="O497" s="150">
        <v>0</v>
      </c>
      <c r="P497" s="150" t="s">
        <v>930</v>
      </c>
      <c r="Q497" s="150">
        <v>1</v>
      </c>
    </row>
    <row r="498" spans="1:17" ht="14.4" x14ac:dyDescent="0.25">
      <c r="B498" s="150">
        <f t="shared" si="228"/>
        <v>20180326</v>
      </c>
      <c r="C498" s="150" t="str">
        <f t="shared" si="229"/>
        <v>9999</v>
      </c>
      <c r="D498" s="151" t="str">
        <f t="shared" si="230"/>
        <v>CZCE</v>
      </c>
      <c r="E498" s="151" t="str">
        <f t="shared" ref="E498:E500" si="242">$D$23</f>
        <v>PTA</v>
      </c>
      <c r="F498" s="150" t="s">
        <v>36</v>
      </c>
      <c r="G498" s="150" t="str">
        <f t="shared" si="232"/>
        <v>6001</v>
      </c>
      <c r="H498" s="150" t="str">
        <f t="shared" si="232"/>
        <v>6001</v>
      </c>
      <c r="I498" s="150" t="s">
        <v>33</v>
      </c>
      <c r="J498" s="150" t="s">
        <v>37</v>
      </c>
      <c r="K498" s="152">
        <f t="shared" ref="K498:N498" si="243">J481</f>
        <v>0.05</v>
      </c>
      <c r="L498" s="152">
        <f t="shared" si="243"/>
        <v>5</v>
      </c>
      <c r="M498" s="152">
        <f t="shared" si="243"/>
        <v>5.0999999999999997E-2</v>
      </c>
      <c r="N498" s="152">
        <f t="shared" si="243"/>
        <v>5.0999999999999996</v>
      </c>
      <c r="O498" s="150">
        <v>0</v>
      </c>
      <c r="P498" s="150" t="s">
        <v>930</v>
      </c>
      <c r="Q498" s="150">
        <v>1</v>
      </c>
    </row>
    <row r="499" spans="1:17" ht="14.4" x14ac:dyDescent="0.25">
      <c r="B499" s="150">
        <f t="shared" si="228"/>
        <v>20180326</v>
      </c>
      <c r="C499" s="150" t="str">
        <f t="shared" si="229"/>
        <v>9999</v>
      </c>
      <c r="D499" s="151" t="str">
        <f t="shared" si="230"/>
        <v>CZCE</v>
      </c>
      <c r="E499" s="151" t="str">
        <f t="shared" si="242"/>
        <v>PTA</v>
      </c>
      <c r="F499" s="150" t="s">
        <v>36</v>
      </c>
      <c r="G499" s="150" t="str">
        <f t="shared" si="232"/>
        <v>6001</v>
      </c>
      <c r="H499" s="150" t="str">
        <f t="shared" si="232"/>
        <v>6001</v>
      </c>
      <c r="I499" s="150" t="s">
        <v>33</v>
      </c>
      <c r="J499" s="150" t="s">
        <v>36</v>
      </c>
      <c r="K499" s="152">
        <f t="shared" ref="K499:N499" si="244">J482</f>
        <v>5.1999999999999998E-2</v>
      </c>
      <c r="L499" s="152">
        <f t="shared" si="244"/>
        <v>5.2</v>
      </c>
      <c r="M499" s="152">
        <f t="shared" si="244"/>
        <v>5.2999999999999999E-2</v>
      </c>
      <c r="N499" s="152">
        <f t="shared" si="244"/>
        <v>5.3</v>
      </c>
      <c r="O499" s="150">
        <v>0</v>
      </c>
      <c r="P499" s="150" t="s">
        <v>930</v>
      </c>
      <c r="Q499" s="150">
        <v>1</v>
      </c>
    </row>
    <row r="500" spans="1:17" ht="14.4" x14ac:dyDescent="0.25">
      <c r="B500" s="150">
        <f t="shared" si="228"/>
        <v>20180326</v>
      </c>
      <c r="C500" s="150" t="str">
        <f t="shared" si="229"/>
        <v>9999</v>
      </c>
      <c r="D500" s="151" t="str">
        <f t="shared" si="230"/>
        <v>CZCE</v>
      </c>
      <c r="E500" s="151" t="str">
        <f t="shared" si="242"/>
        <v>PTA</v>
      </c>
      <c r="F500" s="150" t="s">
        <v>36</v>
      </c>
      <c r="G500" s="150" t="str">
        <f t="shared" si="232"/>
        <v>6001</v>
      </c>
      <c r="H500" s="150" t="str">
        <f t="shared" si="232"/>
        <v>6001</v>
      </c>
      <c r="I500" s="150" t="s">
        <v>33</v>
      </c>
      <c r="J500" s="150" t="s">
        <v>38</v>
      </c>
      <c r="K500" s="152">
        <f t="shared" ref="K500:N500" si="245">J483</f>
        <v>0.05</v>
      </c>
      <c r="L500" s="152">
        <f t="shared" si="245"/>
        <v>5</v>
      </c>
      <c r="M500" s="152">
        <f t="shared" si="245"/>
        <v>5.0999999999999997E-2</v>
      </c>
      <c r="N500" s="152">
        <f t="shared" si="245"/>
        <v>5.0999999999999996</v>
      </c>
      <c r="O500" s="150">
        <v>0</v>
      </c>
      <c r="P500" s="150" t="s">
        <v>930</v>
      </c>
      <c r="Q500" s="150">
        <v>1</v>
      </c>
    </row>
    <row r="501" spans="1:17" ht="14.4" x14ac:dyDescent="0.25">
      <c r="B501" s="9"/>
      <c r="C501" s="9"/>
      <c r="D501" s="86"/>
      <c r="E501" s="86"/>
      <c r="F501" s="9"/>
      <c r="G501" s="9"/>
      <c r="H501" s="9"/>
      <c r="I501" s="9"/>
      <c r="J501" s="9"/>
      <c r="K501" s="59"/>
      <c r="L501" s="59"/>
      <c r="M501" s="59"/>
      <c r="N501" s="59"/>
      <c r="O501" s="9"/>
      <c r="P501" s="9"/>
      <c r="Q501" s="9"/>
    </row>
    <row r="502" spans="1:17" x14ac:dyDescent="0.25">
      <c r="A502" s="49" t="s">
        <v>958</v>
      </c>
      <c r="B502" s="49" t="s">
        <v>961</v>
      </c>
    </row>
    <row r="503" spans="1:17" ht="14.4" x14ac:dyDescent="0.25">
      <c r="A503" s="57" t="s">
        <v>124</v>
      </c>
      <c r="B503" s="9" t="s">
        <v>1557</v>
      </c>
    </row>
    <row r="504" spans="1:17" ht="14.4" x14ac:dyDescent="0.25">
      <c r="A504" s="49" t="s">
        <v>1096</v>
      </c>
      <c r="B504" s="687" t="s">
        <v>1512</v>
      </c>
      <c r="C504" s="688"/>
      <c r="D504" s="688"/>
      <c r="E504" s="688"/>
      <c r="F504" s="688"/>
      <c r="G504" s="688"/>
      <c r="H504" s="688"/>
      <c r="I504" s="688"/>
      <c r="J504" s="688"/>
      <c r="K504" s="688"/>
      <c r="L504" s="688"/>
      <c r="M504" s="688"/>
      <c r="N504" s="688"/>
      <c r="O504" s="689"/>
    </row>
    <row r="505" spans="1:17" ht="13.2" x14ac:dyDescent="0.3">
      <c r="B505" s="146" t="s">
        <v>22</v>
      </c>
      <c r="C505" s="146" t="s">
        <v>23</v>
      </c>
      <c r="D505" s="146" t="s">
        <v>24</v>
      </c>
      <c r="E505" s="146" t="s">
        <v>26</v>
      </c>
      <c r="F505" s="146" t="s">
        <v>175</v>
      </c>
      <c r="G505" s="146" t="s">
        <v>25</v>
      </c>
      <c r="H505" s="146" t="s">
        <v>149</v>
      </c>
      <c r="I505" s="146" t="s">
        <v>948</v>
      </c>
      <c r="J505" s="146" t="s">
        <v>27</v>
      </c>
      <c r="K505" s="146" t="s">
        <v>944</v>
      </c>
      <c r="L505" s="146" t="s">
        <v>945</v>
      </c>
      <c r="M505" s="146" t="s">
        <v>946</v>
      </c>
      <c r="N505" s="146" t="s">
        <v>947</v>
      </c>
      <c r="O505" s="146" t="s">
        <v>176</v>
      </c>
    </row>
    <row r="506" spans="1:17" ht="14.4" x14ac:dyDescent="0.25">
      <c r="B506" s="150">
        <f>$B$2</f>
        <v>20180326</v>
      </c>
      <c r="C506" s="150" t="str">
        <f>$F$5</f>
        <v>9999</v>
      </c>
      <c r="D506" s="151" t="str">
        <f>$B$19</f>
        <v>CZCE</v>
      </c>
      <c r="E506" s="151" t="str">
        <f>$D$19</f>
        <v>SR</v>
      </c>
      <c r="F506" s="150" t="s">
        <v>36</v>
      </c>
      <c r="G506" s="150" t="str">
        <f>$B$5</f>
        <v>6001</v>
      </c>
      <c r="H506" s="150" t="str">
        <f>$B$5</f>
        <v>6001</v>
      </c>
      <c r="I506" s="150" t="s">
        <v>33</v>
      </c>
      <c r="J506" s="150" t="s">
        <v>33</v>
      </c>
      <c r="K506" s="152">
        <f>K54</f>
        <v>0.01</v>
      </c>
      <c r="L506" s="152">
        <f>L54</f>
        <v>1</v>
      </c>
      <c r="M506" s="152">
        <f>K55</f>
        <v>1.0999999999999999E-2</v>
      </c>
      <c r="N506" s="152">
        <f>L55</f>
        <v>1.1100000000000001</v>
      </c>
      <c r="O506" s="150">
        <v>1</v>
      </c>
    </row>
    <row r="507" spans="1:17" ht="14.4" x14ac:dyDescent="0.25">
      <c r="B507" s="150">
        <f t="shared" ref="B507:B517" si="246">$B$2</f>
        <v>20180326</v>
      </c>
      <c r="C507" s="150" t="str">
        <f t="shared" ref="C507:C516" si="247">$F$5</f>
        <v>9999</v>
      </c>
      <c r="D507" s="151" t="str">
        <f t="shared" ref="D507:D517" si="248">$B$19</f>
        <v>CZCE</v>
      </c>
      <c r="E507" s="151" t="str">
        <f t="shared" ref="E507:E509" si="249">$D$19</f>
        <v>SR</v>
      </c>
      <c r="F507" s="150" t="s">
        <v>36</v>
      </c>
      <c r="G507" s="150" t="str">
        <f t="shared" ref="G507:H517" si="250">$B$5</f>
        <v>6001</v>
      </c>
      <c r="H507" s="150" t="str">
        <f t="shared" si="250"/>
        <v>6001</v>
      </c>
      <c r="I507" s="150" t="s">
        <v>33</v>
      </c>
      <c r="J507" s="150" t="s">
        <v>37</v>
      </c>
      <c r="K507" s="152">
        <f>K506</f>
        <v>0.01</v>
      </c>
      <c r="L507" s="152">
        <f t="shared" ref="L507:N507" si="251">L506</f>
        <v>1</v>
      </c>
      <c r="M507" s="152">
        <f t="shared" si="251"/>
        <v>1.0999999999999999E-2</v>
      </c>
      <c r="N507" s="152">
        <f t="shared" si="251"/>
        <v>1.1100000000000001</v>
      </c>
      <c r="O507" s="150">
        <v>1</v>
      </c>
    </row>
    <row r="508" spans="1:17" ht="14.4" x14ac:dyDescent="0.25">
      <c r="B508" s="150">
        <f t="shared" si="246"/>
        <v>20180326</v>
      </c>
      <c r="C508" s="150" t="str">
        <f t="shared" si="247"/>
        <v>9999</v>
      </c>
      <c r="D508" s="151" t="str">
        <f t="shared" si="248"/>
        <v>CZCE</v>
      </c>
      <c r="E508" s="151" t="str">
        <f t="shared" si="249"/>
        <v>SR</v>
      </c>
      <c r="F508" s="150" t="s">
        <v>36</v>
      </c>
      <c r="G508" s="150" t="str">
        <f t="shared" si="250"/>
        <v>6001</v>
      </c>
      <c r="H508" s="150" t="str">
        <f t="shared" si="250"/>
        <v>6001</v>
      </c>
      <c r="I508" s="150" t="s">
        <v>33</v>
      </c>
      <c r="J508" s="150" t="s">
        <v>36</v>
      </c>
      <c r="K508" s="152">
        <f>K56</f>
        <v>1.2E-2</v>
      </c>
      <c r="L508" s="152">
        <f>L56</f>
        <v>1.1200000000000001</v>
      </c>
      <c r="M508" s="152">
        <f>K57</f>
        <v>1.2999999999999999E-2</v>
      </c>
      <c r="N508" s="152">
        <f>L57</f>
        <v>1.1299999999999999</v>
      </c>
      <c r="O508" s="150">
        <v>1</v>
      </c>
    </row>
    <row r="509" spans="1:17" ht="14.4" x14ac:dyDescent="0.25">
      <c r="B509" s="150">
        <f t="shared" si="246"/>
        <v>20180326</v>
      </c>
      <c r="C509" s="150" t="str">
        <f t="shared" si="247"/>
        <v>9999</v>
      </c>
      <c r="D509" s="151" t="str">
        <f t="shared" si="248"/>
        <v>CZCE</v>
      </c>
      <c r="E509" s="151" t="str">
        <f t="shared" si="249"/>
        <v>SR</v>
      </c>
      <c r="F509" s="150" t="s">
        <v>36</v>
      </c>
      <c r="G509" s="150" t="str">
        <f t="shared" si="250"/>
        <v>6001</v>
      </c>
      <c r="H509" s="150" t="str">
        <f t="shared" si="250"/>
        <v>6001</v>
      </c>
      <c r="I509" s="150" t="s">
        <v>33</v>
      </c>
      <c r="J509" s="150" t="s">
        <v>38</v>
      </c>
      <c r="K509" s="152">
        <f>K506</f>
        <v>0.01</v>
      </c>
      <c r="L509" s="152">
        <f t="shared" ref="L509:N509" si="252">L506</f>
        <v>1</v>
      </c>
      <c r="M509" s="152">
        <f t="shared" si="252"/>
        <v>1.0999999999999999E-2</v>
      </c>
      <c r="N509" s="152">
        <f t="shared" si="252"/>
        <v>1.1100000000000001</v>
      </c>
      <c r="O509" s="150">
        <v>1</v>
      </c>
    </row>
    <row r="510" spans="1:17" ht="14.4" x14ac:dyDescent="0.25">
      <c r="B510" s="150">
        <f t="shared" si="246"/>
        <v>20180326</v>
      </c>
      <c r="C510" s="150" t="str">
        <f t="shared" si="247"/>
        <v>9999</v>
      </c>
      <c r="D510" s="151" t="str">
        <f t="shared" si="248"/>
        <v>CZCE</v>
      </c>
      <c r="E510" s="151" t="str">
        <f>$D$21</f>
        <v>OI</v>
      </c>
      <c r="F510" s="150" t="s">
        <v>36</v>
      </c>
      <c r="G510" s="150" t="str">
        <f t="shared" si="250"/>
        <v>6001</v>
      </c>
      <c r="H510" s="150" t="str">
        <f t="shared" si="250"/>
        <v>6001</v>
      </c>
      <c r="I510" s="150" t="s">
        <v>33</v>
      </c>
      <c r="J510" s="150" t="s">
        <v>33</v>
      </c>
      <c r="K510" s="152">
        <f>K58</f>
        <v>0.01</v>
      </c>
      <c r="L510" s="152">
        <f>L58</f>
        <v>1</v>
      </c>
      <c r="M510" s="152">
        <f>K59</f>
        <v>1.0999999999999999E-2</v>
      </c>
      <c r="N510" s="152">
        <f>L59</f>
        <v>1.1100000000000001</v>
      </c>
      <c r="O510" s="150">
        <v>1</v>
      </c>
    </row>
    <row r="511" spans="1:17" ht="14.4" x14ac:dyDescent="0.25">
      <c r="B511" s="150">
        <f t="shared" si="246"/>
        <v>20180326</v>
      </c>
      <c r="C511" s="150" t="str">
        <f t="shared" si="247"/>
        <v>9999</v>
      </c>
      <c r="D511" s="151" t="str">
        <f t="shared" si="248"/>
        <v>CZCE</v>
      </c>
      <c r="E511" s="151" t="str">
        <f t="shared" ref="E511:E513" si="253">$D$21</f>
        <v>OI</v>
      </c>
      <c r="F511" s="150" t="s">
        <v>36</v>
      </c>
      <c r="G511" s="150" t="str">
        <f t="shared" si="250"/>
        <v>6001</v>
      </c>
      <c r="H511" s="150" t="str">
        <f t="shared" si="250"/>
        <v>6001</v>
      </c>
      <c r="I511" s="150" t="s">
        <v>33</v>
      </c>
      <c r="J511" s="150" t="s">
        <v>37</v>
      </c>
      <c r="K511" s="152">
        <f>K510</f>
        <v>0.01</v>
      </c>
      <c r="L511" s="152">
        <f t="shared" ref="L511:N511" si="254">L510</f>
        <v>1</v>
      </c>
      <c r="M511" s="152">
        <f t="shared" si="254"/>
        <v>1.0999999999999999E-2</v>
      </c>
      <c r="N511" s="152">
        <f t="shared" si="254"/>
        <v>1.1100000000000001</v>
      </c>
      <c r="O511" s="150">
        <v>1</v>
      </c>
    </row>
    <row r="512" spans="1:17" ht="14.4" x14ac:dyDescent="0.25">
      <c r="B512" s="150">
        <f t="shared" si="246"/>
        <v>20180326</v>
      </c>
      <c r="C512" s="150" t="str">
        <f t="shared" si="247"/>
        <v>9999</v>
      </c>
      <c r="D512" s="151" t="str">
        <f t="shared" si="248"/>
        <v>CZCE</v>
      </c>
      <c r="E512" s="151" t="str">
        <f t="shared" si="253"/>
        <v>OI</v>
      </c>
      <c r="F512" s="150" t="s">
        <v>36</v>
      </c>
      <c r="G512" s="150" t="str">
        <f t="shared" si="250"/>
        <v>6001</v>
      </c>
      <c r="H512" s="150" t="str">
        <f t="shared" si="250"/>
        <v>6001</v>
      </c>
      <c r="I512" s="150" t="s">
        <v>33</v>
      </c>
      <c r="J512" s="150" t="s">
        <v>36</v>
      </c>
      <c r="K512" s="152">
        <f>K60</f>
        <v>1.2E-2</v>
      </c>
      <c r="L512" s="152">
        <f>L60</f>
        <v>1.1200000000000001</v>
      </c>
      <c r="M512" s="152">
        <f>K61</f>
        <v>1.2999999999999999E-2</v>
      </c>
      <c r="N512" s="152">
        <f>L61</f>
        <v>1.1299999999999999</v>
      </c>
      <c r="O512" s="150">
        <v>1</v>
      </c>
    </row>
    <row r="513" spans="1:15" ht="14.4" x14ac:dyDescent="0.25">
      <c r="B513" s="150">
        <f t="shared" si="246"/>
        <v>20180326</v>
      </c>
      <c r="C513" s="150" t="str">
        <f t="shared" si="247"/>
        <v>9999</v>
      </c>
      <c r="D513" s="151" t="str">
        <f t="shared" si="248"/>
        <v>CZCE</v>
      </c>
      <c r="E513" s="151" t="str">
        <f t="shared" si="253"/>
        <v>OI</v>
      </c>
      <c r="F513" s="150" t="s">
        <v>36</v>
      </c>
      <c r="G513" s="150" t="str">
        <f t="shared" si="250"/>
        <v>6001</v>
      </c>
      <c r="H513" s="150" t="str">
        <f t="shared" si="250"/>
        <v>6001</v>
      </c>
      <c r="I513" s="150" t="s">
        <v>33</v>
      </c>
      <c r="J513" s="150" t="s">
        <v>38</v>
      </c>
      <c r="K513" s="152">
        <f>K510</f>
        <v>0.01</v>
      </c>
      <c r="L513" s="152">
        <f t="shared" ref="L513:N513" si="255">L510</f>
        <v>1</v>
      </c>
      <c r="M513" s="152">
        <f t="shared" si="255"/>
        <v>1.0999999999999999E-2</v>
      </c>
      <c r="N513" s="152">
        <f t="shared" si="255"/>
        <v>1.1100000000000001</v>
      </c>
      <c r="O513" s="150">
        <v>1</v>
      </c>
    </row>
    <row r="514" spans="1:15" ht="14.4" x14ac:dyDescent="0.25">
      <c r="B514" s="150">
        <f t="shared" si="246"/>
        <v>20180326</v>
      </c>
      <c r="C514" s="150" t="str">
        <f t="shared" si="247"/>
        <v>9999</v>
      </c>
      <c r="D514" s="151" t="str">
        <f t="shared" si="248"/>
        <v>CZCE</v>
      </c>
      <c r="E514" s="151" t="str">
        <f>$D$23</f>
        <v>PTA</v>
      </c>
      <c r="F514" s="150" t="s">
        <v>36</v>
      </c>
      <c r="G514" s="150" t="str">
        <f t="shared" si="250"/>
        <v>6001</v>
      </c>
      <c r="H514" s="150" t="str">
        <f t="shared" si="250"/>
        <v>6001</v>
      </c>
      <c r="I514" s="150" t="s">
        <v>33</v>
      </c>
      <c r="J514" s="150" t="s">
        <v>33</v>
      </c>
      <c r="K514" s="152">
        <f>K62</f>
        <v>0.01</v>
      </c>
      <c r="L514" s="152">
        <f>L62</f>
        <v>1</v>
      </c>
      <c r="M514" s="152">
        <f>K63</f>
        <v>1.0999999999999999E-2</v>
      </c>
      <c r="N514" s="152">
        <f>L63</f>
        <v>1.1100000000000001</v>
      </c>
      <c r="O514" s="150">
        <v>1</v>
      </c>
    </row>
    <row r="515" spans="1:15" ht="14.4" x14ac:dyDescent="0.25">
      <c r="B515" s="150">
        <f t="shared" si="246"/>
        <v>20180326</v>
      </c>
      <c r="C515" s="150" t="str">
        <f t="shared" si="247"/>
        <v>9999</v>
      </c>
      <c r="D515" s="151" t="str">
        <f t="shared" si="248"/>
        <v>CZCE</v>
      </c>
      <c r="E515" s="151" t="str">
        <f t="shared" ref="E515:E517" si="256">$D$23</f>
        <v>PTA</v>
      </c>
      <c r="F515" s="150" t="s">
        <v>36</v>
      </c>
      <c r="G515" s="150" t="str">
        <f t="shared" si="250"/>
        <v>6001</v>
      </c>
      <c r="H515" s="150" t="str">
        <f t="shared" si="250"/>
        <v>6001</v>
      </c>
      <c r="I515" s="150" t="s">
        <v>33</v>
      </c>
      <c r="J515" s="150" t="s">
        <v>37</v>
      </c>
      <c r="K515" s="152">
        <f>K514</f>
        <v>0.01</v>
      </c>
      <c r="L515" s="152">
        <f t="shared" ref="L515:N515" si="257">L514</f>
        <v>1</v>
      </c>
      <c r="M515" s="152">
        <f t="shared" si="257"/>
        <v>1.0999999999999999E-2</v>
      </c>
      <c r="N515" s="152">
        <f t="shared" si="257"/>
        <v>1.1100000000000001</v>
      </c>
      <c r="O515" s="150">
        <v>1</v>
      </c>
    </row>
    <row r="516" spans="1:15" ht="14.4" x14ac:dyDescent="0.25">
      <c r="B516" s="150">
        <f t="shared" si="246"/>
        <v>20180326</v>
      </c>
      <c r="C516" s="150" t="str">
        <f t="shared" si="247"/>
        <v>9999</v>
      </c>
      <c r="D516" s="151" t="str">
        <f t="shared" si="248"/>
        <v>CZCE</v>
      </c>
      <c r="E516" s="151" t="str">
        <f t="shared" si="256"/>
        <v>PTA</v>
      </c>
      <c r="F516" s="150" t="s">
        <v>36</v>
      </c>
      <c r="G516" s="150" t="str">
        <f t="shared" si="250"/>
        <v>6001</v>
      </c>
      <c r="H516" s="150" t="str">
        <f t="shared" si="250"/>
        <v>6001</v>
      </c>
      <c r="I516" s="150" t="s">
        <v>33</v>
      </c>
      <c r="J516" s="150" t="s">
        <v>36</v>
      </c>
      <c r="K516" s="152">
        <f>K64</f>
        <v>1.2E-2</v>
      </c>
      <c r="L516" s="152">
        <f>L64</f>
        <v>1.1200000000000001</v>
      </c>
      <c r="M516" s="152">
        <f>K65</f>
        <v>1.2999999999999999E-2</v>
      </c>
      <c r="N516" s="152">
        <f>L65</f>
        <v>1.1299999999999999</v>
      </c>
      <c r="O516" s="150">
        <v>1</v>
      </c>
    </row>
    <row r="517" spans="1:15" ht="14.4" x14ac:dyDescent="0.25">
      <c r="B517" s="150">
        <f t="shared" si="246"/>
        <v>20180326</v>
      </c>
      <c r="C517" s="150" t="str">
        <f>$F$5</f>
        <v>9999</v>
      </c>
      <c r="D517" s="151" t="str">
        <f t="shared" si="248"/>
        <v>CZCE</v>
      </c>
      <c r="E517" s="151" t="str">
        <f t="shared" si="256"/>
        <v>PTA</v>
      </c>
      <c r="F517" s="150" t="s">
        <v>36</v>
      </c>
      <c r="G517" s="150" t="str">
        <f t="shared" si="250"/>
        <v>6001</v>
      </c>
      <c r="H517" s="150" t="str">
        <f t="shared" si="250"/>
        <v>6001</v>
      </c>
      <c r="I517" s="150" t="s">
        <v>33</v>
      </c>
      <c r="J517" s="150" t="s">
        <v>38</v>
      </c>
      <c r="K517" s="152">
        <f>K514</f>
        <v>0.01</v>
      </c>
      <c r="L517" s="152">
        <f t="shared" ref="L517:N517" si="258">L514</f>
        <v>1</v>
      </c>
      <c r="M517" s="152">
        <f t="shared" si="258"/>
        <v>1.0999999999999999E-2</v>
      </c>
      <c r="N517" s="152">
        <f t="shared" si="258"/>
        <v>1.1100000000000001</v>
      </c>
      <c r="O517" s="150">
        <v>1</v>
      </c>
    </row>
    <row r="519" spans="1:15" ht="14.4" x14ac:dyDescent="0.25">
      <c r="A519" s="57" t="s">
        <v>124</v>
      </c>
      <c r="B519" s="9" t="s">
        <v>1557</v>
      </c>
    </row>
    <row r="520" spans="1:15" ht="14.4" x14ac:dyDescent="0.25">
      <c r="A520" s="57" t="s">
        <v>1097</v>
      </c>
      <c r="B520" s="678" t="s">
        <v>1527</v>
      </c>
      <c r="C520" s="679"/>
      <c r="D520" s="679"/>
      <c r="E520" s="679"/>
      <c r="F520" s="679"/>
      <c r="G520" s="679"/>
      <c r="H520" s="679"/>
      <c r="I520" s="679"/>
      <c r="J520" s="679"/>
      <c r="K520" s="679"/>
      <c r="L520" s="679"/>
    </row>
    <row r="521" spans="1:15" ht="13.2" x14ac:dyDescent="0.3">
      <c r="B521" s="281" t="s">
        <v>22</v>
      </c>
      <c r="C521" s="281" t="s">
        <v>24</v>
      </c>
      <c r="D521" s="281" t="s">
        <v>26</v>
      </c>
      <c r="E521" s="281" t="s">
        <v>175</v>
      </c>
      <c r="F521" s="281" t="s">
        <v>23</v>
      </c>
      <c r="G521" s="281" t="s">
        <v>25</v>
      </c>
      <c r="H521" s="281" t="s">
        <v>149</v>
      </c>
      <c r="I521" s="281" t="s">
        <v>1093</v>
      </c>
      <c r="J521" s="281" t="s">
        <v>1094</v>
      </c>
      <c r="K521" s="281" t="s">
        <v>27</v>
      </c>
      <c r="L521" s="281" t="s">
        <v>176</v>
      </c>
    </row>
    <row r="522" spans="1:15" ht="14.4" x14ac:dyDescent="0.25">
      <c r="B522" s="279">
        <f>$B$2</f>
        <v>20180326</v>
      </c>
      <c r="C522" s="279" t="s">
        <v>34</v>
      </c>
      <c r="D522" s="151" t="str">
        <f>E506</f>
        <v>SR</v>
      </c>
      <c r="E522" s="279" t="s">
        <v>36</v>
      </c>
      <c r="F522" s="279" t="str">
        <f>$F$5</f>
        <v>9999</v>
      </c>
      <c r="G522" s="279" t="str">
        <f>$B$5</f>
        <v>6001</v>
      </c>
      <c r="H522" s="279" t="str">
        <f>$B$5</f>
        <v>6001</v>
      </c>
      <c r="I522" s="152">
        <v>2.0000000000000001E-4</v>
      </c>
      <c r="J522" s="152">
        <v>2</v>
      </c>
      <c r="K522" s="279" t="s">
        <v>33</v>
      </c>
      <c r="L522" s="279">
        <v>1</v>
      </c>
    </row>
    <row r="523" spans="1:15" ht="14.4" x14ac:dyDescent="0.25">
      <c r="B523" s="279">
        <f t="shared" ref="B523:B524" si="259">$B$2</f>
        <v>20180326</v>
      </c>
      <c r="C523" s="279" t="s">
        <v>34</v>
      </c>
      <c r="D523" s="151" t="str">
        <f>E510</f>
        <v>OI</v>
      </c>
      <c r="E523" s="279" t="s">
        <v>36</v>
      </c>
      <c r="F523" s="279" t="str">
        <f>$F$5</f>
        <v>9999</v>
      </c>
      <c r="G523" s="279" t="str">
        <f t="shared" ref="G523:H524" si="260">$B$5</f>
        <v>6001</v>
      </c>
      <c r="H523" s="279" t="str">
        <f t="shared" si="260"/>
        <v>6001</v>
      </c>
      <c r="I523" s="152">
        <v>2.0000000000000001E-4</v>
      </c>
      <c r="J523" s="152">
        <v>2</v>
      </c>
      <c r="K523" s="279" t="s">
        <v>33</v>
      </c>
      <c r="L523" s="279">
        <v>1</v>
      </c>
    </row>
    <row r="524" spans="1:15" ht="14.4" x14ac:dyDescent="0.25">
      <c r="B524" s="279">
        <f t="shared" si="259"/>
        <v>20180326</v>
      </c>
      <c r="C524" s="279" t="s">
        <v>34</v>
      </c>
      <c r="D524" s="151" t="str">
        <f>E514</f>
        <v>PTA</v>
      </c>
      <c r="E524" s="279" t="s">
        <v>36</v>
      </c>
      <c r="F524" s="279" t="str">
        <f>$F$5</f>
        <v>9999</v>
      </c>
      <c r="G524" s="279" t="str">
        <f t="shared" si="260"/>
        <v>6001</v>
      </c>
      <c r="H524" s="279" t="str">
        <f t="shared" si="260"/>
        <v>6001</v>
      </c>
      <c r="I524" s="152">
        <v>2.0000000000000001E-4</v>
      </c>
      <c r="J524" s="152">
        <v>2</v>
      </c>
      <c r="K524" s="279" t="s">
        <v>33</v>
      </c>
      <c r="L524" s="279">
        <v>1</v>
      </c>
    </row>
    <row r="526" spans="1:15" ht="14.4" x14ac:dyDescent="0.25">
      <c r="A526" s="57" t="s">
        <v>124</v>
      </c>
      <c r="B526" s="9" t="s">
        <v>1557</v>
      </c>
    </row>
    <row r="527" spans="1:15" ht="14.4" x14ac:dyDescent="0.25">
      <c r="A527" s="49" t="s">
        <v>1102</v>
      </c>
      <c r="B527" s="678" t="s">
        <v>1804</v>
      </c>
      <c r="C527" s="679"/>
      <c r="D527" s="679"/>
      <c r="E527" s="679"/>
      <c r="F527" s="679"/>
      <c r="G527" s="679"/>
      <c r="H527" s="679"/>
      <c r="I527" s="679"/>
      <c r="J527" s="679"/>
      <c r="K527" s="679"/>
      <c r="L527" s="679"/>
    </row>
    <row r="528" spans="1:15" ht="13.2" x14ac:dyDescent="0.3">
      <c r="B528" s="281" t="s">
        <v>22</v>
      </c>
      <c r="C528" s="281" t="s">
        <v>23</v>
      </c>
      <c r="D528" s="281" t="s">
        <v>24</v>
      </c>
      <c r="E528" s="281" t="s">
        <v>26</v>
      </c>
      <c r="F528" s="281" t="s">
        <v>175</v>
      </c>
      <c r="G528" s="281" t="s">
        <v>149</v>
      </c>
      <c r="H528" s="281" t="s">
        <v>25</v>
      </c>
      <c r="I528" s="281" t="s">
        <v>27</v>
      </c>
      <c r="J528" s="281" t="s">
        <v>1093</v>
      </c>
      <c r="K528" s="281" t="s">
        <v>1094</v>
      </c>
      <c r="L528" s="281" t="s">
        <v>176</v>
      </c>
    </row>
    <row r="529" spans="1:12" ht="14.4" x14ac:dyDescent="0.25">
      <c r="B529" s="279">
        <f>$B$2</f>
        <v>20180326</v>
      </c>
      <c r="C529" s="279" t="str">
        <f>$F$5</f>
        <v>9999</v>
      </c>
      <c r="D529" s="279" t="s">
        <v>34</v>
      </c>
      <c r="E529" s="151" t="str">
        <f>C354</f>
        <v>SRC</v>
      </c>
      <c r="F529" s="279" t="s">
        <v>36</v>
      </c>
      <c r="G529" s="279" t="str">
        <f t="shared" ref="G529:H532" si="261">$B$5</f>
        <v>6001</v>
      </c>
      <c r="H529" s="279" t="str">
        <f t="shared" si="261"/>
        <v>6001</v>
      </c>
      <c r="I529" s="279" t="s">
        <v>33</v>
      </c>
      <c r="J529" s="152">
        <v>2.0000000000000001E-4</v>
      </c>
      <c r="K529" s="152">
        <v>2</v>
      </c>
      <c r="L529" s="279">
        <v>1</v>
      </c>
    </row>
    <row r="530" spans="1:12" ht="14.4" x14ac:dyDescent="0.25">
      <c r="B530" s="279">
        <f>$B$2</f>
        <v>20180326</v>
      </c>
      <c r="C530" s="279" t="str">
        <f>$F$5</f>
        <v>9999</v>
      </c>
      <c r="D530" s="279" t="s">
        <v>34</v>
      </c>
      <c r="E530" s="151" t="str">
        <f>C355</f>
        <v>SRP</v>
      </c>
      <c r="F530" s="279" t="s">
        <v>36</v>
      </c>
      <c r="G530" s="279" t="str">
        <f t="shared" si="261"/>
        <v>6001</v>
      </c>
      <c r="H530" s="279" t="str">
        <f t="shared" si="261"/>
        <v>6001</v>
      </c>
      <c r="I530" s="279" t="s">
        <v>33</v>
      </c>
      <c r="J530" s="152">
        <v>2.0000000000000001E-4</v>
      </c>
      <c r="K530" s="152">
        <v>2</v>
      </c>
      <c r="L530" s="279">
        <v>1</v>
      </c>
    </row>
    <row r="531" spans="1:12" ht="14.4" x14ac:dyDescent="0.25">
      <c r="B531" s="397">
        <f>$B$2</f>
        <v>20180326</v>
      </c>
      <c r="C531" s="397" t="str">
        <f>$F$5</f>
        <v>9999</v>
      </c>
      <c r="D531" s="397" t="s">
        <v>34</v>
      </c>
      <c r="E531" s="151" t="str">
        <f>C356</f>
        <v>PTAC</v>
      </c>
      <c r="F531" s="397" t="s">
        <v>36</v>
      </c>
      <c r="G531" s="397" t="str">
        <f t="shared" si="261"/>
        <v>6001</v>
      </c>
      <c r="H531" s="397" t="str">
        <f t="shared" si="261"/>
        <v>6001</v>
      </c>
      <c r="I531" s="397" t="s">
        <v>33</v>
      </c>
      <c r="J531" s="152">
        <v>2.0000000000000001E-4</v>
      </c>
      <c r="K531" s="152">
        <v>2</v>
      </c>
      <c r="L531" s="397">
        <v>1</v>
      </c>
    </row>
    <row r="532" spans="1:12" ht="14.4" x14ac:dyDescent="0.25">
      <c r="B532" s="397">
        <f>$B$2</f>
        <v>20180326</v>
      </c>
      <c r="C532" s="397" t="str">
        <f>$F$5</f>
        <v>9999</v>
      </c>
      <c r="D532" s="397" t="s">
        <v>34</v>
      </c>
      <c r="E532" s="151" t="str">
        <f>C357</f>
        <v>PTAP</v>
      </c>
      <c r="F532" s="397" t="s">
        <v>36</v>
      </c>
      <c r="G532" s="397" t="str">
        <f t="shared" si="261"/>
        <v>6001</v>
      </c>
      <c r="H532" s="397" t="str">
        <f t="shared" si="261"/>
        <v>6001</v>
      </c>
      <c r="I532" s="397" t="s">
        <v>33</v>
      </c>
      <c r="J532" s="152">
        <v>2.0000000000000001E-4</v>
      </c>
      <c r="K532" s="152">
        <v>2</v>
      </c>
      <c r="L532" s="397">
        <v>1</v>
      </c>
    </row>
    <row r="533" spans="1:12" ht="14.4" x14ac:dyDescent="0.25">
      <c r="B533" s="9"/>
      <c r="C533" s="9"/>
      <c r="D533" s="9"/>
      <c r="E533" s="9"/>
      <c r="F533" s="9"/>
      <c r="G533" s="9"/>
      <c r="H533" s="9"/>
      <c r="I533" s="9"/>
      <c r="J533" s="59"/>
      <c r="K533" s="59"/>
      <c r="L533" s="9"/>
    </row>
    <row r="534" spans="1:12" ht="14.4" x14ac:dyDescent="0.25">
      <c r="A534" s="57" t="s">
        <v>124</v>
      </c>
      <c r="B534" s="9" t="s">
        <v>1557</v>
      </c>
      <c r="C534" s="9"/>
      <c r="D534" s="9"/>
      <c r="E534" s="9"/>
      <c r="F534" s="9"/>
      <c r="G534" s="9"/>
      <c r="H534" s="9"/>
      <c r="I534" s="9"/>
      <c r="J534" s="59"/>
      <c r="K534" s="59"/>
      <c r="L534" s="9"/>
    </row>
    <row r="535" spans="1:12" ht="14.4" x14ac:dyDescent="0.25">
      <c r="A535" s="49" t="s">
        <v>1144</v>
      </c>
      <c r="B535" s="678" t="s">
        <v>1528</v>
      </c>
      <c r="C535" s="679"/>
      <c r="D535" s="679"/>
      <c r="E535" s="679"/>
      <c r="F535" s="679"/>
      <c r="G535" s="679"/>
      <c r="H535" s="679"/>
      <c r="I535" s="679"/>
      <c r="J535" s="679"/>
      <c r="K535" s="679"/>
    </row>
    <row r="536" spans="1:12" ht="13.2" x14ac:dyDescent="0.3">
      <c r="B536" s="281" t="s">
        <v>24</v>
      </c>
      <c r="C536" s="281" t="s">
        <v>860</v>
      </c>
      <c r="D536" s="281" t="s">
        <v>862</v>
      </c>
      <c r="E536" s="281" t="s">
        <v>863</v>
      </c>
      <c r="F536" s="281" t="s">
        <v>1098</v>
      </c>
      <c r="G536" s="281" t="s">
        <v>1099</v>
      </c>
      <c r="H536" s="281" t="s">
        <v>1100</v>
      </c>
      <c r="I536" s="281" t="s">
        <v>151</v>
      </c>
      <c r="J536" s="281" t="s">
        <v>865</v>
      </c>
      <c r="K536" s="281" t="s">
        <v>1101</v>
      </c>
    </row>
    <row r="537" spans="1:12" ht="14.4" x14ac:dyDescent="0.25">
      <c r="B537" s="279" t="s">
        <v>34</v>
      </c>
      <c r="C537" s="151" t="str">
        <f>E514</f>
        <v>PTA</v>
      </c>
      <c r="D537" s="279" t="s">
        <v>878</v>
      </c>
      <c r="E537" s="279" t="s">
        <v>33</v>
      </c>
      <c r="F537" s="279" t="s">
        <v>35</v>
      </c>
      <c r="G537" s="279" t="s">
        <v>37</v>
      </c>
      <c r="H537" s="279"/>
      <c r="I537" s="279" t="s">
        <v>154</v>
      </c>
      <c r="J537" s="279"/>
      <c r="K537" s="279"/>
    </row>
    <row r="538" spans="1:12" ht="14.4" x14ac:dyDescent="0.25">
      <c r="B538" s="9"/>
      <c r="C538" s="9"/>
      <c r="D538" s="9"/>
      <c r="E538" s="9"/>
      <c r="F538" s="9"/>
      <c r="G538" s="9"/>
      <c r="H538" s="9"/>
      <c r="I538" s="9"/>
      <c r="J538" s="9"/>
      <c r="K538" s="9"/>
    </row>
    <row r="539" spans="1:12" ht="14.4" x14ac:dyDescent="0.25">
      <c r="A539" s="57" t="s">
        <v>124</v>
      </c>
      <c r="B539" s="9" t="s">
        <v>1557</v>
      </c>
      <c r="C539" s="9"/>
      <c r="D539" s="9"/>
      <c r="E539" s="9"/>
      <c r="F539" s="9"/>
      <c r="G539" s="9"/>
      <c r="H539" s="9"/>
      <c r="I539" s="9"/>
      <c r="J539" s="9"/>
      <c r="K539" s="9"/>
    </row>
    <row r="540" spans="1:12" ht="14.4" x14ac:dyDescent="0.25">
      <c r="A540" s="49" t="s">
        <v>1214</v>
      </c>
      <c r="B540" s="678" t="s">
        <v>1513</v>
      </c>
      <c r="C540" s="679"/>
      <c r="D540" s="679"/>
      <c r="E540" s="679"/>
      <c r="F540" s="679"/>
      <c r="G540" s="679"/>
      <c r="H540" s="679"/>
    </row>
    <row r="541" spans="1:12" ht="13.2" x14ac:dyDescent="0.3">
      <c r="B541" s="146" t="s">
        <v>22</v>
      </c>
      <c r="C541" s="146" t="s">
        <v>23</v>
      </c>
      <c r="D541" s="146" t="s">
        <v>24</v>
      </c>
      <c r="E541" s="146" t="s">
        <v>1207</v>
      </c>
      <c r="F541" s="146" t="s">
        <v>1208</v>
      </c>
      <c r="G541" s="146" t="s">
        <v>1209</v>
      </c>
      <c r="H541" s="146" t="s">
        <v>1210</v>
      </c>
    </row>
    <row r="542" spans="1:12" ht="14.4" x14ac:dyDescent="0.25">
      <c r="B542" s="279">
        <f>$B$2</f>
        <v>20180326</v>
      </c>
      <c r="C542" s="279" t="str">
        <f>$F$5</f>
        <v>9999</v>
      </c>
      <c r="D542" s="279" t="s">
        <v>1211</v>
      </c>
      <c r="E542" s="279" t="s">
        <v>154</v>
      </c>
      <c r="F542" s="152">
        <v>1</v>
      </c>
      <c r="G542" s="279" t="s">
        <v>163</v>
      </c>
      <c r="H542" s="152">
        <f>C199</f>
        <v>0.13450000000000001</v>
      </c>
    </row>
    <row r="543" spans="1:12" ht="14.4" x14ac:dyDescent="0.25">
      <c r="B543" s="412">
        <f>$B$2</f>
        <v>20180326</v>
      </c>
      <c r="C543" s="412" t="str">
        <f>$F$5</f>
        <v>9999</v>
      </c>
      <c r="D543" s="412" t="s">
        <v>1211</v>
      </c>
      <c r="E543" s="412" t="s">
        <v>1872</v>
      </c>
      <c r="F543" s="152">
        <v>1</v>
      </c>
      <c r="G543" s="412" t="s">
        <v>1866</v>
      </c>
      <c r="H543" s="152">
        <f>C201</f>
        <v>1.1337999999999999</v>
      </c>
    </row>
    <row r="544" spans="1:12" ht="14.4" x14ac:dyDescent="0.25">
      <c r="B544" s="412">
        <f>$B$2</f>
        <v>20180326</v>
      </c>
      <c r="C544" s="412" t="str">
        <f>$F$5</f>
        <v>9999</v>
      </c>
      <c r="D544" s="412" t="s">
        <v>1211</v>
      </c>
      <c r="E544" s="412" t="s">
        <v>1866</v>
      </c>
      <c r="F544" s="152">
        <v>1</v>
      </c>
      <c r="G544" s="412" t="s">
        <v>1872</v>
      </c>
      <c r="H544" s="152">
        <f>B201</f>
        <v>0.88200000000000001</v>
      </c>
    </row>
    <row r="545" spans="1:8" ht="14.4" x14ac:dyDescent="0.25">
      <c r="B545" s="279">
        <f>$B$2</f>
        <v>20180326</v>
      </c>
      <c r="C545" s="279" t="str">
        <f>$F$5</f>
        <v>9999</v>
      </c>
      <c r="D545" s="279" t="s">
        <v>1211</v>
      </c>
      <c r="E545" s="279" t="s">
        <v>163</v>
      </c>
      <c r="F545" s="152">
        <v>1</v>
      </c>
      <c r="G545" s="279" t="s">
        <v>154</v>
      </c>
      <c r="H545" s="152">
        <f>B199</f>
        <v>6.1234000000000002</v>
      </c>
    </row>
    <row r="546" spans="1:8" ht="14.4" x14ac:dyDescent="0.25">
      <c r="B546" s="9"/>
      <c r="C546" s="9"/>
      <c r="D546" s="9"/>
      <c r="E546" s="9"/>
      <c r="F546" s="59"/>
      <c r="G546" s="9"/>
      <c r="H546" s="59"/>
    </row>
    <row r="547" spans="1:8" ht="14.4" x14ac:dyDescent="0.25">
      <c r="A547" s="57" t="s">
        <v>124</v>
      </c>
      <c r="B547" s="9" t="s">
        <v>1557</v>
      </c>
    </row>
    <row r="548" spans="1:8" ht="14.4" x14ac:dyDescent="0.25">
      <c r="A548" s="49" t="s">
        <v>1215</v>
      </c>
      <c r="B548" s="690" t="s">
        <v>1824</v>
      </c>
      <c r="C548" s="691"/>
      <c r="D548" s="691"/>
      <c r="E548" s="691"/>
      <c r="F548" s="691"/>
      <c r="G548" s="691"/>
    </row>
    <row r="549" spans="1:8" ht="13.2" x14ac:dyDescent="0.3">
      <c r="B549" s="146" t="s">
        <v>23</v>
      </c>
      <c r="C549" s="146" t="s">
        <v>24</v>
      </c>
      <c r="D549" s="146" t="s">
        <v>1212</v>
      </c>
      <c r="E549" s="146" t="s">
        <v>1213</v>
      </c>
      <c r="F549" s="146" t="s">
        <v>1202</v>
      </c>
      <c r="G549" s="146" t="s">
        <v>94</v>
      </c>
    </row>
    <row r="550" spans="1:8" ht="14.4" x14ac:dyDescent="0.25">
      <c r="B550" s="150" t="str">
        <f>$F$5</f>
        <v>9999</v>
      </c>
      <c r="C550" s="150" t="s">
        <v>1211</v>
      </c>
      <c r="D550" s="150" t="s">
        <v>163</v>
      </c>
      <c r="E550" s="150" t="s">
        <v>154</v>
      </c>
      <c r="F550" s="152">
        <f>B204</f>
        <v>0.9</v>
      </c>
      <c r="G550" s="150"/>
    </row>
    <row r="551" spans="1:8" ht="14.4" x14ac:dyDescent="0.25">
      <c r="B551" s="412" t="str">
        <f t="shared" ref="B551:B552" si="262">$F$5</f>
        <v>9999</v>
      </c>
      <c r="C551" s="412" t="s">
        <v>1211</v>
      </c>
      <c r="D551" s="412" t="s">
        <v>1866</v>
      </c>
      <c r="E551" s="412" t="s">
        <v>1872</v>
      </c>
      <c r="F551" s="152">
        <f>B206</f>
        <v>0.9</v>
      </c>
      <c r="G551" s="412"/>
    </row>
    <row r="552" spans="1:8" ht="14.4" x14ac:dyDescent="0.25">
      <c r="B552" s="412" t="str">
        <f t="shared" si="262"/>
        <v>9999</v>
      </c>
      <c r="C552" s="412" t="s">
        <v>1211</v>
      </c>
      <c r="D552" s="412" t="s">
        <v>1872</v>
      </c>
      <c r="E552" s="412" t="s">
        <v>1866</v>
      </c>
      <c r="F552" s="152">
        <f>C206</f>
        <v>0.95</v>
      </c>
      <c r="G552" s="412"/>
    </row>
    <row r="553" spans="1:8" ht="14.4" x14ac:dyDescent="0.25">
      <c r="B553" s="150" t="str">
        <f>$F$5</f>
        <v>9999</v>
      </c>
      <c r="C553" s="150" t="s">
        <v>1211</v>
      </c>
      <c r="D553" s="150" t="s">
        <v>154</v>
      </c>
      <c r="E553" s="150" t="s">
        <v>163</v>
      </c>
      <c r="F553" s="152">
        <f>C204</f>
        <v>0.95</v>
      </c>
      <c r="G553" s="150"/>
    </row>
    <row r="555" spans="1:8" ht="14.4" x14ac:dyDescent="0.25">
      <c r="A555" s="57" t="s">
        <v>124</v>
      </c>
      <c r="B555" s="9" t="s">
        <v>1557</v>
      </c>
    </row>
    <row r="556" spans="1:8" ht="14.4" x14ac:dyDescent="0.25">
      <c r="A556" s="49" t="s">
        <v>1518</v>
      </c>
      <c r="B556" s="690" t="s">
        <v>1825</v>
      </c>
      <c r="C556" s="691"/>
      <c r="D556" s="691"/>
      <c r="E556" s="691"/>
      <c r="F556" s="691"/>
      <c r="G556" s="691"/>
    </row>
    <row r="557" spans="1:8" ht="13.2" x14ac:dyDescent="0.3">
      <c r="B557" s="146" t="s">
        <v>23</v>
      </c>
      <c r="C557" s="146" t="s">
        <v>24</v>
      </c>
      <c r="D557" s="146" t="s">
        <v>1212</v>
      </c>
      <c r="E557" s="146" t="s">
        <v>1213</v>
      </c>
      <c r="F557" s="146" t="s">
        <v>1202</v>
      </c>
      <c r="G557" s="146" t="s">
        <v>94</v>
      </c>
    </row>
    <row r="558" spans="1:8" ht="14.4" x14ac:dyDescent="0.25">
      <c r="B558" s="150" t="str">
        <f>$F$5</f>
        <v>9999</v>
      </c>
      <c r="C558" s="150" t="s">
        <v>1211</v>
      </c>
      <c r="D558" s="150" t="s">
        <v>163</v>
      </c>
      <c r="E558" s="150" t="s">
        <v>154</v>
      </c>
      <c r="F558" s="152">
        <f>B209</f>
        <v>0.8</v>
      </c>
      <c r="G558" s="150"/>
    </row>
    <row r="559" spans="1:8" ht="14.4" x14ac:dyDescent="0.25">
      <c r="B559" s="412" t="str">
        <f t="shared" ref="B559:B560" si="263">$F$5</f>
        <v>9999</v>
      </c>
      <c r="C559" s="412" t="s">
        <v>1211</v>
      </c>
      <c r="D559" s="412" t="s">
        <v>1866</v>
      </c>
      <c r="E559" s="412" t="s">
        <v>1872</v>
      </c>
      <c r="F559" s="152">
        <f>B211</f>
        <v>0.8</v>
      </c>
      <c r="G559" s="412"/>
    </row>
    <row r="560" spans="1:8" ht="14.4" x14ac:dyDescent="0.25">
      <c r="B560" s="412" t="str">
        <f t="shared" si="263"/>
        <v>9999</v>
      </c>
      <c r="C560" s="412" t="s">
        <v>1211</v>
      </c>
      <c r="D560" s="412" t="s">
        <v>1872</v>
      </c>
      <c r="E560" s="412" t="s">
        <v>1866</v>
      </c>
      <c r="F560" s="152">
        <f>C211</f>
        <v>0.85</v>
      </c>
      <c r="G560" s="412"/>
    </row>
    <row r="561" spans="1:11" ht="14.4" x14ac:dyDescent="0.25">
      <c r="B561" s="150" t="str">
        <f>$F$5</f>
        <v>9999</v>
      </c>
      <c r="C561" s="150" t="s">
        <v>1211</v>
      </c>
      <c r="D561" s="150" t="s">
        <v>154</v>
      </c>
      <c r="E561" s="150" t="s">
        <v>163</v>
      </c>
      <c r="F561" s="152">
        <f>C209</f>
        <v>0.85</v>
      </c>
      <c r="G561" s="150"/>
    </row>
    <row r="562" spans="1:11" ht="14.4" x14ac:dyDescent="0.25">
      <c r="B562" s="351"/>
      <c r="C562" s="351"/>
      <c r="D562" s="351"/>
      <c r="E562" s="351"/>
      <c r="F562" s="289"/>
      <c r="G562" s="351"/>
    </row>
    <row r="563" spans="1:11" ht="14.4" x14ac:dyDescent="0.25">
      <c r="A563" s="57" t="s">
        <v>124</v>
      </c>
      <c r="B563" s="9" t="s">
        <v>1557</v>
      </c>
      <c r="C563" s="9"/>
      <c r="D563" s="9"/>
      <c r="E563" s="9"/>
      <c r="F563" s="59"/>
      <c r="G563" s="9"/>
    </row>
    <row r="564" spans="1:11" ht="14.4" x14ac:dyDescent="0.25">
      <c r="A564" s="49" t="s">
        <v>1614</v>
      </c>
      <c r="B564" s="685" t="s">
        <v>1845</v>
      </c>
      <c r="C564" s="686"/>
      <c r="D564" s="686"/>
      <c r="E564" s="686"/>
      <c r="F564" s="686"/>
      <c r="G564" s="686"/>
      <c r="H564" s="686"/>
      <c r="I564" s="686"/>
      <c r="J564" s="686"/>
      <c r="K564" s="686"/>
    </row>
    <row r="565" spans="1:11" ht="13.2" x14ac:dyDescent="0.3">
      <c r="B565" s="146" t="s">
        <v>23</v>
      </c>
      <c r="C565" s="146" t="s">
        <v>1200</v>
      </c>
      <c r="D565" s="146" t="s">
        <v>1514</v>
      </c>
      <c r="E565" s="146" t="s">
        <v>996</v>
      </c>
      <c r="F565" s="146" t="s">
        <v>1515</v>
      </c>
      <c r="G565" s="146" t="s">
        <v>1202</v>
      </c>
      <c r="H565" s="146" t="s">
        <v>1516</v>
      </c>
      <c r="I565" s="146" t="s">
        <v>1517</v>
      </c>
      <c r="J565" s="146" t="s">
        <v>94</v>
      </c>
      <c r="K565" s="49" t="s">
        <v>1600</v>
      </c>
    </row>
    <row r="566" spans="1:11" ht="14.4" x14ac:dyDescent="0.25">
      <c r="B566" s="150" t="str">
        <f>$F$5</f>
        <v>9999</v>
      </c>
      <c r="C566" s="151" t="str">
        <f>E506</f>
        <v>SR</v>
      </c>
      <c r="D566" s="151" t="str">
        <f>E506</f>
        <v>SR</v>
      </c>
      <c r="E566" s="164">
        <v>4000</v>
      </c>
      <c r="F566" s="164">
        <v>1</v>
      </c>
      <c r="G566" s="152">
        <v>1</v>
      </c>
      <c r="H566" s="152">
        <v>1</v>
      </c>
      <c r="I566" s="150">
        <v>1</v>
      </c>
      <c r="J566" s="150"/>
      <c r="K566" s="49" t="s">
        <v>1601</v>
      </c>
    </row>
    <row r="567" spans="1:11" ht="14.4" x14ac:dyDescent="0.25">
      <c r="A567" s="224" t="s">
        <v>124</v>
      </c>
      <c r="B567" s="92" t="s">
        <v>1347</v>
      </c>
      <c r="C567" s="92"/>
    </row>
    <row r="568" spans="1:11" ht="14.4" x14ac:dyDescent="0.25">
      <c r="A568" s="224" t="s">
        <v>1348</v>
      </c>
      <c r="B568" s="131" t="s">
        <v>1349</v>
      </c>
      <c r="C568" s="92"/>
    </row>
    <row r="569" spans="1:11" ht="72" x14ac:dyDescent="0.25">
      <c r="A569" s="92"/>
      <c r="B569" s="226" t="s">
        <v>1357</v>
      </c>
      <c r="C569" s="92"/>
    </row>
    <row r="570" spans="1:11" ht="14.4" x14ac:dyDescent="0.25">
      <c r="A570" s="224" t="s">
        <v>1350</v>
      </c>
      <c r="B570" s="437" t="s">
        <v>1351</v>
      </c>
      <c r="C570" s="438"/>
    </row>
    <row r="571" spans="1:11" ht="14.4" x14ac:dyDescent="0.25">
      <c r="A571" s="92"/>
      <c r="B571" s="697">
        <v>20180326</v>
      </c>
      <c r="C571" s="698"/>
    </row>
    <row r="572" spans="1:11" ht="14.4" x14ac:dyDescent="0.25">
      <c r="A572" s="126"/>
      <c r="B572" s="523"/>
      <c r="C572" s="521"/>
    </row>
    <row r="573" spans="1:11" s="49" customFormat="1" x14ac:dyDescent="0.25">
      <c r="A573" s="49" t="s">
        <v>1918</v>
      </c>
      <c r="B573" s="49" t="s">
        <v>1919</v>
      </c>
    </row>
    <row r="574" spans="1:11" s="49" customFormat="1" ht="14.4" x14ac:dyDescent="0.25">
      <c r="A574" s="224" t="s">
        <v>1920</v>
      </c>
      <c r="B574" s="92" t="s">
        <v>1921</v>
      </c>
    </row>
    <row r="575" spans="1:11" s="49" customFormat="1" ht="14.4" x14ac:dyDescent="0.25">
      <c r="A575" s="224" t="s">
        <v>1922</v>
      </c>
      <c r="B575" s="131" t="s">
        <v>1923</v>
      </c>
    </row>
    <row r="576" spans="1:11" s="49" customFormat="1" ht="14.4" x14ac:dyDescent="0.25">
      <c r="A576" s="92"/>
      <c r="B576" s="225" t="s">
        <v>1924</v>
      </c>
    </row>
    <row r="577" spans="1:3" s="49" customFormat="1" ht="14.4" x14ac:dyDescent="0.25">
      <c r="A577" s="224" t="s">
        <v>1925</v>
      </c>
      <c r="B577" s="131" t="s">
        <v>1926</v>
      </c>
    </row>
    <row r="578" spans="1:3" s="49" customFormat="1" ht="14.4" x14ac:dyDescent="0.25">
      <c r="A578" s="92"/>
      <c r="B578" s="429">
        <v>20180327</v>
      </c>
    </row>
    <row r="579" spans="1:3" s="49" customFormat="1" ht="14.4" x14ac:dyDescent="0.25">
      <c r="A579" s="126"/>
      <c r="B579" s="522"/>
    </row>
    <row r="580" spans="1:3" s="49" customFormat="1" x14ac:dyDescent="0.25">
      <c r="A580" s="49" t="s">
        <v>1918</v>
      </c>
      <c r="B580" s="49" t="s">
        <v>1927</v>
      </c>
    </row>
    <row r="581" spans="1:3" s="49" customFormat="1" ht="14.4" x14ac:dyDescent="0.25">
      <c r="A581" s="224" t="s">
        <v>1920</v>
      </c>
      <c r="B581" s="92" t="s">
        <v>1921</v>
      </c>
    </row>
    <row r="582" spans="1:3" s="49" customFormat="1" ht="14.4" x14ac:dyDescent="0.25">
      <c r="A582" s="224" t="s">
        <v>1922</v>
      </c>
      <c r="B582" s="131" t="s">
        <v>1923</v>
      </c>
    </row>
    <row r="583" spans="1:3" s="49" customFormat="1" ht="14.4" x14ac:dyDescent="0.25">
      <c r="A583" s="92"/>
      <c r="B583" s="225" t="s">
        <v>2022</v>
      </c>
    </row>
    <row r="584" spans="1:3" s="49" customFormat="1" ht="14.4" x14ac:dyDescent="0.25">
      <c r="A584" s="224" t="s">
        <v>1925</v>
      </c>
      <c r="B584" s="131" t="s">
        <v>1926</v>
      </c>
    </row>
    <row r="585" spans="1:3" s="49" customFormat="1" ht="14.4" x14ac:dyDescent="0.25">
      <c r="A585" s="92"/>
      <c r="B585" s="429">
        <v>20180328</v>
      </c>
    </row>
    <row r="586" spans="1:3" s="49" customFormat="1" ht="14.4" x14ac:dyDescent="0.25">
      <c r="A586" s="92"/>
      <c r="B586" s="524"/>
    </row>
    <row r="587" spans="1:3" ht="14.4" x14ac:dyDescent="0.25">
      <c r="A587" s="224" t="s">
        <v>1352</v>
      </c>
      <c r="B587" s="92" t="s">
        <v>1353</v>
      </c>
      <c r="C587" s="92"/>
    </row>
    <row r="588" spans="1:3" ht="14.4" x14ac:dyDescent="0.25">
      <c r="A588" s="224" t="s">
        <v>1537</v>
      </c>
      <c r="B588" s="131" t="s">
        <v>1355</v>
      </c>
      <c r="C588" s="92"/>
    </row>
    <row r="589" spans="1:3" ht="75.599999999999994" customHeight="1" x14ac:dyDescent="0.25">
      <c r="A589" s="92"/>
      <c r="B589" s="226" t="s">
        <v>2044</v>
      </c>
      <c r="C589" s="92"/>
    </row>
    <row r="590" spans="1:3" ht="14.4" x14ac:dyDescent="0.25">
      <c r="A590" s="224" t="s">
        <v>1356</v>
      </c>
      <c r="B590" s="131" t="s">
        <v>1559</v>
      </c>
      <c r="C590" s="131"/>
    </row>
    <row r="591" spans="1:3" ht="14.4" x14ac:dyDescent="0.25">
      <c r="A591" s="92"/>
      <c r="B591" s="225">
        <v>1</v>
      </c>
      <c r="C591" s="225"/>
    </row>
    <row r="592" spans="1:3" ht="14.4" x14ac:dyDescent="0.25">
      <c r="A592" s="224" t="s">
        <v>1352</v>
      </c>
      <c r="B592" s="92" t="s">
        <v>1353</v>
      </c>
      <c r="C592" s="92"/>
    </row>
    <row r="593" spans="1:3" ht="14.4" x14ac:dyDescent="0.25">
      <c r="A593" s="224" t="s">
        <v>1354</v>
      </c>
      <c r="B593" s="131" t="s">
        <v>1355</v>
      </c>
      <c r="C593" s="92"/>
    </row>
    <row r="594" spans="1:3" ht="72.599999999999994" customHeight="1" x14ac:dyDescent="0.25">
      <c r="A594" s="92"/>
      <c r="B594" s="226" t="s">
        <v>2045</v>
      </c>
      <c r="C594" s="92"/>
    </row>
    <row r="595" spans="1:3" ht="14.4" x14ac:dyDescent="0.25">
      <c r="A595" s="224" t="s">
        <v>1356</v>
      </c>
      <c r="B595" s="131" t="s">
        <v>1559</v>
      </c>
      <c r="C595" s="131"/>
    </row>
    <row r="596" spans="1:3" ht="14.4" x14ac:dyDescent="0.25">
      <c r="A596" s="92"/>
      <c r="B596" s="225">
        <v>1</v>
      </c>
      <c r="C596" s="225"/>
    </row>
  </sheetData>
  <mergeCells count="39">
    <mergeCell ref="C217:F217"/>
    <mergeCell ref="G217:G218"/>
    <mergeCell ref="H217:H218"/>
    <mergeCell ref="B504:O504"/>
    <mergeCell ref="B571:C571"/>
    <mergeCell ref="C232:V232"/>
    <mergeCell ref="C237:M237"/>
    <mergeCell ref="C243:L243"/>
    <mergeCell ref="C249:H249"/>
    <mergeCell ref="C256:N256"/>
    <mergeCell ref="C262:I262"/>
    <mergeCell ref="B269:Q269"/>
    <mergeCell ref="I217:I218"/>
    <mergeCell ref="J217:J218"/>
    <mergeCell ref="B548:G548"/>
    <mergeCell ref="B540:H540"/>
    <mergeCell ref="B564:K564"/>
    <mergeCell ref="B433:M433"/>
    <mergeCell ref="B406:G406"/>
    <mergeCell ref="B416:K416"/>
    <mergeCell ref="B470:O470"/>
    <mergeCell ref="B527:L527"/>
    <mergeCell ref="B535:K535"/>
    <mergeCell ref="B520:L520"/>
    <mergeCell ref="B487:Q487"/>
    <mergeCell ref="B556:G556"/>
    <mergeCell ref="C222:F222"/>
    <mergeCell ref="B310:I310"/>
    <mergeCell ref="B329:I329"/>
    <mergeCell ref="J329:L329"/>
    <mergeCell ref="B399:L399"/>
    <mergeCell ref="B340:Q340"/>
    <mergeCell ref="B362:P362"/>
    <mergeCell ref="B351:K351"/>
    <mergeCell ref="B301:V301"/>
    <mergeCell ref="B371:T371"/>
    <mergeCell ref="B280:T280"/>
    <mergeCell ref="B288:S288"/>
    <mergeCell ref="B383:J383"/>
  </mergeCells>
  <phoneticPr fontId="2" type="noConversion"/>
  <hyperlinks>
    <hyperlink ref="B215"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L920"/>
  <sheetViews>
    <sheetView topLeftCell="A829" zoomScaleNormal="100" workbookViewId="0">
      <selection activeCell="U859" sqref="U859"/>
    </sheetView>
  </sheetViews>
  <sheetFormatPr defaultRowHeight="14.4" x14ac:dyDescent="0.25"/>
  <cols>
    <col min="1" max="1" width="14.88671875" style="126" customWidth="1"/>
    <col min="2" max="2" width="37.5546875" customWidth="1"/>
    <col min="3" max="3" width="24.44140625" customWidth="1"/>
    <col min="4" max="4" width="18.44140625" customWidth="1"/>
    <col min="5" max="5" width="21.88671875" customWidth="1"/>
    <col min="6" max="6" width="20.33203125" customWidth="1"/>
    <col min="7" max="7" width="17" customWidth="1"/>
    <col min="8" max="8" width="17.88671875" customWidth="1"/>
    <col min="9" max="9" width="20.88671875" customWidth="1"/>
    <col min="10" max="10" width="20.33203125" customWidth="1"/>
    <col min="11" max="11" width="15.77734375" customWidth="1"/>
    <col min="12" max="12" width="17.77734375" customWidth="1"/>
    <col min="13" max="13" width="18.77734375" customWidth="1"/>
    <col min="14" max="14" width="17.109375" customWidth="1"/>
    <col min="15" max="15" width="21.88671875" customWidth="1"/>
    <col min="16" max="16" width="18.77734375" customWidth="1"/>
    <col min="17" max="17" width="17.21875" customWidth="1"/>
    <col min="18" max="18" width="27" customWidth="1"/>
    <col min="19" max="19" width="22.44140625" customWidth="1"/>
    <col min="20" max="20" width="16.88671875" customWidth="1"/>
    <col min="21" max="21" width="17.88671875" customWidth="1"/>
    <col min="22" max="22" width="26" customWidth="1"/>
    <col min="23" max="23" width="18.6640625" customWidth="1"/>
    <col min="24" max="24" width="17.6640625" customWidth="1"/>
    <col min="25" max="25" width="18.44140625" customWidth="1"/>
    <col min="26" max="26" width="16.6640625" customWidth="1"/>
    <col min="27" max="27" width="22.44140625" customWidth="1"/>
    <col min="28" max="28" width="21.77734375" customWidth="1"/>
    <col min="29" max="29" width="23.77734375" customWidth="1"/>
    <col min="30" max="30" width="19" customWidth="1"/>
    <col min="31" max="31" width="22.77734375" customWidth="1"/>
    <col min="32" max="32" width="19.5546875" customWidth="1"/>
    <col min="33" max="33" width="13.88671875" customWidth="1"/>
    <col min="34" max="34" width="21.77734375" customWidth="1"/>
    <col min="35" max="35" width="18.33203125" customWidth="1"/>
    <col min="36" max="36" width="17.21875" customWidth="1"/>
    <col min="37" max="37" width="21.88671875" customWidth="1"/>
    <col min="38" max="38" width="17.44140625" customWidth="1"/>
    <col min="39" max="39" width="18.109375" customWidth="1"/>
    <col min="40" max="40" width="16.21875" customWidth="1"/>
    <col min="41" max="41" width="14.77734375" customWidth="1"/>
    <col min="42" max="42" width="23.44140625" customWidth="1"/>
    <col min="43" max="43" width="17.109375" customWidth="1"/>
    <col min="44" max="44" width="22.5546875" customWidth="1"/>
    <col min="45" max="45" width="26.109375" customWidth="1"/>
    <col min="46" max="46" width="30.6640625" customWidth="1"/>
    <col min="47" max="47" width="15.44140625" customWidth="1"/>
    <col min="48" max="48" width="17.77734375" customWidth="1"/>
    <col min="49" max="49" width="18.6640625" customWidth="1"/>
    <col min="50" max="50" width="15.6640625" customWidth="1"/>
    <col min="51" max="51" width="20.109375" customWidth="1"/>
    <col min="52" max="52" width="15.44140625" customWidth="1"/>
    <col min="53" max="53" width="19.109375" customWidth="1"/>
    <col min="54" max="54" width="20.6640625" customWidth="1"/>
    <col min="55" max="55" width="14" customWidth="1"/>
    <col min="56" max="56" width="16.88671875" customWidth="1"/>
    <col min="57" max="57" width="18.21875" customWidth="1"/>
    <col min="58" max="58" width="22.33203125" customWidth="1"/>
    <col min="59" max="59" width="23" customWidth="1"/>
    <col min="60" max="60" width="21" customWidth="1"/>
    <col min="61" max="61" width="26" customWidth="1"/>
    <col min="62" max="62" width="19.44140625" customWidth="1"/>
    <col min="63" max="63" width="17.88671875" customWidth="1"/>
    <col min="64" max="64" width="17.33203125" customWidth="1"/>
    <col min="65" max="65" width="16.33203125" customWidth="1"/>
    <col min="66" max="66" width="18" customWidth="1"/>
    <col min="67" max="67" width="17" customWidth="1"/>
    <col min="68" max="68" width="12.109375" customWidth="1"/>
    <col min="69" max="69" width="15.21875" customWidth="1"/>
    <col min="70" max="70" width="17.21875" customWidth="1"/>
    <col min="71" max="71" width="18.33203125" customWidth="1"/>
    <col min="72" max="72" width="22" customWidth="1"/>
    <col min="73" max="73" width="17" customWidth="1"/>
    <col min="74" max="74" width="16.109375" customWidth="1"/>
    <col min="75" max="75" width="14.33203125" customWidth="1"/>
    <col min="77" max="77" width="9.5546875" bestFit="1" customWidth="1"/>
    <col min="103" max="103" width="18.88671875" customWidth="1"/>
  </cols>
  <sheetData>
    <row r="1" spans="1:7" x14ac:dyDescent="0.25">
      <c r="A1" s="126" t="str">
        <f>data!A1</f>
        <v>comment</v>
      </c>
      <c r="B1" s="567" t="str">
        <f>data!B1</f>
        <v>交易日</v>
      </c>
      <c r="C1" s="567" t="s">
        <v>1838</v>
      </c>
      <c r="D1" s="93" t="s">
        <v>1841</v>
      </c>
      <c r="E1" s="93" t="s">
        <v>1842</v>
      </c>
      <c r="F1" s="93" t="s">
        <v>1229</v>
      </c>
      <c r="G1" s="93" t="s">
        <v>1230</v>
      </c>
    </row>
    <row r="2" spans="1:7" x14ac:dyDescent="0.25">
      <c r="A2" s="126" t="str">
        <f>data!A2</f>
        <v>comment</v>
      </c>
      <c r="B2" s="98">
        <f>C2</f>
        <v>20180326</v>
      </c>
      <c r="C2" s="98">
        <f>data!C2</f>
        <v>20180326</v>
      </c>
      <c r="D2" s="98">
        <f>data!D2</f>
        <v>20180327</v>
      </c>
      <c r="E2" s="98">
        <f>data!E2</f>
        <v>20180328</v>
      </c>
      <c r="F2" s="92">
        <f>B225+1</f>
        <v>2</v>
      </c>
      <c r="G2" s="92">
        <f>B230+1</f>
        <v>2</v>
      </c>
    </row>
    <row r="3" spans="1:7" x14ac:dyDescent="0.25">
      <c r="A3" s="126" t="str">
        <f>data!A3</f>
        <v>comment</v>
      </c>
      <c r="B3" s="568" t="s">
        <v>1837</v>
      </c>
      <c r="C3" s="382" t="s">
        <v>1838</v>
      </c>
      <c r="D3" s="382" t="s">
        <v>1839</v>
      </c>
      <c r="E3" s="382" t="s">
        <v>1840</v>
      </c>
    </row>
    <row r="4" spans="1:7" x14ac:dyDescent="0.25">
      <c r="A4" s="126" t="str">
        <f>data!A4</f>
        <v>comment</v>
      </c>
      <c r="B4" s="569">
        <f>WORKDAY(C4,-1)</f>
        <v>43182</v>
      </c>
      <c r="C4" s="402" t="str">
        <f>TEXT(TEXT(B2,"0000-00-00"),"e/mm/dd")</f>
        <v>2018/03/26</v>
      </c>
      <c r="D4" s="402">
        <f>WORKDAY(C4,1)</f>
        <v>43186</v>
      </c>
      <c r="E4" s="402">
        <f>WORKDAY(D4,1)</f>
        <v>43187</v>
      </c>
    </row>
    <row r="5" spans="1:7" x14ac:dyDescent="0.25">
      <c r="A5" s="126" t="str">
        <f>data!A5</f>
        <v>comment</v>
      </c>
      <c r="B5" s="126"/>
      <c r="C5" s="126"/>
      <c r="D5" s="126"/>
    </row>
    <row r="6" spans="1:7" x14ac:dyDescent="0.25">
      <c r="A6" s="126" t="str">
        <f>data!A3</f>
        <v>comment</v>
      </c>
      <c r="B6" t="str">
        <f>data!B3</f>
        <v>投资者信息</v>
      </c>
    </row>
    <row r="7" spans="1:7" x14ac:dyDescent="0.25">
      <c r="A7" s="126" t="str">
        <f>data!A4</f>
        <v>comment</v>
      </c>
      <c r="B7" s="567" t="str">
        <f>data!B4</f>
        <v>投资者代码</v>
      </c>
      <c r="C7" s="93" t="str">
        <f>data!C4</f>
        <v>投资单元</v>
      </c>
      <c r="D7" s="93" t="str">
        <f>data!D4</f>
        <v>资金账号</v>
      </c>
      <c r="E7" s="93" t="str">
        <f>data!E4</f>
        <v xml:space="preserve"> 币种代码</v>
      </c>
      <c r="F7" s="93" t="str">
        <f>data!F4</f>
        <v>经纪公司</v>
      </c>
      <c r="G7" s="93" t="str">
        <f>data!G4</f>
        <v>交易编码</v>
      </c>
    </row>
    <row r="8" spans="1:7" x14ac:dyDescent="0.25">
      <c r="A8" s="126" t="str">
        <f>data!A5</f>
        <v>comment</v>
      </c>
      <c r="B8" s="98" t="str">
        <f>data!B5</f>
        <v>6001</v>
      </c>
      <c r="C8" s="92" t="str">
        <f>data!C5</f>
        <v>B00101</v>
      </c>
      <c r="D8" s="92" t="str">
        <f>data!D5</f>
        <v>6001</v>
      </c>
      <c r="E8" s="92" t="str">
        <f>data!E5</f>
        <v>CNY</v>
      </c>
      <c r="F8" s="111" t="str">
        <f>data!F5</f>
        <v>9999</v>
      </c>
      <c r="G8" s="111" t="str">
        <f>data!G5</f>
        <v>50010001</v>
      </c>
    </row>
    <row r="9" spans="1:7" x14ac:dyDescent="0.25">
      <c r="A9" s="126" t="str">
        <f>data!A6</f>
        <v>comment</v>
      </c>
      <c r="B9" s="98" t="str">
        <f>data!B6</f>
        <v>6001</v>
      </c>
      <c r="C9" s="92" t="str">
        <f>data!C6</f>
        <v>B00102</v>
      </c>
      <c r="D9" s="92" t="str">
        <f>data!D6</f>
        <v>6001</v>
      </c>
      <c r="E9" s="92" t="str">
        <f>data!E6</f>
        <v>CNY</v>
      </c>
      <c r="F9" s="111" t="str">
        <f>data!F6</f>
        <v>9999</v>
      </c>
      <c r="G9" s="111" t="str">
        <f>data!G6</f>
        <v>50010002</v>
      </c>
    </row>
    <row r="10" spans="1:7" x14ac:dyDescent="0.25">
      <c r="A10" s="126" t="str">
        <f>data!A7</f>
        <v>comment</v>
      </c>
      <c r="B10" t="str">
        <f>data!B7</f>
        <v>资金账号</v>
      </c>
    </row>
    <row r="11" spans="1:7" x14ac:dyDescent="0.25">
      <c r="A11" s="126" t="str">
        <f>data!A8</f>
        <v>comment</v>
      </c>
      <c r="B11" s="567" t="str">
        <f>data!B8</f>
        <v>投资者代码</v>
      </c>
      <c r="C11" s="93" t="str">
        <f>data!C8</f>
        <v>资金账号</v>
      </c>
      <c r="D11" s="93" t="str">
        <f>data!D8</f>
        <v>币种代码</v>
      </c>
    </row>
    <row r="12" spans="1:7" x14ac:dyDescent="0.25">
      <c r="A12" s="126" t="str">
        <f>data!A9</f>
        <v>comment</v>
      </c>
      <c r="B12" s="98" t="str">
        <f>data!B9</f>
        <v>6001</v>
      </c>
      <c r="C12" s="92" t="str">
        <f>data!C9</f>
        <v>6001</v>
      </c>
      <c r="D12" s="92" t="str">
        <f>data!D9</f>
        <v>CNY</v>
      </c>
    </row>
    <row r="13" spans="1:7" x14ac:dyDescent="0.25">
      <c r="A13" s="126" t="str">
        <f>data!A10</f>
        <v>comment</v>
      </c>
      <c r="B13" s="98" t="str">
        <f>data!B10</f>
        <v>6001</v>
      </c>
      <c r="C13" s="92" t="str">
        <f>data!C10</f>
        <v>6001</v>
      </c>
      <c r="D13" s="92" t="str">
        <f>data!D10</f>
        <v>HKD</v>
      </c>
    </row>
    <row r="14" spans="1:7" x14ac:dyDescent="0.25">
      <c r="A14" s="126" t="str">
        <f>data!A11</f>
        <v>comment</v>
      </c>
      <c r="B14" s="98" t="str">
        <f>data!B11</f>
        <v>6001</v>
      </c>
      <c r="C14" s="92" t="str">
        <f>data!C11</f>
        <v>6001</v>
      </c>
      <c r="D14" s="92" t="str">
        <f>data!D11</f>
        <v>USD</v>
      </c>
    </row>
    <row r="15" spans="1:7" x14ac:dyDescent="0.25">
      <c r="A15" s="126" t="str">
        <f>data!A12</f>
        <v>comment</v>
      </c>
      <c r="B15" t="str">
        <f>data!B12</f>
        <v>交易所资金账号</v>
      </c>
    </row>
    <row r="16" spans="1:7" x14ac:dyDescent="0.25">
      <c r="A16" s="126" t="str">
        <f>data!A13</f>
        <v>comment</v>
      </c>
      <c r="B16" s="567" t="str">
        <f>data!B13</f>
        <v>交易所代码</v>
      </c>
      <c r="C16" s="93" t="str">
        <f>data!C13</f>
        <v>交易所账号</v>
      </c>
      <c r="D16" s="93" t="str">
        <f>data!D13</f>
        <v>币种代码</v>
      </c>
    </row>
    <row r="17" spans="1:13" x14ac:dyDescent="0.25">
      <c r="A17" s="126" t="str">
        <f>data!A14</f>
        <v>comment</v>
      </c>
      <c r="B17" s="98" t="str">
        <f>data!B14</f>
        <v>CZCE</v>
      </c>
      <c r="C17" s="92">
        <f>data!C14</f>
        <v>99990201</v>
      </c>
      <c r="D17" s="92" t="str">
        <f>data!D14</f>
        <v>CNY</v>
      </c>
    </row>
    <row r="18" spans="1:13" x14ac:dyDescent="0.25">
      <c r="A18" s="126" t="str">
        <f>data!A15</f>
        <v>comment</v>
      </c>
      <c r="B18" s="98" t="str">
        <f>data!B15</f>
        <v>CZCE</v>
      </c>
      <c r="C18" s="92">
        <f>data!C15</f>
        <v>99990203</v>
      </c>
      <c r="D18" s="92" t="str">
        <f>data!D15</f>
        <v>HKD</v>
      </c>
    </row>
    <row r="19" spans="1:13" x14ac:dyDescent="0.25">
      <c r="A19" s="126" t="str">
        <f>data!A16</f>
        <v>comment</v>
      </c>
      <c r="B19" s="98" t="str">
        <f>data!B16</f>
        <v>CZCE</v>
      </c>
      <c r="C19" s="92">
        <f>data!C16</f>
        <v>99990202</v>
      </c>
      <c r="D19" s="92" t="str">
        <f>data!D16</f>
        <v>USD</v>
      </c>
    </row>
    <row r="20" spans="1:13" x14ac:dyDescent="0.25">
      <c r="A20" s="126" t="str">
        <f>data!A17</f>
        <v>comment</v>
      </c>
      <c r="B20" t="str">
        <f>data!B17</f>
        <v>产品合约</v>
      </c>
    </row>
    <row r="21" spans="1:13" x14ac:dyDescent="0.25">
      <c r="A21" s="126" t="str">
        <f>data!A18</f>
        <v>comment</v>
      </c>
      <c r="B21" s="567" t="str">
        <f>data!B18</f>
        <v>交易所</v>
      </c>
      <c r="C21" s="93" t="str">
        <f>data!C18</f>
        <v>合约</v>
      </c>
      <c r="D21" s="93" t="str">
        <f>data!D18</f>
        <v>品种</v>
      </c>
      <c r="E21" s="93" t="str">
        <f>data!E18</f>
        <v>合约乘数</v>
      </c>
      <c r="F21" s="93" t="str">
        <f>data!F18</f>
        <v>到期日</v>
      </c>
      <c r="G21" s="93">
        <f>data!G18</f>
        <v>2</v>
      </c>
      <c r="H21" s="93" t="str">
        <f>data!H18</f>
        <v>看涨看跌0：涨，1：跌</v>
      </c>
      <c r="I21" s="93" t="str">
        <f>data!I18</f>
        <v>标的期货合约</v>
      </c>
      <c r="J21" s="93" t="str">
        <f>data!J18</f>
        <v>执行价格</v>
      </c>
      <c r="K21" s="93" t="str">
        <f>data!K18</f>
        <v>是否特殊品种:0正常,1 特殊</v>
      </c>
      <c r="L21" s="93" t="str">
        <f>data!L18</f>
        <v>品种类型</v>
      </c>
      <c r="M21" s="93" t="str">
        <f>data!M18</f>
        <v>基础商品乘数</v>
      </c>
    </row>
    <row r="22" spans="1:13" x14ac:dyDescent="0.25">
      <c r="A22" s="126" t="str">
        <f>data!A19</f>
        <v>comment</v>
      </c>
      <c r="B22" s="98" t="str">
        <f>data!B19</f>
        <v>CZCE</v>
      </c>
      <c r="C22" s="92" t="str">
        <f>data!C19</f>
        <v>SR807</v>
      </c>
      <c r="D22" s="92" t="str">
        <f>data!D19</f>
        <v>SR</v>
      </c>
      <c r="E22" s="92">
        <f>data!E19</f>
        <v>10</v>
      </c>
      <c r="F22" s="92">
        <f>data!F19</f>
        <v>20180328</v>
      </c>
      <c r="G22" s="92">
        <f>data!G19</f>
        <v>1</v>
      </c>
      <c r="H22" s="92">
        <f>data!H19</f>
        <v>9</v>
      </c>
      <c r="I22" s="92" t="str">
        <f>data!I19</f>
        <v>SR807</v>
      </c>
      <c r="J22" s="92"/>
      <c r="K22" s="111">
        <f>data!K19</f>
        <v>0</v>
      </c>
      <c r="L22" s="93">
        <f>data!L19</f>
        <v>0</v>
      </c>
      <c r="M22" s="93">
        <f>data!M19</f>
        <v>1</v>
      </c>
    </row>
    <row r="23" spans="1:13" x14ac:dyDescent="0.25">
      <c r="A23" s="126" t="str">
        <f>data!A20</f>
        <v>comment</v>
      </c>
      <c r="B23" s="98" t="str">
        <f>data!B20</f>
        <v>CZCE</v>
      </c>
      <c r="C23" s="92" t="str">
        <f>data!C20</f>
        <v>SR809</v>
      </c>
      <c r="D23" s="92" t="str">
        <f>data!D20</f>
        <v>SR</v>
      </c>
      <c r="E23" s="92">
        <f>data!E20</f>
        <v>10</v>
      </c>
      <c r="F23" s="92">
        <f>data!F20</f>
        <v>20180333</v>
      </c>
      <c r="G23" s="92">
        <f>data!G20</f>
        <v>1</v>
      </c>
      <c r="H23" s="92">
        <f>data!H20</f>
        <v>9</v>
      </c>
      <c r="I23" s="92" t="str">
        <f>data!I20</f>
        <v>SR809</v>
      </c>
      <c r="J23" s="92"/>
      <c r="K23" s="111">
        <f>data!K20</f>
        <v>0</v>
      </c>
      <c r="L23" s="93">
        <f>data!L20</f>
        <v>0</v>
      </c>
      <c r="M23" s="93">
        <f>data!M20</f>
        <v>1</v>
      </c>
    </row>
    <row r="24" spans="1:13" x14ac:dyDescent="0.25">
      <c r="A24" s="126" t="str">
        <f>data!A21</f>
        <v>comment</v>
      </c>
      <c r="B24" s="98" t="str">
        <f>data!B21</f>
        <v>CZCE</v>
      </c>
      <c r="C24" s="92" t="str">
        <f>data!C21</f>
        <v>OI811</v>
      </c>
      <c r="D24" s="92" t="str">
        <f>data!D21</f>
        <v>OI</v>
      </c>
      <c r="E24" s="92">
        <f>data!E21</f>
        <v>10</v>
      </c>
      <c r="F24" s="92">
        <f>data!F21</f>
        <v>20180333</v>
      </c>
      <c r="G24" s="92">
        <f>data!G21</f>
        <v>1</v>
      </c>
      <c r="H24" s="92">
        <f>data!H21</f>
        <v>9</v>
      </c>
      <c r="I24" s="92" t="str">
        <f>data!I21</f>
        <v>OI811</v>
      </c>
      <c r="J24" s="92"/>
      <c r="K24" s="111">
        <f>data!K21</f>
        <v>0</v>
      </c>
      <c r="L24" s="93">
        <f>data!L21</f>
        <v>0</v>
      </c>
      <c r="M24" s="93">
        <f>data!M21</f>
        <v>1</v>
      </c>
    </row>
    <row r="25" spans="1:13" x14ac:dyDescent="0.25">
      <c r="A25" s="126" t="str">
        <f>data!A22</f>
        <v>comment</v>
      </c>
      <c r="B25" s="98" t="str">
        <f>data!B22</f>
        <v>CZCE</v>
      </c>
      <c r="C25" s="92" t="str">
        <f>data!C22</f>
        <v>PTA807</v>
      </c>
      <c r="D25" s="92" t="str">
        <f>data!D22</f>
        <v>PTA</v>
      </c>
      <c r="E25" s="92">
        <f>data!E22</f>
        <v>5</v>
      </c>
      <c r="F25" s="92">
        <f>data!F22</f>
        <v>20180328</v>
      </c>
      <c r="G25" s="92">
        <f>data!G22</f>
        <v>1</v>
      </c>
      <c r="H25" s="92">
        <f>data!H22</f>
        <v>9</v>
      </c>
      <c r="I25" s="92" t="str">
        <f>data!I22</f>
        <v>PTA807</v>
      </c>
      <c r="J25" s="92"/>
      <c r="K25" s="111">
        <f>data!K22</f>
        <v>1</v>
      </c>
      <c r="L25" s="93">
        <f>data!L22</f>
        <v>0</v>
      </c>
      <c r="M25" s="93">
        <f>data!M22</f>
        <v>1</v>
      </c>
    </row>
    <row r="26" spans="1:13" x14ac:dyDescent="0.25">
      <c r="A26" s="126" t="str">
        <f>data!A23</f>
        <v>comment</v>
      </c>
      <c r="B26" s="98" t="str">
        <f>data!B23</f>
        <v>CZCE</v>
      </c>
      <c r="C26" s="92" t="str">
        <f>data!C23</f>
        <v>PTA809</v>
      </c>
      <c r="D26" s="92" t="str">
        <f>data!D23</f>
        <v>PTA</v>
      </c>
      <c r="E26" s="92">
        <f>data!E23</f>
        <v>5</v>
      </c>
      <c r="F26" s="92">
        <f>data!F23</f>
        <v>20180333</v>
      </c>
      <c r="G26" s="92">
        <f>data!G23</f>
        <v>1</v>
      </c>
      <c r="H26" s="92">
        <f>data!H23</f>
        <v>9</v>
      </c>
      <c r="I26" s="92" t="str">
        <f>data!I23</f>
        <v>PTA809</v>
      </c>
      <c r="J26" s="92"/>
      <c r="K26" s="111">
        <f>data!K23</f>
        <v>1</v>
      </c>
      <c r="L26" s="93">
        <f>data!L23</f>
        <v>0</v>
      </c>
      <c r="M26" s="93">
        <f>data!M23</f>
        <v>1</v>
      </c>
    </row>
    <row r="27" spans="1:13" x14ac:dyDescent="0.25">
      <c r="A27" s="126" t="str">
        <f>data!A24</f>
        <v>comment</v>
      </c>
      <c r="B27" s="98" t="str">
        <f>data!B24</f>
        <v>CZCE</v>
      </c>
      <c r="C27" s="92" t="str">
        <f>data!C24</f>
        <v>PTA807C6500</v>
      </c>
      <c r="D27" s="92" t="str">
        <f>data!D24</f>
        <v>PTAC</v>
      </c>
      <c r="E27" s="92">
        <f>data!E24</f>
        <v>5</v>
      </c>
      <c r="F27" s="92">
        <f>data!F24</f>
        <v>20180328</v>
      </c>
      <c r="G27" s="92">
        <f>data!G24</f>
        <v>2</v>
      </c>
      <c r="H27" s="92">
        <f>data!H24</f>
        <v>0</v>
      </c>
      <c r="I27" s="92" t="str">
        <f>data!I24</f>
        <v>PTA807</v>
      </c>
      <c r="J27" s="92">
        <f>data!J24</f>
        <v>6500</v>
      </c>
      <c r="K27" s="111">
        <f>data!K24</f>
        <v>0</v>
      </c>
      <c r="L27" s="93">
        <f>data!L24</f>
        <v>1</v>
      </c>
      <c r="M27" s="93">
        <f>data!M24</f>
        <v>1</v>
      </c>
    </row>
    <row r="28" spans="1:13" x14ac:dyDescent="0.25">
      <c r="A28" s="126" t="str">
        <f>data!A25</f>
        <v>comment</v>
      </c>
      <c r="B28" s="98" t="str">
        <f>data!B25</f>
        <v>CZCE</v>
      </c>
      <c r="C28" s="92" t="str">
        <f>data!C25</f>
        <v>PTA807P6200</v>
      </c>
      <c r="D28" s="92" t="str">
        <f>data!D25</f>
        <v>PTAP</v>
      </c>
      <c r="E28" s="92">
        <f>data!E25</f>
        <v>5</v>
      </c>
      <c r="F28" s="92">
        <f>data!F25</f>
        <v>20180328</v>
      </c>
      <c r="G28" s="92">
        <f>data!G25</f>
        <v>2</v>
      </c>
      <c r="H28" s="92">
        <f>data!H25</f>
        <v>1</v>
      </c>
      <c r="I28" s="92" t="str">
        <f>data!I25</f>
        <v>PTA807</v>
      </c>
      <c r="J28" s="92">
        <f>data!J25</f>
        <v>6200</v>
      </c>
      <c r="K28" s="111">
        <f>data!K25</f>
        <v>0</v>
      </c>
      <c r="L28" s="93">
        <f>data!L25</f>
        <v>1</v>
      </c>
      <c r="M28" s="93">
        <f>data!M25</f>
        <v>1</v>
      </c>
    </row>
    <row r="29" spans="1:13" x14ac:dyDescent="0.25">
      <c r="A29" s="126" t="str">
        <f>data!A26</f>
        <v>comment</v>
      </c>
      <c r="B29" s="98" t="str">
        <f>data!B26</f>
        <v>CZCE</v>
      </c>
      <c r="C29" s="92" t="str">
        <f>data!C26</f>
        <v>PTA807P6500</v>
      </c>
      <c r="D29" s="92" t="str">
        <f>data!D26</f>
        <v>PTAP</v>
      </c>
      <c r="E29" s="92">
        <f>data!E26</f>
        <v>5</v>
      </c>
      <c r="F29" s="92">
        <f>data!F26</f>
        <v>20180328</v>
      </c>
      <c r="G29" s="92">
        <f>data!G26</f>
        <v>2</v>
      </c>
      <c r="H29" s="92">
        <f>data!H26</f>
        <v>1</v>
      </c>
      <c r="I29" s="92" t="str">
        <f>data!I26</f>
        <v>PTA807</v>
      </c>
      <c r="J29" s="92">
        <f>data!J26</f>
        <v>6500</v>
      </c>
      <c r="K29" s="111">
        <f>data!K26</f>
        <v>0</v>
      </c>
      <c r="L29" s="93">
        <f>data!L26</f>
        <v>1</v>
      </c>
      <c r="M29" s="93">
        <f>data!M26</f>
        <v>1</v>
      </c>
    </row>
    <row r="30" spans="1:13" x14ac:dyDescent="0.25">
      <c r="A30" s="126" t="str">
        <f>data!A27</f>
        <v>comment</v>
      </c>
      <c r="B30" s="98" t="str">
        <f>data!B27</f>
        <v>CZCE</v>
      </c>
      <c r="C30" s="92" t="str">
        <f>data!C27</f>
        <v>SR807C6500</v>
      </c>
      <c r="D30" s="92" t="str">
        <f>data!D27</f>
        <v>SRC</v>
      </c>
      <c r="E30" s="92">
        <f>data!E27</f>
        <v>10</v>
      </c>
      <c r="F30" s="92">
        <f>data!F27</f>
        <v>20180327</v>
      </c>
      <c r="G30" s="92">
        <f>data!G27</f>
        <v>2</v>
      </c>
      <c r="H30" s="92">
        <f>data!H27</f>
        <v>0</v>
      </c>
      <c r="I30" s="92" t="str">
        <f>data!I27</f>
        <v>SR807</v>
      </c>
      <c r="J30" s="92">
        <f>data!J27</f>
        <v>6500</v>
      </c>
      <c r="K30" s="111">
        <f>data!K27</f>
        <v>0</v>
      </c>
      <c r="L30" s="93">
        <f>data!L27</f>
        <v>1</v>
      </c>
      <c r="M30" s="93">
        <f>data!M27</f>
        <v>1</v>
      </c>
    </row>
    <row r="31" spans="1:13" x14ac:dyDescent="0.25">
      <c r="A31" s="126" t="str">
        <f>data!A28</f>
        <v>comment</v>
      </c>
      <c r="B31" s="98" t="str">
        <f>data!B28</f>
        <v>CZCE</v>
      </c>
      <c r="C31" s="92" t="str">
        <f>data!C28</f>
        <v>SR807P6500</v>
      </c>
      <c r="D31" s="92" t="str">
        <f>data!D28</f>
        <v>SRP</v>
      </c>
      <c r="E31" s="92">
        <f>data!E28</f>
        <v>10</v>
      </c>
      <c r="F31" s="92">
        <f>data!F28</f>
        <v>20180327</v>
      </c>
      <c r="G31" s="92">
        <f>data!G28</f>
        <v>2</v>
      </c>
      <c r="H31" s="92">
        <f>data!H28</f>
        <v>1</v>
      </c>
      <c r="I31" s="92" t="str">
        <f>data!I28</f>
        <v>SR807</v>
      </c>
      <c r="J31" s="92">
        <f>data!J28</f>
        <v>6500</v>
      </c>
      <c r="K31" s="111">
        <f>data!K28</f>
        <v>0</v>
      </c>
      <c r="L31" s="93">
        <f>data!L28</f>
        <v>1</v>
      </c>
      <c r="M31" s="93">
        <f>data!M28</f>
        <v>1</v>
      </c>
    </row>
    <row r="32" spans="1:13" x14ac:dyDescent="0.25">
      <c r="A32" s="126" t="str">
        <f>data!A29</f>
        <v>comment</v>
      </c>
      <c r="B32" s="98" t="str">
        <f>data!B29</f>
        <v>CZCE</v>
      </c>
      <c r="C32" s="92" t="str">
        <f>data!C29</f>
        <v>SR807P6400</v>
      </c>
      <c r="D32" s="92" t="str">
        <f>data!D29</f>
        <v>SRP</v>
      </c>
      <c r="E32" s="92">
        <f>data!E29</f>
        <v>10</v>
      </c>
      <c r="F32" s="92">
        <f>data!F29</f>
        <v>20180327</v>
      </c>
      <c r="G32" s="92">
        <f>data!G29</f>
        <v>2</v>
      </c>
      <c r="H32" s="92">
        <f>data!H29</f>
        <v>1</v>
      </c>
      <c r="I32" s="92" t="str">
        <f>data!I29</f>
        <v>SR807</v>
      </c>
      <c r="J32" s="92">
        <f>data!J29</f>
        <v>6400</v>
      </c>
      <c r="K32" s="111">
        <f>data!K29</f>
        <v>0</v>
      </c>
      <c r="L32" s="93">
        <f>data!L29</f>
        <v>1</v>
      </c>
      <c r="M32" s="93">
        <f>data!M29</f>
        <v>1</v>
      </c>
    </row>
    <row r="33" spans="1:13" s="294" customFormat="1" x14ac:dyDescent="0.25">
      <c r="A33" s="296" t="str">
        <f>data!A30</f>
        <v>comment</v>
      </c>
      <c r="B33" s="570" t="str">
        <f>data!B30</f>
        <v>CZCE</v>
      </c>
      <c r="C33" s="295" t="str">
        <f>data!C30</f>
        <v>SR809C6600</v>
      </c>
      <c r="D33" s="295" t="str">
        <f>data!D30</f>
        <v>SRC</v>
      </c>
      <c r="E33" s="295">
        <f>data!E30</f>
        <v>10</v>
      </c>
      <c r="F33" s="295">
        <f>data!F30</f>
        <v>20180332</v>
      </c>
      <c r="G33" s="295">
        <f>data!G30</f>
        <v>2</v>
      </c>
      <c r="H33" s="295">
        <f>data!H30</f>
        <v>0</v>
      </c>
      <c r="I33" s="295" t="str">
        <f>data!I30</f>
        <v>SR809</v>
      </c>
      <c r="J33" s="295">
        <f>data!J30</f>
        <v>6600</v>
      </c>
      <c r="K33" s="295">
        <f>data!K30</f>
        <v>0</v>
      </c>
      <c r="L33" s="295">
        <f>data!L30</f>
        <v>1</v>
      </c>
      <c r="M33" s="295">
        <f>data!M30</f>
        <v>1</v>
      </c>
    </row>
    <row r="34" spans="1:13" x14ac:dyDescent="0.25">
      <c r="A34" s="126" t="str">
        <f>data!A31</f>
        <v>comment</v>
      </c>
      <c r="B34" s="98" t="str">
        <f>data!B31</f>
        <v>CZCE</v>
      </c>
      <c r="C34" s="92" t="str">
        <f>data!C31</f>
        <v>SR809C6500</v>
      </c>
      <c r="D34" s="92" t="str">
        <f>data!D31</f>
        <v>SRC</v>
      </c>
      <c r="E34" s="92">
        <f>data!E31</f>
        <v>10</v>
      </c>
      <c r="F34" s="92">
        <f>data!F31</f>
        <v>20180327</v>
      </c>
      <c r="G34" s="92">
        <f>data!G31</f>
        <v>0</v>
      </c>
      <c r="H34" s="92">
        <f>data!H31</f>
        <v>0</v>
      </c>
      <c r="I34" s="92" t="str">
        <f>data!I31</f>
        <v>SR809</v>
      </c>
      <c r="J34" s="92">
        <f>data!J31</f>
        <v>6500</v>
      </c>
      <c r="K34" s="111">
        <f>data!K31</f>
        <v>0</v>
      </c>
      <c r="L34" s="93">
        <f>data!L31</f>
        <v>1</v>
      </c>
      <c r="M34" s="93">
        <f>data!M31</f>
        <v>1</v>
      </c>
    </row>
    <row r="35" spans="1:13" x14ac:dyDescent="0.25">
      <c r="A35" s="126" t="str">
        <f>data!A32</f>
        <v>comment</v>
      </c>
      <c r="B35" s="567" t="str">
        <f>data!B32</f>
        <v>交易所</v>
      </c>
      <c r="C35" s="93" t="str">
        <f>data!C32</f>
        <v>组合合约</v>
      </c>
      <c r="D35" s="93" t="str">
        <f>data!D32</f>
        <v>组合类型</v>
      </c>
      <c r="E35" s="93" t="str">
        <f>data!E32</f>
        <v>组合方向</v>
      </c>
      <c r="F35" s="93" t="str">
        <f>data!F32</f>
        <v>左腿合约</v>
      </c>
      <c r="G35" s="93" t="str">
        <f>data!G32</f>
        <v>左腿方向</v>
      </c>
      <c r="H35" s="93" t="str">
        <f>data!H32</f>
        <v>右腿合约</v>
      </c>
      <c r="I35" s="93" t="str">
        <f>data!I32</f>
        <v>右腿方向</v>
      </c>
      <c r="J35" s="93" t="str">
        <f>data!J32</f>
        <v>组合类型</v>
      </c>
      <c r="K35" s="167"/>
      <c r="L35" s="167"/>
    </row>
    <row r="36" spans="1:13" x14ac:dyDescent="0.25">
      <c r="A36" s="126" t="str">
        <f>data!A33</f>
        <v>comment</v>
      </c>
      <c r="B36" s="98" t="str">
        <f>data!B33</f>
        <v>CZCE</v>
      </c>
      <c r="C36" s="92" t="str">
        <f>data!C33</f>
        <v>SR807&amp;SR809</v>
      </c>
      <c r="D36" s="92" t="str">
        <f>data!D33</f>
        <v>同品种跨期</v>
      </c>
      <c r="E36" s="92">
        <f>data!E33</f>
        <v>0</v>
      </c>
      <c r="F36" s="92" t="str">
        <f>data!F33</f>
        <v>SR807</v>
      </c>
      <c r="G36" s="92">
        <f>data!G33</f>
        <v>0</v>
      </c>
      <c r="H36" s="92" t="str">
        <f>data!H33</f>
        <v>SR809</v>
      </c>
      <c r="I36" s="92">
        <f>data!I33</f>
        <v>1</v>
      </c>
      <c r="J36" s="92" t="str">
        <f>data!J33</f>
        <v>SPD</v>
      </c>
      <c r="K36" s="167"/>
      <c r="L36" s="167"/>
    </row>
    <row r="37" spans="1:13" x14ac:dyDescent="0.25">
      <c r="A37" s="126" t="str">
        <f>data!A34</f>
        <v>comment</v>
      </c>
      <c r="B37" s="98" t="str">
        <f>data!B34</f>
        <v>CZCE</v>
      </c>
      <c r="C37" s="92" t="str">
        <f>data!C34</f>
        <v>SR807&amp;SR809</v>
      </c>
      <c r="D37" s="92" t="str">
        <f>data!D34</f>
        <v>同品种跨期</v>
      </c>
      <c r="E37" s="92">
        <f>data!E34</f>
        <v>1</v>
      </c>
      <c r="F37" s="92" t="str">
        <f>data!F34</f>
        <v>SR807</v>
      </c>
      <c r="G37" s="92">
        <f>data!G34</f>
        <v>1</v>
      </c>
      <c r="H37" s="92" t="str">
        <f>data!H34</f>
        <v>SR809</v>
      </c>
      <c r="I37" s="92">
        <f>data!I34</f>
        <v>0</v>
      </c>
      <c r="J37" s="92" t="str">
        <f>data!J34</f>
        <v>SPD</v>
      </c>
      <c r="K37" s="167"/>
      <c r="L37" s="167"/>
    </row>
    <row r="38" spans="1:13" x14ac:dyDescent="0.25">
      <c r="A38" s="126" t="str">
        <f>data!A35</f>
        <v>comment</v>
      </c>
      <c r="B38" s="98" t="str">
        <f>data!B35</f>
        <v>CZCE</v>
      </c>
      <c r="C38" s="92" t="str">
        <f>data!C35</f>
        <v>SR807&amp;OI811</v>
      </c>
      <c r="D38" s="92" t="str">
        <f>data!D35</f>
        <v>不同品种跨期</v>
      </c>
      <c r="E38" s="92">
        <f>data!E35</f>
        <v>1</v>
      </c>
      <c r="F38" s="92" t="str">
        <f>data!F35</f>
        <v>SR807</v>
      </c>
      <c r="G38" s="92">
        <f>data!G35</f>
        <v>1</v>
      </c>
      <c r="H38" s="92" t="str">
        <f>data!H35</f>
        <v>OI811</v>
      </c>
      <c r="I38" s="92">
        <f>data!I35</f>
        <v>1</v>
      </c>
      <c r="J38" s="92" t="str">
        <f>data!J35</f>
        <v>SPD</v>
      </c>
      <c r="K38" s="167"/>
      <c r="L38" s="167"/>
    </row>
    <row r="39" spans="1:13" x14ac:dyDescent="0.25">
      <c r="A39" s="126" t="str">
        <f>data!A36</f>
        <v>comment</v>
      </c>
      <c r="B39" s="98" t="str">
        <f>data!B36</f>
        <v>CZCE</v>
      </c>
      <c r="C39" s="92" t="str">
        <f>data!C36</f>
        <v>SR807&amp;OI811</v>
      </c>
      <c r="D39" s="92" t="str">
        <f>data!D36</f>
        <v>不同品种跨期</v>
      </c>
      <c r="E39" s="92">
        <f>data!E36</f>
        <v>1</v>
      </c>
      <c r="F39" s="92" t="str">
        <f>data!F36</f>
        <v>SR807</v>
      </c>
      <c r="G39" s="92">
        <f>data!G36</f>
        <v>1</v>
      </c>
      <c r="H39" s="92" t="str">
        <f>data!H36</f>
        <v>OI811</v>
      </c>
      <c r="I39" s="92">
        <f>data!I36</f>
        <v>0</v>
      </c>
      <c r="J39" s="92" t="str">
        <f>data!J36</f>
        <v>SPD</v>
      </c>
      <c r="K39" s="167"/>
      <c r="L39" s="167"/>
    </row>
    <row r="40" spans="1:13" x14ac:dyDescent="0.25">
      <c r="A40" s="126" t="str">
        <f>data!A37</f>
        <v>comment</v>
      </c>
      <c r="B40" s="98" t="str">
        <f>data!B37</f>
        <v>CZCE</v>
      </c>
      <c r="C40" s="92" t="str">
        <f>data!C37</f>
        <v>SR807&amp;SR807C6500</v>
      </c>
      <c r="D40" s="92" t="str">
        <f>data!D37</f>
        <v>备兑看涨</v>
      </c>
      <c r="E40" s="92">
        <f>data!E37</f>
        <v>0</v>
      </c>
      <c r="F40" s="92" t="str">
        <f>data!F37</f>
        <v>SR807</v>
      </c>
      <c r="G40" s="92">
        <f>data!G37</f>
        <v>0</v>
      </c>
      <c r="H40" s="92" t="str">
        <f>data!H37</f>
        <v>SR807C6500</v>
      </c>
      <c r="I40" s="92">
        <f>data!I37</f>
        <v>1</v>
      </c>
      <c r="J40" s="92" t="str">
        <f>data!J37</f>
        <v>PRT</v>
      </c>
      <c r="K40" s="167"/>
      <c r="L40" s="167"/>
    </row>
    <row r="41" spans="1:13" x14ac:dyDescent="0.25">
      <c r="A41" s="126" t="str">
        <f>data!A38</f>
        <v>comment</v>
      </c>
      <c r="B41" s="98" t="str">
        <f>data!B38</f>
        <v>CZCE</v>
      </c>
      <c r="C41" s="92" t="str">
        <f>data!C38</f>
        <v>SR807&amp;SR807P6500</v>
      </c>
      <c r="D41" s="92" t="str">
        <f>data!D38</f>
        <v>备兑看跌</v>
      </c>
      <c r="E41" s="92">
        <f>data!E38</f>
        <v>1</v>
      </c>
      <c r="F41" s="92" t="str">
        <f>data!F38</f>
        <v>SR807</v>
      </c>
      <c r="G41" s="92">
        <f>data!G38</f>
        <v>1</v>
      </c>
      <c r="H41" s="92" t="str">
        <f>data!H38</f>
        <v>SR807P6500</v>
      </c>
      <c r="I41" s="92">
        <f>data!I38</f>
        <v>1</v>
      </c>
      <c r="J41" s="92" t="str">
        <f>data!J38</f>
        <v>PRT</v>
      </c>
      <c r="K41" s="167"/>
      <c r="L41" s="167"/>
    </row>
    <row r="42" spans="1:13" x14ac:dyDescent="0.25">
      <c r="A42" s="126" t="str">
        <f>data!A39</f>
        <v>comment</v>
      </c>
      <c r="B42" s="98" t="str">
        <f>data!B39</f>
        <v>CZCE</v>
      </c>
      <c r="C42" s="92" t="str">
        <f>data!C39</f>
        <v>PTA807&amp;PTA807C6500</v>
      </c>
      <c r="D42" s="92" t="str">
        <f>data!D39</f>
        <v>备兑看涨</v>
      </c>
      <c r="E42" s="92">
        <f>data!E39</f>
        <v>0</v>
      </c>
      <c r="F42" s="92" t="str">
        <f>data!F39</f>
        <v>PTA807</v>
      </c>
      <c r="G42" s="92">
        <f>data!G39</f>
        <v>0</v>
      </c>
      <c r="H42" s="92" t="str">
        <f>data!H39</f>
        <v>PTA807P6200</v>
      </c>
      <c r="I42" s="92">
        <f>data!I39</f>
        <v>1</v>
      </c>
      <c r="J42" s="92" t="str">
        <f>data!J39</f>
        <v>PRT</v>
      </c>
      <c r="K42" s="167"/>
      <c r="L42" s="167"/>
    </row>
    <row r="43" spans="1:13" x14ac:dyDescent="0.25">
      <c r="A43" s="126" t="str">
        <f>data!A40</f>
        <v>comment</v>
      </c>
      <c r="B43" s="98" t="str">
        <f>data!B40</f>
        <v>CZCE</v>
      </c>
      <c r="C43" s="92" t="str">
        <f>data!C40</f>
        <v>PTA807&amp;PTA807C6500</v>
      </c>
      <c r="D43" s="92" t="str">
        <f>data!D40</f>
        <v>备兑看跌</v>
      </c>
      <c r="E43" s="92">
        <f>data!E40</f>
        <v>1</v>
      </c>
      <c r="F43" s="92" t="str">
        <f>data!F40</f>
        <v>PTA807</v>
      </c>
      <c r="G43" s="92">
        <f>data!G40</f>
        <v>1</v>
      </c>
      <c r="H43" s="92" t="str">
        <f>data!H40</f>
        <v>PTA807P6200</v>
      </c>
      <c r="I43" s="92">
        <f>data!I40</f>
        <v>1</v>
      </c>
      <c r="J43" s="92" t="str">
        <f>data!J40</f>
        <v>PRT</v>
      </c>
      <c r="K43" s="167"/>
      <c r="L43" s="167"/>
    </row>
    <row r="44" spans="1:13" s="294" customFormat="1" x14ac:dyDescent="0.25">
      <c r="A44" s="296" t="str">
        <f>data!A41</f>
        <v>comment</v>
      </c>
      <c r="B44" s="570" t="str">
        <f>data!B41</f>
        <v>CZCE</v>
      </c>
      <c r="C44" s="295" t="str">
        <f>data!C41</f>
        <v>SR809&amp;SR809C6600</v>
      </c>
      <c r="D44" s="295" t="str">
        <f>data!D41</f>
        <v>备兑看涨</v>
      </c>
      <c r="E44" s="295">
        <f>data!E41</f>
        <v>0</v>
      </c>
      <c r="F44" s="295" t="str">
        <f>data!F41</f>
        <v>SR809</v>
      </c>
      <c r="G44" s="295">
        <f>data!G41</f>
        <v>0</v>
      </c>
      <c r="H44" s="295" t="str">
        <f>data!H41</f>
        <v>SR809C6600</v>
      </c>
      <c r="I44" s="295">
        <f>data!I41</f>
        <v>1</v>
      </c>
      <c r="J44" s="295" t="str">
        <f>data!J41</f>
        <v>PRT</v>
      </c>
      <c r="K44" s="296"/>
      <c r="L44" s="296"/>
    </row>
    <row r="45" spans="1:13" x14ac:dyDescent="0.25">
      <c r="A45" s="126" t="str">
        <f>data!A42</f>
        <v>comment</v>
      </c>
      <c r="B45" s="98" t="str">
        <f>data!B42</f>
        <v>CZCE</v>
      </c>
      <c r="C45" s="92" t="str">
        <f>data!C42</f>
        <v>PTA807C6500&amp;PTA807P6500</v>
      </c>
      <c r="D45" s="92" t="str">
        <f>data!D42</f>
        <v>跨式</v>
      </c>
      <c r="E45" s="92">
        <f>data!E42</f>
        <v>0</v>
      </c>
      <c r="F45" s="92" t="str">
        <f>data!F42</f>
        <v>PTA807P6200</v>
      </c>
      <c r="G45" s="92">
        <f>data!G42</f>
        <v>0</v>
      </c>
      <c r="H45" s="92" t="str">
        <f>data!H42</f>
        <v>PTA807P6500</v>
      </c>
      <c r="I45" s="92">
        <f>data!I42</f>
        <v>0</v>
      </c>
      <c r="J45" s="92" t="str">
        <f>data!J42</f>
        <v>STD</v>
      </c>
      <c r="K45" s="167"/>
      <c r="L45" s="167"/>
    </row>
    <row r="46" spans="1:13" x14ac:dyDescent="0.25">
      <c r="A46" s="126" t="str">
        <f>data!A43</f>
        <v>comment</v>
      </c>
      <c r="B46" s="98" t="str">
        <f>data!B43</f>
        <v>CZCE</v>
      </c>
      <c r="C46" s="92" t="str">
        <f>data!C43</f>
        <v>PTA807C6500&amp;PTA807P6500</v>
      </c>
      <c r="D46" s="92" t="str">
        <f>data!D43</f>
        <v>跨式</v>
      </c>
      <c r="E46" s="92">
        <f>data!E43</f>
        <v>1</v>
      </c>
      <c r="F46" s="92" t="str">
        <f>data!F43</f>
        <v>PTA807P6200</v>
      </c>
      <c r="G46" s="92">
        <f>data!G43</f>
        <v>1</v>
      </c>
      <c r="H46" s="92" t="str">
        <f>data!H43</f>
        <v>PTA807P6500</v>
      </c>
      <c r="I46" s="92">
        <f>data!I43</f>
        <v>1</v>
      </c>
      <c r="J46" s="92" t="str">
        <f>data!J43</f>
        <v>STD</v>
      </c>
      <c r="K46" s="167"/>
      <c r="L46" s="167"/>
    </row>
    <row r="47" spans="1:13" x14ac:dyDescent="0.25">
      <c r="A47" s="126" t="str">
        <f>data!A44</f>
        <v>comment</v>
      </c>
      <c r="B47" s="98" t="str">
        <f>data!B44</f>
        <v>CZCE</v>
      </c>
      <c r="C47" s="92" t="str">
        <f>data!C44</f>
        <v>PTA807C6500&amp;PTA807P6200</v>
      </c>
      <c r="D47" s="92" t="str">
        <f>data!D44</f>
        <v>宽跨式</v>
      </c>
      <c r="E47" s="92">
        <f>data!E44</f>
        <v>0</v>
      </c>
      <c r="F47" s="92" t="str">
        <f>data!F44</f>
        <v>PTA807P6200</v>
      </c>
      <c r="G47" s="92">
        <f>data!G44</f>
        <v>0</v>
      </c>
      <c r="H47" s="92" t="str">
        <f>data!H44</f>
        <v>PTA807C6500</v>
      </c>
      <c r="I47" s="92">
        <f>data!I44</f>
        <v>0</v>
      </c>
      <c r="J47" s="92" t="str">
        <f>data!J44</f>
        <v>STG</v>
      </c>
      <c r="K47" s="167"/>
      <c r="L47" s="167"/>
    </row>
    <row r="48" spans="1:13" x14ac:dyDescent="0.25">
      <c r="A48" s="126" t="str">
        <f>data!A45</f>
        <v>comment</v>
      </c>
      <c r="B48" s="98" t="str">
        <f>data!B45</f>
        <v>CZCE</v>
      </c>
      <c r="C48" s="92" t="str">
        <f>data!C45</f>
        <v>PTA807C6500&amp;PTA807P6200</v>
      </c>
      <c r="D48" s="92" t="str">
        <f>data!D45</f>
        <v>宽跨式</v>
      </c>
      <c r="E48" s="92">
        <f>data!E45</f>
        <v>1</v>
      </c>
      <c r="F48" s="92" t="str">
        <f>data!F45</f>
        <v>PTA807P6200</v>
      </c>
      <c r="G48" s="92">
        <f>data!G45</f>
        <v>1</v>
      </c>
      <c r="H48" s="92" t="str">
        <f>data!H45</f>
        <v>PTA807C6500</v>
      </c>
      <c r="I48" s="92">
        <f>data!I45</f>
        <v>1</v>
      </c>
      <c r="J48" s="92" t="str">
        <f>data!J45</f>
        <v>STG</v>
      </c>
      <c r="K48" s="167"/>
      <c r="L48" s="167"/>
    </row>
    <row r="49" spans="1:13" x14ac:dyDescent="0.25">
      <c r="A49" s="126" t="str">
        <f>data!A37</f>
        <v>comment</v>
      </c>
      <c r="B49" s="98" t="str">
        <f>data!B37</f>
        <v>CZCE</v>
      </c>
      <c r="C49" s="111" t="str">
        <f>data!C46</f>
        <v>SR807C6500&amp;SR807P6500</v>
      </c>
      <c r="D49" s="92" t="str">
        <f>data!D46</f>
        <v>跨式</v>
      </c>
      <c r="E49" s="92">
        <f>data!E46</f>
        <v>0</v>
      </c>
      <c r="F49" s="92" t="str">
        <f>data!F46</f>
        <v>SR807C6500</v>
      </c>
      <c r="G49" s="92">
        <f>data!G46</f>
        <v>0</v>
      </c>
      <c r="H49" s="92" t="str">
        <f>data!H46</f>
        <v>SR807P6500</v>
      </c>
      <c r="I49" s="92">
        <f>data!I46</f>
        <v>0</v>
      </c>
      <c r="J49" s="92" t="str">
        <f>data!J46</f>
        <v>STD</v>
      </c>
      <c r="K49" s="167"/>
      <c r="L49" s="167"/>
    </row>
    <row r="50" spans="1:13" x14ac:dyDescent="0.25">
      <c r="A50" s="126" t="str">
        <f>data!A38</f>
        <v>comment</v>
      </c>
      <c r="B50" s="98" t="str">
        <f>data!B38</f>
        <v>CZCE</v>
      </c>
      <c r="C50" s="92" t="str">
        <f>data!C47</f>
        <v>SR807C6500&amp;SR807P6500</v>
      </c>
      <c r="D50" s="92" t="str">
        <f>data!D47</f>
        <v>跨式</v>
      </c>
      <c r="E50" s="92">
        <f>data!E47</f>
        <v>1</v>
      </c>
      <c r="F50" s="92" t="str">
        <f>data!F47</f>
        <v>SR807C6500</v>
      </c>
      <c r="G50" s="92">
        <f>data!G47</f>
        <v>1</v>
      </c>
      <c r="H50" s="92" t="str">
        <f>data!H47</f>
        <v>SR807P6500</v>
      </c>
      <c r="I50" s="92">
        <f>data!I47</f>
        <v>1</v>
      </c>
      <c r="J50" s="92" t="str">
        <f>data!J47</f>
        <v>STD</v>
      </c>
      <c r="K50" s="167"/>
      <c r="L50" s="167"/>
    </row>
    <row r="51" spans="1:13" x14ac:dyDescent="0.25">
      <c r="A51" s="126" t="str">
        <f>data!A46</f>
        <v>comment</v>
      </c>
      <c r="B51" s="98" t="str">
        <f>data!B46</f>
        <v>CZCE</v>
      </c>
      <c r="C51" s="92" t="str">
        <f>data!C48</f>
        <v>SR807C6500&amp;SR807P6400</v>
      </c>
      <c r="D51" s="92" t="str">
        <f>data!D48</f>
        <v>宽跨式</v>
      </c>
      <c r="E51" s="92">
        <f>data!E48</f>
        <v>0</v>
      </c>
      <c r="F51" s="92" t="str">
        <f>data!F48</f>
        <v>SR807C6500</v>
      </c>
      <c r="G51" s="92">
        <f>data!G48</f>
        <v>0</v>
      </c>
      <c r="H51" s="92" t="str">
        <f>data!H48</f>
        <v>SR807P6400</v>
      </c>
      <c r="I51" s="92">
        <f>data!I48</f>
        <v>0</v>
      </c>
      <c r="J51" s="92" t="str">
        <f>data!J48</f>
        <v>STG</v>
      </c>
      <c r="K51" s="167"/>
      <c r="L51" s="167"/>
    </row>
    <row r="52" spans="1:13" x14ac:dyDescent="0.25">
      <c r="A52" s="126" t="str">
        <f>data!A47</f>
        <v>comment</v>
      </c>
      <c r="B52" s="98" t="str">
        <f>data!B47</f>
        <v>CZCE</v>
      </c>
      <c r="C52" s="92" t="str">
        <f>data!C49</f>
        <v>SR807C6500&amp;SR807P6400</v>
      </c>
      <c r="D52" s="92" t="str">
        <f>data!D49</f>
        <v>宽跨式</v>
      </c>
      <c r="E52" s="92">
        <f>data!E49</f>
        <v>1</v>
      </c>
      <c r="F52" s="92" t="str">
        <f>data!F49</f>
        <v>SR807C6500</v>
      </c>
      <c r="G52" s="92">
        <f>data!G49</f>
        <v>1</v>
      </c>
      <c r="H52" s="92" t="str">
        <f>data!H49</f>
        <v>SR807P6400</v>
      </c>
      <c r="I52" s="92">
        <f>data!I49</f>
        <v>1</v>
      </c>
      <c r="J52" s="92" t="str">
        <f>data!J49</f>
        <v>STG</v>
      </c>
      <c r="K52" s="167"/>
      <c r="L52" s="167"/>
    </row>
    <row r="53" spans="1:13" x14ac:dyDescent="0.25">
      <c r="A53" s="126" t="str">
        <f>data!A48</f>
        <v>comment</v>
      </c>
      <c r="B53" s="98" t="str">
        <f>data!B48</f>
        <v>CZCE</v>
      </c>
      <c r="C53" s="92" t="str">
        <f>data!C50</f>
        <v>PTA807&amp;PTA809</v>
      </c>
      <c r="D53" s="92" t="str">
        <f>data!D50</f>
        <v>同品种跨期</v>
      </c>
      <c r="E53" s="92">
        <f>data!E50</f>
        <v>0</v>
      </c>
      <c r="F53" s="92" t="str">
        <f>data!F50</f>
        <v>PTA807</v>
      </c>
      <c r="G53" s="92">
        <f>data!G50</f>
        <v>0</v>
      </c>
      <c r="H53" s="92" t="str">
        <f>data!H50</f>
        <v>PTA809</v>
      </c>
      <c r="I53" s="92">
        <f>data!I50</f>
        <v>1</v>
      </c>
      <c r="J53" s="92" t="str">
        <f>data!J50</f>
        <v>SPD</v>
      </c>
      <c r="K53" s="167"/>
      <c r="L53" s="167"/>
    </row>
    <row r="54" spans="1:13" x14ac:dyDescent="0.25">
      <c r="A54" s="126" t="str">
        <f>data!A49</f>
        <v>comment</v>
      </c>
      <c r="B54" s="98" t="str">
        <f>data!B49</f>
        <v>CZCE</v>
      </c>
      <c r="C54" s="92" t="str">
        <f>data!C51</f>
        <v>PTA807&amp;PTA809</v>
      </c>
      <c r="D54" s="92" t="str">
        <f>data!D51</f>
        <v>同品种跨期</v>
      </c>
      <c r="E54" s="92">
        <f>data!E51</f>
        <v>1</v>
      </c>
      <c r="F54" s="92" t="str">
        <f>data!F51</f>
        <v>PTA807</v>
      </c>
      <c r="G54" s="92">
        <f>data!G51</f>
        <v>1</v>
      </c>
      <c r="H54" s="92" t="str">
        <f>data!H51</f>
        <v>PTA809</v>
      </c>
      <c r="I54" s="92">
        <f>data!I51</f>
        <v>0</v>
      </c>
      <c r="J54" s="92" t="str">
        <f>data!J51</f>
        <v>SPD</v>
      </c>
      <c r="K54" s="167"/>
      <c r="L54" s="167"/>
    </row>
    <row r="55" spans="1:13" x14ac:dyDescent="0.25">
      <c r="A55" s="126" t="str">
        <f>data!A53</f>
        <v>comment</v>
      </c>
      <c r="B55" s="567" t="str">
        <f>data!B53</f>
        <v>交易所代码</v>
      </c>
      <c r="C55" s="93" t="str">
        <f>data!C53</f>
        <v>合约代码</v>
      </c>
      <c r="D55" s="93" t="str">
        <f>data!D53</f>
        <v>投机套保标志（投机1 套保3 做市商4）</v>
      </c>
      <c r="E55" s="93" t="str">
        <f>data!E53</f>
        <v>多空方向（0多头1空头）</v>
      </c>
      <c r="F55" s="93" t="str">
        <f>data!F53</f>
        <v>辅助列</v>
      </c>
      <c r="G55" s="93" t="str">
        <f>data!G53</f>
        <v>交易所按金额</v>
      </c>
      <c r="H55" s="93" t="str">
        <f>data!H53</f>
        <v>交易所按数</v>
      </c>
      <c r="I55" s="93" t="str">
        <f>data!I53</f>
        <v>投资者按金额</v>
      </c>
      <c r="J55" s="93" t="str">
        <f>data!J53</f>
        <v>投资者按手数</v>
      </c>
      <c r="K55" s="93" t="str">
        <f>data!K53</f>
        <v>标的按金额</v>
      </c>
      <c r="L55" s="93" t="str">
        <f>data!L53</f>
        <v>标的按手数</v>
      </c>
      <c r="M55">
        <f>data!M53</f>
        <v>0</v>
      </c>
    </row>
    <row r="56" spans="1:13" x14ac:dyDescent="0.25">
      <c r="A56" s="126" t="str">
        <f>data!A54</f>
        <v>comment</v>
      </c>
      <c r="B56" s="98" t="str">
        <f>data!B54</f>
        <v>CZCE</v>
      </c>
      <c r="C56" s="92" t="str">
        <f>data!C54</f>
        <v>SR807</v>
      </c>
      <c r="D56" s="92">
        <f>data!D54</f>
        <v>1</v>
      </c>
      <c r="E56" s="92">
        <f>data!E54</f>
        <v>0</v>
      </c>
      <c r="F56" s="92" t="str">
        <f>data!F54</f>
        <v>SR80710</v>
      </c>
      <c r="G56" s="92">
        <f>data!G54</f>
        <v>0.04</v>
      </c>
      <c r="H56" s="92">
        <f>data!H54</f>
        <v>4</v>
      </c>
      <c r="I56" s="92">
        <f>data!I54</f>
        <v>0.05</v>
      </c>
      <c r="J56" s="92">
        <f>data!J54</f>
        <v>5</v>
      </c>
      <c r="K56" s="92">
        <f>data!K54</f>
        <v>0.01</v>
      </c>
      <c r="L56" s="92">
        <f>data!L54</f>
        <v>1</v>
      </c>
    </row>
    <row r="57" spans="1:13" x14ac:dyDescent="0.25">
      <c r="A57" s="126" t="str">
        <f>data!A55</f>
        <v>comment</v>
      </c>
      <c r="B57" s="98" t="str">
        <f>data!B55</f>
        <v>CZCE</v>
      </c>
      <c r="C57" s="92" t="str">
        <f>data!C55</f>
        <v>SR807</v>
      </c>
      <c r="D57" s="92">
        <f>data!D55</f>
        <v>1</v>
      </c>
      <c r="E57" s="92">
        <f>data!E55</f>
        <v>1</v>
      </c>
      <c r="F57" s="92" t="str">
        <f>data!F55</f>
        <v>SR80711</v>
      </c>
      <c r="G57" s="92">
        <f>data!G55</f>
        <v>4.1000000000000002E-2</v>
      </c>
      <c r="H57" s="92">
        <f>data!H55</f>
        <v>4.0999999999999996</v>
      </c>
      <c r="I57" s="92">
        <f>data!I55</f>
        <v>5.0999999999999997E-2</v>
      </c>
      <c r="J57" s="92">
        <f>data!J55</f>
        <v>5.0999999999999996</v>
      </c>
      <c r="K57" s="92">
        <f>data!K55</f>
        <v>1.0999999999999999E-2</v>
      </c>
      <c r="L57" s="92">
        <f>data!L55</f>
        <v>1.1100000000000001</v>
      </c>
    </row>
    <row r="58" spans="1:13" x14ac:dyDescent="0.25">
      <c r="A58" s="126" t="str">
        <f>data!A56</f>
        <v>comment</v>
      </c>
      <c r="B58" s="98" t="str">
        <f>data!B56</f>
        <v>CZCE</v>
      </c>
      <c r="C58" s="92" t="str">
        <f>data!C56</f>
        <v>SR807</v>
      </c>
      <c r="D58" s="92">
        <f>data!D56</f>
        <v>3</v>
      </c>
      <c r="E58" s="92">
        <f>data!E56</f>
        <v>0</v>
      </c>
      <c r="F58" s="92" t="str">
        <f>data!F56</f>
        <v>SR80730</v>
      </c>
      <c r="G58" s="92">
        <f>data!G56</f>
        <v>4.2000000000000003E-2</v>
      </c>
      <c r="H58" s="92">
        <f>data!H56</f>
        <v>4.2</v>
      </c>
      <c r="I58" s="92">
        <f>data!I56</f>
        <v>5.1999999999999998E-2</v>
      </c>
      <c r="J58" s="92">
        <f>data!J56</f>
        <v>5.2</v>
      </c>
      <c r="K58" s="92">
        <f>data!K56</f>
        <v>1.2E-2</v>
      </c>
      <c r="L58" s="92">
        <f>data!L56</f>
        <v>1.1200000000000001</v>
      </c>
    </row>
    <row r="59" spans="1:13" x14ac:dyDescent="0.25">
      <c r="A59" s="126" t="str">
        <f>data!A57</f>
        <v>comment</v>
      </c>
      <c r="B59" s="98" t="str">
        <f>data!B57</f>
        <v>CZCE</v>
      </c>
      <c r="C59" s="92" t="str">
        <f>data!C57</f>
        <v>SR807</v>
      </c>
      <c r="D59" s="92">
        <f>data!D57</f>
        <v>3</v>
      </c>
      <c r="E59" s="92">
        <f>data!E57</f>
        <v>1</v>
      </c>
      <c r="F59" s="92" t="str">
        <f>data!F57</f>
        <v>SR80731</v>
      </c>
      <c r="G59" s="92">
        <f>data!G57</f>
        <v>4.2999999999999997E-2</v>
      </c>
      <c r="H59" s="92">
        <f>data!H57</f>
        <v>4.3</v>
      </c>
      <c r="I59" s="92">
        <f>data!I57</f>
        <v>5.2999999999999999E-2</v>
      </c>
      <c r="J59" s="92">
        <f>data!J57</f>
        <v>5.3</v>
      </c>
      <c r="K59" s="92">
        <f>data!K57</f>
        <v>1.2999999999999999E-2</v>
      </c>
      <c r="L59" s="92">
        <f>data!L57</f>
        <v>1.1299999999999999</v>
      </c>
    </row>
    <row r="60" spans="1:13" x14ac:dyDescent="0.25">
      <c r="A60" s="126" t="str">
        <f>data!A58</f>
        <v>comment</v>
      </c>
      <c r="B60" s="98" t="str">
        <f>data!B58</f>
        <v>CZCE</v>
      </c>
      <c r="C60" s="92" t="str">
        <f>data!C58</f>
        <v>SR809</v>
      </c>
      <c r="D60" s="92">
        <f>data!D58</f>
        <v>1</v>
      </c>
      <c r="E60" s="92">
        <f>data!E58</f>
        <v>0</v>
      </c>
      <c r="F60" s="92" t="str">
        <f>data!F58</f>
        <v>SR80910</v>
      </c>
      <c r="G60" s="92">
        <f>data!G58</f>
        <v>0.04</v>
      </c>
      <c r="H60" s="92">
        <f>data!H58</f>
        <v>4</v>
      </c>
      <c r="I60" s="92">
        <f>data!I58</f>
        <v>0.05</v>
      </c>
      <c r="J60" s="92">
        <f>data!J58</f>
        <v>5</v>
      </c>
      <c r="K60" s="92">
        <f>data!K58</f>
        <v>0.01</v>
      </c>
      <c r="L60" s="92">
        <f>data!L58</f>
        <v>1</v>
      </c>
    </row>
    <row r="61" spans="1:13" x14ac:dyDescent="0.25">
      <c r="A61" s="126" t="str">
        <f>data!A59</f>
        <v>comment</v>
      </c>
      <c r="B61" s="98" t="str">
        <f>data!B59</f>
        <v>CZCE</v>
      </c>
      <c r="C61" s="92" t="str">
        <f>data!C59</f>
        <v>SR809</v>
      </c>
      <c r="D61" s="92">
        <f>data!D59</f>
        <v>1</v>
      </c>
      <c r="E61" s="92">
        <f>data!E59</f>
        <v>1</v>
      </c>
      <c r="F61" s="92" t="str">
        <f>data!F59</f>
        <v>SR80911</v>
      </c>
      <c r="G61" s="92">
        <f>data!G59</f>
        <v>4.1000000000000002E-2</v>
      </c>
      <c r="H61" s="92">
        <f>data!H59</f>
        <v>4.0999999999999996</v>
      </c>
      <c r="I61" s="92">
        <f>data!I59</f>
        <v>5.0999999999999997E-2</v>
      </c>
      <c r="J61" s="92">
        <f>data!J59</f>
        <v>5.0999999999999996</v>
      </c>
      <c r="K61" s="92">
        <f>data!K59</f>
        <v>1.0999999999999999E-2</v>
      </c>
      <c r="L61" s="92">
        <f>data!L59</f>
        <v>1.1100000000000001</v>
      </c>
    </row>
    <row r="62" spans="1:13" x14ac:dyDescent="0.25">
      <c r="A62" s="126" t="str">
        <f>data!A60</f>
        <v>comment</v>
      </c>
      <c r="B62" s="98" t="str">
        <f>data!B60</f>
        <v>CZCE</v>
      </c>
      <c r="C62" s="92" t="str">
        <f>data!C60</f>
        <v>SR809</v>
      </c>
      <c r="D62" s="92">
        <f>data!D60</f>
        <v>3</v>
      </c>
      <c r="E62" s="92">
        <f>data!E60</f>
        <v>0</v>
      </c>
      <c r="F62" s="92" t="str">
        <f>data!F60</f>
        <v>SR80930</v>
      </c>
      <c r="G62" s="92">
        <f>data!G60</f>
        <v>4.2000000000000003E-2</v>
      </c>
      <c r="H62" s="92">
        <f>data!H60</f>
        <v>4.2</v>
      </c>
      <c r="I62" s="92">
        <f>data!I60</f>
        <v>5.1999999999999998E-2</v>
      </c>
      <c r="J62" s="92">
        <f>data!J60</f>
        <v>5.2</v>
      </c>
      <c r="K62" s="92">
        <f>data!K60</f>
        <v>1.2E-2</v>
      </c>
      <c r="L62" s="92">
        <f>data!L60</f>
        <v>1.1200000000000001</v>
      </c>
    </row>
    <row r="63" spans="1:13" x14ac:dyDescent="0.25">
      <c r="A63" s="126" t="str">
        <f>data!A61</f>
        <v>comment</v>
      </c>
      <c r="B63" s="98" t="str">
        <f>data!B61</f>
        <v>CZCE</v>
      </c>
      <c r="C63" s="92" t="str">
        <f>data!C61</f>
        <v>SR809</v>
      </c>
      <c r="D63" s="92">
        <f>data!D61</f>
        <v>3</v>
      </c>
      <c r="E63" s="92">
        <f>data!E61</f>
        <v>1</v>
      </c>
      <c r="F63" s="92" t="str">
        <f>data!F61</f>
        <v>SR80931</v>
      </c>
      <c r="G63" s="92">
        <f>data!G61</f>
        <v>4.2999999999999997E-2</v>
      </c>
      <c r="H63" s="92">
        <f>data!H61</f>
        <v>4.3</v>
      </c>
      <c r="I63" s="92">
        <f>data!I61</f>
        <v>5.2999999999999999E-2</v>
      </c>
      <c r="J63" s="92">
        <f>data!J61</f>
        <v>5.3</v>
      </c>
      <c r="K63" s="92">
        <f>data!K61</f>
        <v>1.2999999999999999E-2</v>
      </c>
      <c r="L63" s="92">
        <f>data!L61</f>
        <v>1.1299999999999999</v>
      </c>
    </row>
    <row r="64" spans="1:13" x14ac:dyDescent="0.25">
      <c r="A64" s="126" t="str">
        <f>data!A62</f>
        <v>comment</v>
      </c>
      <c r="B64" s="98" t="str">
        <f>data!B62</f>
        <v>CZCE</v>
      </c>
      <c r="C64" s="92" t="str">
        <f>data!C62</f>
        <v>OI811</v>
      </c>
      <c r="D64" s="92">
        <f>data!D62</f>
        <v>1</v>
      </c>
      <c r="E64" s="92">
        <f>data!E62</f>
        <v>0</v>
      </c>
      <c r="F64" s="92" t="str">
        <f>data!F62</f>
        <v>OI81110</v>
      </c>
      <c r="G64" s="92">
        <f>data!G62</f>
        <v>0.04</v>
      </c>
      <c r="H64" s="92">
        <f>data!H62</f>
        <v>4</v>
      </c>
      <c r="I64" s="92">
        <f>data!I62</f>
        <v>0.05</v>
      </c>
      <c r="J64" s="92">
        <f>data!J62</f>
        <v>5</v>
      </c>
      <c r="K64" s="92">
        <f>data!K62</f>
        <v>0.01</v>
      </c>
      <c r="L64" s="92">
        <f>data!L62</f>
        <v>1</v>
      </c>
    </row>
    <row r="65" spans="1:13" x14ac:dyDescent="0.25">
      <c r="A65" s="126" t="str">
        <f>data!A63</f>
        <v>comment</v>
      </c>
      <c r="B65" s="98" t="str">
        <f>data!B63</f>
        <v>CZCE</v>
      </c>
      <c r="C65" s="92" t="str">
        <f>data!C63</f>
        <v>OI811</v>
      </c>
      <c r="D65" s="92">
        <f>data!D63</f>
        <v>1</v>
      </c>
      <c r="E65" s="92">
        <f>data!E63</f>
        <v>1</v>
      </c>
      <c r="F65" s="92" t="str">
        <f>data!F63</f>
        <v>OI81111</v>
      </c>
      <c r="G65" s="92">
        <f>data!G63</f>
        <v>4.1000000000000002E-2</v>
      </c>
      <c r="H65" s="92">
        <f>data!H63</f>
        <v>4.0999999999999996</v>
      </c>
      <c r="I65" s="92">
        <f>data!I63</f>
        <v>5.0999999999999997E-2</v>
      </c>
      <c r="J65" s="92">
        <f>data!J63</f>
        <v>5.0999999999999996</v>
      </c>
      <c r="K65" s="92">
        <f>data!K63</f>
        <v>1.0999999999999999E-2</v>
      </c>
      <c r="L65" s="92">
        <f>data!L63</f>
        <v>1.1100000000000001</v>
      </c>
    </row>
    <row r="66" spans="1:13" x14ac:dyDescent="0.25">
      <c r="A66" s="126" t="str">
        <f>data!A64</f>
        <v>comment</v>
      </c>
      <c r="B66" s="98" t="str">
        <f>data!B64</f>
        <v>CZCE</v>
      </c>
      <c r="C66" s="92" t="str">
        <f>data!C64</f>
        <v>OI811</v>
      </c>
      <c r="D66" s="92">
        <f>data!D64</f>
        <v>3</v>
      </c>
      <c r="E66" s="92">
        <f>data!E64</f>
        <v>0</v>
      </c>
      <c r="F66" s="92" t="str">
        <f>data!F64</f>
        <v>OI81130</v>
      </c>
      <c r="G66" s="92">
        <f>data!G64</f>
        <v>4.2000000000000003E-2</v>
      </c>
      <c r="H66" s="92">
        <f>data!H64</f>
        <v>4.2</v>
      </c>
      <c r="I66" s="92">
        <f>data!I64</f>
        <v>5.1999999999999998E-2</v>
      </c>
      <c r="J66" s="92">
        <f>data!J64</f>
        <v>5.2</v>
      </c>
      <c r="K66" s="92">
        <f>data!K64</f>
        <v>1.2E-2</v>
      </c>
      <c r="L66" s="92">
        <f>data!L64</f>
        <v>1.1200000000000001</v>
      </c>
    </row>
    <row r="67" spans="1:13" x14ac:dyDescent="0.25">
      <c r="A67" s="126" t="str">
        <f>data!A65</f>
        <v>comment</v>
      </c>
      <c r="B67" s="98" t="str">
        <f>data!B65</f>
        <v>CZCE</v>
      </c>
      <c r="C67" s="92" t="str">
        <f>data!C65</f>
        <v>OI811</v>
      </c>
      <c r="D67" s="92">
        <f>data!D65</f>
        <v>3</v>
      </c>
      <c r="E67" s="92">
        <f>data!E65</f>
        <v>1</v>
      </c>
      <c r="F67" s="92" t="str">
        <f>data!F65</f>
        <v>OI81131</v>
      </c>
      <c r="G67" s="92">
        <f>data!G65</f>
        <v>4.2999999999999997E-2</v>
      </c>
      <c r="H67" s="92">
        <f>data!H65</f>
        <v>4.3</v>
      </c>
      <c r="I67" s="92">
        <f>data!I65</f>
        <v>5.2999999999999999E-2</v>
      </c>
      <c r="J67" s="92">
        <f>data!J65</f>
        <v>5.3</v>
      </c>
      <c r="K67" s="92">
        <f>data!K65</f>
        <v>1.2999999999999999E-2</v>
      </c>
      <c r="L67" s="92">
        <f>data!L65</f>
        <v>1.1299999999999999</v>
      </c>
    </row>
    <row r="68" spans="1:13" x14ac:dyDescent="0.25">
      <c r="A68" s="126" t="str">
        <f>data!A66</f>
        <v>comment</v>
      </c>
      <c r="B68" s="98" t="str">
        <f>data!B66</f>
        <v>CZCE</v>
      </c>
      <c r="C68" s="92" t="str">
        <f>data!C66</f>
        <v>PTA807</v>
      </c>
      <c r="D68" s="92">
        <f>data!D66</f>
        <v>1</v>
      </c>
      <c r="E68" s="92">
        <f>data!E66</f>
        <v>0</v>
      </c>
      <c r="F68" s="92" t="str">
        <f>data!F66</f>
        <v>PTA80710</v>
      </c>
      <c r="G68" s="92">
        <f>data!G66</f>
        <v>0.04</v>
      </c>
      <c r="H68" s="92">
        <f>data!H66</f>
        <v>4</v>
      </c>
      <c r="I68" s="92">
        <f>data!I66</f>
        <v>0.05</v>
      </c>
      <c r="J68" s="92">
        <f>data!J66</f>
        <v>5</v>
      </c>
      <c r="K68" s="92">
        <f>data!K66</f>
        <v>0.01</v>
      </c>
      <c r="L68" s="92">
        <f>data!L66</f>
        <v>1</v>
      </c>
    </row>
    <row r="69" spans="1:13" x14ac:dyDescent="0.25">
      <c r="A69" s="126" t="str">
        <f>data!A67</f>
        <v>comment</v>
      </c>
      <c r="B69" s="98" t="str">
        <f>data!B67</f>
        <v>CZCE</v>
      </c>
      <c r="C69" s="92" t="str">
        <f>data!C67</f>
        <v>PTA807</v>
      </c>
      <c r="D69" s="92">
        <f>data!D67</f>
        <v>1</v>
      </c>
      <c r="E69" s="92">
        <f>data!E67</f>
        <v>1</v>
      </c>
      <c r="F69" s="92" t="str">
        <f>data!F67</f>
        <v>PTA80711</v>
      </c>
      <c r="G69" s="92">
        <f>data!G67</f>
        <v>4.1000000000000002E-2</v>
      </c>
      <c r="H69" s="92">
        <f>data!H67</f>
        <v>4.0999999999999996</v>
      </c>
      <c r="I69" s="92">
        <f>data!I67</f>
        <v>5.0999999999999997E-2</v>
      </c>
      <c r="J69" s="92">
        <f>data!J67</f>
        <v>5.0999999999999996</v>
      </c>
      <c r="K69" s="92">
        <f>data!K67</f>
        <v>1.0999999999999999E-2</v>
      </c>
      <c r="L69" s="92">
        <f>data!L67</f>
        <v>1.1100000000000001</v>
      </c>
    </row>
    <row r="70" spans="1:13" x14ac:dyDescent="0.25">
      <c r="A70" s="126" t="str">
        <f>data!A68</f>
        <v>comment</v>
      </c>
      <c r="B70" s="98" t="str">
        <f>data!B68</f>
        <v>CZCE</v>
      </c>
      <c r="C70" s="92" t="str">
        <f>data!C68</f>
        <v>PTA807</v>
      </c>
      <c r="D70" s="92">
        <f>data!D68</f>
        <v>3</v>
      </c>
      <c r="E70" s="92">
        <f>data!E68</f>
        <v>0</v>
      </c>
      <c r="F70" s="92" t="str">
        <f>data!F68</f>
        <v>PTA80730</v>
      </c>
      <c r="G70" s="92">
        <f>data!G68</f>
        <v>4.2000000000000003E-2</v>
      </c>
      <c r="H70" s="92">
        <f>data!H68</f>
        <v>4.2</v>
      </c>
      <c r="I70" s="92">
        <f>data!I68</f>
        <v>5.1999999999999998E-2</v>
      </c>
      <c r="J70" s="92">
        <f>data!J68</f>
        <v>5.2</v>
      </c>
      <c r="K70" s="92">
        <f>data!K68</f>
        <v>1.2E-2</v>
      </c>
      <c r="L70" s="92">
        <f>data!L68</f>
        <v>1.1200000000000001</v>
      </c>
    </row>
    <row r="71" spans="1:13" x14ac:dyDescent="0.25">
      <c r="A71" s="126" t="str">
        <f>data!A69</f>
        <v>comment</v>
      </c>
      <c r="B71" s="98" t="str">
        <f>data!B69</f>
        <v>CZCE</v>
      </c>
      <c r="C71" s="92" t="str">
        <f>data!C69</f>
        <v>PTA807</v>
      </c>
      <c r="D71" s="92">
        <f>data!D69</f>
        <v>3</v>
      </c>
      <c r="E71" s="92">
        <f>data!E69</f>
        <v>1</v>
      </c>
      <c r="F71" s="92" t="str">
        <f>data!F69</f>
        <v>PTA80731</v>
      </c>
      <c r="G71" s="92">
        <f>data!G69</f>
        <v>4.2999999999999997E-2</v>
      </c>
      <c r="H71" s="92">
        <f>data!H69</f>
        <v>4.3</v>
      </c>
      <c r="I71" s="92">
        <f>data!I69</f>
        <v>5.2999999999999999E-2</v>
      </c>
      <c r="J71" s="92">
        <f>data!J69</f>
        <v>5.3</v>
      </c>
      <c r="K71" s="92">
        <f>data!K69</f>
        <v>1.2999999999999999E-2</v>
      </c>
      <c r="L71" s="92">
        <f>data!L69</f>
        <v>1.1299999999999999</v>
      </c>
    </row>
    <row r="72" spans="1:13" x14ac:dyDescent="0.25">
      <c r="A72" s="126" t="str">
        <f>data!A70</f>
        <v>comment</v>
      </c>
      <c r="B72" s="98" t="str">
        <f>data!B70</f>
        <v>CZCE</v>
      </c>
      <c r="C72" s="92" t="str">
        <f>data!C70</f>
        <v>PTA809</v>
      </c>
      <c r="D72" s="92">
        <f>data!D70</f>
        <v>1</v>
      </c>
      <c r="E72" s="92">
        <f>data!E70</f>
        <v>0</v>
      </c>
      <c r="F72" s="92" t="str">
        <f>data!F70</f>
        <v>PTA80910</v>
      </c>
      <c r="G72" s="92">
        <f>data!G70</f>
        <v>0.04</v>
      </c>
      <c r="H72" s="92">
        <f>data!H70</f>
        <v>4</v>
      </c>
      <c r="I72" s="92">
        <f>data!I70</f>
        <v>0.05</v>
      </c>
      <c r="J72" s="92">
        <f>data!J70</f>
        <v>5</v>
      </c>
      <c r="K72" s="92">
        <f>data!K70</f>
        <v>0.01</v>
      </c>
      <c r="L72" s="92">
        <f>data!L70</f>
        <v>1</v>
      </c>
    </row>
    <row r="73" spans="1:13" x14ac:dyDescent="0.25">
      <c r="A73" s="126" t="str">
        <f>data!A71</f>
        <v>comment</v>
      </c>
      <c r="B73" s="98" t="str">
        <f>data!B71</f>
        <v>CZCE</v>
      </c>
      <c r="C73" s="92" t="str">
        <f>data!C71</f>
        <v>PTA809</v>
      </c>
      <c r="D73" s="92">
        <f>data!D71</f>
        <v>1</v>
      </c>
      <c r="E73" s="92">
        <f>data!E71</f>
        <v>1</v>
      </c>
      <c r="F73" s="92" t="str">
        <f>data!F71</f>
        <v>PTA80911</v>
      </c>
      <c r="G73" s="92">
        <f>data!G71</f>
        <v>4.1000000000000002E-2</v>
      </c>
      <c r="H73" s="92">
        <f>data!H71</f>
        <v>4.0999999999999996</v>
      </c>
      <c r="I73" s="92">
        <f>data!I71</f>
        <v>5.0999999999999997E-2</v>
      </c>
      <c r="J73" s="92">
        <f>data!J71</f>
        <v>5.0999999999999996</v>
      </c>
      <c r="K73" s="92">
        <f>data!K71</f>
        <v>1.0999999999999999E-2</v>
      </c>
      <c r="L73" s="92">
        <f>data!L71</f>
        <v>1.1100000000000001</v>
      </c>
    </row>
    <row r="74" spans="1:13" x14ac:dyDescent="0.25">
      <c r="A74" s="126" t="str">
        <f>data!A72</f>
        <v>comment</v>
      </c>
      <c r="B74" s="98" t="str">
        <f>data!B72</f>
        <v>CZCE</v>
      </c>
      <c r="C74" s="92" t="str">
        <f>data!C72</f>
        <v>PTA809</v>
      </c>
      <c r="D74" s="92">
        <f>data!D72</f>
        <v>3</v>
      </c>
      <c r="E74" s="92">
        <f>data!E72</f>
        <v>0</v>
      </c>
      <c r="F74" s="92" t="str">
        <f>data!F72</f>
        <v>PTA80930</v>
      </c>
      <c r="G74" s="92">
        <f>data!G72</f>
        <v>4.2000000000000003E-2</v>
      </c>
      <c r="H74" s="92">
        <f>data!H72</f>
        <v>4.2</v>
      </c>
      <c r="I74" s="92">
        <f>data!I72</f>
        <v>5.1999999999999998E-2</v>
      </c>
      <c r="J74" s="92">
        <f>data!J72</f>
        <v>5.2</v>
      </c>
      <c r="K74" s="92">
        <f>data!K72</f>
        <v>1.2E-2</v>
      </c>
      <c r="L74" s="92">
        <f>data!L72</f>
        <v>1.1200000000000001</v>
      </c>
    </row>
    <row r="75" spans="1:13" x14ac:dyDescent="0.25">
      <c r="A75" s="126" t="str">
        <f>data!A73</f>
        <v>comment</v>
      </c>
      <c r="B75" s="98" t="str">
        <f>data!B73</f>
        <v>CZCE</v>
      </c>
      <c r="C75" s="92" t="str">
        <f>data!C73</f>
        <v>PTA809</v>
      </c>
      <c r="D75" s="92">
        <f>data!D73</f>
        <v>3</v>
      </c>
      <c r="E75" s="92">
        <f>data!E73</f>
        <v>1</v>
      </c>
      <c r="F75" s="92" t="str">
        <f>data!F73</f>
        <v>PTA80931</v>
      </c>
      <c r="G75" s="92">
        <f>data!G73</f>
        <v>4.2999999999999997E-2</v>
      </c>
      <c r="H75" s="92">
        <f>data!H73</f>
        <v>4.3</v>
      </c>
      <c r="I75" s="92">
        <f>data!I73</f>
        <v>5.2999999999999999E-2</v>
      </c>
      <c r="J75" s="92">
        <f>data!J73</f>
        <v>5.3</v>
      </c>
      <c r="K75" s="92">
        <f>data!K73</f>
        <v>1.2999999999999999E-2</v>
      </c>
      <c r="L75" s="92">
        <f>data!L73</f>
        <v>1.1299999999999999</v>
      </c>
    </row>
    <row r="76" spans="1:13" x14ac:dyDescent="0.25">
      <c r="A76" s="126" t="str">
        <f>data!A74</f>
        <v>comment</v>
      </c>
      <c r="B76" t="str">
        <f>data!B74</f>
        <v>期货：交易所手续费率&amp;投资者手续费率</v>
      </c>
    </row>
    <row r="77" spans="1:13" x14ac:dyDescent="0.25">
      <c r="A77" s="126" t="str">
        <f>data!A75</f>
        <v>comment</v>
      </c>
      <c r="B77" s="567" t="str">
        <f>data!B75</f>
        <v>投资者代码</v>
      </c>
      <c r="C77" s="93" t="str">
        <f>data!C75</f>
        <v>交易所代码</v>
      </c>
      <c r="D77" s="93" t="str">
        <f>data!D75</f>
        <v>合约代码</v>
      </c>
      <c r="E77" s="93" t="str">
        <f>data!E75</f>
        <v>投机套保标志</v>
      </c>
      <c r="F77" s="93" t="str">
        <f>data!F75</f>
        <v>开平标志</v>
      </c>
      <c r="G77" s="93" t="str">
        <f>data!G75</f>
        <v>辅助列</v>
      </c>
      <c r="H77" s="93" t="str">
        <f>data!H75</f>
        <v>投资者按金额</v>
      </c>
      <c r="I77" s="93" t="str">
        <f>data!I75</f>
        <v>投资者按手数</v>
      </c>
      <c r="J77" s="93" t="str">
        <f>data!J75</f>
        <v>交易所按金额</v>
      </c>
      <c r="K77" s="93" t="str">
        <f>data!K75</f>
        <v xml:space="preserve">交易所按手数 </v>
      </c>
      <c r="L77" s="93" t="str">
        <f>data!L75</f>
        <v>投资者结算按金额</v>
      </c>
      <c r="M77" s="93" t="str">
        <f>data!M75</f>
        <v>投资者结算按手数</v>
      </c>
    </row>
    <row r="78" spans="1:13" x14ac:dyDescent="0.25">
      <c r="A78" s="126" t="str">
        <f>data!A76</f>
        <v>comment</v>
      </c>
      <c r="B78" s="98" t="str">
        <f>data!B76</f>
        <v>6001</v>
      </c>
      <c r="C78" s="92" t="str">
        <f>data!C76</f>
        <v>CZCE</v>
      </c>
      <c r="D78" s="92" t="str">
        <f>data!D76</f>
        <v>SR807</v>
      </c>
      <c r="E78" s="92">
        <f>data!E76</f>
        <v>1</v>
      </c>
      <c r="F78" s="92">
        <f>data!F76</f>
        <v>0</v>
      </c>
      <c r="G78" s="92" t="str">
        <f>data!G76</f>
        <v>SR80710</v>
      </c>
      <c r="H78" s="92">
        <f>data!H76</f>
        <v>5.0000000000000001E-4</v>
      </c>
      <c r="I78" s="92">
        <f>data!I76</f>
        <v>5</v>
      </c>
      <c r="J78" s="92">
        <f>data!J76</f>
        <v>4.0000000000000002E-4</v>
      </c>
      <c r="K78" s="92">
        <f>data!K76</f>
        <v>4</v>
      </c>
      <c r="L78" s="92">
        <f>data!L76</f>
        <v>2.0000000000000001E-4</v>
      </c>
      <c r="M78" s="92">
        <f>data!M76</f>
        <v>2</v>
      </c>
    </row>
    <row r="79" spans="1:13" x14ac:dyDescent="0.25">
      <c r="A79" s="126" t="str">
        <f>data!A77</f>
        <v>comment</v>
      </c>
      <c r="B79" s="98" t="str">
        <f>data!B77</f>
        <v>6001</v>
      </c>
      <c r="C79" s="92" t="str">
        <f>data!C77</f>
        <v>CZCE</v>
      </c>
      <c r="D79" s="92" t="str">
        <f>data!D77</f>
        <v>SR807</v>
      </c>
      <c r="E79" s="92">
        <f>data!E77</f>
        <v>1</v>
      </c>
      <c r="F79" s="92">
        <f>data!F77</f>
        <v>1</v>
      </c>
      <c r="G79" s="92" t="str">
        <f>data!G77</f>
        <v>SR80711</v>
      </c>
      <c r="H79" s="92">
        <f>data!H77</f>
        <v>4.0000000000000002E-4</v>
      </c>
      <c r="I79" s="92">
        <f>data!I77</f>
        <v>4</v>
      </c>
      <c r="J79" s="92">
        <f>data!J77</f>
        <v>2.9999999999999997E-4</v>
      </c>
      <c r="K79" s="92">
        <f>data!K77</f>
        <v>3</v>
      </c>
      <c r="L79" s="92">
        <f>data!L77</f>
        <v>2.0000000000000001E-4</v>
      </c>
      <c r="M79" s="92">
        <f>data!M77</f>
        <v>2</v>
      </c>
    </row>
    <row r="80" spans="1:13" x14ac:dyDescent="0.25">
      <c r="A80" s="126" t="str">
        <f>data!A78</f>
        <v>comment</v>
      </c>
      <c r="B80" s="98" t="str">
        <f>data!B78</f>
        <v>6001</v>
      </c>
      <c r="C80" s="92" t="str">
        <f>data!C78</f>
        <v>CZCE</v>
      </c>
      <c r="D80" s="92" t="str">
        <f>data!D78</f>
        <v>SR807</v>
      </c>
      <c r="E80" s="92">
        <f>data!E78</f>
        <v>1</v>
      </c>
      <c r="F80" s="92">
        <f>data!F78</f>
        <v>2</v>
      </c>
      <c r="G80" s="92" t="str">
        <f>data!G78</f>
        <v>SR80712</v>
      </c>
      <c r="H80" s="92">
        <f>data!H78</f>
        <v>2.9999999999999997E-4</v>
      </c>
      <c r="I80" s="92">
        <f>data!I78</f>
        <v>3</v>
      </c>
      <c r="J80" s="92">
        <f>data!J78</f>
        <v>2.0000000000000001E-4</v>
      </c>
      <c r="K80" s="92">
        <f>data!K78</f>
        <v>2</v>
      </c>
      <c r="L80" s="92">
        <f>data!L78</f>
        <v>2.0000000000000001E-4</v>
      </c>
      <c r="M80" s="92">
        <f>data!M78</f>
        <v>2</v>
      </c>
    </row>
    <row r="81" spans="1:13" x14ac:dyDescent="0.25">
      <c r="A81" s="126" t="str">
        <f>data!A79</f>
        <v>comment</v>
      </c>
      <c r="B81" s="98" t="str">
        <f>data!B79</f>
        <v>6001</v>
      </c>
      <c r="C81" s="92" t="str">
        <f>data!C79</f>
        <v>CZCE</v>
      </c>
      <c r="D81" s="92" t="str">
        <f>data!D79</f>
        <v>SR807</v>
      </c>
      <c r="E81" s="92">
        <f>data!E79</f>
        <v>1</v>
      </c>
      <c r="F81" s="92">
        <f>data!F79</f>
        <v>3</v>
      </c>
      <c r="G81" s="92" t="str">
        <f>data!G79</f>
        <v>SR80713</v>
      </c>
      <c r="H81" s="92">
        <f>data!H79</f>
        <v>2.0000000000000001E-4</v>
      </c>
      <c r="I81" s="92">
        <f>data!I79</f>
        <v>2</v>
      </c>
      <c r="J81" s="92">
        <f>data!J79</f>
        <v>1E-4</v>
      </c>
      <c r="K81" s="92">
        <f>data!K79</f>
        <v>1</v>
      </c>
      <c r="L81" s="92">
        <f>data!L79</f>
        <v>2.0000000000000001E-4</v>
      </c>
      <c r="M81" s="92">
        <f>data!M79</f>
        <v>2</v>
      </c>
    </row>
    <row r="82" spans="1:13" x14ac:dyDescent="0.25">
      <c r="A82" s="126" t="str">
        <f>data!A80</f>
        <v>comment</v>
      </c>
      <c r="B82" s="98" t="str">
        <f>data!B80</f>
        <v>6001</v>
      </c>
      <c r="C82" s="92" t="str">
        <f>data!C80</f>
        <v>CZCE</v>
      </c>
      <c r="D82" s="92" t="str">
        <f>data!D80</f>
        <v>SR807</v>
      </c>
      <c r="E82" s="92">
        <f>data!E80</f>
        <v>3</v>
      </c>
      <c r="F82" s="92">
        <f>data!F80</f>
        <v>0</v>
      </c>
      <c r="G82" s="92" t="str">
        <f>data!G80</f>
        <v>SR80730</v>
      </c>
      <c r="H82" s="92">
        <f>data!H80</f>
        <v>5.0000000000000001E-4</v>
      </c>
      <c r="I82" s="92">
        <f>data!I80</f>
        <v>5</v>
      </c>
      <c r="J82" s="92">
        <f>data!J80</f>
        <v>5.0000000000000001E-4</v>
      </c>
      <c r="K82" s="92">
        <f>data!K80</f>
        <v>5</v>
      </c>
      <c r="L82" s="92">
        <f>data!L80</f>
        <v>2.0000000000000001E-4</v>
      </c>
      <c r="M82" s="92">
        <f>data!M80</f>
        <v>2</v>
      </c>
    </row>
    <row r="83" spans="1:13" x14ac:dyDescent="0.25">
      <c r="A83" s="126" t="str">
        <f>data!A81</f>
        <v>comment</v>
      </c>
      <c r="B83" s="98" t="str">
        <f>data!B81</f>
        <v>6001</v>
      </c>
      <c r="C83" s="92" t="str">
        <f>data!C81</f>
        <v>CZCE</v>
      </c>
      <c r="D83" s="92" t="str">
        <f>data!D81</f>
        <v>SR807</v>
      </c>
      <c r="E83" s="92">
        <f>data!E81</f>
        <v>3</v>
      </c>
      <c r="F83" s="92">
        <f>data!F81</f>
        <v>1</v>
      </c>
      <c r="G83" s="92" t="str">
        <f>data!G81</f>
        <v>SR80731</v>
      </c>
      <c r="H83" s="92">
        <f>data!H81</f>
        <v>4.0000000000000002E-4</v>
      </c>
      <c r="I83" s="92">
        <f>data!I81</f>
        <v>4</v>
      </c>
      <c r="J83" s="92">
        <f>data!J81</f>
        <v>3.9999999999999996E-4</v>
      </c>
      <c r="K83" s="92">
        <f>data!K81</f>
        <v>4</v>
      </c>
      <c r="L83" s="92">
        <f>data!L81</f>
        <v>2.0000000000000001E-4</v>
      </c>
      <c r="M83" s="92">
        <f>data!M81</f>
        <v>2</v>
      </c>
    </row>
    <row r="84" spans="1:13" x14ac:dyDescent="0.25">
      <c r="A84" s="126" t="str">
        <f>data!A82</f>
        <v>comment</v>
      </c>
      <c r="B84" s="98" t="str">
        <f>data!B82</f>
        <v>6001</v>
      </c>
      <c r="C84" s="92" t="str">
        <f>data!C82</f>
        <v>CZCE</v>
      </c>
      <c r="D84" s="92" t="str">
        <f>data!D82</f>
        <v>SR807</v>
      </c>
      <c r="E84" s="92">
        <f>data!E82</f>
        <v>3</v>
      </c>
      <c r="F84" s="92">
        <f>data!F82</f>
        <v>2</v>
      </c>
      <c r="G84" s="92" t="str">
        <f>data!G82</f>
        <v>SR80732</v>
      </c>
      <c r="H84" s="92">
        <f>data!H82</f>
        <v>2.9999999999999997E-4</v>
      </c>
      <c r="I84" s="92">
        <f>data!I82</f>
        <v>3</v>
      </c>
      <c r="J84" s="92">
        <f>data!J82</f>
        <v>3.0000000000000003E-4</v>
      </c>
      <c r="K84" s="92">
        <f>data!K82</f>
        <v>3</v>
      </c>
      <c r="L84" s="92">
        <f>data!L82</f>
        <v>2.0000000000000001E-4</v>
      </c>
      <c r="M84" s="92">
        <f>data!M82</f>
        <v>2</v>
      </c>
    </row>
    <row r="85" spans="1:13" x14ac:dyDescent="0.25">
      <c r="A85" s="126" t="str">
        <f>data!A83</f>
        <v>comment</v>
      </c>
      <c r="B85" s="98" t="str">
        <f>data!B83</f>
        <v>6001</v>
      </c>
      <c r="C85" s="92" t="str">
        <f>data!C83</f>
        <v>CZCE</v>
      </c>
      <c r="D85" s="92" t="str">
        <f>data!D83</f>
        <v>SR807</v>
      </c>
      <c r="E85" s="92">
        <f>data!E83</f>
        <v>3</v>
      </c>
      <c r="F85" s="92">
        <f>data!F83</f>
        <v>3</v>
      </c>
      <c r="G85" s="92" t="str">
        <f>data!G83</f>
        <v>SR80733</v>
      </c>
      <c r="H85" s="92">
        <f>data!H83</f>
        <v>2.0000000000000001E-4</v>
      </c>
      <c r="I85" s="92">
        <f>data!I83</f>
        <v>2</v>
      </c>
      <c r="J85" s="92">
        <f>data!J83</f>
        <v>2.0000000000000001E-4</v>
      </c>
      <c r="K85" s="92">
        <f>data!K83</f>
        <v>2</v>
      </c>
      <c r="L85" s="92">
        <f>data!L83</f>
        <v>2.0000000000000001E-4</v>
      </c>
      <c r="M85" s="92">
        <f>data!M83</f>
        <v>2</v>
      </c>
    </row>
    <row r="86" spans="1:13" x14ac:dyDescent="0.25">
      <c r="A86" s="126" t="str">
        <f>data!A84</f>
        <v>comment</v>
      </c>
      <c r="B86" s="98" t="str">
        <f>data!B84</f>
        <v>6001</v>
      </c>
      <c r="C86" s="92" t="str">
        <f>data!C84</f>
        <v>CZCE</v>
      </c>
      <c r="D86" s="92" t="str">
        <f>data!D84</f>
        <v>SR809</v>
      </c>
      <c r="E86" s="92">
        <f>data!E84</f>
        <v>1</v>
      </c>
      <c r="F86" s="92">
        <f>data!F84</f>
        <v>0</v>
      </c>
      <c r="G86" s="92" t="str">
        <f>data!G84</f>
        <v>SR80910</v>
      </c>
      <c r="H86" s="92">
        <f>data!H84</f>
        <v>5.0000000000000001E-4</v>
      </c>
      <c r="I86" s="92">
        <f>data!I84</f>
        <v>5</v>
      </c>
      <c r="J86" s="92">
        <f>data!J84</f>
        <v>4.0000000000000002E-4</v>
      </c>
      <c r="K86" s="92">
        <f>data!K84</f>
        <v>4</v>
      </c>
      <c r="L86" s="92">
        <f>data!L84</f>
        <v>2.0000000000000001E-4</v>
      </c>
      <c r="M86" s="92">
        <f>data!M84</f>
        <v>2</v>
      </c>
    </row>
    <row r="87" spans="1:13" x14ac:dyDescent="0.25">
      <c r="A87" s="126" t="str">
        <f>data!A85</f>
        <v>comment</v>
      </c>
      <c r="B87" s="98" t="str">
        <f>data!B85</f>
        <v>6001</v>
      </c>
      <c r="C87" s="92" t="str">
        <f>data!C85</f>
        <v>CZCE</v>
      </c>
      <c r="D87" s="92" t="str">
        <f>data!D85</f>
        <v>SR809</v>
      </c>
      <c r="E87" s="92">
        <f>data!E85</f>
        <v>1</v>
      </c>
      <c r="F87" s="92">
        <f>data!F85</f>
        <v>1</v>
      </c>
      <c r="G87" s="92" t="str">
        <f>data!G85</f>
        <v>SR80911</v>
      </c>
      <c r="H87" s="92">
        <f>data!H85</f>
        <v>4.0000000000000002E-4</v>
      </c>
      <c r="I87" s="92">
        <f>data!I85</f>
        <v>4</v>
      </c>
      <c r="J87" s="92">
        <f>data!J85</f>
        <v>2.9999999999999997E-4</v>
      </c>
      <c r="K87" s="92">
        <f>data!K85</f>
        <v>3</v>
      </c>
      <c r="L87" s="92">
        <f>data!L85</f>
        <v>2.0000000000000001E-4</v>
      </c>
      <c r="M87" s="92">
        <f>data!M85</f>
        <v>2</v>
      </c>
    </row>
    <row r="88" spans="1:13" x14ac:dyDescent="0.25">
      <c r="A88" s="126" t="str">
        <f>data!A86</f>
        <v>comment</v>
      </c>
      <c r="B88" s="98" t="str">
        <f>data!B86</f>
        <v>6001</v>
      </c>
      <c r="C88" s="92" t="str">
        <f>data!C86</f>
        <v>CZCE</v>
      </c>
      <c r="D88" s="92" t="str">
        <f>data!D86</f>
        <v>SR809</v>
      </c>
      <c r="E88" s="92">
        <f>data!E86</f>
        <v>1</v>
      </c>
      <c r="F88" s="92">
        <f>data!F86</f>
        <v>2</v>
      </c>
      <c r="G88" s="92" t="str">
        <f>data!G86</f>
        <v>SR80912</v>
      </c>
      <c r="H88" s="92">
        <f>data!H86</f>
        <v>2.9999999999999997E-4</v>
      </c>
      <c r="I88" s="92">
        <f>data!I86</f>
        <v>3</v>
      </c>
      <c r="J88" s="92">
        <f>data!J86</f>
        <v>2.0000000000000001E-4</v>
      </c>
      <c r="K88" s="92">
        <f>data!K86</f>
        <v>2</v>
      </c>
      <c r="L88" s="92">
        <f>data!L86</f>
        <v>2.0000000000000001E-4</v>
      </c>
      <c r="M88" s="92">
        <f>data!M86</f>
        <v>2</v>
      </c>
    </row>
    <row r="89" spans="1:13" x14ac:dyDescent="0.25">
      <c r="A89" s="126" t="str">
        <f>data!A87</f>
        <v>comment</v>
      </c>
      <c r="B89" s="98" t="str">
        <f>data!B87</f>
        <v>6001</v>
      </c>
      <c r="C89" s="92" t="str">
        <f>data!C87</f>
        <v>CZCE</v>
      </c>
      <c r="D89" s="92" t="str">
        <f>data!D87</f>
        <v>SR809</v>
      </c>
      <c r="E89" s="92">
        <f>data!E87</f>
        <v>1</v>
      </c>
      <c r="F89" s="92">
        <f>data!F87</f>
        <v>3</v>
      </c>
      <c r="G89" s="92" t="str">
        <f>data!G87</f>
        <v>SR80913</v>
      </c>
      <c r="H89" s="92">
        <f>data!H87</f>
        <v>2.0000000000000001E-4</v>
      </c>
      <c r="I89" s="92">
        <f>data!I87</f>
        <v>2</v>
      </c>
      <c r="J89" s="92">
        <f>data!J87</f>
        <v>1E-4</v>
      </c>
      <c r="K89" s="92">
        <f>data!K87</f>
        <v>1</v>
      </c>
      <c r="L89" s="92">
        <f>data!L87</f>
        <v>2.0000000000000001E-4</v>
      </c>
      <c r="M89" s="92">
        <f>data!M87</f>
        <v>2</v>
      </c>
    </row>
    <row r="90" spans="1:13" x14ac:dyDescent="0.25">
      <c r="A90" s="126" t="str">
        <f>data!A88</f>
        <v>comment</v>
      </c>
      <c r="B90" s="98" t="str">
        <f>data!B88</f>
        <v>6001</v>
      </c>
      <c r="C90" s="92" t="str">
        <f>data!C88</f>
        <v>CZCE</v>
      </c>
      <c r="D90" s="92" t="str">
        <f>data!D88</f>
        <v>SR809</v>
      </c>
      <c r="E90" s="92">
        <f>data!E88</f>
        <v>3</v>
      </c>
      <c r="F90" s="92">
        <f>data!F88</f>
        <v>0</v>
      </c>
      <c r="G90" s="92" t="str">
        <f>data!G88</f>
        <v>SR80930</v>
      </c>
      <c r="H90" s="92">
        <f>data!H88</f>
        <v>5.0000000000000001E-4</v>
      </c>
      <c r="I90" s="92">
        <f>data!I88</f>
        <v>5</v>
      </c>
      <c r="J90" s="92">
        <f>data!J88</f>
        <v>5.0000000000000001E-4</v>
      </c>
      <c r="K90" s="92">
        <f>data!K88</f>
        <v>5</v>
      </c>
      <c r="L90" s="92">
        <f>data!L88</f>
        <v>2.0000000000000001E-4</v>
      </c>
      <c r="M90" s="92">
        <f>data!M88</f>
        <v>2</v>
      </c>
    </row>
    <row r="91" spans="1:13" x14ac:dyDescent="0.25">
      <c r="A91" s="126" t="str">
        <f>data!A89</f>
        <v>comment</v>
      </c>
      <c r="B91" s="98" t="str">
        <f>data!B89</f>
        <v>6001</v>
      </c>
      <c r="C91" s="92" t="str">
        <f>data!C89</f>
        <v>CZCE</v>
      </c>
      <c r="D91" s="92" t="str">
        <f>data!D89</f>
        <v>SR809</v>
      </c>
      <c r="E91" s="92">
        <f>data!E89</f>
        <v>3</v>
      </c>
      <c r="F91" s="92">
        <f>data!F89</f>
        <v>1</v>
      </c>
      <c r="G91" s="92" t="str">
        <f>data!G89</f>
        <v>SR80931</v>
      </c>
      <c r="H91" s="92">
        <f>data!H89</f>
        <v>4.0000000000000002E-4</v>
      </c>
      <c r="I91" s="92">
        <f>data!I89</f>
        <v>4</v>
      </c>
      <c r="J91" s="92">
        <f>data!J89</f>
        <v>3.9999999999999996E-4</v>
      </c>
      <c r="K91" s="92">
        <f>data!K89</f>
        <v>4</v>
      </c>
      <c r="L91" s="92">
        <f>data!L89</f>
        <v>2.0000000000000001E-4</v>
      </c>
      <c r="M91" s="92">
        <f>data!M89</f>
        <v>2</v>
      </c>
    </row>
    <row r="92" spans="1:13" x14ac:dyDescent="0.25">
      <c r="A92" s="126" t="str">
        <f>data!A90</f>
        <v>comment</v>
      </c>
      <c r="B92" s="98" t="str">
        <f>data!B90</f>
        <v>6001</v>
      </c>
      <c r="C92" s="92" t="str">
        <f>data!C90</f>
        <v>CZCE</v>
      </c>
      <c r="D92" s="92" t="str">
        <f>data!D90</f>
        <v>SR809</v>
      </c>
      <c r="E92" s="92">
        <f>data!E90</f>
        <v>3</v>
      </c>
      <c r="F92" s="92">
        <f>data!F90</f>
        <v>2</v>
      </c>
      <c r="G92" s="92" t="str">
        <f>data!G90</f>
        <v>SR80932</v>
      </c>
      <c r="H92" s="92">
        <f>data!H90</f>
        <v>2.9999999999999997E-4</v>
      </c>
      <c r="I92" s="92">
        <f>data!I90</f>
        <v>3</v>
      </c>
      <c r="J92" s="92">
        <f>data!J90</f>
        <v>3.0000000000000003E-4</v>
      </c>
      <c r="K92" s="92">
        <f>data!K90</f>
        <v>3</v>
      </c>
      <c r="L92" s="92">
        <f>data!L90</f>
        <v>2.0000000000000001E-4</v>
      </c>
      <c r="M92" s="92">
        <f>data!M90</f>
        <v>2</v>
      </c>
    </row>
    <row r="93" spans="1:13" x14ac:dyDescent="0.25">
      <c r="A93" s="126" t="str">
        <f>data!A91</f>
        <v>comment</v>
      </c>
      <c r="B93" s="98" t="str">
        <f>data!B91</f>
        <v>6001</v>
      </c>
      <c r="C93" s="92" t="str">
        <f>data!C91</f>
        <v>CZCE</v>
      </c>
      <c r="D93" s="92" t="str">
        <f>data!D91</f>
        <v>SR809</v>
      </c>
      <c r="E93" s="92">
        <f>data!E91</f>
        <v>3</v>
      </c>
      <c r="F93" s="92">
        <f>data!F91</f>
        <v>3</v>
      </c>
      <c r="G93" s="92" t="str">
        <f>data!G91</f>
        <v>SR80933</v>
      </c>
      <c r="H93" s="92">
        <f>data!H91</f>
        <v>2.0000000000000001E-4</v>
      </c>
      <c r="I93" s="92">
        <f>data!I91</f>
        <v>2</v>
      </c>
      <c r="J93" s="92">
        <f>data!J91</f>
        <v>2.0000000000000001E-4</v>
      </c>
      <c r="K93" s="92">
        <f>data!K91</f>
        <v>2</v>
      </c>
      <c r="L93" s="92">
        <f>data!L91</f>
        <v>2.0000000000000001E-4</v>
      </c>
      <c r="M93" s="92">
        <f>data!M91</f>
        <v>2</v>
      </c>
    </row>
    <row r="94" spans="1:13" x14ac:dyDescent="0.25">
      <c r="A94" s="126" t="str">
        <f>data!A92</f>
        <v>comment</v>
      </c>
      <c r="B94" s="98" t="str">
        <f>data!B92</f>
        <v>6001</v>
      </c>
      <c r="C94" s="92" t="str">
        <f>data!C92</f>
        <v>CZCE</v>
      </c>
      <c r="D94" s="92" t="str">
        <f>data!D92</f>
        <v>OI811</v>
      </c>
      <c r="E94" s="92">
        <f>data!E92</f>
        <v>1</v>
      </c>
      <c r="F94" s="92">
        <f>data!F92</f>
        <v>0</v>
      </c>
      <c r="G94" s="92" t="str">
        <f>data!G92</f>
        <v>OI81110</v>
      </c>
      <c r="H94" s="92">
        <f>data!H92</f>
        <v>5.0000000000000001E-4</v>
      </c>
      <c r="I94" s="92">
        <f>data!I92</f>
        <v>5</v>
      </c>
      <c r="J94" s="92">
        <f>data!J92</f>
        <v>4.0000000000000002E-4</v>
      </c>
      <c r="K94" s="92">
        <f>data!K92</f>
        <v>4</v>
      </c>
      <c r="L94" s="92">
        <f>data!L92</f>
        <v>2.0000000000000001E-4</v>
      </c>
      <c r="M94" s="92">
        <f>data!M92</f>
        <v>2</v>
      </c>
    </row>
    <row r="95" spans="1:13" x14ac:dyDescent="0.25">
      <c r="A95" s="126" t="str">
        <f>data!A93</f>
        <v>comment</v>
      </c>
      <c r="B95" s="98" t="str">
        <f>data!B93</f>
        <v>6001</v>
      </c>
      <c r="C95" s="92" t="str">
        <f>data!C93</f>
        <v>CZCE</v>
      </c>
      <c r="D95" s="92" t="str">
        <f>data!D93</f>
        <v>OI811</v>
      </c>
      <c r="E95" s="92">
        <f>data!E93</f>
        <v>1</v>
      </c>
      <c r="F95" s="92">
        <f>data!F93</f>
        <v>1</v>
      </c>
      <c r="G95" s="92" t="str">
        <f>data!G93</f>
        <v>OI81111</v>
      </c>
      <c r="H95" s="92">
        <f>data!H93</f>
        <v>4.0000000000000002E-4</v>
      </c>
      <c r="I95" s="92">
        <f>data!I93</f>
        <v>4</v>
      </c>
      <c r="J95" s="92">
        <f>data!J93</f>
        <v>2.9999999999999997E-4</v>
      </c>
      <c r="K95" s="92">
        <f>data!K93</f>
        <v>3</v>
      </c>
      <c r="L95" s="92">
        <f>data!L93</f>
        <v>2.0000000000000001E-4</v>
      </c>
      <c r="M95" s="92">
        <f>data!M93</f>
        <v>2</v>
      </c>
    </row>
    <row r="96" spans="1:13" x14ac:dyDescent="0.25">
      <c r="A96" s="126" t="str">
        <f>data!A94</f>
        <v>comment</v>
      </c>
      <c r="B96" s="98" t="str">
        <f>data!B94</f>
        <v>6001</v>
      </c>
      <c r="C96" s="92" t="str">
        <f>data!C94</f>
        <v>CZCE</v>
      </c>
      <c r="D96" s="92" t="str">
        <f>data!D94</f>
        <v>OI811</v>
      </c>
      <c r="E96" s="92">
        <f>data!E94</f>
        <v>1</v>
      </c>
      <c r="F96" s="92">
        <f>data!F94</f>
        <v>2</v>
      </c>
      <c r="G96" s="92" t="str">
        <f>data!G94</f>
        <v>OI81112</v>
      </c>
      <c r="H96" s="92">
        <f>data!H94</f>
        <v>2.9999999999999997E-4</v>
      </c>
      <c r="I96" s="92">
        <f>data!I94</f>
        <v>3</v>
      </c>
      <c r="J96" s="92">
        <f>data!J94</f>
        <v>2.0000000000000001E-4</v>
      </c>
      <c r="K96" s="92">
        <f>data!K94</f>
        <v>2</v>
      </c>
      <c r="L96" s="92">
        <f>data!L94</f>
        <v>2.0000000000000001E-4</v>
      </c>
      <c r="M96" s="92">
        <f>data!M94</f>
        <v>2</v>
      </c>
    </row>
    <row r="97" spans="1:13" x14ac:dyDescent="0.25">
      <c r="A97" s="126" t="str">
        <f>data!A95</f>
        <v>comment</v>
      </c>
      <c r="B97" s="98" t="str">
        <f>data!B95</f>
        <v>6001</v>
      </c>
      <c r="C97" s="92" t="str">
        <f>data!C95</f>
        <v>CZCE</v>
      </c>
      <c r="D97" s="92" t="str">
        <f>data!D95</f>
        <v>OI811</v>
      </c>
      <c r="E97" s="92">
        <f>data!E95</f>
        <v>1</v>
      </c>
      <c r="F97" s="92">
        <f>data!F95</f>
        <v>3</v>
      </c>
      <c r="G97" s="92" t="str">
        <f>data!G95</f>
        <v>OI81113</v>
      </c>
      <c r="H97" s="92">
        <f>data!H95</f>
        <v>2.0000000000000001E-4</v>
      </c>
      <c r="I97" s="92">
        <f>data!I95</f>
        <v>2</v>
      </c>
      <c r="J97" s="92">
        <f>data!J95</f>
        <v>1E-4</v>
      </c>
      <c r="K97" s="92">
        <f>data!K95</f>
        <v>1</v>
      </c>
      <c r="L97" s="92">
        <f>data!L95</f>
        <v>2.0000000000000001E-4</v>
      </c>
      <c r="M97" s="92">
        <f>data!M95</f>
        <v>2</v>
      </c>
    </row>
    <row r="98" spans="1:13" x14ac:dyDescent="0.25">
      <c r="A98" s="126" t="str">
        <f>data!A96</f>
        <v>comment</v>
      </c>
      <c r="B98" s="98" t="str">
        <f>data!B96</f>
        <v>6001</v>
      </c>
      <c r="C98" s="92" t="str">
        <f>data!C96</f>
        <v>CZCE</v>
      </c>
      <c r="D98" s="92" t="str">
        <f>data!D96</f>
        <v>OI811</v>
      </c>
      <c r="E98" s="92">
        <f>data!E96</f>
        <v>3</v>
      </c>
      <c r="F98" s="92">
        <f>data!F96</f>
        <v>0</v>
      </c>
      <c r="G98" s="92" t="str">
        <f>data!G96</f>
        <v>OI81130</v>
      </c>
      <c r="H98" s="92">
        <f>data!H96</f>
        <v>5.0000000000000001E-4</v>
      </c>
      <c r="I98" s="92">
        <f>data!I96</f>
        <v>5</v>
      </c>
      <c r="J98" s="92">
        <f>data!J96</f>
        <v>5.0000000000000001E-4</v>
      </c>
      <c r="K98" s="92">
        <f>data!K96</f>
        <v>5</v>
      </c>
      <c r="L98" s="92">
        <f>data!L96</f>
        <v>2.0000000000000001E-4</v>
      </c>
      <c r="M98" s="92">
        <f>data!M96</f>
        <v>2</v>
      </c>
    </row>
    <row r="99" spans="1:13" x14ac:dyDescent="0.25">
      <c r="A99" s="126" t="str">
        <f>data!A97</f>
        <v>comment</v>
      </c>
      <c r="B99" s="98" t="str">
        <f>data!B97</f>
        <v>6001</v>
      </c>
      <c r="C99" s="92" t="str">
        <f>data!C97</f>
        <v>CZCE</v>
      </c>
      <c r="D99" s="92" t="str">
        <f>data!D97</f>
        <v>OI811</v>
      </c>
      <c r="E99" s="92">
        <f>data!E97</f>
        <v>3</v>
      </c>
      <c r="F99" s="92">
        <f>data!F97</f>
        <v>1</v>
      </c>
      <c r="G99" s="92" t="str">
        <f>data!G97</f>
        <v>OI81131</v>
      </c>
      <c r="H99" s="92">
        <f>data!H97</f>
        <v>4.0000000000000002E-4</v>
      </c>
      <c r="I99" s="92">
        <f>data!I97</f>
        <v>4</v>
      </c>
      <c r="J99" s="92">
        <f>data!J97</f>
        <v>3.9999999999999996E-4</v>
      </c>
      <c r="K99" s="92">
        <f>data!K97</f>
        <v>4</v>
      </c>
      <c r="L99" s="92">
        <f>data!L97</f>
        <v>2.0000000000000001E-4</v>
      </c>
      <c r="M99" s="92">
        <f>data!M97</f>
        <v>2</v>
      </c>
    </row>
    <row r="100" spans="1:13" x14ac:dyDescent="0.25">
      <c r="A100" s="126" t="str">
        <f>data!A98</f>
        <v>comment</v>
      </c>
      <c r="B100" s="98" t="str">
        <f>data!B98</f>
        <v>6001</v>
      </c>
      <c r="C100" s="92" t="str">
        <f>data!C98</f>
        <v>CZCE</v>
      </c>
      <c r="D100" s="92" t="str">
        <f>data!D98</f>
        <v>OI811</v>
      </c>
      <c r="E100" s="92">
        <f>data!E98</f>
        <v>3</v>
      </c>
      <c r="F100" s="92">
        <f>data!F98</f>
        <v>2</v>
      </c>
      <c r="G100" s="92" t="str">
        <f>data!G98</f>
        <v>OI81132</v>
      </c>
      <c r="H100" s="92">
        <f>data!H98</f>
        <v>2.9999999999999997E-4</v>
      </c>
      <c r="I100" s="92">
        <f>data!I98</f>
        <v>3</v>
      </c>
      <c r="J100" s="92">
        <f>data!J98</f>
        <v>3.0000000000000003E-4</v>
      </c>
      <c r="K100" s="92">
        <f>data!K98</f>
        <v>3</v>
      </c>
      <c r="L100" s="92">
        <f>data!L98</f>
        <v>2.0000000000000001E-4</v>
      </c>
      <c r="M100" s="92">
        <f>data!M98</f>
        <v>2</v>
      </c>
    </row>
    <row r="101" spans="1:13" x14ac:dyDescent="0.25">
      <c r="A101" s="126" t="str">
        <f>data!A99</f>
        <v>comment</v>
      </c>
      <c r="B101" s="98" t="str">
        <f>data!B99</f>
        <v>6001</v>
      </c>
      <c r="C101" s="92" t="str">
        <f>data!C99</f>
        <v>CZCE</v>
      </c>
      <c r="D101" s="92" t="str">
        <f>data!D99</f>
        <v>OI811</v>
      </c>
      <c r="E101" s="92">
        <f>data!E99</f>
        <v>3</v>
      </c>
      <c r="F101" s="92">
        <f>data!F99</f>
        <v>3</v>
      </c>
      <c r="G101" s="92" t="str">
        <f>data!G99</f>
        <v>OI81133</v>
      </c>
      <c r="H101" s="92">
        <f>data!H99</f>
        <v>2.0000000000000001E-4</v>
      </c>
      <c r="I101" s="92">
        <f>data!I99</f>
        <v>2</v>
      </c>
      <c r="J101" s="92">
        <f>data!J99</f>
        <v>2.0000000000000001E-4</v>
      </c>
      <c r="K101" s="92">
        <f>data!K99</f>
        <v>2</v>
      </c>
      <c r="L101" s="92">
        <f>data!L99</f>
        <v>2.0000000000000001E-4</v>
      </c>
      <c r="M101" s="92">
        <f>data!M99</f>
        <v>2</v>
      </c>
    </row>
    <row r="102" spans="1:13" x14ac:dyDescent="0.25">
      <c r="A102" s="126" t="str">
        <f>data!A100</f>
        <v>comment</v>
      </c>
      <c r="B102" s="98" t="str">
        <f>data!B100</f>
        <v>6001</v>
      </c>
      <c r="C102" s="92" t="str">
        <f>data!C100</f>
        <v>CZCE</v>
      </c>
      <c r="D102" s="92" t="str">
        <f>data!D100</f>
        <v>PTA807</v>
      </c>
      <c r="E102" s="92">
        <f>data!E100</f>
        <v>1</v>
      </c>
      <c r="F102" s="92">
        <f>data!F100</f>
        <v>0</v>
      </c>
      <c r="G102" s="92" t="str">
        <f>data!G100</f>
        <v>PTA80710</v>
      </c>
      <c r="H102" s="92">
        <f>data!H100</f>
        <v>5.0000000000000001E-4</v>
      </c>
      <c r="I102" s="92">
        <f>data!I100</f>
        <v>5</v>
      </c>
      <c r="J102" s="92">
        <f>data!J100</f>
        <v>4.0000000000000002E-4</v>
      </c>
      <c r="K102" s="92">
        <f>data!K100</f>
        <v>4</v>
      </c>
      <c r="L102" s="92">
        <f>data!L100</f>
        <v>2.0000000000000001E-4</v>
      </c>
      <c r="M102" s="92">
        <f>data!M100</f>
        <v>2</v>
      </c>
    </row>
    <row r="103" spans="1:13" x14ac:dyDescent="0.25">
      <c r="A103" s="126" t="str">
        <f>data!A101</f>
        <v>comment</v>
      </c>
      <c r="B103" s="98" t="str">
        <f>data!B101</f>
        <v>6001</v>
      </c>
      <c r="C103" s="92" t="str">
        <f>data!C101</f>
        <v>CZCE</v>
      </c>
      <c r="D103" s="92" t="str">
        <f>data!D101</f>
        <v>PTA807</v>
      </c>
      <c r="E103" s="92">
        <f>data!E101</f>
        <v>1</v>
      </c>
      <c r="F103" s="92">
        <f>data!F101</f>
        <v>1</v>
      </c>
      <c r="G103" s="92" t="str">
        <f>data!G101</f>
        <v>PTA80711</v>
      </c>
      <c r="H103" s="92">
        <f>data!H101</f>
        <v>4.0000000000000002E-4</v>
      </c>
      <c r="I103" s="92">
        <f>data!I101</f>
        <v>4</v>
      </c>
      <c r="J103" s="92">
        <f>data!J101</f>
        <v>2.9999999999999997E-4</v>
      </c>
      <c r="K103" s="92">
        <f>data!K101</f>
        <v>3</v>
      </c>
      <c r="L103" s="92">
        <f>data!L101</f>
        <v>2.0000000000000001E-4</v>
      </c>
      <c r="M103" s="92">
        <f>data!M101</f>
        <v>2</v>
      </c>
    </row>
    <row r="104" spans="1:13" x14ac:dyDescent="0.25">
      <c r="A104" s="126" t="str">
        <f>data!A102</f>
        <v>comment</v>
      </c>
      <c r="B104" s="98" t="str">
        <f>data!B102</f>
        <v>6001</v>
      </c>
      <c r="C104" s="92" t="str">
        <f>data!C102</f>
        <v>CZCE</v>
      </c>
      <c r="D104" s="92" t="str">
        <f>data!D102</f>
        <v>PTA807</v>
      </c>
      <c r="E104" s="92">
        <f>data!E102</f>
        <v>1</v>
      </c>
      <c r="F104" s="92">
        <f>data!F102</f>
        <v>2</v>
      </c>
      <c r="G104" s="92" t="str">
        <f>data!G102</f>
        <v>PTA80712</v>
      </c>
      <c r="H104" s="92">
        <f>data!H102</f>
        <v>2.9999999999999997E-4</v>
      </c>
      <c r="I104" s="92">
        <f>data!I102</f>
        <v>3</v>
      </c>
      <c r="J104" s="92">
        <f>data!J102</f>
        <v>2.0000000000000001E-4</v>
      </c>
      <c r="K104" s="92">
        <f>data!K102</f>
        <v>2</v>
      </c>
      <c r="L104" s="92">
        <f>data!L102</f>
        <v>2.0000000000000001E-4</v>
      </c>
      <c r="M104" s="92">
        <f>data!M102</f>
        <v>2</v>
      </c>
    </row>
    <row r="105" spans="1:13" x14ac:dyDescent="0.25">
      <c r="A105" s="126" t="str">
        <f>data!A103</f>
        <v>comment</v>
      </c>
      <c r="B105" s="98" t="str">
        <f>data!B103</f>
        <v>6001</v>
      </c>
      <c r="C105" s="92" t="str">
        <f>data!C103</f>
        <v>CZCE</v>
      </c>
      <c r="D105" s="92" t="str">
        <f>data!D103</f>
        <v>PTA807</v>
      </c>
      <c r="E105" s="92">
        <f>data!E103</f>
        <v>1</v>
      </c>
      <c r="F105" s="92">
        <f>data!F103</f>
        <v>3</v>
      </c>
      <c r="G105" s="92" t="str">
        <f>data!G103</f>
        <v>PTA80713</v>
      </c>
      <c r="H105" s="92">
        <f>data!H103</f>
        <v>2.0000000000000001E-4</v>
      </c>
      <c r="I105" s="92">
        <f>data!I103</f>
        <v>2</v>
      </c>
      <c r="J105" s="92">
        <f>data!J103</f>
        <v>1E-4</v>
      </c>
      <c r="K105" s="92">
        <f>data!K103</f>
        <v>1</v>
      </c>
      <c r="L105" s="92">
        <f>data!L103</f>
        <v>2.0000000000000001E-4</v>
      </c>
      <c r="M105" s="92">
        <f>data!M103</f>
        <v>2</v>
      </c>
    </row>
    <row r="106" spans="1:13" x14ac:dyDescent="0.25">
      <c r="A106" s="126" t="str">
        <f>data!A104</f>
        <v>comment</v>
      </c>
      <c r="B106" s="98" t="str">
        <f>data!B104</f>
        <v>6001</v>
      </c>
      <c r="C106" s="92" t="str">
        <f>data!C104</f>
        <v>CZCE</v>
      </c>
      <c r="D106" s="92" t="str">
        <f>data!D104</f>
        <v>PTA807</v>
      </c>
      <c r="E106" s="92">
        <f>data!E104</f>
        <v>3</v>
      </c>
      <c r="F106" s="92">
        <f>data!F104</f>
        <v>0</v>
      </c>
      <c r="G106" s="92" t="str">
        <f>data!G104</f>
        <v>PTA80730</v>
      </c>
      <c r="H106" s="92">
        <f>data!H104</f>
        <v>5.0000000000000001E-4</v>
      </c>
      <c r="I106" s="92">
        <f>data!I104</f>
        <v>5</v>
      </c>
      <c r="J106" s="92">
        <f>data!J104</f>
        <v>5.0000000000000001E-4</v>
      </c>
      <c r="K106" s="92">
        <f>data!K104</f>
        <v>5</v>
      </c>
      <c r="L106" s="92">
        <f>data!L104</f>
        <v>2.0000000000000001E-4</v>
      </c>
      <c r="M106" s="92">
        <f>data!M104</f>
        <v>2</v>
      </c>
    </row>
    <row r="107" spans="1:13" x14ac:dyDescent="0.25">
      <c r="A107" s="126" t="str">
        <f>data!A105</f>
        <v>comment</v>
      </c>
      <c r="B107" s="98" t="str">
        <f>data!B105</f>
        <v>6001</v>
      </c>
      <c r="C107" s="92" t="str">
        <f>data!C105</f>
        <v>CZCE</v>
      </c>
      <c r="D107" s="92" t="str">
        <f>data!D105</f>
        <v>PTA807</v>
      </c>
      <c r="E107" s="92">
        <f>data!E105</f>
        <v>3</v>
      </c>
      <c r="F107" s="92">
        <f>data!F105</f>
        <v>1</v>
      </c>
      <c r="G107" s="92" t="str">
        <f>data!G105</f>
        <v>PTA80731</v>
      </c>
      <c r="H107" s="92">
        <f>data!H105</f>
        <v>4.0000000000000002E-4</v>
      </c>
      <c r="I107" s="92">
        <f>data!I105</f>
        <v>4</v>
      </c>
      <c r="J107" s="92">
        <f>data!J105</f>
        <v>3.9999999999999996E-4</v>
      </c>
      <c r="K107" s="92">
        <f>data!K105</f>
        <v>4</v>
      </c>
      <c r="L107" s="92">
        <f>data!L105</f>
        <v>2.0000000000000001E-4</v>
      </c>
      <c r="M107" s="92">
        <f>data!M105</f>
        <v>2</v>
      </c>
    </row>
    <row r="108" spans="1:13" x14ac:dyDescent="0.25">
      <c r="A108" s="126" t="str">
        <f>data!A106</f>
        <v>comment</v>
      </c>
      <c r="B108" s="98" t="str">
        <f>data!B106</f>
        <v>6001</v>
      </c>
      <c r="C108" s="92" t="str">
        <f>data!C106</f>
        <v>CZCE</v>
      </c>
      <c r="D108" s="92" t="str">
        <f>data!D106</f>
        <v>PTA807</v>
      </c>
      <c r="E108" s="92">
        <f>data!E106</f>
        <v>3</v>
      </c>
      <c r="F108" s="92">
        <f>data!F106</f>
        <v>2</v>
      </c>
      <c r="G108" s="92" t="str">
        <f>data!G106</f>
        <v>PTA80732</v>
      </c>
      <c r="H108" s="92">
        <f>data!H106</f>
        <v>2.9999999999999997E-4</v>
      </c>
      <c r="I108" s="92">
        <f>data!I106</f>
        <v>3</v>
      </c>
      <c r="J108" s="92">
        <f>data!J106</f>
        <v>3.0000000000000003E-4</v>
      </c>
      <c r="K108" s="92">
        <f>data!K106</f>
        <v>3</v>
      </c>
      <c r="L108" s="92">
        <f>data!L106</f>
        <v>2.0000000000000001E-4</v>
      </c>
      <c r="M108" s="92">
        <f>data!M106</f>
        <v>2</v>
      </c>
    </row>
    <row r="109" spans="1:13" x14ac:dyDescent="0.25">
      <c r="A109" s="126" t="str">
        <f>data!A107</f>
        <v>comment</v>
      </c>
      <c r="B109" s="98" t="str">
        <f>data!B107</f>
        <v>6001</v>
      </c>
      <c r="C109" s="92" t="str">
        <f>data!C107</f>
        <v>CZCE</v>
      </c>
      <c r="D109" s="92" t="str">
        <f>data!D107</f>
        <v>PTA807</v>
      </c>
      <c r="E109" s="92">
        <f>data!E107</f>
        <v>3</v>
      </c>
      <c r="F109" s="92">
        <f>data!F107</f>
        <v>3</v>
      </c>
      <c r="G109" s="92" t="str">
        <f>data!G107</f>
        <v>PTA80733</v>
      </c>
      <c r="H109" s="92">
        <f>data!H107</f>
        <v>2.0000000000000001E-4</v>
      </c>
      <c r="I109" s="92">
        <f>data!I107</f>
        <v>2</v>
      </c>
      <c r="J109" s="92">
        <f>data!J107</f>
        <v>2.0000000000000001E-4</v>
      </c>
      <c r="K109" s="92">
        <f>data!K107</f>
        <v>2</v>
      </c>
      <c r="L109" s="92">
        <f>data!L107</f>
        <v>2.0000000000000001E-4</v>
      </c>
      <c r="M109" s="92">
        <f>data!M107</f>
        <v>2</v>
      </c>
    </row>
    <row r="110" spans="1:13" x14ac:dyDescent="0.25">
      <c r="A110" s="126" t="str">
        <f>data!A108</f>
        <v>comment</v>
      </c>
      <c r="B110" s="98" t="str">
        <f>data!B108</f>
        <v>6001</v>
      </c>
      <c r="C110" s="92" t="str">
        <f>data!C108</f>
        <v>CZCE</v>
      </c>
      <c r="D110" s="92" t="str">
        <f>data!D108</f>
        <v>PTA809</v>
      </c>
      <c r="E110" s="92">
        <f>data!E108</f>
        <v>1</v>
      </c>
      <c r="F110" s="92">
        <f>data!F108</f>
        <v>0</v>
      </c>
      <c r="G110" s="92" t="str">
        <f>data!G108</f>
        <v>PTA80910</v>
      </c>
      <c r="H110" s="92">
        <f>data!H108</f>
        <v>5.0000000000000001E-4</v>
      </c>
      <c r="I110" s="92">
        <f>data!I108</f>
        <v>5</v>
      </c>
      <c r="J110" s="92">
        <f>data!J108</f>
        <v>4.0000000000000002E-4</v>
      </c>
      <c r="K110" s="92">
        <f>data!K108</f>
        <v>4</v>
      </c>
      <c r="L110" s="92">
        <f>data!L108</f>
        <v>2.0000000000000001E-4</v>
      </c>
      <c r="M110" s="92">
        <f>data!M108</f>
        <v>2</v>
      </c>
    </row>
    <row r="111" spans="1:13" x14ac:dyDescent="0.25">
      <c r="A111" s="126" t="str">
        <f>data!A109</f>
        <v>comment</v>
      </c>
      <c r="B111" s="98" t="str">
        <f>data!B109</f>
        <v>6001</v>
      </c>
      <c r="C111" s="92" t="str">
        <f>data!C109</f>
        <v>CZCE</v>
      </c>
      <c r="D111" s="92" t="str">
        <f>data!D109</f>
        <v>PTA809</v>
      </c>
      <c r="E111" s="92">
        <f>data!E109</f>
        <v>1</v>
      </c>
      <c r="F111" s="92">
        <f>data!F109</f>
        <v>1</v>
      </c>
      <c r="G111" s="92" t="str">
        <f>data!G109</f>
        <v>PTA80911</v>
      </c>
      <c r="H111" s="92">
        <f>data!H109</f>
        <v>4.0000000000000002E-4</v>
      </c>
      <c r="I111" s="92">
        <f>data!I109</f>
        <v>4</v>
      </c>
      <c r="J111" s="92">
        <f>data!J109</f>
        <v>2.9999999999999997E-4</v>
      </c>
      <c r="K111" s="92">
        <f>data!K109</f>
        <v>3</v>
      </c>
      <c r="L111" s="92">
        <f>data!L109</f>
        <v>2.0000000000000001E-4</v>
      </c>
      <c r="M111" s="92">
        <f>data!M109</f>
        <v>2</v>
      </c>
    </row>
    <row r="112" spans="1:13" x14ac:dyDescent="0.25">
      <c r="A112" s="126" t="str">
        <f>data!A110</f>
        <v>comment</v>
      </c>
      <c r="B112" s="98" t="str">
        <f>data!B110</f>
        <v>6001</v>
      </c>
      <c r="C112" s="92" t="str">
        <f>data!C110</f>
        <v>CZCE</v>
      </c>
      <c r="D112" s="92" t="str">
        <f>data!D110</f>
        <v>PTA809</v>
      </c>
      <c r="E112" s="92">
        <f>data!E110</f>
        <v>1</v>
      </c>
      <c r="F112" s="92">
        <f>data!F110</f>
        <v>2</v>
      </c>
      <c r="G112" s="92" t="str">
        <f>data!G110</f>
        <v>PTA80912</v>
      </c>
      <c r="H112" s="92">
        <f>data!H110</f>
        <v>2.9999999999999997E-4</v>
      </c>
      <c r="I112" s="92">
        <f>data!I110</f>
        <v>3</v>
      </c>
      <c r="J112" s="92">
        <f>data!J110</f>
        <v>2.0000000000000001E-4</v>
      </c>
      <c r="K112" s="92">
        <f>data!K110</f>
        <v>2</v>
      </c>
      <c r="L112" s="92">
        <f>data!L110</f>
        <v>2.0000000000000001E-4</v>
      </c>
      <c r="M112" s="92">
        <f>data!M110</f>
        <v>2</v>
      </c>
    </row>
    <row r="113" spans="1:13" x14ac:dyDescent="0.25">
      <c r="A113" s="126" t="str">
        <f>data!A111</f>
        <v>comment</v>
      </c>
      <c r="B113" s="98" t="str">
        <f>data!B111</f>
        <v>6001</v>
      </c>
      <c r="C113" s="92" t="str">
        <f>data!C111</f>
        <v>CZCE</v>
      </c>
      <c r="D113" s="92" t="str">
        <f>data!D111</f>
        <v>PTA809</v>
      </c>
      <c r="E113" s="92">
        <f>data!E111</f>
        <v>1</v>
      </c>
      <c r="F113" s="92">
        <f>data!F111</f>
        <v>3</v>
      </c>
      <c r="G113" s="92" t="str">
        <f>data!G111</f>
        <v>PTA80913</v>
      </c>
      <c r="H113" s="92">
        <f>data!H111</f>
        <v>2.0000000000000001E-4</v>
      </c>
      <c r="I113" s="92">
        <f>data!I111</f>
        <v>2</v>
      </c>
      <c r="J113" s="92">
        <f>data!J111</f>
        <v>1E-4</v>
      </c>
      <c r="K113" s="92">
        <f>data!K111</f>
        <v>1</v>
      </c>
      <c r="L113" s="92">
        <f>data!L111</f>
        <v>2.0000000000000001E-4</v>
      </c>
      <c r="M113" s="92">
        <f>data!M111</f>
        <v>2</v>
      </c>
    </row>
    <row r="114" spans="1:13" x14ac:dyDescent="0.25">
      <c r="A114" s="126" t="str">
        <f>data!A112</f>
        <v>comment</v>
      </c>
      <c r="B114" s="98" t="str">
        <f>data!B112</f>
        <v>6001</v>
      </c>
      <c r="C114" s="92" t="str">
        <f>data!C112</f>
        <v>CZCE</v>
      </c>
      <c r="D114" s="92" t="str">
        <f>data!D112</f>
        <v>PTA809</v>
      </c>
      <c r="E114" s="92">
        <f>data!E112</f>
        <v>3</v>
      </c>
      <c r="F114" s="92">
        <f>data!F112</f>
        <v>0</v>
      </c>
      <c r="G114" s="92" t="str">
        <f>data!G112</f>
        <v>PTA80930</v>
      </c>
      <c r="H114" s="92">
        <f>data!H112</f>
        <v>5.0000000000000001E-4</v>
      </c>
      <c r="I114" s="92">
        <f>data!I112</f>
        <v>5</v>
      </c>
      <c r="J114" s="92">
        <f>data!J112</f>
        <v>5.0000000000000001E-4</v>
      </c>
      <c r="K114" s="92">
        <f>data!K112</f>
        <v>5</v>
      </c>
      <c r="L114" s="92">
        <f>data!L112</f>
        <v>2.0000000000000001E-4</v>
      </c>
      <c r="M114" s="92">
        <f>data!M112</f>
        <v>2</v>
      </c>
    </row>
    <row r="115" spans="1:13" x14ac:dyDescent="0.25">
      <c r="A115" s="126" t="str">
        <f>data!A113</f>
        <v>comment</v>
      </c>
      <c r="B115" s="98" t="str">
        <f>data!B113</f>
        <v>6001</v>
      </c>
      <c r="C115" s="92" t="str">
        <f>data!C113</f>
        <v>CZCE</v>
      </c>
      <c r="D115" s="92" t="str">
        <f>data!D113</f>
        <v>PTA809</v>
      </c>
      <c r="E115" s="92">
        <f>data!E113</f>
        <v>3</v>
      </c>
      <c r="F115" s="92">
        <f>data!F113</f>
        <v>1</v>
      </c>
      <c r="G115" s="92" t="str">
        <f>data!G113</f>
        <v>PTA80931</v>
      </c>
      <c r="H115" s="92">
        <f>data!H113</f>
        <v>4.0000000000000002E-4</v>
      </c>
      <c r="I115" s="92">
        <f>data!I113</f>
        <v>4</v>
      </c>
      <c r="J115" s="92">
        <f>data!J113</f>
        <v>3.9999999999999996E-4</v>
      </c>
      <c r="K115" s="92">
        <f>data!K113</f>
        <v>4</v>
      </c>
      <c r="L115" s="92">
        <f>data!L113</f>
        <v>2.0000000000000001E-4</v>
      </c>
      <c r="M115" s="92">
        <f>data!M113</f>
        <v>2</v>
      </c>
    </row>
    <row r="116" spans="1:13" x14ac:dyDescent="0.25">
      <c r="A116" s="126" t="str">
        <f>data!A114</f>
        <v>comment</v>
      </c>
      <c r="B116" s="98" t="str">
        <f>data!B114</f>
        <v>6001</v>
      </c>
      <c r="C116" s="92" t="str">
        <f>data!C114</f>
        <v>CZCE</v>
      </c>
      <c r="D116" s="92" t="str">
        <f>data!D114</f>
        <v>PTA809</v>
      </c>
      <c r="E116" s="92">
        <f>data!E114</f>
        <v>3</v>
      </c>
      <c r="F116" s="92">
        <f>data!F114</f>
        <v>2</v>
      </c>
      <c r="G116" s="92" t="str">
        <f>data!G114</f>
        <v>PTA80932</v>
      </c>
      <c r="H116" s="92">
        <f>data!H114</f>
        <v>2.9999999999999997E-4</v>
      </c>
      <c r="I116" s="92">
        <f>data!I114</f>
        <v>3</v>
      </c>
      <c r="J116" s="92">
        <f>data!J114</f>
        <v>3.0000000000000003E-4</v>
      </c>
      <c r="K116" s="92">
        <f>data!K114</f>
        <v>3</v>
      </c>
      <c r="L116" s="92">
        <f>data!L114</f>
        <v>2.0000000000000001E-4</v>
      </c>
      <c r="M116" s="92">
        <f>data!M114</f>
        <v>2</v>
      </c>
    </row>
    <row r="117" spans="1:13" x14ac:dyDescent="0.25">
      <c r="A117" s="126" t="str">
        <f>data!A115</f>
        <v>comment</v>
      </c>
      <c r="B117" s="98" t="str">
        <f>data!B115</f>
        <v>6001</v>
      </c>
      <c r="C117" s="92" t="str">
        <f>data!C115</f>
        <v>CZCE</v>
      </c>
      <c r="D117" s="92" t="str">
        <f>data!D115</f>
        <v>PTA809</v>
      </c>
      <c r="E117" s="92">
        <f>data!E115</f>
        <v>3</v>
      </c>
      <c r="F117" s="92">
        <f>data!F115</f>
        <v>3</v>
      </c>
      <c r="G117" s="92" t="str">
        <f>data!G115</f>
        <v>PTA80933</v>
      </c>
      <c r="H117" s="92">
        <f>data!H115</f>
        <v>2.0000000000000001E-4</v>
      </c>
      <c r="I117" s="92">
        <f>data!I115</f>
        <v>2</v>
      </c>
      <c r="J117" s="92">
        <f>data!J115</f>
        <v>2.0000000000000001E-4</v>
      </c>
      <c r="K117" s="92">
        <f>data!K115</f>
        <v>2</v>
      </c>
      <c r="L117" s="92">
        <f>data!L115</f>
        <v>2.0000000000000001E-4</v>
      </c>
      <c r="M117" s="92">
        <f>data!M115</f>
        <v>2</v>
      </c>
    </row>
    <row r="118" spans="1:13" x14ac:dyDescent="0.25">
      <c r="A118" s="126" t="str">
        <f>data!A116</f>
        <v>comment</v>
      </c>
      <c r="B118" t="str">
        <f>data!B116</f>
        <v>期权：交易所手续费率&amp;投资者手续费率</v>
      </c>
      <c r="F118" t="str">
        <f>data!F116</f>
        <v>4: 执行5：履约</v>
      </c>
    </row>
    <row r="119" spans="1:13" x14ac:dyDescent="0.25">
      <c r="A119" s="126" t="str">
        <f>data!A117</f>
        <v>comment</v>
      </c>
      <c r="B119" s="94" t="str">
        <f>data!B117</f>
        <v>投资者代码</v>
      </c>
      <c r="C119" s="94" t="str">
        <f>data!C117</f>
        <v>交易所代码</v>
      </c>
      <c r="D119" s="94" t="str">
        <f>data!D117</f>
        <v>合约代码</v>
      </c>
      <c r="E119" s="94" t="str">
        <f>data!E117</f>
        <v>投机套保标志</v>
      </c>
      <c r="F119" s="94" t="str">
        <f>data!F117</f>
        <v>开平标志</v>
      </c>
      <c r="G119" s="94" t="str">
        <f>data!G117</f>
        <v>辅助列</v>
      </c>
      <c r="H119" s="94" t="str">
        <f>data!H117</f>
        <v>投资者手续费率按金额</v>
      </c>
      <c r="I119" s="94" t="str">
        <f>data!I117</f>
        <v>投资者手续费率按手数</v>
      </c>
      <c r="J119" s="94" t="str">
        <f>data!J117</f>
        <v>交易所手续费率按金额</v>
      </c>
      <c r="K119" s="94" t="str">
        <f>data!K117</f>
        <v>交易所手续费率按手数</v>
      </c>
      <c r="L119" s="94" t="str">
        <f>data!L117</f>
        <v>投资者结算按金额</v>
      </c>
      <c r="M119" s="94" t="str">
        <f>data!M117</f>
        <v>投资者结算按手数</v>
      </c>
    </row>
    <row r="120" spans="1:13" x14ac:dyDescent="0.25">
      <c r="A120" s="126" t="str">
        <f>data!A118</f>
        <v>comment</v>
      </c>
      <c r="B120" s="98" t="str">
        <f>data!B118</f>
        <v>6001</v>
      </c>
      <c r="C120" s="92" t="str">
        <f>data!C118</f>
        <v>CZCE</v>
      </c>
      <c r="D120" s="92" t="str">
        <f>data!D118</f>
        <v>SR807C6500</v>
      </c>
      <c r="E120" s="92">
        <f>data!E118</f>
        <v>1</v>
      </c>
      <c r="F120" s="92">
        <f>data!F118</f>
        <v>0</v>
      </c>
      <c r="G120" s="92" t="str">
        <f>data!G118</f>
        <v>SR807C650010</v>
      </c>
      <c r="H120" s="92">
        <f>data!H118</f>
        <v>5.0000000000000001E-4</v>
      </c>
      <c r="I120" s="92">
        <f>data!I118</f>
        <v>5</v>
      </c>
      <c r="J120" s="92">
        <f>data!J118</f>
        <v>4.0000000000000002E-4</v>
      </c>
      <c r="K120" s="92">
        <f>data!K118</f>
        <v>4</v>
      </c>
      <c r="L120" s="6">
        <f>data!L118</f>
        <v>2.0000000000000001E-4</v>
      </c>
      <c r="M120" s="6">
        <f>data!M118</f>
        <v>2</v>
      </c>
    </row>
    <row r="121" spans="1:13" x14ac:dyDescent="0.25">
      <c r="A121" s="126" t="str">
        <f>data!A119</f>
        <v>comment</v>
      </c>
      <c r="B121" s="98" t="str">
        <f>data!B119</f>
        <v>6001</v>
      </c>
      <c r="C121" s="92" t="str">
        <f>data!C119</f>
        <v>CZCE</v>
      </c>
      <c r="D121" s="92" t="str">
        <f>data!D119</f>
        <v>SR807C6500</v>
      </c>
      <c r="E121" s="92">
        <f>data!E119</f>
        <v>1</v>
      </c>
      <c r="F121" s="92">
        <f>data!F119</f>
        <v>1</v>
      </c>
      <c r="G121" s="92" t="str">
        <f>data!G119</f>
        <v>SR807C650011</v>
      </c>
      <c r="H121" s="92">
        <f>data!H119</f>
        <v>4.0000000000000002E-4</v>
      </c>
      <c r="I121" s="92">
        <f>data!I119</f>
        <v>4</v>
      </c>
      <c r="J121" s="92">
        <f>data!J119</f>
        <v>2.9999999999999997E-4</v>
      </c>
      <c r="K121" s="92">
        <f>data!K119</f>
        <v>3</v>
      </c>
      <c r="L121" s="6">
        <f>data!L119</f>
        <v>2.0000000000000001E-4</v>
      </c>
      <c r="M121" s="6">
        <f>data!M119</f>
        <v>2</v>
      </c>
    </row>
    <row r="122" spans="1:13" x14ac:dyDescent="0.25">
      <c r="A122" s="126" t="str">
        <f>data!A120</f>
        <v>comment</v>
      </c>
      <c r="B122" s="98" t="str">
        <f>data!B120</f>
        <v>6001</v>
      </c>
      <c r="C122" s="92" t="str">
        <f>data!C120</f>
        <v>CZCE</v>
      </c>
      <c r="D122" s="92" t="str">
        <f>data!D120</f>
        <v>SR807C6500</v>
      </c>
      <c r="E122" s="92">
        <f>data!E120</f>
        <v>1</v>
      </c>
      <c r="F122" s="92">
        <f>data!F120</f>
        <v>3</v>
      </c>
      <c r="G122" s="92" t="str">
        <f>data!G120</f>
        <v>SR807C650013</v>
      </c>
      <c r="H122" s="92">
        <f>data!H120</f>
        <v>2.0000000000000001E-4</v>
      </c>
      <c r="I122" s="92">
        <f>data!I120</f>
        <v>2</v>
      </c>
      <c r="J122" s="92">
        <f>data!J120</f>
        <v>1E-4</v>
      </c>
      <c r="K122" s="92">
        <f>data!K120</f>
        <v>1</v>
      </c>
      <c r="L122" s="6">
        <f>data!L120</f>
        <v>2.0000000000000001E-4</v>
      </c>
      <c r="M122" s="6">
        <f>data!M120</f>
        <v>2</v>
      </c>
    </row>
    <row r="123" spans="1:13" x14ac:dyDescent="0.25">
      <c r="A123" s="126" t="str">
        <f>data!A121</f>
        <v>comment</v>
      </c>
      <c r="B123" s="98" t="str">
        <f>data!B121</f>
        <v>6001</v>
      </c>
      <c r="C123" s="92" t="str">
        <f>data!C121</f>
        <v>CZCE</v>
      </c>
      <c r="D123" s="92" t="str">
        <f>data!D121</f>
        <v>SR807C6500</v>
      </c>
      <c r="E123" s="92">
        <f>data!E121</f>
        <v>1</v>
      </c>
      <c r="F123" s="92">
        <f>data!F121</f>
        <v>4</v>
      </c>
      <c r="G123" s="92" t="str">
        <f>data!G121</f>
        <v>SR807C650014</v>
      </c>
      <c r="H123" s="92">
        <f>data!H121</f>
        <v>4.2000000000000002E-4</v>
      </c>
      <c r="I123" s="92">
        <f>data!I121</f>
        <v>4.2</v>
      </c>
      <c r="J123" s="92">
        <f>data!J121</f>
        <v>3.2000000000000003E-4</v>
      </c>
      <c r="K123" s="92">
        <f>data!K121</f>
        <v>3.2</v>
      </c>
      <c r="L123" s="6">
        <f>data!L121</f>
        <v>2.0000000000000001E-4</v>
      </c>
      <c r="M123" s="6">
        <f>data!M121</f>
        <v>2</v>
      </c>
    </row>
    <row r="124" spans="1:13" x14ac:dyDescent="0.25">
      <c r="A124" s="126" t="str">
        <f>data!A122</f>
        <v>comment</v>
      </c>
      <c r="B124" s="98" t="str">
        <f>data!B122</f>
        <v>6001</v>
      </c>
      <c r="C124" s="92" t="str">
        <f>data!C122</f>
        <v>CZCE</v>
      </c>
      <c r="D124" s="92" t="str">
        <f>data!D122</f>
        <v>SR807C6500</v>
      </c>
      <c r="E124" s="92">
        <f>data!E122</f>
        <v>1</v>
      </c>
      <c r="F124" s="92">
        <f>data!F122</f>
        <v>5</v>
      </c>
      <c r="G124" s="92" t="str">
        <f>data!G122</f>
        <v>SR807C650015</v>
      </c>
      <c r="H124" s="92">
        <f>data!H122</f>
        <v>4.4999999999999999E-4</v>
      </c>
      <c r="I124" s="92">
        <f>data!I122</f>
        <v>4.5</v>
      </c>
      <c r="J124" s="92">
        <f>data!J122</f>
        <v>3.5E-4</v>
      </c>
      <c r="K124" s="92">
        <f>data!K122</f>
        <v>3.5</v>
      </c>
      <c r="L124" s="6">
        <f>data!L122</f>
        <v>2.0000000000000001E-4</v>
      </c>
      <c r="M124" s="6">
        <f>data!M122</f>
        <v>2</v>
      </c>
    </row>
    <row r="125" spans="1:13" x14ac:dyDescent="0.25">
      <c r="A125" s="126" t="str">
        <f>data!A123</f>
        <v>comment</v>
      </c>
      <c r="B125" s="98" t="str">
        <f>data!B123</f>
        <v>6001</v>
      </c>
      <c r="C125" s="92" t="str">
        <f>data!C123</f>
        <v>CZCE</v>
      </c>
      <c r="D125" s="92" t="str">
        <f>data!D123</f>
        <v>SR807C6500</v>
      </c>
      <c r="E125" s="92">
        <f>data!E123</f>
        <v>3</v>
      </c>
      <c r="F125" s="92">
        <f>data!F123</f>
        <v>0</v>
      </c>
      <c r="G125" s="92" t="str">
        <f>data!G123</f>
        <v>SR807C650030</v>
      </c>
      <c r="H125" s="92">
        <f>data!H123</f>
        <v>5.0000000000000001E-4</v>
      </c>
      <c r="I125" s="92">
        <f>data!I123</f>
        <v>5</v>
      </c>
      <c r="J125" s="92">
        <f>data!J123</f>
        <v>5.0000000000000001E-4</v>
      </c>
      <c r="K125" s="92">
        <f>data!K123</f>
        <v>5</v>
      </c>
      <c r="L125" s="6">
        <f>data!L123</f>
        <v>2.0000000000000001E-4</v>
      </c>
      <c r="M125" s="6">
        <f>data!M123</f>
        <v>2</v>
      </c>
    </row>
    <row r="126" spans="1:13" x14ac:dyDescent="0.25">
      <c r="A126" s="126" t="str">
        <f>data!A124</f>
        <v>comment</v>
      </c>
      <c r="B126" s="98" t="str">
        <f>data!B124</f>
        <v>6001</v>
      </c>
      <c r="C126" s="92" t="str">
        <f>data!C124</f>
        <v>CZCE</v>
      </c>
      <c r="D126" s="92" t="str">
        <f>data!D124</f>
        <v>SR807C6500</v>
      </c>
      <c r="E126" s="92">
        <f>data!E124</f>
        <v>3</v>
      </c>
      <c r="F126" s="92">
        <f>data!F124</f>
        <v>1</v>
      </c>
      <c r="G126" s="92" t="str">
        <f>data!G124</f>
        <v>SR807C650031</v>
      </c>
      <c r="H126" s="92">
        <f>data!H124</f>
        <v>4.0000000000000002E-4</v>
      </c>
      <c r="I126" s="92">
        <f>data!I124</f>
        <v>4</v>
      </c>
      <c r="J126" s="92">
        <f>data!J124</f>
        <v>3.9999999999999996E-4</v>
      </c>
      <c r="K126" s="92">
        <f>data!K124</f>
        <v>4</v>
      </c>
      <c r="L126" s="6">
        <f>data!L124</f>
        <v>2.0000000000000001E-4</v>
      </c>
      <c r="M126" s="6">
        <f>data!M124</f>
        <v>2</v>
      </c>
    </row>
    <row r="127" spans="1:13" x14ac:dyDescent="0.25">
      <c r="A127" s="126" t="str">
        <f>data!A125</f>
        <v>comment</v>
      </c>
      <c r="B127" s="98" t="str">
        <f>data!B125</f>
        <v>6001</v>
      </c>
      <c r="C127" s="92" t="str">
        <f>data!C125</f>
        <v>CZCE</v>
      </c>
      <c r="D127" s="92" t="str">
        <f>data!D125</f>
        <v>SR807C6500</v>
      </c>
      <c r="E127" s="92">
        <f>data!E125</f>
        <v>3</v>
      </c>
      <c r="F127" s="92">
        <f>data!F125</f>
        <v>3</v>
      </c>
      <c r="G127" s="92" t="str">
        <f>data!G125</f>
        <v>SR807C650033</v>
      </c>
      <c r="H127" s="92">
        <f>data!H125</f>
        <v>2.0000000000000001E-4</v>
      </c>
      <c r="I127" s="92">
        <f>data!I125</f>
        <v>2</v>
      </c>
      <c r="J127" s="92">
        <f>data!J125</f>
        <v>2.0000000000000001E-4</v>
      </c>
      <c r="K127" s="92">
        <f>data!K125</f>
        <v>2</v>
      </c>
      <c r="L127" s="6">
        <f>data!L125</f>
        <v>2.0000000000000001E-4</v>
      </c>
      <c r="M127" s="6">
        <f>data!M125</f>
        <v>2</v>
      </c>
    </row>
    <row r="128" spans="1:13" x14ac:dyDescent="0.25">
      <c r="A128" s="126" t="str">
        <f>data!A126</f>
        <v>comment</v>
      </c>
      <c r="B128" s="98" t="str">
        <f>data!B126</f>
        <v>6001</v>
      </c>
      <c r="C128" s="92" t="str">
        <f>data!C126</f>
        <v>CZCE</v>
      </c>
      <c r="D128" s="92" t="str">
        <f>data!D126</f>
        <v>SR807C6500</v>
      </c>
      <c r="E128" s="92">
        <f>data!E126</f>
        <v>3</v>
      </c>
      <c r="F128" s="92">
        <f>data!F126</f>
        <v>4</v>
      </c>
      <c r="G128" s="92" t="str">
        <f>data!G126</f>
        <v>SR807C650034</v>
      </c>
      <c r="H128" s="92">
        <f>data!H126</f>
        <v>4.2000000000000002E-4</v>
      </c>
      <c r="I128" s="92">
        <f>data!I126</f>
        <v>4.2</v>
      </c>
      <c r="J128" s="92">
        <f>data!J126</f>
        <v>4.2000000000000002E-4</v>
      </c>
      <c r="K128" s="92">
        <f>data!K126</f>
        <v>4.2</v>
      </c>
      <c r="L128" s="6">
        <f>data!L126</f>
        <v>2.0000000000000001E-4</v>
      </c>
      <c r="M128" s="6">
        <f>data!M126</f>
        <v>2</v>
      </c>
    </row>
    <row r="129" spans="1:13" x14ac:dyDescent="0.25">
      <c r="A129" s="126" t="str">
        <f>data!A127</f>
        <v>comment</v>
      </c>
      <c r="B129" s="98" t="str">
        <f>data!B127</f>
        <v>6001</v>
      </c>
      <c r="C129" s="92" t="str">
        <f>data!C127</f>
        <v>CZCE</v>
      </c>
      <c r="D129" s="92" t="str">
        <f>data!D127</f>
        <v>SR807C6500</v>
      </c>
      <c r="E129" s="92">
        <f>data!E127</f>
        <v>3</v>
      </c>
      <c r="F129" s="92">
        <f>data!F127</f>
        <v>5</v>
      </c>
      <c r="G129" s="92" t="str">
        <f>data!G127</f>
        <v>SR807C650035</v>
      </c>
      <c r="H129" s="92">
        <f>data!H127</f>
        <v>4.4999999999999999E-4</v>
      </c>
      <c r="I129" s="92">
        <f>data!I127</f>
        <v>4.5</v>
      </c>
      <c r="J129" s="92">
        <f>data!J127</f>
        <v>4.4999999999999999E-4</v>
      </c>
      <c r="K129" s="92">
        <f>data!K127</f>
        <v>4.5</v>
      </c>
      <c r="L129" s="6">
        <f>data!L127</f>
        <v>2.0000000000000001E-4</v>
      </c>
      <c r="M129" s="6">
        <f>data!M127</f>
        <v>2</v>
      </c>
    </row>
    <row r="130" spans="1:13" x14ac:dyDescent="0.25">
      <c r="A130" s="126" t="str">
        <f>data!A128</f>
        <v>comment</v>
      </c>
      <c r="B130" s="98" t="str">
        <f>data!B128</f>
        <v>6001</v>
      </c>
      <c r="C130" s="92" t="str">
        <f>data!C128</f>
        <v>CZCE</v>
      </c>
      <c r="D130" s="92" t="str">
        <f>data!D128</f>
        <v>SR807P6500</v>
      </c>
      <c r="E130" s="92">
        <f>data!E128</f>
        <v>1</v>
      </c>
      <c r="F130" s="92">
        <f>data!F128</f>
        <v>0</v>
      </c>
      <c r="G130" s="92" t="str">
        <f>data!G128</f>
        <v>SR807P650010</v>
      </c>
      <c r="H130" s="92">
        <f>data!H128</f>
        <v>5.0000000000000001E-4</v>
      </c>
      <c r="I130" s="92">
        <f>data!I128</f>
        <v>5</v>
      </c>
      <c r="J130" s="92">
        <f>data!J128</f>
        <v>4.0000000000000002E-4</v>
      </c>
      <c r="K130" s="92">
        <f>data!K128</f>
        <v>4</v>
      </c>
      <c r="L130" s="6">
        <f>data!L128</f>
        <v>2.0000000000000001E-4</v>
      </c>
      <c r="M130" s="6">
        <f>data!M128</f>
        <v>2</v>
      </c>
    </row>
    <row r="131" spans="1:13" x14ac:dyDescent="0.25">
      <c r="A131" s="126" t="str">
        <f>data!A129</f>
        <v>comment</v>
      </c>
      <c r="B131" s="98" t="str">
        <f>data!B129</f>
        <v>6001</v>
      </c>
      <c r="C131" s="92" t="str">
        <f>data!C129</f>
        <v>CZCE</v>
      </c>
      <c r="D131" s="92" t="str">
        <f>data!D129</f>
        <v>SR807P6500</v>
      </c>
      <c r="E131" s="92">
        <f>data!E129</f>
        <v>1</v>
      </c>
      <c r="F131" s="92">
        <f>data!F129</f>
        <v>1</v>
      </c>
      <c r="G131" s="92" t="str">
        <f>data!G129</f>
        <v>SR807P650011</v>
      </c>
      <c r="H131" s="92">
        <f>data!H129</f>
        <v>4.0000000000000002E-4</v>
      </c>
      <c r="I131" s="92">
        <f>data!I129</f>
        <v>4</v>
      </c>
      <c r="J131" s="92">
        <f>data!J129</f>
        <v>2.9999999999999997E-4</v>
      </c>
      <c r="K131" s="92">
        <f>data!K129</f>
        <v>3</v>
      </c>
      <c r="L131" s="6">
        <f>data!L129</f>
        <v>2.0000000000000001E-4</v>
      </c>
      <c r="M131" s="6">
        <f>data!M129</f>
        <v>2</v>
      </c>
    </row>
    <row r="132" spans="1:13" x14ac:dyDescent="0.25">
      <c r="A132" s="126" t="str">
        <f>data!A130</f>
        <v>comment</v>
      </c>
      <c r="B132" s="98" t="str">
        <f>data!B130</f>
        <v>6001</v>
      </c>
      <c r="C132" s="92" t="str">
        <f>data!C130</f>
        <v>CZCE</v>
      </c>
      <c r="D132" s="92" t="str">
        <f>data!D130</f>
        <v>SR807P6500</v>
      </c>
      <c r="E132" s="92">
        <f>data!E130</f>
        <v>1</v>
      </c>
      <c r="F132" s="92">
        <f>data!F130</f>
        <v>3</v>
      </c>
      <c r="G132" s="92" t="str">
        <f>data!G130</f>
        <v>SR807P650013</v>
      </c>
      <c r="H132" s="92">
        <f>data!H130</f>
        <v>2.0000000000000001E-4</v>
      </c>
      <c r="I132" s="92">
        <f>data!I130</f>
        <v>2</v>
      </c>
      <c r="J132" s="92">
        <f>data!J130</f>
        <v>1E-4</v>
      </c>
      <c r="K132" s="92">
        <f>data!K130</f>
        <v>1</v>
      </c>
      <c r="L132" s="6">
        <f>data!L130</f>
        <v>2.0000000000000001E-4</v>
      </c>
      <c r="M132" s="6">
        <f>data!M130</f>
        <v>2</v>
      </c>
    </row>
    <row r="133" spans="1:13" x14ac:dyDescent="0.25">
      <c r="A133" s="126" t="str">
        <f>data!A131</f>
        <v>comment</v>
      </c>
      <c r="B133" s="98" t="str">
        <f>data!B131</f>
        <v>6001</v>
      </c>
      <c r="C133" s="92" t="str">
        <f>data!C131</f>
        <v>CZCE</v>
      </c>
      <c r="D133" s="92" t="str">
        <f>data!D131</f>
        <v>SR807P6500</v>
      </c>
      <c r="E133" s="92">
        <f>data!E131</f>
        <v>1</v>
      </c>
      <c r="F133" s="92">
        <f>data!F131</f>
        <v>4</v>
      </c>
      <c r="G133" s="92" t="str">
        <f>data!G131</f>
        <v>SR807P650014</v>
      </c>
      <c r="H133" s="92">
        <f>data!H131</f>
        <v>4.2000000000000002E-4</v>
      </c>
      <c r="I133" s="92">
        <f>data!I131</f>
        <v>4.2</v>
      </c>
      <c r="J133" s="92">
        <f>data!J131</f>
        <v>3.2000000000000003E-4</v>
      </c>
      <c r="K133" s="92">
        <f>data!K131</f>
        <v>3.2</v>
      </c>
      <c r="L133" s="6">
        <f>data!L131</f>
        <v>2.0000000000000001E-4</v>
      </c>
      <c r="M133" s="6">
        <f>data!M131</f>
        <v>2</v>
      </c>
    </row>
    <row r="134" spans="1:13" x14ac:dyDescent="0.25">
      <c r="A134" s="126" t="str">
        <f>data!A132</f>
        <v>comment</v>
      </c>
      <c r="B134" s="98" t="str">
        <f>data!B132</f>
        <v>6001</v>
      </c>
      <c r="C134" s="92" t="str">
        <f>data!C132</f>
        <v>CZCE</v>
      </c>
      <c r="D134" s="92" t="str">
        <f>data!D132</f>
        <v>SR807P6500</v>
      </c>
      <c r="E134" s="92">
        <f>data!E132</f>
        <v>1</v>
      </c>
      <c r="F134" s="92">
        <f>data!F132</f>
        <v>5</v>
      </c>
      <c r="G134" s="92" t="str">
        <f>data!G132</f>
        <v>SR807P650015</v>
      </c>
      <c r="H134" s="92">
        <f>data!H132</f>
        <v>4.4999999999999999E-4</v>
      </c>
      <c r="I134" s="92">
        <f>data!I132</f>
        <v>4.5</v>
      </c>
      <c r="J134" s="92">
        <f>data!J132</f>
        <v>3.5E-4</v>
      </c>
      <c r="K134" s="92">
        <f>data!K132</f>
        <v>3.5</v>
      </c>
      <c r="L134" s="6">
        <f>data!L132</f>
        <v>2.0000000000000001E-4</v>
      </c>
      <c r="M134" s="6">
        <f>data!M132</f>
        <v>2</v>
      </c>
    </row>
    <row r="135" spans="1:13" x14ac:dyDescent="0.25">
      <c r="A135" s="126" t="str">
        <f>data!A133</f>
        <v>comment</v>
      </c>
      <c r="B135" s="98" t="str">
        <f>data!B133</f>
        <v>6001</v>
      </c>
      <c r="C135" s="92" t="str">
        <f>data!C133</f>
        <v>CZCE</v>
      </c>
      <c r="D135" s="92" t="str">
        <f>data!D133</f>
        <v>SR807P6500</v>
      </c>
      <c r="E135" s="92">
        <f>data!E133</f>
        <v>3</v>
      </c>
      <c r="F135" s="92">
        <f>data!F133</f>
        <v>0</v>
      </c>
      <c r="G135" s="92" t="str">
        <f>data!G133</f>
        <v>SR807P650030</v>
      </c>
      <c r="H135" s="92">
        <f>data!H133</f>
        <v>5.0000000000000001E-4</v>
      </c>
      <c r="I135" s="92">
        <f>data!I133</f>
        <v>5</v>
      </c>
      <c r="J135" s="92">
        <f>data!J133</f>
        <v>5.0000000000000001E-4</v>
      </c>
      <c r="K135" s="92">
        <f>data!K133</f>
        <v>5</v>
      </c>
      <c r="L135" s="6">
        <f>data!L133</f>
        <v>2.0000000000000001E-4</v>
      </c>
      <c r="M135" s="6">
        <f>data!M133</f>
        <v>2</v>
      </c>
    </row>
    <row r="136" spans="1:13" x14ac:dyDescent="0.25">
      <c r="A136" s="126" t="str">
        <f>data!A134</f>
        <v>comment</v>
      </c>
      <c r="B136" s="98" t="str">
        <f>data!B134</f>
        <v>6001</v>
      </c>
      <c r="C136" s="92" t="str">
        <f>data!C134</f>
        <v>CZCE</v>
      </c>
      <c r="D136" s="92" t="str">
        <f>data!D134</f>
        <v>SR807P6500</v>
      </c>
      <c r="E136" s="92">
        <f>data!E134</f>
        <v>3</v>
      </c>
      <c r="F136" s="92">
        <f>data!F134</f>
        <v>1</v>
      </c>
      <c r="G136" s="92" t="str">
        <f>data!G134</f>
        <v>SR807P650031</v>
      </c>
      <c r="H136" s="92">
        <f>data!H134</f>
        <v>4.0000000000000002E-4</v>
      </c>
      <c r="I136" s="92">
        <f>data!I134</f>
        <v>4</v>
      </c>
      <c r="J136" s="92">
        <f>data!J134</f>
        <v>3.9999999999999996E-4</v>
      </c>
      <c r="K136" s="92">
        <f>data!K134</f>
        <v>4</v>
      </c>
      <c r="L136" s="6">
        <f>data!L134</f>
        <v>2.0000000000000001E-4</v>
      </c>
      <c r="M136" s="6">
        <f>data!M134</f>
        <v>2</v>
      </c>
    </row>
    <row r="137" spans="1:13" x14ac:dyDescent="0.25">
      <c r="A137" s="126" t="str">
        <f>data!A135</f>
        <v>comment</v>
      </c>
      <c r="B137" s="98" t="str">
        <f>data!B135</f>
        <v>6001</v>
      </c>
      <c r="C137" s="92" t="str">
        <f>data!C135</f>
        <v>CZCE</v>
      </c>
      <c r="D137" s="92" t="str">
        <f>data!D135</f>
        <v>SR807P6500</v>
      </c>
      <c r="E137" s="92">
        <f>data!E135</f>
        <v>3</v>
      </c>
      <c r="F137" s="92">
        <f>data!F135</f>
        <v>3</v>
      </c>
      <c r="G137" s="92" t="str">
        <f>data!G135</f>
        <v>SR807P650033</v>
      </c>
      <c r="H137" s="92">
        <f>data!H135</f>
        <v>2.0000000000000001E-4</v>
      </c>
      <c r="I137" s="92">
        <f>data!I135</f>
        <v>2</v>
      </c>
      <c r="J137" s="92">
        <f>data!J135</f>
        <v>2.0000000000000001E-4</v>
      </c>
      <c r="K137" s="92">
        <f>data!K135</f>
        <v>2</v>
      </c>
      <c r="L137" s="6">
        <f>data!L135</f>
        <v>2.0000000000000001E-4</v>
      </c>
      <c r="M137" s="6">
        <f>data!M135</f>
        <v>2</v>
      </c>
    </row>
    <row r="138" spans="1:13" x14ac:dyDescent="0.25">
      <c r="A138" s="126" t="str">
        <f>data!A136</f>
        <v>comment</v>
      </c>
      <c r="B138" s="98" t="str">
        <f>data!B136</f>
        <v>6001</v>
      </c>
      <c r="C138" s="92" t="str">
        <f>data!C136</f>
        <v>CZCE</v>
      </c>
      <c r="D138" s="92" t="str">
        <f>data!D136</f>
        <v>SR807P6500</v>
      </c>
      <c r="E138" s="92">
        <f>data!E136</f>
        <v>3</v>
      </c>
      <c r="F138" s="92">
        <f>data!F136</f>
        <v>4</v>
      </c>
      <c r="G138" s="92" t="str">
        <f>data!G136</f>
        <v>SR807P650034</v>
      </c>
      <c r="H138" s="92">
        <f>data!H136</f>
        <v>4.2000000000000002E-4</v>
      </c>
      <c r="I138" s="92">
        <f>data!I136</f>
        <v>4.2</v>
      </c>
      <c r="J138" s="92">
        <f>data!J136</f>
        <v>4.2000000000000002E-4</v>
      </c>
      <c r="K138" s="92">
        <f>data!K136</f>
        <v>4.2</v>
      </c>
      <c r="L138" s="6">
        <f>data!L136</f>
        <v>2.0000000000000001E-4</v>
      </c>
      <c r="M138" s="6">
        <f>data!M136</f>
        <v>2</v>
      </c>
    </row>
    <row r="139" spans="1:13" x14ac:dyDescent="0.25">
      <c r="A139" s="126" t="str">
        <f>data!A137</f>
        <v>comment</v>
      </c>
      <c r="B139" s="98" t="str">
        <f>data!B137</f>
        <v>6001</v>
      </c>
      <c r="C139" s="92" t="str">
        <f>data!C137</f>
        <v>CZCE</v>
      </c>
      <c r="D139" s="92" t="str">
        <f>data!D137</f>
        <v>SR807P6500</v>
      </c>
      <c r="E139" s="92">
        <f>data!E137</f>
        <v>3</v>
      </c>
      <c r="F139" s="92">
        <f>data!F137</f>
        <v>5</v>
      </c>
      <c r="G139" s="92" t="str">
        <f>data!G137</f>
        <v>SR807P650035</v>
      </c>
      <c r="H139" s="92">
        <f>data!H137</f>
        <v>4.4999999999999999E-4</v>
      </c>
      <c r="I139" s="92">
        <f>data!I137</f>
        <v>4.5</v>
      </c>
      <c r="J139" s="92">
        <f>data!J137</f>
        <v>4.4999999999999999E-4</v>
      </c>
      <c r="K139" s="92">
        <f>data!K137</f>
        <v>4.5</v>
      </c>
      <c r="L139" s="6">
        <f>data!L137</f>
        <v>2.0000000000000001E-4</v>
      </c>
      <c r="M139" s="6">
        <f>data!M137</f>
        <v>2</v>
      </c>
    </row>
    <row r="140" spans="1:13" x14ac:dyDescent="0.25">
      <c r="A140" s="126" t="str">
        <f>data!A138</f>
        <v>comment</v>
      </c>
      <c r="B140" s="98" t="str">
        <f>data!B138</f>
        <v>6001</v>
      </c>
      <c r="C140" s="92" t="str">
        <f>data!C138</f>
        <v>CZCE</v>
      </c>
      <c r="D140" s="92" t="str">
        <f>data!D138</f>
        <v>SR807P6400</v>
      </c>
      <c r="E140" s="92">
        <f>data!E138</f>
        <v>1</v>
      </c>
      <c r="F140" s="92">
        <f>data!F138</f>
        <v>0</v>
      </c>
      <c r="G140" s="92" t="str">
        <f>data!G138</f>
        <v>SR807P640010</v>
      </c>
      <c r="H140" s="92">
        <f>data!H138</f>
        <v>5.0000000000000001E-4</v>
      </c>
      <c r="I140" s="92">
        <f>data!I138</f>
        <v>5</v>
      </c>
      <c r="J140" s="92">
        <f>data!J138</f>
        <v>4.0000000000000002E-4</v>
      </c>
      <c r="K140" s="92">
        <f>data!K138</f>
        <v>4</v>
      </c>
      <c r="L140" s="6">
        <f>data!L138</f>
        <v>2.0000000000000001E-4</v>
      </c>
      <c r="M140" s="6">
        <f>data!M138</f>
        <v>2</v>
      </c>
    </row>
    <row r="141" spans="1:13" x14ac:dyDescent="0.25">
      <c r="A141" s="126" t="str">
        <f>data!A139</f>
        <v>comment</v>
      </c>
      <c r="B141" s="98" t="str">
        <f>data!B139</f>
        <v>6001</v>
      </c>
      <c r="C141" s="92" t="str">
        <f>data!C139</f>
        <v>CZCE</v>
      </c>
      <c r="D141" s="92" t="str">
        <f>data!D139</f>
        <v>SR807P6400</v>
      </c>
      <c r="E141" s="92">
        <f>data!E139</f>
        <v>1</v>
      </c>
      <c r="F141" s="92">
        <f>data!F139</f>
        <v>1</v>
      </c>
      <c r="G141" s="92" t="str">
        <f>data!G139</f>
        <v>SR807P640011</v>
      </c>
      <c r="H141" s="92">
        <f>data!H139</f>
        <v>4.0000000000000002E-4</v>
      </c>
      <c r="I141" s="92">
        <f>data!I139</f>
        <v>4</v>
      </c>
      <c r="J141" s="92">
        <f>data!J139</f>
        <v>2.9999999999999997E-4</v>
      </c>
      <c r="K141" s="92">
        <f>data!K139</f>
        <v>3</v>
      </c>
      <c r="L141" s="6">
        <f>data!L139</f>
        <v>2.0000000000000001E-4</v>
      </c>
      <c r="M141" s="6">
        <f>data!M139</f>
        <v>2</v>
      </c>
    </row>
    <row r="142" spans="1:13" x14ac:dyDescent="0.25">
      <c r="A142" s="126" t="str">
        <f>data!A140</f>
        <v>comment</v>
      </c>
      <c r="B142" s="98" t="str">
        <f>data!B140</f>
        <v>6001</v>
      </c>
      <c r="C142" s="92" t="str">
        <f>data!C140</f>
        <v>CZCE</v>
      </c>
      <c r="D142" s="92" t="str">
        <f>data!D140</f>
        <v>SR807P6400</v>
      </c>
      <c r="E142" s="92">
        <f>data!E140</f>
        <v>1</v>
      </c>
      <c r="F142" s="92">
        <f>data!F140</f>
        <v>3</v>
      </c>
      <c r="G142" s="92" t="str">
        <f>data!G140</f>
        <v>SR807P640013</v>
      </c>
      <c r="H142" s="92">
        <f>data!H140</f>
        <v>2.0000000000000001E-4</v>
      </c>
      <c r="I142" s="92">
        <f>data!I140</f>
        <v>2</v>
      </c>
      <c r="J142" s="92">
        <f>data!J140</f>
        <v>1E-4</v>
      </c>
      <c r="K142" s="92">
        <f>data!K140</f>
        <v>1</v>
      </c>
      <c r="L142" s="6">
        <f>data!L140</f>
        <v>2.0000000000000001E-4</v>
      </c>
      <c r="M142" s="6">
        <f>data!M140</f>
        <v>2</v>
      </c>
    </row>
    <row r="143" spans="1:13" x14ac:dyDescent="0.25">
      <c r="A143" s="126" t="str">
        <f>data!A141</f>
        <v>comment</v>
      </c>
      <c r="B143" s="98" t="str">
        <f>data!B141</f>
        <v>6001</v>
      </c>
      <c r="C143" s="92" t="str">
        <f>data!C141</f>
        <v>CZCE</v>
      </c>
      <c r="D143" s="92" t="str">
        <f>data!D141</f>
        <v>SR807P6400</v>
      </c>
      <c r="E143" s="92">
        <f>data!E141</f>
        <v>1</v>
      </c>
      <c r="F143" s="92">
        <f>data!F141</f>
        <v>4</v>
      </c>
      <c r="G143" s="92" t="str">
        <f>data!G141</f>
        <v>SR807P640014</v>
      </c>
      <c r="H143" s="92">
        <f>data!H141</f>
        <v>4.2000000000000002E-4</v>
      </c>
      <c r="I143" s="92">
        <f>data!I141</f>
        <v>4.2</v>
      </c>
      <c r="J143" s="92">
        <f>data!J141</f>
        <v>3.2000000000000003E-4</v>
      </c>
      <c r="K143" s="92">
        <f>data!K141</f>
        <v>3.2</v>
      </c>
      <c r="L143" s="6">
        <f>data!L141</f>
        <v>2.0000000000000001E-4</v>
      </c>
      <c r="M143" s="6">
        <f>data!M141</f>
        <v>2</v>
      </c>
    </row>
    <row r="144" spans="1:13" x14ac:dyDescent="0.25">
      <c r="A144" s="126" t="str">
        <f>data!A142</f>
        <v>comment</v>
      </c>
      <c r="B144" s="98" t="str">
        <f>data!B142</f>
        <v>6001</v>
      </c>
      <c r="C144" s="92" t="str">
        <f>data!C142</f>
        <v>CZCE</v>
      </c>
      <c r="D144" s="92" t="str">
        <f>data!D142</f>
        <v>SR807P6400</v>
      </c>
      <c r="E144" s="92">
        <f>data!E142</f>
        <v>1</v>
      </c>
      <c r="F144" s="92">
        <f>data!F142</f>
        <v>5</v>
      </c>
      <c r="G144" s="92" t="str">
        <f>data!G142</f>
        <v>SR807P640015</v>
      </c>
      <c r="H144" s="92">
        <f>data!H142</f>
        <v>4.4999999999999999E-4</v>
      </c>
      <c r="I144" s="92">
        <f>data!I142</f>
        <v>4.5</v>
      </c>
      <c r="J144" s="92">
        <f>data!J142</f>
        <v>3.5E-4</v>
      </c>
      <c r="K144" s="92">
        <f>data!K142</f>
        <v>3.5</v>
      </c>
      <c r="L144" s="6">
        <f>data!L142</f>
        <v>2.0000000000000001E-4</v>
      </c>
      <c r="M144" s="6">
        <f>data!M142</f>
        <v>2</v>
      </c>
    </row>
    <row r="145" spans="1:13" x14ac:dyDescent="0.25">
      <c r="A145" s="126" t="str">
        <f>data!A143</f>
        <v>comment</v>
      </c>
      <c r="B145" s="98" t="str">
        <f>data!B143</f>
        <v>6001</v>
      </c>
      <c r="C145" s="92" t="str">
        <f>data!C143</f>
        <v>CZCE</v>
      </c>
      <c r="D145" s="92" t="str">
        <f>data!D143</f>
        <v>SR807P6400</v>
      </c>
      <c r="E145" s="92">
        <f>data!E143</f>
        <v>3</v>
      </c>
      <c r="F145" s="92">
        <f>data!F143</f>
        <v>0</v>
      </c>
      <c r="G145" s="92" t="str">
        <f>data!G143</f>
        <v>SR807P640030</v>
      </c>
      <c r="H145" s="92">
        <f>data!H143</f>
        <v>5.0000000000000001E-4</v>
      </c>
      <c r="I145" s="92">
        <f>data!I143</f>
        <v>5</v>
      </c>
      <c r="J145" s="92">
        <f>data!J143</f>
        <v>5.0000000000000001E-4</v>
      </c>
      <c r="K145" s="92">
        <f>data!K143</f>
        <v>5</v>
      </c>
      <c r="L145" s="6">
        <f>data!L143</f>
        <v>2.0000000000000001E-4</v>
      </c>
      <c r="M145" s="6">
        <f>data!M143</f>
        <v>2</v>
      </c>
    </row>
    <row r="146" spans="1:13" x14ac:dyDescent="0.25">
      <c r="A146" s="126" t="str">
        <f>data!A144</f>
        <v>comment</v>
      </c>
      <c r="B146" s="98" t="str">
        <f>data!B144</f>
        <v>6001</v>
      </c>
      <c r="C146" s="92" t="str">
        <f>data!C144</f>
        <v>CZCE</v>
      </c>
      <c r="D146" s="92" t="str">
        <f>data!D144</f>
        <v>SR807P6400</v>
      </c>
      <c r="E146" s="92">
        <f>data!E144</f>
        <v>3</v>
      </c>
      <c r="F146" s="92">
        <f>data!F144</f>
        <v>1</v>
      </c>
      <c r="G146" s="92" t="str">
        <f>data!G144</f>
        <v>SR807P640031</v>
      </c>
      <c r="H146" s="92">
        <f>data!H144</f>
        <v>4.0000000000000002E-4</v>
      </c>
      <c r="I146" s="92">
        <f>data!I144</f>
        <v>4</v>
      </c>
      <c r="J146" s="92">
        <f>data!J144</f>
        <v>3.9999999999999996E-4</v>
      </c>
      <c r="K146" s="92">
        <f>data!K144</f>
        <v>4</v>
      </c>
      <c r="L146" s="6">
        <f>data!L144</f>
        <v>2.0000000000000001E-4</v>
      </c>
      <c r="M146" s="6">
        <f>data!M144</f>
        <v>2</v>
      </c>
    </row>
    <row r="147" spans="1:13" x14ac:dyDescent="0.25">
      <c r="A147" s="126" t="str">
        <f>data!A145</f>
        <v>comment</v>
      </c>
      <c r="B147" s="98" t="str">
        <f>data!B145</f>
        <v>6001</v>
      </c>
      <c r="C147" s="92" t="str">
        <f>data!C145</f>
        <v>CZCE</v>
      </c>
      <c r="D147" s="92" t="str">
        <f>data!D145</f>
        <v>SR807P6400</v>
      </c>
      <c r="E147" s="92">
        <f>data!E145</f>
        <v>3</v>
      </c>
      <c r="F147" s="92">
        <f>data!F145</f>
        <v>3</v>
      </c>
      <c r="G147" s="92" t="str">
        <f>data!G145</f>
        <v>SR807P640033</v>
      </c>
      <c r="H147" s="92">
        <f>data!H145</f>
        <v>2.0000000000000001E-4</v>
      </c>
      <c r="I147" s="92">
        <f>data!I145</f>
        <v>2</v>
      </c>
      <c r="J147" s="92">
        <f>data!J145</f>
        <v>2.0000000000000001E-4</v>
      </c>
      <c r="K147" s="92">
        <f>data!K145</f>
        <v>2</v>
      </c>
      <c r="L147" s="6">
        <f>data!L145</f>
        <v>2.0000000000000001E-4</v>
      </c>
      <c r="M147" s="6">
        <f>data!M145</f>
        <v>2</v>
      </c>
    </row>
    <row r="148" spans="1:13" x14ac:dyDescent="0.25">
      <c r="A148" s="126" t="str">
        <f>data!A146</f>
        <v>comment</v>
      </c>
      <c r="B148" s="98" t="str">
        <f>data!B146</f>
        <v>6001</v>
      </c>
      <c r="C148" s="92" t="str">
        <f>data!C146</f>
        <v>CZCE</v>
      </c>
      <c r="D148" s="92" t="str">
        <f>data!D146</f>
        <v>SR807P6400</v>
      </c>
      <c r="E148" s="92">
        <f>data!E146</f>
        <v>3</v>
      </c>
      <c r="F148" s="92">
        <f>data!F146</f>
        <v>4</v>
      </c>
      <c r="G148" s="92" t="str">
        <f>data!G146</f>
        <v>SR807P640034</v>
      </c>
      <c r="H148" s="92">
        <f>data!H146</f>
        <v>4.2000000000000002E-4</v>
      </c>
      <c r="I148" s="92">
        <f>data!I146</f>
        <v>4.2</v>
      </c>
      <c r="J148" s="92">
        <f>data!J146</f>
        <v>4.2000000000000002E-4</v>
      </c>
      <c r="K148" s="92">
        <f>data!K146</f>
        <v>4.2</v>
      </c>
      <c r="L148" s="6">
        <f>data!L146</f>
        <v>2.0000000000000001E-4</v>
      </c>
      <c r="M148" s="6">
        <f>data!M146</f>
        <v>2</v>
      </c>
    </row>
    <row r="149" spans="1:13" x14ac:dyDescent="0.25">
      <c r="A149" s="126" t="str">
        <f>data!A147</f>
        <v>comment</v>
      </c>
      <c r="B149" s="95" t="str">
        <f>data!B147</f>
        <v>6001</v>
      </c>
      <c r="C149" s="96" t="str">
        <f>data!C147</f>
        <v>CZCE</v>
      </c>
      <c r="D149" s="96" t="str">
        <f>data!D147</f>
        <v>SR807P6400</v>
      </c>
      <c r="E149" s="96">
        <f>data!E147</f>
        <v>3</v>
      </c>
      <c r="F149" s="96">
        <f>data!F147</f>
        <v>5</v>
      </c>
      <c r="G149" s="96" t="str">
        <f>data!G147</f>
        <v>SR807P640035</v>
      </c>
      <c r="H149" s="96">
        <f>data!H147</f>
        <v>4.4999999999999999E-4</v>
      </c>
      <c r="I149" s="96">
        <f>data!I147</f>
        <v>4.5</v>
      </c>
      <c r="J149" s="96">
        <f>data!J147</f>
        <v>4.4999999999999999E-4</v>
      </c>
      <c r="K149" s="97">
        <f>data!K147</f>
        <v>4.5</v>
      </c>
      <c r="L149" s="6">
        <f>data!L147</f>
        <v>2.0000000000000001E-4</v>
      </c>
      <c r="M149" s="6">
        <f>data!M147</f>
        <v>2</v>
      </c>
    </row>
    <row r="150" spans="1:13" s="294" customFormat="1" x14ac:dyDescent="0.25">
      <c r="A150" s="296" t="str">
        <f>data!A148</f>
        <v>comment</v>
      </c>
      <c r="B150" s="467" t="str">
        <f>data!B148</f>
        <v>6001</v>
      </c>
      <c r="C150" s="468" t="str">
        <f>data!C148</f>
        <v>CZCE</v>
      </c>
      <c r="D150" s="468" t="str">
        <f>data!D148</f>
        <v>SR809C6600</v>
      </c>
      <c r="E150" s="468">
        <f>data!E148</f>
        <v>1</v>
      </c>
      <c r="F150" s="468">
        <f>data!F148</f>
        <v>0</v>
      </c>
      <c r="G150" s="468" t="str">
        <f>data!G148</f>
        <v>SR809C660010</v>
      </c>
      <c r="H150" s="468">
        <f>data!H148</f>
        <v>5.0000000000000001E-4</v>
      </c>
      <c r="I150" s="468">
        <f>data!I148</f>
        <v>5</v>
      </c>
      <c r="J150" s="468">
        <f>data!J148</f>
        <v>4.0000000000000002E-4</v>
      </c>
      <c r="K150" s="469">
        <f>data!K148</f>
        <v>4</v>
      </c>
      <c r="L150" s="294">
        <f>data!L148</f>
        <v>2.0000000000000001E-4</v>
      </c>
      <c r="M150" s="6">
        <f>data!M148</f>
        <v>2</v>
      </c>
    </row>
    <row r="151" spans="1:13" s="294" customFormat="1" x14ac:dyDescent="0.25">
      <c r="A151" s="296" t="str">
        <f>data!A149</f>
        <v>comment</v>
      </c>
      <c r="B151" s="467" t="str">
        <f>data!B149</f>
        <v>6001</v>
      </c>
      <c r="C151" s="468" t="str">
        <f>data!C149</f>
        <v>CZCE</v>
      </c>
      <c r="D151" s="468" t="str">
        <f>data!D149</f>
        <v>SR809C6600</v>
      </c>
      <c r="E151" s="468">
        <f>data!E149</f>
        <v>1</v>
      </c>
      <c r="F151" s="468">
        <f>data!F149</f>
        <v>1</v>
      </c>
      <c r="G151" s="468" t="str">
        <f>data!G149</f>
        <v>SR809C660011</v>
      </c>
      <c r="H151" s="468">
        <f>data!H149</f>
        <v>4.0000000000000002E-4</v>
      </c>
      <c r="I151" s="468">
        <f>data!I149</f>
        <v>4</v>
      </c>
      <c r="J151" s="468">
        <f>data!J149</f>
        <v>2.9999999999999997E-4</v>
      </c>
      <c r="K151" s="469">
        <f>data!K149</f>
        <v>3</v>
      </c>
      <c r="L151" s="294">
        <f>data!L149</f>
        <v>2.0000000000000001E-4</v>
      </c>
      <c r="M151" s="6">
        <f>data!M149</f>
        <v>2</v>
      </c>
    </row>
    <row r="152" spans="1:13" s="294" customFormat="1" x14ac:dyDescent="0.25">
      <c r="A152" s="296" t="str">
        <f>data!A150</f>
        <v>comment</v>
      </c>
      <c r="B152" s="467" t="str">
        <f>data!B150</f>
        <v>6001</v>
      </c>
      <c r="C152" s="468" t="str">
        <f>data!C150</f>
        <v>CZCE</v>
      </c>
      <c r="D152" s="468" t="str">
        <f>data!D150</f>
        <v>SR809C6600</v>
      </c>
      <c r="E152" s="468">
        <f>data!E150</f>
        <v>1</v>
      </c>
      <c r="F152" s="468">
        <f>data!F150</f>
        <v>3</v>
      </c>
      <c r="G152" s="468" t="str">
        <f>data!G150</f>
        <v>SR809C660013</v>
      </c>
      <c r="H152" s="468">
        <f>data!H150</f>
        <v>2.0000000000000001E-4</v>
      </c>
      <c r="I152" s="468">
        <f>data!I150</f>
        <v>2</v>
      </c>
      <c r="J152" s="468">
        <f>data!J150</f>
        <v>1E-4</v>
      </c>
      <c r="K152" s="469">
        <f>data!K150</f>
        <v>1</v>
      </c>
      <c r="L152" s="294">
        <f>data!L150</f>
        <v>2.0000000000000001E-4</v>
      </c>
      <c r="M152" s="6">
        <f>data!M150</f>
        <v>2</v>
      </c>
    </row>
    <row r="153" spans="1:13" s="294" customFormat="1" x14ac:dyDescent="0.25">
      <c r="A153" s="296" t="str">
        <f>data!A151</f>
        <v>comment</v>
      </c>
      <c r="B153" s="467" t="str">
        <f>data!B151</f>
        <v>6001</v>
      </c>
      <c r="C153" s="468" t="str">
        <f>data!C151</f>
        <v>CZCE</v>
      </c>
      <c r="D153" s="468" t="str">
        <f>data!D151</f>
        <v>SR809C6600</v>
      </c>
      <c r="E153" s="468">
        <f>data!E151</f>
        <v>1</v>
      </c>
      <c r="F153" s="468">
        <f>data!F151</f>
        <v>4</v>
      </c>
      <c r="G153" s="468" t="str">
        <f>data!G151</f>
        <v>SR809C660014</v>
      </c>
      <c r="H153" s="468">
        <f>data!H151</f>
        <v>4.2000000000000002E-4</v>
      </c>
      <c r="I153" s="468">
        <f>data!I151</f>
        <v>4.2</v>
      </c>
      <c r="J153" s="468">
        <f>data!J151</f>
        <v>3.2000000000000003E-4</v>
      </c>
      <c r="K153" s="469">
        <f>data!K151</f>
        <v>3.2</v>
      </c>
      <c r="L153" s="294">
        <f>data!L151</f>
        <v>2.0000000000000001E-4</v>
      </c>
      <c r="M153" s="6">
        <f>data!M151</f>
        <v>2</v>
      </c>
    </row>
    <row r="154" spans="1:13" s="294" customFormat="1" x14ac:dyDescent="0.25">
      <c r="A154" s="296" t="str">
        <f>data!A152</f>
        <v>comment</v>
      </c>
      <c r="B154" s="467" t="str">
        <f>data!B152</f>
        <v>6001</v>
      </c>
      <c r="C154" s="468" t="str">
        <f>data!C152</f>
        <v>CZCE</v>
      </c>
      <c r="D154" s="468" t="str">
        <f>data!D152</f>
        <v>SR809C6600</v>
      </c>
      <c r="E154" s="468">
        <f>data!E152</f>
        <v>1</v>
      </c>
      <c r="F154" s="468">
        <f>data!F152</f>
        <v>5</v>
      </c>
      <c r="G154" s="468" t="str">
        <f>data!G152</f>
        <v>SR809C660015</v>
      </c>
      <c r="H154" s="468">
        <f>data!H152</f>
        <v>4.4999999999999999E-4</v>
      </c>
      <c r="I154" s="468">
        <f>data!I152</f>
        <v>4.5</v>
      </c>
      <c r="J154" s="468">
        <f>data!J152</f>
        <v>3.5E-4</v>
      </c>
      <c r="K154" s="469">
        <f>data!K152</f>
        <v>3.5</v>
      </c>
      <c r="L154" s="294">
        <f>data!L152</f>
        <v>2.0000000000000001E-4</v>
      </c>
      <c r="M154" s="6">
        <f>data!M152</f>
        <v>2</v>
      </c>
    </row>
    <row r="155" spans="1:13" s="294" customFormat="1" x14ac:dyDescent="0.25">
      <c r="A155" s="296" t="str">
        <f>data!A153</f>
        <v>comment</v>
      </c>
      <c r="B155" s="467" t="str">
        <f>data!B153</f>
        <v>6001</v>
      </c>
      <c r="C155" s="468" t="str">
        <f>data!C153</f>
        <v>CZCE</v>
      </c>
      <c r="D155" s="468" t="str">
        <f>data!D153</f>
        <v>SR809C6600</v>
      </c>
      <c r="E155" s="468">
        <f>data!E153</f>
        <v>3</v>
      </c>
      <c r="F155" s="468">
        <f>data!F153</f>
        <v>0</v>
      </c>
      <c r="G155" s="468" t="str">
        <f>data!G153</f>
        <v>SR809C660030</v>
      </c>
      <c r="H155" s="468">
        <f>data!H153</f>
        <v>5.0000000000000001E-4</v>
      </c>
      <c r="I155" s="468">
        <f>data!I153</f>
        <v>5</v>
      </c>
      <c r="J155" s="468">
        <f>data!J153</f>
        <v>5.0000000000000001E-4</v>
      </c>
      <c r="K155" s="469">
        <f>data!K153</f>
        <v>5</v>
      </c>
      <c r="L155" s="294">
        <f>data!L153</f>
        <v>2.0000000000000001E-4</v>
      </c>
      <c r="M155" s="6">
        <f>data!M153</f>
        <v>2</v>
      </c>
    </row>
    <row r="156" spans="1:13" s="294" customFormat="1" x14ac:dyDescent="0.25">
      <c r="A156" s="296" t="str">
        <f>data!A154</f>
        <v>comment</v>
      </c>
      <c r="B156" s="467" t="str">
        <f>data!B154</f>
        <v>6001</v>
      </c>
      <c r="C156" s="468" t="str">
        <f>data!C154</f>
        <v>CZCE</v>
      </c>
      <c r="D156" s="468" t="str">
        <f>data!D154</f>
        <v>SR809C6600</v>
      </c>
      <c r="E156" s="468">
        <f>data!E154</f>
        <v>3</v>
      </c>
      <c r="F156" s="468">
        <f>data!F154</f>
        <v>1</v>
      </c>
      <c r="G156" s="468" t="str">
        <f>data!G154</f>
        <v>SR809C660031</v>
      </c>
      <c r="H156" s="468">
        <f>data!H154</f>
        <v>4.0000000000000002E-4</v>
      </c>
      <c r="I156" s="468">
        <f>data!I154</f>
        <v>4</v>
      </c>
      <c r="J156" s="468">
        <f>data!J154</f>
        <v>3.9999999999999996E-4</v>
      </c>
      <c r="K156" s="469">
        <f>data!K154</f>
        <v>4</v>
      </c>
      <c r="L156" s="294">
        <f>data!L154</f>
        <v>2.0000000000000001E-4</v>
      </c>
      <c r="M156" s="6">
        <f>data!M154</f>
        <v>2</v>
      </c>
    </row>
    <row r="157" spans="1:13" s="294" customFormat="1" x14ac:dyDescent="0.25">
      <c r="A157" s="296" t="str">
        <f>data!A155</f>
        <v>comment</v>
      </c>
      <c r="B157" s="467" t="str">
        <f>data!B155</f>
        <v>6001</v>
      </c>
      <c r="C157" s="468" t="str">
        <f>data!C155</f>
        <v>CZCE</v>
      </c>
      <c r="D157" s="468" t="str">
        <f>data!D155</f>
        <v>SR809C6600</v>
      </c>
      <c r="E157" s="468">
        <f>data!E155</f>
        <v>3</v>
      </c>
      <c r="F157" s="468">
        <f>data!F155</f>
        <v>3</v>
      </c>
      <c r="G157" s="468" t="str">
        <f>data!G155</f>
        <v>SR809C660033</v>
      </c>
      <c r="H157" s="468">
        <f>data!H155</f>
        <v>2.0000000000000001E-4</v>
      </c>
      <c r="I157" s="468">
        <f>data!I155</f>
        <v>2</v>
      </c>
      <c r="J157" s="468">
        <f>data!J155</f>
        <v>2.0000000000000001E-4</v>
      </c>
      <c r="K157" s="469">
        <f>data!K155</f>
        <v>2</v>
      </c>
      <c r="L157" s="294">
        <f>data!L155</f>
        <v>2.0000000000000001E-4</v>
      </c>
      <c r="M157" s="6">
        <f>data!M155</f>
        <v>2</v>
      </c>
    </row>
    <row r="158" spans="1:13" s="294" customFormat="1" x14ac:dyDescent="0.25">
      <c r="A158" s="296" t="str">
        <f>data!A156</f>
        <v>comment</v>
      </c>
      <c r="B158" s="467" t="str">
        <f>data!B156</f>
        <v>6001</v>
      </c>
      <c r="C158" s="468" t="str">
        <f>data!C156</f>
        <v>CZCE</v>
      </c>
      <c r="D158" s="468" t="str">
        <f>data!D156</f>
        <v>SR809C6600</v>
      </c>
      <c r="E158" s="468">
        <f>data!E156</f>
        <v>3</v>
      </c>
      <c r="F158" s="468">
        <f>data!F156</f>
        <v>4</v>
      </c>
      <c r="G158" s="468" t="str">
        <f>data!G156</f>
        <v>SR809C660034</v>
      </c>
      <c r="H158" s="468">
        <f>data!H156</f>
        <v>4.2000000000000002E-4</v>
      </c>
      <c r="I158" s="468">
        <f>data!I156</f>
        <v>4.2</v>
      </c>
      <c r="J158" s="468">
        <f>data!J156</f>
        <v>4.2000000000000002E-4</v>
      </c>
      <c r="K158" s="469">
        <f>data!K156</f>
        <v>4.2</v>
      </c>
      <c r="L158" s="294">
        <f>data!L156</f>
        <v>2.0000000000000001E-4</v>
      </c>
      <c r="M158" s="6">
        <f>data!M156</f>
        <v>2</v>
      </c>
    </row>
    <row r="159" spans="1:13" s="294" customFormat="1" x14ac:dyDescent="0.25">
      <c r="A159" s="296" t="str">
        <f>data!A157</f>
        <v>comment</v>
      </c>
      <c r="B159" s="467" t="str">
        <f>data!B157</f>
        <v>6001</v>
      </c>
      <c r="C159" s="468" t="str">
        <f>data!C157</f>
        <v>CZCE</v>
      </c>
      <c r="D159" s="468" t="str">
        <f>data!D157</f>
        <v>SR809C6600</v>
      </c>
      <c r="E159" s="468">
        <f>data!E157</f>
        <v>3</v>
      </c>
      <c r="F159" s="468">
        <f>data!F157</f>
        <v>5</v>
      </c>
      <c r="G159" s="468" t="str">
        <f>data!G157</f>
        <v>SR809C660035</v>
      </c>
      <c r="H159" s="468">
        <f>data!H157</f>
        <v>4.4999999999999999E-4</v>
      </c>
      <c r="I159" s="468">
        <f>data!I157</f>
        <v>4.5</v>
      </c>
      <c r="J159" s="468">
        <f>data!J157</f>
        <v>4.4999999999999999E-4</v>
      </c>
      <c r="K159" s="469">
        <f>data!K157</f>
        <v>4.5</v>
      </c>
      <c r="L159" s="294">
        <f>data!L157</f>
        <v>2.0000000000000001E-4</v>
      </c>
      <c r="M159" s="6">
        <f>data!M157</f>
        <v>2</v>
      </c>
    </row>
    <row r="160" spans="1:13" x14ac:dyDescent="0.25">
      <c r="A160" s="126" t="str">
        <f>data!A158</f>
        <v>comment</v>
      </c>
      <c r="B160" s="95" t="str">
        <f>data!B158</f>
        <v>6001</v>
      </c>
      <c r="C160" s="96" t="str">
        <f>data!C158</f>
        <v>CZCE</v>
      </c>
      <c r="D160" s="96" t="str">
        <f>data!D158</f>
        <v>PTA807C6500</v>
      </c>
      <c r="E160" s="96">
        <f>data!E158</f>
        <v>1</v>
      </c>
      <c r="F160" s="96">
        <f>data!F158</f>
        <v>0</v>
      </c>
      <c r="G160" s="96" t="str">
        <f>data!G158</f>
        <v>PTA807C650010</v>
      </c>
      <c r="H160" s="96">
        <f>data!H158</f>
        <v>5.0000000000000001E-4</v>
      </c>
      <c r="I160" s="96">
        <f>data!I158</f>
        <v>5</v>
      </c>
      <c r="J160" s="96">
        <f>data!J158</f>
        <v>4.0000000000000002E-4</v>
      </c>
      <c r="K160" s="97">
        <f>data!K158</f>
        <v>4</v>
      </c>
      <c r="L160" s="6">
        <f>data!L158</f>
        <v>2.0000000000000001E-4</v>
      </c>
      <c r="M160" s="6">
        <f>data!M158</f>
        <v>2</v>
      </c>
    </row>
    <row r="161" spans="1:13" x14ac:dyDescent="0.25">
      <c r="A161" s="126" t="str">
        <f>data!A159</f>
        <v>comment</v>
      </c>
      <c r="B161" s="95" t="str">
        <f>data!B159</f>
        <v>6001</v>
      </c>
      <c r="C161" s="96" t="str">
        <f>data!C159</f>
        <v>CZCE</v>
      </c>
      <c r="D161" s="96" t="str">
        <f>data!D159</f>
        <v>PTA807C6500</v>
      </c>
      <c r="E161" s="96">
        <f>data!E159</f>
        <v>1</v>
      </c>
      <c r="F161" s="96">
        <f>data!F159</f>
        <v>1</v>
      </c>
      <c r="G161" s="96" t="str">
        <f>data!G159</f>
        <v>PTA807C650011</v>
      </c>
      <c r="H161" s="96">
        <f>data!H159</f>
        <v>4.0000000000000002E-4</v>
      </c>
      <c r="I161" s="96">
        <f>data!I159</f>
        <v>4</v>
      </c>
      <c r="J161" s="96">
        <f>data!J159</f>
        <v>2.9999999999999997E-4</v>
      </c>
      <c r="K161" s="97">
        <f>data!K159</f>
        <v>3</v>
      </c>
      <c r="L161" s="6">
        <f>data!L159</f>
        <v>2.0000000000000001E-4</v>
      </c>
      <c r="M161" s="6">
        <f>data!M159</f>
        <v>2</v>
      </c>
    </row>
    <row r="162" spans="1:13" x14ac:dyDescent="0.25">
      <c r="A162" s="126" t="str">
        <f>data!A160</f>
        <v>comment</v>
      </c>
      <c r="B162" s="95" t="str">
        <f>data!B160</f>
        <v>6001</v>
      </c>
      <c r="C162" s="96" t="str">
        <f>data!C160</f>
        <v>CZCE</v>
      </c>
      <c r="D162" s="96" t="str">
        <f>data!D160</f>
        <v>PTA807C6500</v>
      </c>
      <c r="E162" s="96">
        <f>data!E160</f>
        <v>1</v>
      </c>
      <c r="F162" s="96">
        <f>data!F160</f>
        <v>3</v>
      </c>
      <c r="G162" s="96" t="str">
        <f>data!G160</f>
        <v>PTA807C650013</v>
      </c>
      <c r="H162" s="96">
        <f>data!H160</f>
        <v>2.0000000000000001E-4</v>
      </c>
      <c r="I162" s="96">
        <f>data!I160</f>
        <v>2</v>
      </c>
      <c r="J162" s="96">
        <f>data!J160</f>
        <v>1E-4</v>
      </c>
      <c r="K162" s="97">
        <f>data!K160</f>
        <v>1</v>
      </c>
      <c r="L162" s="6">
        <f>data!L160</f>
        <v>2.0000000000000001E-4</v>
      </c>
      <c r="M162" s="6">
        <f>data!M160</f>
        <v>2</v>
      </c>
    </row>
    <row r="163" spans="1:13" x14ac:dyDescent="0.25">
      <c r="A163" s="126" t="str">
        <f>data!A161</f>
        <v>comment</v>
      </c>
      <c r="B163" s="95" t="str">
        <f>data!B161</f>
        <v>6001</v>
      </c>
      <c r="C163" s="96" t="str">
        <f>data!C161</f>
        <v>CZCE</v>
      </c>
      <c r="D163" s="96" t="str">
        <f>data!D161</f>
        <v>PTA807C6500</v>
      </c>
      <c r="E163" s="96">
        <f>data!E161</f>
        <v>1</v>
      </c>
      <c r="F163" s="96">
        <f>data!F161</f>
        <v>4</v>
      </c>
      <c r="G163" s="96" t="str">
        <f>data!G161</f>
        <v>PTA807C650014</v>
      </c>
      <c r="H163" s="96">
        <f>data!H161</f>
        <v>4.2000000000000002E-4</v>
      </c>
      <c r="I163" s="96">
        <f>data!I161</f>
        <v>4.2</v>
      </c>
      <c r="J163" s="96">
        <f>data!J161</f>
        <v>3.2000000000000003E-4</v>
      </c>
      <c r="K163" s="97">
        <f>data!K161</f>
        <v>3.2</v>
      </c>
      <c r="L163" s="6">
        <f>data!L161</f>
        <v>2.0000000000000001E-4</v>
      </c>
      <c r="M163" s="6">
        <f>data!M161</f>
        <v>2</v>
      </c>
    </row>
    <row r="164" spans="1:13" x14ac:dyDescent="0.25">
      <c r="A164" s="126" t="str">
        <f>data!A162</f>
        <v>comment</v>
      </c>
      <c r="B164" s="95" t="str">
        <f>data!B162</f>
        <v>6001</v>
      </c>
      <c r="C164" s="96" t="str">
        <f>data!C162</f>
        <v>CZCE</v>
      </c>
      <c r="D164" s="96" t="str">
        <f>data!D162</f>
        <v>PTA807C6500</v>
      </c>
      <c r="E164" s="96">
        <f>data!E162</f>
        <v>1</v>
      </c>
      <c r="F164" s="96">
        <f>data!F162</f>
        <v>5</v>
      </c>
      <c r="G164" s="96" t="str">
        <f>data!G162</f>
        <v>PTA807C650015</v>
      </c>
      <c r="H164" s="96">
        <f>data!H162</f>
        <v>4.4999999999999999E-4</v>
      </c>
      <c r="I164" s="96">
        <f>data!I162</f>
        <v>4.5</v>
      </c>
      <c r="J164" s="96">
        <f>data!J162</f>
        <v>3.5E-4</v>
      </c>
      <c r="K164" s="97">
        <f>data!K162</f>
        <v>3.5</v>
      </c>
      <c r="L164" s="6">
        <f>data!L162</f>
        <v>2.0000000000000001E-4</v>
      </c>
      <c r="M164" s="6">
        <f>data!M162</f>
        <v>2</v>
      </c>
    </row>
    <row r="165" spans="1:13" x14ac:dyDescent="0.25">
      <c r="A165" s="126" t="str">
        <f>data!A163</f>
        <v>comment</v>
      </c>
      <c r="B165" s="95" t="str">
        <f>data!B163</f>
        <v>6001</v>
      </c>
      <c r="C165" s="96" t="str">
        <f>data!C163</f>
        <v>CZCE</v>
      </c>
      <c r="D165" s="96" t="str">
        <f>data!D163</f>
        <v>PTA807C6500</v>
      </c>
      <c r="E165" s="96">
        <f>data!E163</f>
        <v>3</v>
      </c>
      <c r="F165" s="96">
        <f>data!F163</f>
        <v>0</v>
      </c>
      <c r="G165" s="96" t="str">
        <f>data!G163</f>
        <v>PTA807C650030</v>
      </c>
      <c r="H165" s="96">
        <f>data!H163</f>
        <v>5.0000000000000001E-4</v>
      </c>
      <c r="I165" s="96">
        <f>data!I163</f>
        <v>5</v>
      </c>
      <c r="J165" s="96">
        <f>data!J163</f>
        <v>5.0000000000000001E-4</v>
      </c>
      <c r="K165" s="97">
        <f>data!K163</f>
        <v>5</v>
      </c>
      <c r="L165" s="6">
        <f>data!L163</f>
        <v>2.0000000000000001E-4</v>
      </c>
      <c r="M165" s="6">
        <f>data!M163</f>
        <v>2</v>
      </c>
    </row>
    <row r="166" spans="1:13" x14ac:dyDescent="0.25">
      <c r="A166" s="126" t="str">
        <f>data!A164</f>
        <v>comment</v>
      </c>
      <c r="B166" s="95" t="str">
        <f>data!B164</f>
        <v>6001</v>
      </c>
      <c r="C166" s="96" t="str">
        <f>data!C164</f>
        <v>CZCE</v>
      </c>
      <c r="D166" s="96" t="str">
        <f>data!D164</f>
        <v>PTA807C6500</v>
      </c>
      <c r="E166" s="96">
        <f>data!E164</f>
        <v>3</v>
      </c>
      <c r="F166" s="96">
        <f>data!F164</f>
        <v>1</v>
      </c>
      <c r="G166" s="96" t="str">
        <f>data!G164</f>
        <v>PTA807C650031</v>
      </c>
      <c r="H166" s="96">
        <f>data!H164</f>
        <v>4.0000000000000002E-4</v>
      </c>
      <c r="I166" s="96">
        <f>data!I164</f>
        <v>4</v>
      </c>
      <c r="J166" s="96">
        <f>data!J164</f>
        <v>3.9999999999999996E-4</v>
      </c>
      <c r="K166" s="97">
        <f>data!K164</f>
        <v>4</v>
      </c>
      <c r="L166" s="6">
        <f>data!L164</f>
        <v>2.0000000000000001E-4</v>
      </c>
      <c r="M166" s="6">
        <f>data!M164</f>
        <v>2</v>
      </c>
    </row>
    <row r="167" spans="1:13" x14ac:dyDescent="0.25">
      <c r="A167" s="126" t="str">
        <f>data!A165</f>
        <v>comment</v>
      </c>
      <c r="B167" s="95" t="str">
        <f>data!B165</f>
        <v>6001</v>
      </c>
      <c r="C167" s="96" t="str">
        <f>data!C165</f>
        <v>CZCE</v>
      </c>
      <c r="D167" s="96" t="str">
        <f>data!D165</f>
        <v>PTA807C6500</v>
      </c>
      <c r="E167" s="96">
        <f>data!E165</f>
        <v>3</v>
      </c>
      <c r="F167" s="96">
        <f>data!F165</f>
        <v>3</v>
      </c>
      <c r="G167" s="96" t="str">
        <f>data!G165</f>
        <v>PTA807C650033</v>
      </c>
      <c r="H167" s="96">
        <f>data!H165</f>
        <v>2.0000000000000001E-4</v>
      </c>
      <c r="I167" s="96">
        <f>data!I165</f>
        <v>2</v>
      </c>
      <c r="J167" s="96">
        <f>data!J165</f>
        <v>2.0000000000000001E-4</v>
      </c>
      <c r="K167" s="97">
        <f>data!K165</f>
        <v>2</v>
      </c>
      <c r="L167" s="6">
        <f>data!L165</f>
        <v>2.0000000000000001E-4</v>
      </c>
      <c r="M167" s="6">
        <f>data!M165</f>
        <v>2</v>
      </c>
    </row>
    <row r="168" spans="1:13" x14ac:dyDescent="0.25">
      <c r="A168" s="126" t="str">
        <f>data!A166</f>
        <v>comment</v>
      </c>
      <c r="B168" s="95" t="str">
        <f>data!B166</f>
        <v>6001</v>
      </c>
      <c r="C168" s="96" t="str">
        <f>data!C166</f>
        <v>CZCE</v>
      </c>
      <c r="D168" s="96" t="str">
        <f>data!D166</f>
        <v>PTA807C6500</v>
      </c>
      <c r="E168" s="96">
        <f>data!E166</f>
        <v>3</v>
      </c>
      <c r="F168" s="96">
        <f>data!F166</f>
        <v>4</v>
      </c>
      <c r="G168" s="96" t="str">
        <f>data!G166</f>
        <v>PTA807C650034</v>
      </c>
      <c r="H168" s="96">
        <f>data!H166</f>
        <v>4.2000000000000002E-4</v>
      </c>
      <c r="I168" s="96">
        <f>data!I166</f>
        <v>4.2</v>
      </c>
      <c r="J168" s="96">
        <f>data!J166</f>
        <v>4.2000000000000002E-4</v>
      </c>
      <c r="K168" s="97">
        <f>data!K166</f>
        <v>4.2</v>
      </c>
      <c r="L168" s="6">
        <f>data!L166</f>
        <v>2.0000000000000001E-4</v>
      </c>
      <c r="M168" s="6">
        <f>data!M166</f>
        <v>2</v>
      </c>
    </row>
    <row r="169" spans="1:13" x14ac:dyDescent="0.25">
      <c r="A169" s="126" t="str">
        <f>data!A167</f>
        <v>comment</v>
      </c>
      <c r="B169" s="95" t="str">
        <f>data!B167</f>
        <v>6001</v>
      </c>
      <c r="C169" s="96" t="str">
        <f>data!C167</f>
        <v>CZCE</v>
      </c>
      <c r="D169" s="96" t="str">
        <f>data!D167</f>
        <v>PTA807C6500</v>
      </c>
      <c r="E169" s="96">
        <f>data!E167</f>
        <v>3</v>
      </c>
      <c r="F169" s="96">
        <f>data!F167</f>
        <v>5</v>
      </c>
      <c r="G169" s="96" t="str">
        <f>data!G167</f>
        <v>PTA807C650035</v>
      </c>
      <c r="H169" s="96">
        <f>data!H167</f>
        <v>4.4999999999999999E-4</v>
      </c>
      <c r="I169" s="96">
        <f>data!I167</f>
        <v>4.5</v>
      </c>
      <c r="J169" s="96">
        <f>data!J167</f>
        <v>4.4999999999999999E-4</v>
      </c>
      <c r="K169" s="97">
        <f>data!K167</f>
        <v>4.5</v>
      </c>
      <c r="L169" s="6">
        <f>data!L167</f>
        <v>2.0000000000000001E-4</v>
      </c>
      <c r="M169" s="6">
        <f>data!M167</f>
        <v>2</v>
      </c>
    </row>
    <row r="170" spans="1:13" x14ac:dyDescent="0.25">
      <c r="A170" s="126" t="str">
        <f>data!A168</f>
        <v>comment</v>
      </c>
      <c r="B170" s="95" t="str">
        <f>data!B168</f>
        <v>6001</v>
      </c>
      <c r="C170" s="96" t="str">
        <f>data!C168</f>
        <v>CZCE</v>
      </c>
      <c r="D170" s="96" t="str">
        <f>data!D168</f>
        <v>PTA807P6200</v>
      </c>
      <c r="E170" s="96">
        <f>data!E168</f>
        <v>1</v>
      </c>
      <c r="F170" s="96">
        <f>data!F168</f>
        <v>0</v>
      </c>
      <c r="G170" s="96" t="str">
        <f>data!G168</f>
        <v>PTA807P620010</v>
      </c>
      <c r="H170" s="96">
        <f>data!H168</f>
        <v>5.0000000000000001E-4</v>
      </c>
      <c r="I170" s="96">
        <f>data!I168</f>
        <v>5</v>
      </c>
      <c r="J170" s="96">
        <f>data!J168</f>
        <v>4.0000000000000002E-4</v>
      </c>
      <c r="K170" s="97">
        <f>data!K168</f>
        <v>4</v>
      </c>
      <c r="L170" s="6">
        <f>data!L168</f>
        <v>2.0000000000000001E-4</v>
      </c>
      <c r="M170" s="6">
        <f>data!M168</f>
        <v>2</v>
      </c>
    </row>
    <row r="171" spans="1:13" x14ac:dyDescent="0.25">
      <c r="A171" s="126" t="str">
        <f>data!A169</f>
        <v>comment</v>
      </c>
      <c r="B171" s="95" t="str">
        <f>data!B169</f>
        <v>6001</v>
      </c>
      <c r="C171" s="96" t="str">
        <f>data!C169</f>
        <v>CZCE</v>
      </c>
      <c r="D171" s="96" t="str">
        <f>data!D169</f>
        <v>PTA807P6200</v>
      </c>
      <c r="E171" s="96">
        <f>data!E169</f>
        <v>1</v>
      </c>
      <c r="F171" s="96">
        <f>data!F169</f>
        <v>1</v>
      </c>
      <c r="G171" s="96" t="str">
        <f>data!G169</f>
        <v>PTA807P620011</v>
      </c>
      <c r="H171" s="96">
        <f>data!H169</f>
        <v>4.0000000000000002E-4</v>
      </c>
      <c r="I171" s="96">
        <f>data!I169</f>
        <v>4</v>
      </c>
      <c r="J171" s="96">
        <f>data!J169</f>
        <v>2.9999999999999997E-4</v>
      </c>
      <c r="K171" s="97">
        <f>data!K169</f>
        <v>3</v>
      </c>
      <c r="L171" s="6">
        <f>data!L169</f>
        <v>2.0000000000000001E-4</v>
      </c>
      <c r="M171" s="6">
        <f>data!M169</f>
        <v>2</v>
      </c>
    </row>
    <row r="172" spans="1:13" x14ac:dyDescent="0.25">
      <c r="A172" s="126" t="str">
        <f>data!A170</f>
        <v>comment</v>
      </c>
      <c r="B172" s="95" t="str">
        <f>data!B170</f>
        <v>6001</v>
      </c>
      <c r="C172" s="96" t="str">
        <f>data!C170</f>
        <v>CZCE</v>
      </c>
      <c r="D172" s="96" t="str">
        <f>data!D170</f>
        <v>PTA807P6200</v>
      </c>
      <c r="E172" s="96">
        <f>data!E170</f>
        <v>1</v>
      </c>
      <c r="F172" s="96">
        <f>data!F170</f>
        <v>3</v>
      </c>
      <c r="G172" s="96" t="str">
        <f>data!G170</f>
        <v>PTA807P620013</v>
      </c>
      <c r="H172" s="96">
        <f>data!H170</f>
        <v>2.0000000000000001E-4</v>
      </c>
      <c r="I172" s="96">
        <f>data!I170</f>
        <v>2</v>
      </c>
      <c r="J172" s="96">
        <f>data!J170</f>
        <v>1E-4</v>
      </c>
      <c r="K172" s="97">
        <f>data!K170</f>
        <v>1</v>
      </c>
      <c r="L172" s="6">
        <f>data!L170</f>
        <v>2.0000000000000001E-4</v>
      </c>
      <c r="M172" s="6">
        <f>data!M170</f>
        <v>2</v>
      </c>
    </row>
    <row r="173" spans="1:13" x14ac:dyDescent="0.25">
      <c r="A173" s="126" t="str">
        <f>data!A171</f>
        <v>comment</v>
      </c>
      <c r="B173" s="95" t="str">
        <f>data!B171</f>
        <v>6001</v>
      </c>
      <c r="C173" s="96" t="str">
        <f>data!C171</f>
        <v>CZCE</v>
      </c>
      <c r="D173" s="96" t="str">
        <f>data!D171</f>
        <v>PTA807P6200</v>
      </c>
      <c r="E173" s="96">
        <f>data!E171</f>
        <v>1</v>
      </c>
      <c r="F173" s="96">
        <f>data!F171</f>
        <v>4</v>
      </c>
      <c r="G173" s="96" t="str">
        <f>data!G171</f>
        <v>PTA807P620014</v>
      </c>
      <c r="H173" s="96">
        <f>data!H171</f>
        <v>4.2000000000000002E-4</v>
      </c>
      <c r="I173" s="96">
        <f>data!I171</f>
        <v>4.2</v>
      </c>
      <c r="J173" s="96">
        <f>data!J171</f>
        <v>3.2000000000000003E-4</v>
      </c>
      <c r="K173" s="97">
        <f>data!K171</f>
        <v>3.2</v>
      </c>
      <c r="L173" s="6">
        <f>data!L171</f>
        <v>2.0000000000000001E-4</v>
      </c>
      <c r="M173" s="6">
        <f>data!M171</f>
        <v>2</v>
      </c>
    </row>
    <row r="174" spans="1:13" x14ac:dyDescent="0.25">
      <c r="A174" s="126" t="str">
        <f>data!A172</f>
        <v>comment</v>
      </c>
      <c r="B174" s="95" t="str">
        <f>data!B172</f>
        <v>6001</v>
      </c>
      <c r="C174" s="96" t="str">
        <f>data!C172</f>
        <v>CZCE</v>
      </c>
      <c r="D174" s="96" t="str">
        <f>data!D172</f>
        <v>PTA807P6200</v>
      </c>
      <c r="E174" s="96">
        <f>data!E172</f>
        <v>1</v>
      </c>
      <c r="F174" s="96">
        <f>data!F172</f>
        <v>5</v>
      </c>
      <c r="G174" s="96" t="str">
        <f>data!G172</f>
        <v>PTA807P620015</v>
      </c>
      <c r="H174" s="96">
        <f>data!H172</f>
        <v>4.4999999999999999E-4</v>
      </c>
      <c r="I174" s="96">
        <f>data!I172</f>
        <v>4.5</v>
      </c>
      <c r="J174" s="96">
        <f>data!J172</f>
        <v>3.5E-4</v>
      </c>
      <c r="K174" s="97">
        <f>data!K172</f>
        <v>3.5</v>
      </c>
      <c r="L174" s="6">
        <f>data!L172</f>
        <v>2.0000000000000001E-4</v>
      </c>
      <c r="M174" s="6">
        <f>data!M172</f>
        <v>2</v>
      </c>
    </row>
    <row r="175" spans="1:13" x14ac:dyDescent="0.25">
      <c r="A175" s="126" t="str">
        <f>data!A173</f>
        <v>comment</v>
      </c>
      <c r="B175" s="95" t="str">
        <f>data!B173</f>
        <v>6001</v>
      </c>
      <c r="C175" s="96" t="str">
        <f>data!C173</f>
        <v>CZCE</v>
      </c>
      <c r="D175" s="96" t="str">
        <f>data!D173</f>
        <v>PTA807P6200</v>
      </c>
      <c r="E175" s="96">
        <f>data!E173</f>
        <v>3</v>
      </c>
      <c r="F175" s="96">
        <f>data!F173</f>
        <v>0</v>
      </c>
      <c r="G175" s="96" t="str">
        <f>data!G173</f>
        <v>PTA807P620030</v>
      </c>
      <c r="H175" s="96">
        <f>data!H173</f>
        <v>5.0000000000000001E-4</v>
      </c>
      <c r="I175" s="96">
        <f>data!I173</f>
        <v>5</v>
      </c>
      <c r="J175" s="96">
        <f>data!J173</f>
        <v>5.0000000000000001E-4</v>
      </c>
      <c r="K175" s="97">
        <f>data!K173</f>
        <v>5</v>
      </c>
      <c r="L175" s="6">
        <f>data!L173</f>
        <v>2.0000000000000001E-4</v>
      </c>
      <c r="M175" s="6">
        <f>data!M173</f>
        <v>2</v>
      </c>
    </row>
    <row r="176" spans="1:13" x14ac:dyDescent="0.25">
      <c r="A176" s="126" t="str">
        <f>data!A174</f>
        <v>comment</v>
      </c>
      <c r="B176" s="95" t="str">
        <f>data!B174</f>
        <v>6001</v>
      </c>
      <c r="C176" s="96" t="str">
        <f>data!C174</f>
        <v>CZCE</v>
      </c>
      <c r="D176" s="96" t="str">
        <f>data!D174</f>
        <v>PTA807P6200</v>
      </c>
      <c r="E176" s="96">
        <f>data!E174</f>
        <v>3</v>
      </c>
      <c r="F176" s="96">
        <f>data!F174</f>
        <v>1</v>
      </c>
      <c r="G176" s="96" t="str">
        <f>data!G174</f>
        <v>PTA807P620031</v>
      </c>
      <c r="H176" s="96">
        <f>data!H174</f>
        <v>4.0000000000000002E-4</v>
      </c>
      <c r="I176" s="96">
        <f>data!I174</f>
        <v>4</v>
      </c>
      <c r="J176" s="96">
        <f>data!J174</f>
        <v>3.9999999999999996E-4</v>
      </c>
      <c r="K176" s="97">
        <f>data!K174</f>
        <v>4</v>
      </c>
      <c r="L176" s="6">
        <f>data!L174</f>
        <v>2.0000000000000001E-4</v>
      </c>
      <c r="M176" s="6">
        <f>data!M174</f>
        <v>2</v>
      </c>
    </row>
    <row r="177" spans="1:13" x14ac:dyDescent="0.25">
      <c r="A177" s="126" t="str">
        <f>data!A175</f>
        <v>comment</v>
      </c>
      <c r="B177" s="95" t="str">
        <f>data!B175</f>
        <v>6001</v>
      </c>
      <c r="C177" s="96" t="str">
        <f>data!C175</f>
        <v>CZCE</v>
      </c>
      <c r="D177" s="96" t="str">
        <f>data!D175</f>
        <v>PTA807P6200</v>
      </c>
      <c r="E177" s="96">
        <f>data!E175</f>
        <v>3</v>
      </c>
      <c r="F177" s="96">
        <f>data!F175</f>
        <v>3</v>
      </c>
      <c r="G177" s="96" t="str">
        <f>data!G175</f>
        <v>PTA807P620033</v>
      </c>
      <c r="H177" s="96">
        <f>data!H175</f>
        <v>2.0000000000000001E-4</v>
      </c>
      <c r="I177" s="96">
        <f>data!I175</f>
        <v>2</v>
      </c>
      <c r="J177" s="96">
        <f>data!J175</f>
        <v>2.0000000000000001E-4</v>
      </c>
      <c r="K177" s="97">
        <f>data!K175</f>
        <v>2</v>
      </c>
      <c r="L177" s="6">
        <f>data!L175</f>
        <v>2.0000000000000001E-4</v>
      </c>
      <c r="M177" s="6">
        <f>data!M175</f>
        <v>2</v>
      </c>
    </row>
    <row r="178" spans="1:13" x14ac:dyDescent="0.25">
      <c r="A178" s="126" t="str">
        <f>data!A176</f>
        <v>comment</v>
      </c>
      <c r="B178" s="95" t="str">
        <f>data!B176</f>
        <v>6001</v>
      </c>
      <c r="C178" s="96" t="str">
        <f>data!C176</f>
        <v>CZCE</v>
      </c>
      <c r="D178" s="96" t="str">
        <f>data!D176</f>
        <v>PTA807P6200</v>
      </c>
      <c r="E178" s="96">
        <f>data!E176</f>
        <v>3</v>
      </c>
      <c r="F178" s="96">
        <f>data!F176</f>
        <v>4</v>
      </c>
      <c r="G178" s="96" t="str">
        <f>data!G176</f>
        <v>PTA807P620034</v>
      </c>
      <c r="H178" s="96">
        <f>data!H176</f>
        <v>4.2000000000000002E-4</v>
      </c>
      <c r="I178" s="96">
        <f>data!I176</f>
        <v>4.2</v>
      </c>
      <c r="J178" s="96">
        <f>data!J176</f>
        <v>4.2000000000000002E-4</v>
      </c>
      <c r="K178" s="97">
        <f>data!K176</f>
        <v>4.2</v>
      </c>
      <c r="L178" s="6">
        <f>data!L176</f>
        <v>2.0000000000000001E-4</v>
      </c>
      <c r="M178" s="6">
        <f>data!M176</f>
        <v>2</v>
      </c>
    </row>
    <row r="179" spans="1:13" x14ac:dyDescent="0.25">
      <c r="A179" s="126" t="str">
        <f>data!A177</f>
        <v>comment</v>
      </c>
      <c r="B179" s="95" t="str">
        <f>data!B177</f>
        <v>6001</v>
      </c>
      <c r="C179" s="96" t="str">
        <f>data!C177</f>
        <v>CZCE</v>
      </c>
      <c r="D179" s="96" t="str">
        <f>data!D177</f>
        <v>PTA807P6200</v>
      </c>
      <c r="E179" s="96">
        <f>data!E177</f>
        <v>3</v>
      </c>
      <c r="F179" s="96">
        <f>data!F177</f>
        <v>5</v>
      </c>
      <c r="G179" s="96" t="str">
        <f>data!G177</f>
        <v>PTA807P620035</v>
      </c>
      <c r="H179" s="96">
        <f>data!H177</f>
        <v>4.4999999999999999E-4</v>
      </c>
      <c r="I179" s="96">
        <f>data!I177</f>
        <v>4.5</v>
      </c>
      <c r="J179" s="96">
        <f>data!J177</f>
        <v>4.4999999999999999E-4</v>
      </c>
      <c r="K179" s="97">
        <f>data!K177</f>
        <v>4.5</v>
      </c>
      <c r="L179" s="6">
        <f>data!L177</f>
        <v>2.0000000000000001E-4</v>
      </c>
      <c r="M179" s="6">
        <f>data!M177</f>
        <v>2</v>
      </c>
    </row>
    <row r="180" spans="1:13" x14ac:dyDescent="0.25">
      <c r="A180" s="126" t="str">
        <f>data!A178</f>
        <v>comment</v>
      </c>
      <c r="B180" s="95" t="str">
        <f>data!B178</f>
        <v>6001</v>
      </c>
      <c r="C180" s="96" t="str">
        <f>data!C178</f>
        <v>CZCE</v>
      </c>
      <c r="D180" s="96" t="str">
        <f>data!D178</f>
        <v>PTA807P6500</v>
      </c>
      <c r="E180" s="96">
        <f>data!E178</f>
        <v>1</v>
      </c>
      <c r="F180" s="96">
        <f>data!F178</f>
        <v>0</v>
      </c>
      <c r="G180" s="96" t="str">
        <f>data!G178</f>
        <v>PTA807P650010</v>
      </c>
      <c r="H180" s="96">
        <f>data!H178</f>
        <v>5.0000000000000001E-4</v>
      </c>
      <c r="I180" s="96">
        <f>data!I178</f>
        <v>5</v>
      </c>
      <c r="J180" s="96">
        <f>data!J178</f>
        <v>4.0000000000000002E-4</v>
      </c>
      <c r="K180" s="97">
        <f>data!K178</f>
        <v>4</v>
      </c>
      <c r="L180" s="6">
        <f>data!L178</f>
        <v>2.0000000000000001E-4</v>
      </c>
      <c r="M180" s="6">
        <f>data!M178</f>
        <v>2</v>
      </c>
    </row>
    <row r="181" spans="1:13" x14ac:dyDescent="0.25">
      <c r="A181" s="126" t="str">
        <f>data!A179</f>
        <v>comment</v>
      </c>
      <c r="B181" s="95" t="str">
        <f>data!B179</f>
        <v>6001</v>
      </c>
      <c r="C181" s="96" t="str">
        <f>data!C179</f>
        <v>CZCE</v>
      </c>
      <c r="D181" s="96" t="str">
        <f>data!D179</f>
        <v>PTA807P6500</v>
      </c>
      <c r="E181" s="96">
        <f>data!E179</f>
        <v>1</v>
      </c>
      <c r="F181" s="96">
        <f>data!F179</f>
        <v>1</v>
      </c>
      <c r="G181" s="96" t="str">
        <f>data!G179</f>
        <v>PTA807P650011</v>
      </c>
      <c r="H181" s="96">
        <f>data!H179</f>
        <v>4.0000000000000002E-4</v>
      </c>
      <c r="I181" s="96">
        <f>data!I179</f>
        <v>4</v>
      </c>
      <c r="J181" s="96">
        <f>data!J179</f>
        <v>2.9999999999999997E-4</v>
      </c>
      <c r="K181" s="97">
        <f>data!K179</f>
        <v>3</v>
      </c>
      <c r="L181" s="6">
        <f>data!L179</f>
        <v>2.0000000000000001E-4</v>
      </c>
      <c r="M181" s="6">
        <f>data!M179</f>
        <v>2</v>
      </c>
    </row>
    <row r="182" spans="1:13" x14ac:dyDescent="0.25">
      <c r="A182" s="126" t="str">
        <f>data!A180</f>
        <v>comment</v>
      </c>
      <c r="B182" s="95" t="str">
        <f>data!B180</f>
        <v>6001</v>
      </c>
      <c r="C182" s="96" t="str">
        <f>data!C180</f>
        <v>CZCE</v>
      </c>
      <c r="D182" s="96" t="str">
        <f>data!D180</f>
        <v>PTA807P6500</v>
      </c>
      <c r="E182" s="96">
        <f>data!E180</f>
        <v>1</v>
      </c>
      <c r="F182" s="96">
        <f>data!F180</f>
        <v>3</v>
      </c>
      <c r="G182" s="96" t="str">
        <f>data!G180</f>
        <v>PTA807P650013</v>
      </c>
      <c r="H182" s="96">
        <f>data!H180</f>
        <v>2.0000000000000001E-4</v>
      </c>
      <c r="I182" s="96">
        <f>data!I180</f>
        <v>2</v>
      </c>
      <c r="J182" s="96">
        <f>data!J180</f>
        <v>1E-4</v>
      </c>
      <c r="K182" s="97">
        <f>data!K180</f>
        <v>1</v>
      </c>
      <c r="L182" s="6">
        <f>data!L180</f>
        <v>2.0000000000000001E-4</v>
      </c>
      <c r="M182" s="6">
        <f>data!M180</f>
        <v>2</v>
      </c>
    </row>
    <row r="183" spans="1:13" x14ac:dyDescent="0.25">
      <c r="A183" s="126" t="str">
        <f>data!A181</f>
        <v>comment</v>
      </c>
      <c r="B183" s="95" t="str">
        <f>data!B181</f>
        <v>6001</v>
      </c>
      <c r="C183" s="96" t="str">
        <f>data!C181</f>
        <v>CZCE</v>
      </c>
      <c r="D183" s="96" t="str">
        <f>data!D181</f>
        <v>PTA807P6500</v>
      </c>
      <c r="E183" s="96">
        <f>data!E181</f>
        <v>1</v>
      </c>
      <c r="F183" s="96">
        <f>data!F181</f>
        <v>4</v>
      </c>
      <c r="G183" s="96" t="str">
        <f>data!G181</f>
        <v>PTA807P650014</v>
      </c>
      <c r="H183" s="96">
        <f>data!H181</f>
        <v>4.2000000000000002E-4</v>
      </c>
      <c r="I183" s="96">
        <f>data!I181</f>
        <v>4.2</v>
      </c>
      <c r="J183" s="96">
        <f>data!J181</f>
        <v>3.2000000000000003E-4</v>
      </c>
      <c r="K183" s="97">
        <f>data!K181</f>
        <v>3.2</v>
      </c>
      <c r="L183" s="6">
        <f>data!L181</f>
        <v>2.0000000000000001E-4</v>
      </c>
      <c r="M183" s="6">
        <f>data!M181</f>
        <v>2</v>
      </c>
    </row>
    <row r="184" spans="1:13" x14ac:dyDescent="0.25">
      <c r="A184" s="126" t="str">
        <f>data!A182</f>
        <v>comment</v>
      </c>
      <c r="B184" s="95" t="str">
        <f>data!B182</f>
        <v>6001</v>
      </c>
      <c r="C184" s="96" t="str">
        <f>data!C182</f>
        <v>CZCE</v>
      </c>
      <c r="D184" s="96" t="str">
        <f>data!D182</f>
        <v>PTA807P6500</v>
      </c>
      <c r="E184" s="96">
        <f>data!E182</f>
        <v>3</v>
      </c>
      <c r="F184" s="96">
        <f>data!F182</f>
        <v>5</v>
      </c>
      <c r="G184" s="96" t="str">
        <f>data!G182</f>
        <v>PTA807P650035</v>
      </c>
      <c r="H184" s="96">
        <f>data!H182</f>
        <v>4.4999999999999999E-4</v>
      </c>
      <c r="I184" s="96">
        <f>data!I182</f>
        <v>4.5</v>
      </c>
      <c r="J184" s="96">
        <f>data!J182</f>
        <v>3.5E-4</v>
      </c>
      <c r="K184" s="97">
        <f>data!K182</f>
        <v>3.5</v>
      </c>
      <c r="L184" s="6">
        <f>data!L182</f>
        <v>2.0000000000000001E-4</v>
      </c>
      <c r="M184" s="6">
        <f>data!M182</f>
        <v>2</v>
      </c>
    </row>
    <row r="185" spans="1:13" x14ac:dyDescent="0.25">
      <c r="A185" s="126" t="str">
        <f>data!A183</f>
        <v>comment</v>
      </c>
      <c r="B185" s="95" t="str">
        <f>data!B183</f>
        <v>6001</v>
      </c>
      <c r="C185" s="96" t="str">
        <f>data!C183</f>
        <v>CZCE</v>
      </c>
      <c r="D185" s="96" t="str">
        <f>data!D183</f>
        <v>PTA807P6500</v>
      </c>
      <c r="E185" s="96">
        <f>data!E183</f>
        <v>3</v>
      </c>
      <c r="F185" s="96">
        <f>data!F183</f>
        <v>0</v>
      </c>
      <c r="G185" s="96" t="str">
        <f>data!G183</f>
        <v>PTA807P650030</v>
      </c>
      <c r="H185" s="96">
        <f>data!H183</f>
        <v>5.0000000000000001E-4</v>
      </c>
      <c r="I185" s="96">
        <f>data!I183</f>
        <v>5</v>
      </c>
      <c r="J185" s="96">
        <f>data!J183</f>
        <v>5.0000000000000001E-4</v>
      </c>
      <c r="K185" s="97">
        <f>data!K183</f>
        <v>5</v>
      </c>
      <c r="L185" s="6">
        <f>data!L183</f>
        <v>2.0000000000000001E-4</v>
      </c>
      <c r="M185" s="6">
        <f>data!M183</f>
        <v>2</v>
      </c>
    </row>
    <row r="186" spans="1:13" x14ac:dyDescent="0.25">
      <c r="A186" s="126" t="str">
        <f>data!A184</f>
        <v>comment</v>
      </c>
      <c r="B186" s="95" t="str">
        <f>data!B184</f>
        <v>6001</v>
      </c>
      <c r="C186" s="96" t="str">
        <f>data!C184</f>
        <v>CZCE</v>
      </c>
      <c r="D186" s="96" t="str">
        <f>data!D184</f>
        <v>PTA807P6500</v>
      </c>
      <c r="E186" s="96">
        <f>data!E184</f>
        <v>3</v>
      </c>
      <c r="F186" s="96">
        <f>data!F184</f>
        <v>1</v>
      </c>
      <c r="G186" s="96" t="str">
        <f>data!G184</f>
        <v>PTA807P650031</v>
      </c>
      <c r="H186" s="96">
        <f>data!H184</f>
        <v>4.0000000000000002E-4</v>
      </c>
      <c r="I186" s="96">
        <f>data!I184</f>
        <v>4</v>
      </c>
      <c r="J186" s="96">
        <f>data!J184</f>
        <v>3.9999999999999996E-4</v>
      </c>
      <c r="K186" s="97">
        <f>data!K184</f>
        <v>4</v>
      </c>
      <c r="L186" s="6">
        <f>data!L184</f>
        <v>2.0000000000000001E-4</v>
      </c>
      <c r="M186" s="6">
        <f>data!M184</f>
        <v>2</v>
      </c>
    </row>
    <row r="187" spans="1:13" x14ac:dyDescent="0.25">
      <c r="A187" s="126" t="str">
        <f>data!A185</f>
        <v>comment</v>
      </c>
      <c r="B187" s="95" t="str">
        <f>data!B185</f>
        <v>6001</v>
      </c>
      <c r="C187" s="96" t="str">
        <f>data!C185</f>
        <v>CZCE</v>
      </c>
      <c r="D187" s="96" t="str">
        <f>data!D185</f>
        <v>PTA807P6500</v>
      </c>
      <c r="E187" s="96">
        <f>data!E185</f>
        <v>3</v>
      </c>
      <c r="F187" s="96">
        <f>data!F185</f>
        <v>3</v>
      </c>
      <c r="G187" s="96" t="str">
        <f>data!G185</f>
        <v>PTA807P650033</v>
      </c>
      <c r="H187" s="96">
        <f>data!H185</f>
        <v>2.0000000000000001E-4</v>
      </c>
      <c r="I187" s="96">
        <f>data!I185</f>
        <v>2</v>
      </c>
      <c r="J187" s="96">
        <f>data!J185</f>
        <v>2.0000000000000001E-4</v>
      </c>
      <c r="K187" s="97">
        <f>data!K185</f>
        <v>2</v>
      </c>
      <c r="L187" s="6">
        <f>data!L185</f>
        <v>2.0000000000000001E-4</v>
      </c>
      <c r="M187" s="6">
        <f>data!M185</f>
        <v>2</v>
      </c>
    </row>
    <row r="188" spans="1:13" x14ac:dyDescent="0.25">
      <c r="A188" s="126" t="str">
        <f>data!A186</f>
        <v>comment</v>
      </c>
      <c r="B188" s="95" t="str">
        <f>data!B186</f>
        <v>6001</v>
      </c>
      <c r="C188" s="96" t="str">
        <f>data!C186</f>
        <v>CZCE</v>
      </c>
      <c r="D188" s="96" t="str">
        <f>data!D186</f>
        <v>PTA807P6500</v>
      </c>
      <c r="E188" s="96">
        <f>data!E186</f>
        <v>3</v>
      </c>
      <c r="F188" s="96">
        <f>data!F186</f>
        <v>4</v>
      </c>
      <c r="G188" s="96" t="str">
        <f>data!G186</f>
        <v>PTA807P650034</v>
      </c>
      <c r="H188" s="96">
        <f>data!H186</f>
        <v>4.2000000000000002E-4</v>
      </c>
      <c r="I188" s="96">
        <f>data!I186</f>
        <v>4.2</v>
      </c>
      <c r="J188" s="96">
        <f>data!J186</f>
        <v>4.2000000000000002E-4</v>
      </c>
      <c r="K188" s="97">
        <f>data!K186</f>
        <v>4.2</v>
      </c>
      <c r="L188" s="6">
        <f>data!L186</f>
        <v>2.0000000000000001E-4</v>
      </c>
      <c r="M188" s="6">
        <f>data!M186</f>
        <v>2</v>
      </c>
    </row>
    <row r="189" spans="1:13" x14ac:dyDescent="0.25">
      <c r="A189" s="126" t="str">
        <f>data!A187</f>
        <v>comment</v>
      </c>
      <c r="B189" s="95" t="str">
        <f>data!B187</f>
        <v>6001</v>
      </c>
      <c r="C189" s="96" t="str">
        <f>data!C187</f>
        <v>CZCE</v>
      </c>
      <c r="D189" s="96" t="str">
        <f>data!D187</f>
        <v>PTA807P6500</v>
      </c>
      <c r="E189" s="96">
        <f>data!E187</f>
        <v>3</v>
      </c>
      <c r="F189" s="96">
        <f>data!F187</f>
        <v>5</v>
      </c>
      <c r="G189" s="96" t="str">
        <f>data!G187</f>
        <v>PTA807P650035</v>
      </c>
      <c r="H189" s="96">
        <f>data!H187</f>
        <v>4.4999999999999999E-4</v>
      </c>
      <c r="I189" s="96">
        <f>data!I187</f>
        <v>4.5</v>
      </c>
      <c r="J189" s="96">
        <f>data!J187</f>
        <v>4.4999999999999999E-4</v>
      </c>
      <c r="K189" s="97">
        <f>data!K187</f>
        <v>4.5</v>
      </c>
      <c r="L189" s="6">
        <f>data!L187</f>
        <v>2.0000000000000001E-4</v>
      </c>
      <c r="M189" s="6">
        <f>data!M187</f>
        <v>2</v>
      </c>
    </row>
    <row r="190" spans="1:13" x14ac:dyDescent="0.25">
      <c r="A190" s="126" t="str">
        <f>data!A188</f>
        <v>comment</v>
      </c>
      <c r="B190" s="95" t="str">
        <f>data!B188</f>
        <v xml:space="preserve"> 结算参数</v>
      </c>
      <c r="C190" s="96"/>
      <c r="D190" s="126"/>
      <c r="E190" s="126"/>
      <c r="F190" s="126"/>
      <c r="G190" s="126"/>
      <c r="H190" s="126"/>
      <c r="I190" s="126"/>
      <c r="J190" s="126"/>
      <c r="K190" s="126"/>
      <c r="L190" s="6"/>
      <c r="M190" s="6"/>
    </row>
    <row r="191" spans="1:13" x14ac:dyDescent="0.25">
      <c r="A191" s="126" t="str">
        <f>data!A189</f>
        <v>comment</v>
      </c>
      <c r="B191" t="str">
        <f>data!B189</f>
        <v>交易所结算参数设置</v>
      </c>
      <c r="C191" t="str">
        <f>data!C189</f>
        <v>0:最后交易日收取</v>
      </c>
      <c r="G191" t="str">
        <f>data!G189</f>
        <v>0：双边1：对锁</v>
      </c>
      <c r="H191" t="str">
        <f>data!H189</f>
        <v>开仓3：开仓&amp;行权</v>
      </c>
    </row>
    <row r="192" spans="1:13" x14ac:dyDescent="0.25">
      <c r="A192" s="126" t="str">
        <f>data!A190</f>
        <v>comment</v>
      </c>
      <c r="B192" s="567" t="str">
        <f>data!B190</f>
        <v>交易所</v>
      </c>
      <c r="C192" s="93" t="str">
        <f>data!C190</f>
        <v>投资者交割手续费收取时间</v>
      </c>
      <c r="D192" s="93" t="str">
        <f>data!D190</f>
        <v>交易所交割手续费收取时间</v>
      </c>
      <c r="E192" s="93" t="str">
        <f>data!E190</f>
        <v>虚值期权保证金优惠比率</v>
      </c>
      <c r="F192" s="93" t="str">
        <f>data!F190</f>
        <v>最低保障系数</v>
      </c>
      <c r="G192" s="93" t="str">
        <f>data!G190</f>
        <v xml:space="preserve"> 
郑商所组合持仓保证金收取方式</v>
      </c>
      <c r="H192" s="93" t="str">
        <f>data!H190</f>
        <v>郑商所行权手续费收取方式</v>
      </c>
      <c r="I192" s="93"/>
      <c r="J192" s="93"/>
    </row>
    <row r="193" spans="1:10" x14ac:dyDescent="0.25">
      <c r="A193" s="126" t="str">
        <f>data!A191</f>
        <v>comment</v>
      </c>
      <c r="B193" s="98" t="str">
        <f>data!B191</f>
        <v>CZCE</v>
      </c>
      <c r="C193" s="92">
        <f>data!C191</f>
        <v>0</v>
      </c>
      <c r="D193" s="92">
        <f>data!D191</f>
        <v>0</v>
      </c>
      <c r="E193" s="92">
        <f>data!E191</f>
        <v>0.5</v>
      </c>
      <c r="F193" s="92">
        <f>data!F191</f>
        <v>0.5</v>
      </c>
      <c r="G193" s="92">
        <f>data!G191</f>
        <v>1</v>
      </c>
      <c r="H193" s="92">
        <f>data!H191</f>
        <v>3</v>
      </c>
      <c r="I193" s="92"/>
      <c r="J193" s="92"/>
    </row>
    <row r="194" spans="1:10" x14ac:dyDescent="0.25">
      <c r="A194" s="126" t="str">
        <f>data!A192</f>
        <v>comment</v>
      </c>
      <c r="B194" t="str">
        <f>data!B192</f>
        <v>投资者结算参数设置</v>
      </c>
    </row>
    <row r="195" spans="1:10" x14ac:dyDescent="0.25">
      <c r="A195" s="126" t="str">
        <f>data!A193</f>
        <v>comment</v>
      </c>
      <c r="B195" s="567" t="str">
        <f>data!B193</f>
        <v>投资者代码</v>
      </c>
      <c r="C195" s="93" t="str">
        <f>data!C193</f>
        <v>币种</v>
      </c>
      <c r="D195" s="93" t="str">
        <f>data!D193</f>
        <v>基础保证金</v>
      </c>
      <c r="E195" s="93" t="str">
        <f>data!E193</f>
        <v>最低权益</v>
      </c>
    </row>
    <row r="196" spans="1:10" x14ac:dyDescent="0.25">
      <c r="A196" s="126" t="str">
        <f>data!A194</f>
        <v>comment</v>
      </c>
      <c r="B196" s="98" t="str">
        <f>data!B194</f>
        <v>所有</v>
      </c>
      <c r="C196" s="92" t="str">
        <f>data!C194</f>
        <v>CNY</v>
      </c>
      <c r="D196" s="92">
        <f>data!D194</f>
        <v>1000</v>
      </c>
      <c r="E196" s="92">
        <f>data!E194</f>
        <v>2000</v>
      </c>
    </row>
    <row r="197" spans="1:10" x14ac:dyDescent="0.25">
      <c r="A197" s="126" t="str">
        <f>data!A195</f>
        <v>comment</v>
      </c>
      <c r="B197" s="98" t="str">
        <f>data!B195</f>
        <v>所有</v>
      </c>
      <c r="C197" s="92" t="str">
        <f>data!C195</f>
        <v>HKD</v>
      </c>
      <c r="D197" s="92">
        <f>data!D195</f>
        <v>0</v>
      </c>
      <c r="E197" s="92">
        <f>data!E195</f>
        <v>0</v>
      </c>
    </row>
    <row r="198" spans="1:10" x14ac:dyDescent="0.25">
      <c r="A198" s="126" t="str">
        <f>data!A196</f>
        <v>comment</v>
      </c>
      <c r="B198" s="98" t="str">
        <f>data!B196</f>
        <v>所有</v>
      </c>
      <c r="C198" s="92" t="str">
        <f>data!C196</f>
        <v>USD</v>
      </c>
      <c r="D198" s="92">
        <f>data!D196</f>
        <v>0</v>
      </c>
      <c r="E198" s="92">
        <f>data!E196</f>
        <v>0</v>
      </c>
    </row>
    <row r="199" spans="1:10" x14ac:dyDescent="0.25">
      <c r="A199" s="126" t="str">
        <f>data!A197</f>
        <v>comment</v>
      </c>
      <c r="B199" t="str">
        <f>data!B197</f>
        <v>汇率</v>
      </c>
    </row>
    <row r="200" spans="1:10" x14ac:dyDescent="0.25">
      <c r="A200" s="126" t="str">
        <f>data!A198</f>
        <v>comment</v>
      </c>
      <c r="B200" s="567" t="str">
        <f>data!B198</f>
        <v>USD-&gt;CNY</v>
      </c>
      <c r="C200" s="93" t="str">
        <f>data!C198</f>
        <v>CNY-&gt;USD</v>
      </c>
    </row>
    <row r="201" spans="1:10" x14ac:dyDescent="0.25">
      <c r="A201" s="126" t="str">
        <f>data!A199</f>
        <v>comment</v>
      </c>
      <c r="B201" s="98">
        <f>data!B199</f>
        <v>6.1234000000000002</v>
      </c>
      <c r="C201" s="92">
        <f>data!C199</f>
        <v>0.13450000000000001</v>
      </c>
    </row>
    <row r="202" spans="1:10" x14ac:dyDescent="0.25">
      <c r="A202" s="126" t="str">
        <f>data!A200</f>
        <v>comment</v>
      </c>
      <c r="B202" s="567" t="str">
        <f>data!B200</f>
        <v>HKD-&gt;CNY</v>
      </c>
      <c r="C202" s="93" t="str">
        <f>data!C200</f>
        <v>CNY-&gt;HKD</v>
      </c>
    </row>
    <row r="203" spans="1:10" x14ac:dyDescent="0.25">
      <c r="A203" s="126" t="str">
        <f>data!A201</f>
        <v>comment</v>
      </c>
      <c r="B203" s="571">
        <f>data!B201</f>
        <v>0.88200000000000001</v>
      </c>
      <c r="C203" s="92">
        <f>data!C201</f>
        <v>1.1337999999999999</v>
      </c>
    </row>
    <row r="204" spans="1:10" x14ac:dyDescent="0.25">
      <c r="A204" s="126" t="str">
        <f>data!A202</f>
        <v>comment</v>
      </c>
      <c r="B204" t="str">
        <f>data!B202</f>
        <v>投资者货币质押折扣率</v>
      </c>
    </row>
    <row r="205" spans="1:10" x14ac:dyDescent="0.25">
      <c r="A205" s="126" t="str">
        <f>data!A203</f>
        <v>comment</v>
      </c>
      <c r="B205" s="567" t="str">
        <f>data!B203</f>
        <v>USD-&gt;CNY</v>
      </c>
      <c r="C205" s="93" t="str">
        <f>data!C203</f>
        <v>CNY-&gt;USD</v>
      </c>
    </row>
    <row r="206" spans="1:10" x14ac:dyDescent="0.25">
      <c r="A206" s="126" t="str">
        <f>data!A204</f>
        <v>comment</v>
      </c>
      <c r="B206" s="98">
        <f>data!B204</f>
        <v>0.9</v>
      </c>
      <c r="C206" s="92">
        <f>data!C204</f>
        <v>0.95</v>
      </c>
    </row>
    <row r="207" spans="1:10" x14ac:dyDescent="0.25">
      <c r="A207" s="126" t="str">
        <f>data!A205</f>
        <v>comment</v>
      </c>
      <c r="B207" s="567" t="str">
        <f>data!B205</f>
        <v>HKD-&gt;CNY</v>
      </c>
      <c r="C207" s="93" t="str">
        <f>data!C205</f>
        <v>CNY-&gt;HKD</v>
      </c>
    </row>
    <row r="208" spans="1:10" x14ac:dyDescent="0.25">
      <c r="A208" s="126" t="str">
        <f>data!A206</f>
        <v>comment</v>
      </c>
      <c r="B208" s="98">
        <f>data!B206</f>
        <v>0.9</v>
      </c>
      <c r="C208" s="92">
        <f>data!C206</f>
        <v>0.95</v>
      </c>
    </row>
    <row r="209" spans="1:3" x14ac:dyDescent="0.25">
      <c r="A209" s="126" t="str">
        <f>data!A207</f>
        <v>comment</v>
      </c>
      <c r="B209" t="str">
        <f>data!B207</f>
        <v>交易所货币质押折扣率</v>
      </c>
    </row>
    <row r="210" spans="1:3" x14ac:dyDescent="0.25">
      <c r="A210" s="126" t="str">
        <f>data!A208</f>
        <v>comment</v>
      </c>
      <c r="B210" s="567" t="str">
        <f>data!B208</f>
        <v>USD-&gt;CNY</v>
      </c>
      <c r="C210" s="93" t="str">
        <f>data!C208</f>
        <v>CNY-&gt;USD</v>
      </c>
    </row>
    <row r="211" spans="1:3" x14ac:dyDescent="0.25">
      <c r="A211" s="126" t="str">
        <f>data!A209</f>
        <v>comment</v>
      </c>
      <c r="B211" s="98">
        <f>data!B209</f>
        <v>0.8</v>
      </c>
      <c r="C211" s="92">
        <f>data!C209</f>
        <v>0.85</v>
      </c>
    </row>
    <row r="212" spans="1:3" x14ac:dyDescent="0.25">
      <c r="A212" s="126" t="str">
        <f>data!A210</f>
        <v>comment</v>
      </c>
      <c r="B212" s="98" t="str">
        <f>data!B210</f>
        <v>HKD-&gt;CNY</v>
      </c>
      <c r="C212" s="92" t="str">
        <f>data!C210</f>
        <v>CNY-&gt;HKD</v>
      </c>
    </row>
    <row r="213" spans="1:3" x14ac:dyDescent="0.25">
      <c r="A213" s="126" t="str">
        <f>data!A211</f>
        <v>comment</v>
      </c>
      <c r="B213" s="98">
        <f>data!B211</f>
        <v>0.8</v>
      </c>
      <c r="C213" s="92">
        <f>data!C211</f>
        <v>0.85</v>
      </c>
    </row>
    <row r="214" spans="1:3" s="563" customFormat="1" x14ac:dyDescent="0.25">
      <c r="A214" s="126"/>
      <c r="B214" s="126"/>
      <c r="C214" s="126"/>
    </row>
    <row r="215" spans="1:3" s="509" customFormat="1" x14ac:dyDescent="0.25">
      <c r="A215" s="197" t="str">
        <f>data!A212</f>
        <v>comment</v>
      </c>
      <c r="B215" s="197" t="s">
        <v>2023</v>
      </c>
      <c r="C215" s="126"/>
    </row>
    <row r="216" spans="1:3" s="509" customFormat="1" x14ac:dyDescent="0.25">
      <c r="A216" s="566" t="s">
        <v>970</v>
      </c>
      <c r="B216" s="572" t="s">
        <v>1621</v>
      </c>
      <c r="C216" s="126"/>
    </row>
    <row r="217" spans="1:3" s="509" customFormat="1" x14ac:dyDescent="0.25">
      <c r="A217" s="566" t="s">
        <v>1095</v>
      </c>
      <c r="B217" s="573" t="s">
        <v>1622</v>
      </c>
      <c r="C217" s="126"/>
    </row>
    <row r="218" spans="1:3" s="509" customFormat="1" x14ac:dyDescent="0.25">
      <c r="A218" s="566"/>
      <c r="B218" s="574" t="s">
        <v>2024</v>
      </c>
      <c r="C218" s="126"/>
    </row>
    <row r="219" spans="1:3" s="563" customFormat="1" x14ac:dyDescent="0.25">
      <c r="A219" s="566"/>
      <c r="B219" s="565"/>
      <c r="C219" s="126"/>
    </row>
    <row r="220" spans="1:3" s="563" customFormat="1" x14ac:dyDescent="0.25">
      <c r="A220" s="168" t="s">
        <v>2056</v>
      </c>
      <c r="B220" s="4" t="s">
        <v>2057</v>
      </c>
      <c r="C220" s="126"/>
    </row>
    <row r="221" spans="1:3" s="1" customFormat="1" x14ac:dyDescent="0.25">
      <c r="A221" s="262" t="s">
        <v>124</v>
      </c>
      <c r="B221" s="627" t="s">
        <v>1347</v>
      </c>
      <c r="C221" s="167"/>
    </row>
    <row r="222" spans="1:3" s="1" customFormat="1" x14ac:dyDescent="0.25">
      <c r="A222" s="262" t="s">
        <v>306</v>
      </c>
      <c r="B222" s="628" t="s">
        <v>1349</v>
      </c>
      <c r="C222" s="167"/>
    </row>
    <row r="223" spans="1:3" s="1" customFormat="1" ht="75.599999999999994" customHeight="1" x14ac:dyDescent="0.25">
      <c r="A223" s="126"/>
      <c r="B223" s="629" t="s">
        <v>2046</v>
      </c>
      <c r="C223" s="167"/>
    </row>
    <row r="224" spans="1:3" s="1" customFormat="1" x14ac:dyDescent="0.25">
      <c r="A224" s="262" t="s">
        <v>1350</v>
      </c>
      <c r="B224" s="628" t="s">
        <v>1559</v>
      </c>
      <c r="C224" s="167"/>
    </row>
    <row r="225" spans="1:11" s="1" customFormat="1" x14ac:dyDescent="0.25">
      <c r="A225" s="126"/>
      <c r="B225" s="630">
        <v>1</v>
      </c>
      <c r="C225" s="262"/>
    </row>
    <row r="226" spans="1:11" s="1" customFormat="1" x14ac:dyDescent="0.25">
      <c r="A226" s="262" t="s">
        <v>124</v>
      </c>
      <c r="B226" s="627" t="s">
        <v>1347</v>
      </c>
      <c r="C226" s="167"/>
    </row>
    <row r="227" spans="1:11" s="1" customFormat="1" x14ac:dyDescent="0.25">
      <c r="A227" s="262" t="s">
        <v>306</v>
      </c>
      <c r="B227" s="628" t="s">
        <v>1349</v>
      </c>
      <c r="C227" s="167"/>
    </row>
    <row r="228" spans="1:11" s="1" customFormat="1" ht="72.599999999999994" customHeight="1" x14ac:dyDescent="0.25">
      <c r="A228" s="126"/>
      <c r="B228" s="629" t="s">
        <v>2045</v>
      </c>
      <c r="C228" s="167"/>
    </row>
    <row r="229" spans="1:11" s="1" customFormat="1" x14ac:dyDescent="0.25">
      <c r="A229" s="262" t="s">
        <v>1350</v>
      </c>
      <c r="B229" s="628" t="s">
        <v>1559</v>
      </c>
      <c r="C229" s="167"/>
    </row>
    <row r="230" spans="1:11" s="1" customFormat="1" x14ac:dyDescent="0.25">
      <c r="A230" s="126"/>
      <c r="B230" s="630">
        <v>1</v>
      </c>
      <c r="C230" s="262"/>
    </row>
    <row r="231" spans="1:11" s="1" customFormat="1" x14ac:dyDescent="0.25">
      <c r="A231" s="167"/>
      <c r="B231" s="262"/>
      <c r="C231" s="262"/>
    </row>
    <row r="232" spans="1:11" x14ac:dyDescent="0.25">
      <c r="A232" s="36" t="s">
        <v>2059</v>
      </c>
      <c r="B232" s="36" t="s">
        <v>2058</v>
      </c>
      <c r="C232" s="2"/>
      <c r="D232" s="2"/>
      <c r="E232" s="2"/>
      <c r="F232" s="2"/>
      <c r="G232" s="2"/>
      <c r="H232" s="137"/>
      <c r="I232" s="2"/>
    </row>
    <row r="233" spans="1:11" x14ac:dyDescent="0.25">
      <c r="A233" s="192" t="s">
        <v>124</v>
      </c>
      <c r="B233" s="9" t="s">
        <v>1557</v>
      </c>
      <c r="C233" s="2"/>
      <c r="D233" s="2"/>
      <c r="E233" s="2"/>
      <c r="F233" s="2"/>
      <c r="G233" s="2"/>
      <c r="H233" s="2"/>
      <c r="I233" s="137"/>
      <c r="J233" s="2"/>
    </row>
    <row r="234" spans="1:11" x14ac:dyDescent="0.25">
      <c r="A234" s="192" t="s">
        <v>1199</v>
      </c>
      <c r="B234" s="709" t="s">
        <v>1530</v>
      </c>
      <c r="C234" s="710"/>
      <c r="D234" s="711"/>
      <c r="E234" s="711"/>
      <c r="F234" s="711"/>
      <c r="G234" s="711"/>
      <c r="H234" s="711"/>
      <c r="I234" s="711"/>
      <c r="J234" s="711"/>
      <c r="K234" s="711"/>
    </row>
    <row r="235" spans="1:11" x14ac:dyDescent="0.25">
      <c r="A235" s="126" t="s">
        <v>1538</v>
      </c>
      <c r="B235" s="93" t="s">
        <v>526</v>
      </c>
      <c r="C235" s="93" t="s">
        <v>527</v>
      </c>
      <c r="D235" s="93" t="s">
        <v>528</v>
      </c>
      <c r="E235" s="93" t="s">
        <v>529</v>
      </c>
      <c r="F235" s="93" t="s">
        <v>987</v>
      </c>
      <c r="G235" s="93" t="s">
        <v>988</v>
      </c>
      <c r="H235" s="93" t="s">
        <v>984</v>
      </c>
      <c r="I235" s="93" t="s">
        <v>985</v>
      </c>
      <c r="J235" s="93" t="s">
        <v>595</v>
      </c>
      <c r="K235" s="93" t="s">
        <v>986</v>
      </c>
    </row>
    <row r="236" spans="1:11" x14ac:dyDescent="0.25">
      <c r="B236" s="93" t="s">
        <v>398</v>
      </c>
      <c r="C236" s="93" t="s">
        <v>982</v>
      </c>
      <c r="D236" s="93" t="s">
        <v>1590</v>
      </c>
      <c r="E236" s="93" t="s">
        <v>1540</v>
      </c>
      <c r="F236" s="93" t="s">
        <v>987</v>
      </c>
      <c r="G236" s="93" t="s">
        <v>988</v>
      </c>
      <c r="H236" s="93" t="s">
        <v>366</v>
      </c>
      <c r="I236" s="93" t="s">
        <v>983</v>
      </c>
      <c r="J236" s="93" t="s">
        <v>468</v>
      </c>
      <c r="K236" s="93" t="s">
        <v>575</v>
      </c>
    </row>
    <row r="237" spans="1:11" x14ac:dyDescent="0.25">
      <c r="B237" s="8" t="str">
        <f>$B$193</f>
        <v>CZCE</v>
      </c>
      <c r="C237" s="138" t="str">
        <f t="shared" ref="C237:C249" si="0">C22</f>
        <v>SR807</v>
      </c>
      <c r="D237" s="138">
        <v>6150</v>
      </c>
      <c r="E237" s="138">
        <v>6150</v>
      </c>
      <c r="F237" s="92"/>
      <c r="G237" s="138"/>
      <c r="H237" s="92">
        <v>0</v>
      </c>
      <c r="I237" s="92">
        <v>0</v>
      </c>
      <c r="J237" s="92">
        <f>$B$2</f>
        <v>20180326</v>
      </c>
      <c r="K237" s="92" t="str">
        <f>B260</f>
        <v>9999</v>
      </c>
    </row>
    <row r="238" spans="1:11" x14ac:dyDescent="0.25">
      <c r="B238" s="8" t="str">
        <f t="shared" ref="B238:B249" si="1">$B$193</f>
        <v>CZCE</v>
      </c>
      <c r="C238" s="138" t="str">
        <f t="shared" si="0"/>
        <v>SR809</v>
      </c>
      <c r="D238" s="138">
        <v>6155</v>
      </c>
      <c r="E238" s="138">
        <v>6155</v>
      </c>
      <c r="F238" s="92"/>
      <c r="G238" s="138"/>
      <c r="H238" s="92">
        <v>0</v>
      </c>
      <c r="I238" s="92">
        <v>0</v>
      </c>
      <c r="J238" s="92">
        <f t="shared" ref="J238:J249" si="2">$B$2</f>
        <v>20180326</v>
      </c>
      <c r="K238" s="92" t="str">
        <f t="shared" ref="K238:K249" si="3">$F$8</f>
        <v>9999</v>
      </c>
    </row>
    <row r="239" spans="1:11" x14ac:dyDescent="0.25">
      <c r="B239" s="8" t="str">
        <f t="shared" si="1"/>
        <v>CZCE</v>
      </c>
      <c r="C239" s="138" t="str">
        <f t="shared" si="0"/>
        <v>OI811</v>
      </c>
      <c r="D239" s="138">
        <v>6160</v>
      </c>
      <c r="E239" s="138">
        <v>6160</v>
      </c>
      <c r="F239" s="92"/>
      <c r="G239" s="138"/>
      <c r="H239" s="92">
        <v>0</v>
      </c>
      <c r="I239" s="92">
        <v>0</v>
      </c>
      <c r="J239" s="92">
        <f t="shared" si="2"/>
        <v>20180326</v>
      </c>
      <c r="K239" s="92" t="str">
        <f t="shared" si="3"/>
        <v>9999</v>
      </c>
    </row>
    <row r="240" spans="1:11" x14ac:dyDescent="0.25">
      <c r="B240" s="8" t="str">
        <f t="shared" si="1"/>
        <v>CZCE</v>
      </c>
      <c r="C240" s="138" t="str">
        <f t="shared" si="0"/>
        <v>PTA807</v>
      </c>
      <c r="D240" s="138">
        <v>6165</v>
      </c>
      <c r="E240" s="138">
        <v>6165</v>
      </c>
      <c r="F240" s="92"/>
      <c r="G240" s="138"/>
      <c r="H240" s="92">
        <v>0</v>
      </c>
      <c r="I240" s="92">
        <v>0</v>
      </c>
      <c r="J240" s="92">
        <f t="shared" si="2"/>
        <v>20180326</v>
      </c>
      <c r="K240" s="92" t="str">
        <f t="shared" si="3"/>
        <v>9999</v>
      </c>
    </row>
    <row r="241" spans="1:42" x14ac:dyDescent="0.25">
      <c r="B241" s="8" t="str">
        <f t="shared" si="1"/>
        <v>CZCE</v>
      </c>
      <c r="C241" s="138" t="str">
        <f t="shared" si="0"/>
        <v>PTA809</v>
      </c>
      <c r="D241" s="139">
        <v>6170</v>
      </c>
      <c r="E241" s="139">
        <v>6170</v>
      </c>
      <c r="F241" s="8"/>
      <c r="G241" s="138"/>
      <c r="H241" s="92">
        <v>0</v>
      </c>
      <c r="I241" s="92">
        <v>0</v>
      </c>
      <c r="J241" s="92">
        <f t="shared" si="2"/>
        <v>20180326</v>
      </c>
      <c r="K241" s="92" t="str">
        <f t="shared" si="3"/>
        <v>9999</v>
      </c>
    </row>
    <row r="242" spans="1:42" x14ac:dyDescent="0.25">
      <c r="B242" s="8" t="str">
        <f t="shared" si="1"/>
        <v>CZCE</v>
      </c>
      <c r="C242" s="138" t="str">
        <f t="shared" si="0"/>
        <v>PTA807C6500</v>
      </c>
      <c r="D242" s="139">
        <f>E242</f>
        <v>600</v>
      </c>
      <c r="E242" s="139">
        <v>600</v>
      </c>
      <c r="F242" s="8">
        <f t="shared" ref="F242:F247" si="4">VLOOKUP(C242,$C$22:$L$34,8,FALSE)</f>
        <v>6500</v>
      </c>
      <c r="G242" s="138">
        <f>E240</f>
        <v>6165</v>
      </c>
      <c r="H242" s="92">
        <v>0</v>
      </c>
      <c r="I242" s="92">
        <v>0</v>
      </c>
      <c r="J242" s="92">
        <f t="shared" si="2"/>
        <v>20180326</v>
      </c>
      <c r="K242" s="92" t="str">
        <f t="shared" si="3"/>
        <v>9999</v>
      </c>
    </row>
    <row r="243" spans="1:42" x14ac:dyDescent="0.25">
      <c r="B243" s="8" t="str">
        <f t="shared" si="1"/>
        <v>CZCE</v>
      </c>
      <c r="C243" s="138" t="str">
        <f t="shared" si="0"/>
        <v>PTA807P6200</v>
      </c>
      <c r="D243" s="139">
        <f t="shared" ref="D243:D244" si="5">E243</f>
        <v>605</v>
      </c>
      <c r="E243" s="139">
        <v>605</v>
      </c>
      <c r="F243" s="8">
        <f t="shared" si="4"/>
        <v>6200</v>
      </c>
      <c r="G243" s="138">
        <f>G242</f>
        <v>6165</v>
      </c>
      <c r="H243" s="92">
        <v>0</v>
      </c>
      <c r="I243" s="92">
        <v>0</v>
      </c>
      <c r="J243" s="92">
        <f t="shared" si="2"/>
        <v>20180326</v>
      </c>
      <c r="K243" s="92" t="str">
        <f t="shared" si="3"/>
        <v>9999</v>
      </c>
    </row>
    <row r="244" spans="1:42" x14ac:dyDescent="0.25">
      <c r="B244" s="8" t="str">
        <f t="shared" si="1"/>
        <v>CZCE</v>
      </c>
      <c r="C244" s="138" t="str">
        <f t="shared" si="0"/>
        <v>PTA807P6500</v>
      </c>
      <c r="D244" s="139">
        <f t="shared" si="5"/>
        <v>610</v>
      </c>
      <c r="E244" s="139">
        <v>610</v>
      </c>
      <c r="F244" s="8">
        <f t="shared" si="4"/>
        <v>6500</v>
      </c>
      <c r="G244" s="138">
        <f>G242</f>
        <v>6165</v>
      </c>
      <c r="H244" s="92">
        <v>0</v>
      </c>
      <c r="I244" s="92">
        <v>0</v>
      </c>
      <c r="J244" s="92">
        <f t="shared" si="2"/>
        <v>20180326</v>
      </c>
      <c r="K244" s="92" t="str">
        <f t="shared" si="3"/>
        <v>9999</v>
      </c>
    </row>
    <row r="245" spans="1:42" x14ac:dyDescent="0.25">
      <c r="B245" s="8" t="str">
        <f t="shared" si="1"/>
        <v>CZCE</v>
      </c>
      <c r="C245" s="138" t="str">
        <f t="shared" si="0"/>
        <v>SR807C6500</v>
      </c>
      <c r="D245" s="8">
        <v>615</v>
      </c>
      <c r="E245" s="8">
        <v>615</v>
      </c>
      <c r="F245" s="8">
        <f t="shared" si="4"/>
        <v>6500</v>
      </c>
      <c r="G245" s="138">
        <f>E237</f>
        <v>6150</v>
      </c>
      <c r="H245" s="92">
        <v>0</v>
      </c>
      <c r="I245" s="92">
        <v>0</v>
      </c>
      <c r="J245" s="92">
        <f t="shared" si="2"/>
        <v>20180326</v>
      </c>
      <c r="K245" s="92" t="str">
        <f t="shared" si="3"/>
        <v>9999</v>
      </c>
    </row>
    <row r="246" spans="1:42" x14ac:dyDescent="0.25">
      <c r="B246" s="8" t="str">
        <f t="shared" si="1"/>
        <v>CZCE</v>
      </c>
      <c r="C246" s="138" t="str">
        <f t="shared" si="0"/>
        <v>SR807P6500</v>
      </c>
      <c r="D246" s="8">
        <v>620</v>
      </c>
      <c r="E246" s="8">
        <v>620</v>
      </c>
      <c r="F246" s="8">
        <f t="shared" si="4"/>
        <v>6500</v>
      </c>
      <c r="G246" s="138">
        <f>G245</f>
        <v>6150</v>
      </c>
      <c r="H246" s="92">
        <v>0</v>
      </c>
      <c r="I246" s="92">
        <v>0</v>
      </c>
      <c r="J246" s="92">
        <f t="shared" si="2"/>
        <v>20180326</v>
      </c>
      <c r="K246" s="92" t="str">
        <f t="shared" si="3"/>
        <v>9999</v>
      </c>
    </row>
    <row r="247" spans="1:42" x14ac:dyDescent="0.25">
      <c r="B247" s="8" t="str">
        <f t="shared" si="1"/>
        <v>CZCE</v>
      </c>
      <c r="C247" s="138" t="str">
        <f t="shared" si="0"/>
        <v>SR807P6400</v>
      </c>
      <c r="D247" s="8">
        <v>625</v>
      </c>
      <c r="E247" s="8">
        <v>625</v>
      </c>
      <c r="F247" s="8">
        <f t="shared" si="4"/>
        <v>6400</v>
      </c>
      <c r="G247" s="138">
        <f>G245</f>
        <v>6150</v>
      </c>
      <c r="H247" s="92">
        <v>0</v>
      </c>
      <c r="I247" s="92">
        <v>0</v>
      </c>
      <c r="J247" s="92">
        <f t="shared" si="2"/>
        <v>20180326</v>
      </c>
      <c r="K247" s="92" t="str">
        <f t="shared" si="3"/>
        <v>9999</v>
      </c>
      <c r="W247" s="18"/>
      <c r="X247" s="6"/>
      <c r="Y247" s="6"/>
      <c r="Z247" s="6"/>
      <c r="AA247" s="6"/>
      <c r="AB247" s="6"/>
      <c r="AC247" s="6"/>
      <c r="AD247" s="6"/>
      <c r="AE247" s="6"/>
      <c r="AF247" s="6"/>
      <c r="AG247" s="6"/>
      <c r="AH247" s="6"/>
      <c r="AI247" s="6"/>
      <c r="AJ247" s="6"/>
      <c r="AK247" s="6"/>
      <c r="AL247" s="6"/>
      <c r="AM247" s="6"/>
      <c r="AN247" s="6"/>
      <c r="AO247" s="6"/>
      <c r="AP247" s="6"/>
    </row>
    <row r="248" spans="1:42" s="6" customFormat="1" x14ac:dyDescent="0.25">
      <c r="A248" s="167"/>
      <c r="B248" s="12" t="str">
        <f t="shared" si="1"/>
        <v>CZCE</v>
      </c>
      <c r="C248" s="101" t="str">
        <f t="shared" si="0"/>
        <v>SR809C6600</v>
      </c>
      <c r="D248" s="12">
        <v>630</v>
      </c>
      <c r="E248" s="12">
        <v>645</v>
      </c>
      <c r="F248" s="12">
        <v>6600</v>
      </c>
      <c r="G248" s="101">
        <f>E238</f>
        <v>6155</v>
      </c>
      <c r="H248" s="111">
        <v>0</v>
      </c>
      <c r="I248" s="111">
        <v>0</v>
      </c>
      <c r="J248" s="111">
        <f t="shared" si="2"/>
        <v>20180326</v>
      </c>
      <c r="K248" s="111" t="str">
        <f t="shared" si="3"/>
        <v>9999</v>
      </c>
      <c r="W248" s="18"/>
    </row>
    <row r="249" spans="1:42" x14ac:dyDescent="0.25">
      <c r="B249" s="8" t="str">
        <f t="shared" si="1"/>
        <v>CZCE</v>
      </c>
      <c r="C249" s="138" t="str">
        <f t="shared" si="0"/>
        <v>SR809C6500</v>
      </c>
      <c r="D249" s="8">
        <v>630</v>
      </c>
      <c r="E249" s="8">
        <v>630</v>
      </c>
      <c r="F249" s="8">
        <f>VLOOKUP(C249,$C$22:$L$34,8,FALSE)</f>
        <v>6500</v>
      </c>
      <c r="G249" s="138">
        <f>E238</f>
        <v>6155</v>
      </c>
      <c r="H249" s="92">
        <v>0</v>
      </c>
      <c r="I249" s="92">
        <v>0</v>
      </c>
      <c r="J249" s="92">
        <f t="shared" si="2"/>
        <v>20180326</v>
      </c>
      <c r="K249" s="92" t="str">
        <f t="shared" si="3"/>
        <v>9999</v>
      </c>
      <c r="W249" s="6"/>
      <c r="X249" s="6"/>
      <c r="Y249" s="6"/>
      <c r="Z249" s="6"/>
      <c r="AA249" s="6"/>
      <c r="AB249" s="6"/>
      <c r="AC249" s="6"/>
      <c r="AD249" s="6"/>
      <c r="AE249" s="6"/>
      <c r="AF249" s="6"/>
      <c r="AG249" s="6"/>
      <c r="AH249" s="6"/>
      <c r="AI249" s="6"/>
      <c r="AJ249" s="6"/>
      <c r="AK249" s="6"/>
      <c r="AL249" s="6"/>
      <c r="AM249" s="6"/>
      <c r="AN249" s="6"/>
      <c r="AO249" s="6"/>
      <c r="AP249" s="6"/>
    </row>
    <row r="250" spans="1:42" s="509" customFormat="1" x14ac:dyDescent="0.25">
      <c r="A250" s="218" t="s">
        <v>1674</v>
      </c>
      <c r="B250" s="626" t="s">
        <v>1620</v>
      </c>
      <c r="C250" s="137"/>
      <c r="D250" s="2"/>
      <c r="E250" s="2"/>
      <c r="F250" s="2"/>
      <c r="G250" s="137"/>
      <c r="H250" s="126"/>
      <c r="I250" s="126"/>
      <c r="J250" s="126"/>
      <c r="K250" s="126"/>
      <c r="L250" s="126"/>
      <c r="W250" s="6"/>
      <c r="X250" s="6"/>
      <c r="Y250" s="6"/>
      <c r="Z250" s="6"/>
      <c r="AA250" s="6"/>
      <c r="AB250" s="6"/>
      <c r="AC250" s="6"/>
      <c r="AD250" s="6"/>
      <c r="AE250" s="6"/>
      <c r="AF250" s="6"/>
      <c r="AG250" s="6"/>
      <c r="AH250" s="6"/>
      <c r="AI250" s="6"/>
      <c r="AJ250" s="6"/>
      <c r="AK250" s="6"/>
      <c r="AL250" s="6"/>
      <c r="AM250" s="6"/>
      <c r="AN250" s="6"/>
      <c r="AO250" s="6"/>
      <c r="AP250" s="6"/>
    </row>
    <row r="251" spans="1:42" s="509" customFormat="1" x14ac:dyDescent="0.25">
      <c r="A251" s="566" t="s">
        <v>970</v>
      </c>
      <c r="B251" s="623" t="s">
        <v>1621</v>
      </c>
      <c r="C251" s="137"/>
      <c r="D251" s="2"/>
      <c r="E251" s="2"/>
      <c r="F251" s="2"/>
      <c r="G251" s="137"/>
      <c r="H251" s="126"/>
      <c r="I251" s="126"/>
      <c r="J251" s="126"/>
      <c r="K251" s="126"/>
      <c r="L251" s="126"/>
      <c r="W251" s="6"/>
      <c r="X251" s="6"/>
      <c r="Y251" s="6"/>
      <c r="Z251" s="6"/>
      <c r="AA251" s="6"/>
      <c r="AB251" s="6"/>
      <c r="AC251" s="6"/>
      <c r="AD251" s="6"/>
      <c r="AE251" s="6"/>
      <c r="AF251" s="6"/>
      <c r="AG251" s="6"/>
      <c r="AH251" s="6"/>
      <c r="AI251" s="6"/>
      <c r="AJ251" s="6"/>
      <c r="AK251" s="6"/>
      <c r="AL251" s="6"/>
      <c r="AM251" s="6"/>
      <c r="AN251" s="6"/>
      <c r="AO251" s="6"/>
      <c r="AP251" s="6"/>
    </row>
    <row r="252" spans="1:42" s="509" customFormat="1" x14ac:dyDescent="0.25">
      <c r="A252" s="566" t="s">
        <v>1095</v>
      </c>
      <c r="B252" s="624" t="s">
        <v>1622</v>
      </c>
      <c r="C252" s="137"/>
      <c r="D252" s="2"/>
      <c r="E252" s="2"/>
      <c r="F252" s="2"/>
      <c r="G252" s="137"/>
      <c r="H252" s="126"/>
      <c r="I252" s="126"/>
      <c r="J252" s="126"/>
      <c r="K252" s="126"/>
      <c r="L252" s="126"/>
      <c r="W252" s="6"/>
      <c r="X252" s="6"/>
      <c r="Y252" s="6"/>
      <c r="Z252" s="6"/>
      <c r="AA252" s="6"/>
      <c r="AB252" s="6"/>
      <c r="AC252" s="6"/>
      <c r="AD252" s="6"/>
      <c r="AE252" s="6"/>
      <c r="AF252" s="6"/>
      <c r="AG252" s="6"/>
      <c r="AH252" s="6"/>
      <c r="AI252" s="6"/>
      <c r="AJ252" s="6"/>
      <c r="AK252" s="6"/>
      <c r="AL252" s="6"/>
      <c r="AM252" s="6"/>
      <c r="AN252" s="6"/>
      <c r="AO252" s="6"/>
      <c r="AP252" s="6"/>
    </row>
    <row r="253" spans="1:42" s="509" customFormat="1" x14ac:dyDescent="0.25">
      <c r="A253" s="566"/>
      <c r="B253" s="625" t="s">
        <v>2027</v>
      </c>
      <c r="C253" s="137"/>
      <c r="D253" s="2"/>
      <c r="E253" s="2"/>
      <c r="F253" s="2"/>
      <c r="G253" s="137"/>
      <c r="H253" s="126"/>
      <c r="I253" s="126"/>
      <c r="J253" s="126"/>
      <c r="K253" s="126"/>
      <c r="L253" s="126"/>
      <c r="W253" s="6"/>
      <c r="X253" s="6"/>
      <c r="Y253" s="6"/>
      <c r="Z253" s="6"/>
      <c r="AA253" s="6"/>
      <c r="AB253" s="6"/>
      <c r="AC253" s="6"/>
      <c r="AD253" s="6"/>
      <c r="AE253" s="6"/>
      <c r="AF253" s="6"/>
      <c r="AG253" s="6"/>
      <c r="AH253" s="6"/>
      <c r="AI253" s="6"/>
      <c r="AJ253" s="6"/>
      <c r="AK253" s="6"/>
      <c r="AL253" s="6"/>
      <c r="AM253" s="6"/>
      <c r="AN253" s="6"/>
      <c r="AO253" s="6"/>
      <c r="AP253" s="6"/>
    </row>
    <row r="254" spans="1:42" s="6" customFormat="1" x14ac:dyDescent="0.25">
      <c r="A254" s="262"/>
      <c r="B254" s="565"/>
      <c r="C254" s="107"/>
      <c r="D254" s="3"/>
      <c r="E254" s="3"/>
      <c r="F254" s="3"/>
      <c r="G254" s="107"/>
      <c r="H254" s="167"/>
      <c r="I254" s="167"/>
      <c r="J254" s="167"/>
      <c r="K254" s="167"/>
      <c r="L254" s="167"/>
    </row>
    <row r="255" spans="1:42" x14ac:dyDescent="0.25">
      <c r="A255" s="197" t="s">
        <v>2060</v>
      </c>
      <c r="B255" s="36" t="s">
        <v>1465</v>
      </c>
      <c r="C255" s="137"/>
      <c r="D255" s="2"/>
      <c r="E255" s="2"/>
      <c r="F255" s="2"/>
      <c r="G255" s="137"/>
      <c r="H255" s="126"/>
      <c r="I255" s="126"/>
      <c r="J255" s="126"/>
      <c r="K255" s="126"/>
      <c r="L255" s="126"/>
      <c r="W255" s="6"/>
      <c r="X255" s="6"/>
      <c r="Y255" s="6"/>
      <c r="Z255" s="6"/>
      <c r="AA255" s="6"/>
      <c r="AB255" s="6"/>
      <c r="AC255" s="6"/>
      <c r="AD255" s="6"/>
      <c r="AE255" s="6"/>
      <c r="AF255" s="6"/>
      <c r="AG255" s="6"/>
      <c r="AH255" s="6"/>
      <c r="AI255" s="6"/>
      <c r="AJ255" s="6"/>
      <c r="AK255" s="6"/>
      <c r="AL255" s="6"/>
      <c r="AM255" s="6"/>
      <c r="AN255" s="6"/>
      <c r="AO255" s="6"/>
      <c r="AP255" s="6"/>
    </row>
    <row r="256" spans="1:42" x14ac:dyDescent="0.25">
      <c r="A256" s="192" t="s">
        <v>124</v>
      </c>
      <c r="B256" s="622" t="s">
        <v>1557</v>
      </c>
      <c r="C256" s="137"/>
      <c r="D256" s="2"/>
      <c r="E256" s="2"/>
      <c r="F256" s="2"/>
      <c r="G256" s="137"/>
      <c r="H256" s="126"/>
      <c r="I256" s="126"/>
      <c r="J256" s="126"/>
      <c r="K256" s="126"/>
      <c r="L256" s="126"/>
      <c r="W256" s="6"/>
      <c r="X256" s="6"/>
      <c r="Y256" s="6"/>
      <c r="Z256" s="6"/>
      <c r="AA256" s="6"/>
      <c r="AB256" s="6"/>
      <c r="AC256" s="6"/>
      <c r="AD256" s="6"/>
      <c r="AE256" s="6"/>
      <c r="AF256" s="6"/>
      <c r="AG256" s="6"/>
      <c r="AH256" s="6"/>
      <c r="AI256" s="6"/>
      <c r="AJ256" s="6"/>
      <c r="AK256" s="6"/>
      <c r="AL256" s="6"/>
      <c r="AM256" s="6"/>
      <c r="AN256" s="6"/>
      <c r="AO256" s="6"/>
      <c r="AP256" s="6"/>
    </row>
    <row r="257" spans="1:42" x14ac:dyDescent="0.25">
      <c r="A257" s="126" t="s">
        <v>1143</v>
      </c>
      <c r="B257" s="705" t="s">
        <v>2028</v>
      </c>
      <c r="C257" s="706"/>
      <c r="D257" s="706"/>
      <c r="E257" s="706"/>
      <c r="F257" s="706"/>
      <c r="G257" s="706"/>
      <c r="H257" s="706"/>
      <c r="I257" s="706"/>
      <c r="J257" s="706"/>
      <c r="K257" s="706"/>
      <c r="L257" s="706"/>
      <c r="W257" s="6"/>
      <c r="X257" s="6"/>
      <c r="Y257" s="6"/>
      <c r="Z257" s="6"/>
      <c r="AA257" s="6"/>
      <c r="AB257" s="6"/>
      <c r="AC257" s="6"/>
      <c r="AD257" s="6"/>
      <c r="AE257" s="6"/>
      <c r="AF257" s="6"/>
      <c r="AG257" s="6"/>
      <c r="AH257" s="6"/>
      <c r="AI257" s="6"/>
      <c r="AJ257" s="6"/>
      <c r="AK257" s="6"/>
      <c r="AL257" s="6"/>
      <c r="AM257" s="6"/>
      <c r="AN257" s="6"/>
      <c r="AO257" s="6"/>
      <c r="AP257" s="6"/>
    </row>
    <row r="258" spans="1:42" x14ac:dyDescent="0.25">
      <c r="A258" s="126" t="s">
        <v>1370</v>
      </c>
      <c r="B258" s="98" t="s">
        <v>2061</v>
      </c>
      <c r="C258" s="92" t="s">
        <v>2062</v>
      </c>
      <c r="D258" s="92" t="s">
        <v>2063</v>
      </c>
      <c r="E258" s="92" t="s">
        <v>2064</v>
      </c>
      <c r="F258" s="92" t="s">
        <v>2065</v>
      </c>
      <c r="G258" s="92" t="s">
        <v>2066</v>
      </c>
      <c r="H258" s="92" t="s">
        <v>2067</v>
      </c>
      <c r="I258" s="92" t="s">
        <v>2068</v>
      </c>
      <c r="J258" s="92" t="s">
        <v>2069</v>
      </c>
      <c r="K258" s="92" t="s">
        <v>2070</v>
      </c>
      <c r="L258" s="92" t="s">
        <v>2071</v>
      </c>
      <c r="W258" s="6"/>
      <c r="X258" s="6"/>
      <c r="Y258" s="6"/>
      <c r="Z258" s="6"/>
      <c r="AA258" s="6"/>
      <c r="AB258" s="6"/>
      <c r="AC258" s="6"/>
      <c r="AD258" s="6"/>
      <c r="AE258" s="6"/>
      <c r="AF258" s="6"/>
      <c r="AG258" s="6"/>
      <c r="AH258" s="6"/>
      <c r="AI258" s="6"/>
      <c r="AJ258" s="6"/>
      <c r="AK258" s="6"/>
      <c r="AL258" s="6"/>
      <c r="AM258" s="6"/>
      <c r="AN258" s="6"/>
      <c r="AO258" s="6"/>
      <c r="AP258" s="6"/>
    </row>
    <row r="259" spans="1:42" x14ac:dyDescent="0.3">
      <c r="B259" s="580" t="s">
        <v>23</v>
      </c>
      <c r="C259" s="146" t="s">
        <v>25</v>
      </c>
      <c r="D259" s="146" t="s">
        <v>1200</v>
      </c>
      <c r="E259" s="146" t="s">
        <v>1201</v>
      </c>
      <c r="F259" s="146" t="s">
        <v>29</v>
      </c>
      <c r="G259" s="146" t="s">
        <v>1202</v>
      </c>
      <c r="H259" s="146" t="s">
        <v>28</v>
      </c>
      <c r="I259" s="146" t="s">
        <v>1203</v>
      </c>
      <c r="J259" s="146" t="s">
        <v>151</v>
      </c>
      <c r="K259" s="146" t="s">
        <v>150</v>
      </c>
      <c r="L259" s="146" t="s">
        <v>176</v>
      </c>
      <c r="W259" s="6"/>
      <c r="X259" s="6"/>
      <c r="Y259" s="6"/>
      <c r="Z259" s="6"/>
      <c r="AA259" s="6"/>
      <c r="AB259" s="6"/>
      <c r="AC259" s="6"/>
      <c r="AD259" s="6"/>
      <c r="AE259" s="6"/>
      <c r="AF259" s="6"/>
      <c r="AG259" s="6"/>
      <c r="AH259" s="6"/>
      <c r="AI259" s="6"/>
      <c r="AJ259" s="6"/>
      <c r="AK259" s="6"/>
      <c r="AL259" s="6"/>
      <c r="AM259" s="6"/>
      <c r="AN259" s="6"/>
      <c r="AO259" s="6"/>
      <c r="AP259" s="6"/>
    </row>
    <row r="260" spans="1:42" x14ac:dyDescent="0.25">
      <c r="B260" s="581" t="str">
        <f>$F$8</f>
        <v>9999</v>
      </c>
      <c r="C260" s="150" t="str">
        <f>B8</f>
        <v>6001</v>
      </c>
      <c r="D260" s="150" t="str">
        <f>D22</f>
        <v>SR</v>
      </c>
      <c r="E260" s="150">
        <f>B2</f>
        <v>20180326</v>
      </c>
      <c r="F260" s="164">
        <v>345</v>
      </c>
      <c r="G260" s="152">
        <v>0.9</v>
      </c>
      <c r="H260" s="150">
        <v>1</v>
      </c>
      <c r="I260" s="199">
        <v>5000</v>
      </c>
      <c r="J260" s="150" t="s">
        <v>154</v>
      </c>
      <c r="K260" s="150" t="str">
        <f>C260</f>
        <v>6001</v>
      </c>
      <c r="L260" s="150">
        <v>1</v>
      </c>
      <c r="W260" s="6"/>
      <c r="X260" s="6"/>
      <c r="Y260" s="6"/>
      <c r="Z260" s="6"/>
      <c r="AA260" s="6"/>
      <c r="AB260" s="6"/>
      <c r="AC260" s="6"/>
      <c r="AD260" s="6"/>
      <c r="AE260" s="6"/>
      <c r="AF260" s="6"/>
      <c r="AG260" s="6"/>
      <c r="AH260" s="6"/>
      <c r="AI260" s="6"/>
      <c r="AJ260" s="6"/>
      <c r="AK260" s="6"/>
      <c r="AL260" s="6"/>
      <c r="AM260" s="6"/>
      <c r="AN260" s="6"/>
      <c r="AO260" s="6"/>
      <c r="AP260" s="6"/>
    </row>
    <row r="261" spans="1:42" x14ac:dyDescent="0.25">
      <c r="B261" s="9"/>
      <c r="C261" s="9"/>
      <c r="D261" s="9"/>
      <c r="E261" s="9"/>
      <c r="F261" s="120"/>
      <c r="G261" s="59"/>
      <c r="H261" s="9"/>
      <c r="I261" s="60"/>
      <c r="J261" s="9"/>
      <c r="K261" s="9"/>
      <c r="L261" s="9"/>
      <c r="W261" s="6"/>
      <c r="X261" s="6"/>
      <c r="Y261" s="6"/>
      <c r="Z261" s="6"/>
      <c r="AA261" s="6"/>
      <c r="AB261" s="6"/>
      <c r="AC261" s="6"/>
      <c r="AD261" s="6"/>
      <c r="AE261" s="6"/>
      <c r="AF261" s="6"/>
      <c r="AG261" s="6"/>
      <c r="AH261" s="6"/>
      <c r="AI261" s="6"/>
      <c r="AJ261" s="6"/>
      <c r="AK261" s="6"/>
      <c r="AL261" s="6"/>
      <c r="AM261" s="6"/>
      <c r="AN261" s="6"/>
      <c r="AO261" s="6"/>
      <c r="AP261" s="6"/>
    </row>
    <row r="262" spans="1:42" x14ac:dyDescent="0.25">
      <c r="A262" s="197" t="s">
        <v>1369</v>
      </c>
      <c r="B262" s="631" t="s">
        <v>1130</v>
      </c>
      <c r="C262" s="138"/>
      <c r="D262" s="8"/>
      <c r="E262" s="8"/>
      <c r="F262" s="8"/>
      <c r="G262" s="138"/>
      <c r="H262" s="92"/>
      <c r="I262" s="92"/>
      <c r="J262" s="92"/>
      <c r="K262" s="92"/>
      <c r="W262" s="6"/>
      <c r="X262" s="6"/>
      <c r="Y262" s="6"/>
      <c r="Z262" s="6"/>
      <c r="AA262" s="6"/>
      <c r="AB262" s="6"/>
      <c r="AC262" s="6"/>
      <c r="AD262" s="6"/>
      <c r="AE262" s="6"/>
      <c r="AF262" s="6"/>
      <c r="AG262" s="6"/>
      <c r="AH262" s="6"/>
      <c r="AI262" s="6"/>
      <c r="AJ262" s="6"/>
      <c r="AK262" s="6"/>
      <c r="AL262" s="6"/>
      <c r="AM262" s="6"/>
      <c r="AN262" s="6"/>
      <c r="AO262" s="6"/>
      <c r="AP262" s="6"/>
    </row>
    <row r="263" spans="1:42" x14ac:dyDescent="0.25">
      <c r="A263" s="126" t="s">
        <v>1129</v>
      </c>
      <c r="B263" s="582" t="s">
        <v>407</v>
      </c>
      <c r="C263" s="7" t="s">
        <v>19</v>
      </c>
      <c r="D263" s="7" t="s">
        <v>287</v>
      </c>
      <c r="E263" s="7" t="s">
        <v>118</v>
      </c>
      <c r="F263" s="7" t="s">
        <v>365</v>
      </c>
      <c r="G263" s="7" t="s">
        <v>5</v>
      </c>
      <c r="H263" s="7" t="s">
        <v>52</v>
      </c>
      <c r="I263" s="7" t="s">
        <v>403</v>
      </c>
      <c r="J263" s="7" t="s">
        <v>2072</v>
      </c>
      <c r="K263" s="7" t="s">
        <v>9</v>
      </c>
      <c r="L263" s="7" t="s">
        <v>18</v>
      </c>
      <c r="M263" s="7" t="s">
        <v>385</v>
      </c>
      <c r="N263" s="7" t="s">
        <v>386</v>
      </c>
      <c r="O263" s="121" t="s">
        <v>297</v>
      </c>
      <c r="P263" s="7" t="s">
        <v>298</v>
      </c>
      <c r="Q263" s="12" t="s">
        <v>191</v>
      </c>
      <c r="R263" s="7" t="s">
        <v>226</v>
      </c>
      <c r="W263" s="6"/>
      <c r="X263" s="6"/>
      <c r="Y263" s="6"/>
      <c r="Z263" s="6"/>
      <c r="AA263" s="6"/>
      <c r="AB263" s="6"/>
      <c r="AC263" s="6"/>
      <c r="AD263" s="6"/>
      <c r="AE263" s="6"/>
      <c r="AF263" s="6"/>
      <c r="AG263" s="6"/>
      <c r="AH263" s="6"/>
      <c r="AI263" s="6"/>
      <c r="AJ263" s="6"/>
      <c r="AK263" s="6"/>
      <c r="AL263" s="6"/>
      <c r="AM263" s="6"/>
      <c r="AN263" s="6"/>
      <c r="AO263" s="6"/>
      <c r="AP263" s="6"/>
    </row>
    <row r="264" spans="1:42" x14ac:dyDescent="0.25">
      <c r="A264" s="126" t="s">
        <v>1129</v>
      </c>
      <c r="B264" s="582" t="s">
        <v>400</v>
      </c>
      <c r="C264" s="7" t="s">
        <v>321</v>
      </c>
      <c r="D264" s="7" t="s">
        <v>322</v>
      </c>
      <c r="E264" s="7" t="s">
        <v>322</v>
      </c>
      <c r="F264" s="7" t="s">
        <v>399</v>
      </c>
      <c r="G264" s="7" t="s">
        <v>327</v>
      </c>
      <c r="H264" s="7" t="s">
        <v>328</v>
      </c>
      <c r="I264" s="7" t="s">
        <v>405</v>
      </c>
      <c r="J264" s="7" t="s">
        <v>331</v>
      </c>
      <c r="K264" s="7" t="s">
        <v>332</v>
      </c>
      <c r="L264" s="7" t="s">
        <v>395</v>
      </c>
      <c r="M264" s="7" t="s">
        <v>394</v>
      </c>
      <c r="N264" s="7" t="s">
        <v>393</v>
      </c>
      <c r="O264" s="121" t="s">
        <v>337</v>
      </c>
      <c r="P264" s="92" t="s">
        <v>338</v>
      </c>
      <c r="Q264" s="7" t="s">
        <v>346</v>
      </c>
      <c r="R264" s="7" t="s">
        <v>362</v>
      </c>
      <c r="W264" s="6"/>
      <c r="X264" s="6"/>
      <c r="Y264" s="6"/>
      <c r="Z264" s="6"/>
      <c r="AA264" s="6"/>
      <c r="AB264" s="6"/>
      <c r="AC264" s="6"/>
      <c r="AD264" s="6"/>
      <c r="AE264" s="6"/>
      <c r="AF264" s="6"/>
      <c r="AG264" s="6"/>
      <c r="AH264" s="6"/>
      <c r="AI264" s="6"/>
      <c r="AJ264" s="6"/>
      <c r="AK264" s="6"/>
      <c r="AL264" s="6"/>
      <c r="AM264" s="6"/>
      <c r="AN264" s="6"/>
      <c r="AO264" s="6"/>
      <c r="AP264" s="6"/>
    </row>
    <row r="265" spans="1:42" x14ac:dyDescent="0.25">
      <c r="A265" s="126" t="s">
        <v>1129</v>
      </c>
      <c r="B265" s="98">
        <f>$B$2</f>
        <v>20180326</v>
      </c>
      <c r="C265" s="34" t="str">
        <f>C587</f>
        <v>6001</v>
      </c>
      <c r="D265" s="34" t="str">
        <f t="shared" ref="D265:E265" si="6">D587</f>
        <v>B00101</v>
      </c>
      <c r="E265" s="34" t="str">
        <f t="shared" si="6"/>
        <v>6001</v>
      </c>
      <c r="F265" s="101">
        <f>$B$2</f>
        <v>20180326</v>
      </c>
      <c r="G265" s="101" t="str">
        <f>$B$22</f>
        <v>CZCE</v>
      </c>
      <c r="H265" s="12" t="str">
        <f xml:space="preserve"> $C$22</f>
        <v>SR807</v>
      </c>
      <c r="I265" s="101">
        <f>VLOOKUP(H265,$C$22:$E$32,3,FALSE)</f>
        <v>10</v>
      </c>
      <c r="J265" s="101">
        <v>3</v>
      </c>
      <c r="K265" s="101">
        <v>1</v>
      </c>
      <c r="L265" s="101">
        <v>2</v>
      </c>
      <c r="M265" s="121">
        <v>6130</v>
      </c>
      <c r="N265" s="121">
        <v>1</v>
      </c>
      <c r="O265" s="121">
        <v>0</v>
      </c>
      <c r="P265" s="121">
        <v>0</v>
      </c>
      <c r="Q265" s="92" t="str">
        <f>$F$8</f>
        <v>9999</v>
      </c>
      <c r="R265" s="92" t="str">
        <f>$D$12</f>
        <v>CNY</v>
      </c>
      <c r="W265" s="6"/>
      <c r="X265" s="6"/>
      <c r="Y265" s="6"/>
      <c r="Z265" s="6"/>
      <c r="AA265" s="6"/>
      <c r="AB265" s="6"/>
      <c r="AC265" s="6"/>
      <c r="AD265" s="6"/>
      <c r="AE265" s="6"/>
      <c r="AF265" s="6"/>
      <c r="AG265" s="6"/>
      <c r="AH265" s="6"/>
      <c r="AI265" s="6"/>
      <c r="AJ265" s="6"/>
      <c r="AK265" s="6"/>
      <c r="AL265" s="6"/>
      <c r="AM265" s="6"/>
      <c r="AN265" s="6"/>
      <c r="AO265" s="6"/>
      <c r="AP265" s="6"/>
    </row>
    <row r="266" spans="1:42" x14ac:dyDescent="0.25">
      <c r="A266" s="126" t="s">
        <v>1129</v>
      </c>
      <c r="B266" s="98">
        <f t="shared" ref="B266:B267" si="7">$B$2</f>
        <v>20180326</v>
      </c>
      <c r="C266" s="34" t="str">
        <f t="shared" ref="C266:E266" si="8">C588</f>
        <v>6001</v>
      </c>
      <c r="D266" s="34" t="str">
        <f t="shared" si="8"/>
        <v>B00102</v>
      </c>
      <c r="E266" s="34" t="str">
        <f t="shared" si="8"/>
        <v>6001</v>
      </c>
      <c r="F266" s="101">
        <f t="shared" ref="F266:F267" si="9">$B$2</f>
        <v>20180326</v>
      </c>
      <c r="G266" s="101" t="str">
        <f t="shared" ref="G266:G267" si="10">$B$22</f>
        <v>CZCE</v>
      </c>
      <c r="H266" s="12" t="str">
        <f xml:space="preserve"> $C$25</f>
        <v>PTA807</v>
      </c>
      <c r="I266" s="101">
        <f>VLOOKUP(H266,$C$22:$E$32,3,FALSE)</f>
        <v>5</v>
      </c>
      <c r="J266" s="101">
        <v>2</v>
      </c>
      <c r="K266" s="101">
        <v>1</v>
      </c>
      <c r="L266" s="101">
        <v>5</v>
      </c>
      <c r="M266" s="121">
        <v>6120</v>
      </c>
      <c r="N266" s="121">
        <v>1</v>
      </c>
      <c r="O266" s="121">
        <v>0</v>
      </c>
      <c r="P266" s="121">
        <v>0</v>
      </c>
      <c r="Q266" s="92" t="str">
        <f t="shared" ref="Q266:Q267" si="11">$F$8</f>
        <v>9999</v>
      </c>
      <c r="R266" s="92" t="str">
        <f t="shared" ref="R266:R267" si="12">$D$12</f>
        <v>CNY</v>
      </c>
      <c r="W266" s="6"/>
      <c r="X266" s="6"/>
      <c r="Y266" s="6"/>
      <c r="Z266" s="6"/>
      <c r="AA266" s="6"/>
      <c r="AB266" s="6"/>
      <c r="AC266" s="6"/>
      <c r="AD266" s="6"/>
      <c r="AE266" s="6"/>
      <c r="AF266" s="6"/>
      <c r="AG266" s="6"/>
      <c r="AH266" s="6"/>
      <c r="AI266" s="6"/>
      <c r="AJ266" s="6"/>
      <c r="AK266" s="6"/>
      <c r="AL266" s="6"/>
      <c r="AM266" s="6"/>
      <c r="AN266" s="6"/>
      <c r="AO266" s="6"/>
      <c r="AP266" s="6"/>
    </row>
    <row r="267" spans="1:42" x14ac:dyDescent="0.25">
      <c r="A267" s="126" t="s">
        <v>1129</v>
      </c>
      <c r="B267" s="98">
        <f t="shared" si="7"/>
        <v>20180326</v>
      </c>
      <c r="C267" s="34" t="str">
        <f t="shared" ref="C267:E267" si="13">C589</f>
        <v>6001</v>
      </c>
      <c r="D267" s="34" t="str">
        <f t="shared" si="13"/>
        <v>B00102</v>
      </c>
      <c r="E267" s="34" t="str">
        <f t="shared" si="13"/>
        <v>6001</v>
      </c>
      <c r="F267" s="101">
        <f t="shared" si="9"/>
        <v>20180326</v>
      </c>
      <c r="G267" s="101" t="str">
        <f t="shared" si="10"/>
        <v>CZCE</v>
      </c>
      <c r="H267" s="12" t="str">
        <f xml:space="preserve"> $C$25</f>
        <v>PTA807</v>
      </c>
      <c r="I267" s="101">
        <f>VLOOKUP(H267,$C$22:$E$32,3,FALSE)</f>
        <v>5</v>
      </c>
      <c r="J267" s="101">
        <v>2</v>
      </c>
      <c r="K267" s="101">
        <v>3</v>
      </c>
      <c r="L267" s="101">
        <v>4</v>
      </c>
      <c r="M267" s="125">
        <v>6120</v>
      </c>
      <c r="N267" s="121">
        <v>1</v>
      </c>
      <c r="O267" s="121">
        <v>0</v>
      </c>
      <c r="P267" s="121">
        <v>0</v>
      </c>
      <c r="Q267" s="92" t="str">
        <f t="shared" si="11"/>
        <v>9999</v>
      </c>
      <c r="R267" s="92" t="str">
        <f t="shared" si="12"/>
        <v>CNY</v>
      </c>
      <c r="W267" s="6"/>
      <c r="X267" s="6"/>
      <c r="Y267" s="6"/>
      <c r="Z267" s="6"/>
      <c r="AA267" s="6"/>
      <c r="AB267" s="6"/>
      <c r="AC267" s="6"/>
      <c r="AD267" s="6"/>
      <c r="AE267" s="6"/>
      <c r="AF267" s="6"/>
      <c r="AG267" s="6"/>
      <c r="AH267" s="6"/>
      <c r="AI267" s="6"/>
      <c r="AJ267" s="6"/>
      <c r="AK267" s="6"/>
      <c r="AL267" s="6"/>
      <c r="AM267" s="6"/>
      <c r="AN267" s="6"/>
      <c r="AO267" s="6"/>
      <c r="AP267" s="6"/>
    </row>
    <row r="268" spans="1:42" x14ac:dyDescent="0.25">
      <c r="A268" s="126" t="s">
        <v>959</v>
      </c>
      <c r="B268" s="98"/>
      <c r="C268" s="34"/>
      <c r="D268" s="34"/>
      <c r="E268" s="34"/>
      <c r="F268" s="101"/>
      <c r="G268" s="107"/>
      <c r="H268" s="3"/>
      <c r="I268" s="107"/>
      <c r="J268" s="107"/>
      <c r="K268" s="107"/>
      <c r="L268" s="107"/>
      <c r="M268" s="122"/>
      <c r="N268" s="128"/>
      <c r="O268" s="128"/>
      <c r="P268" s="128"/>
      <c r="Q268" s="126"/>
      <c r="R268" s="126"/>
      <c r="W268" s="6"/>
      <c r="X268" s="6"/>
      <c r="Y268" s="6"/>
      <c r="Z268" s="6"/>
      <c r="AA268" s="6"/>
      <c r="AB268" s="6"/>
      <c r="AC268" s="6"/>
      <c r="AD268" s="6"/>
      <c r="AE268" s="6"/>
      <c r="AF268" s="6"/>
      <c r="AG268" s="6"/>
      <c r="AH268" s="6"/>
      <c r="AI268" s="6"/>
      <c r="AJ268" s="6"/>
      <c r="AK268" s="6"/>
      <c r="AL268" s="6"/>
      <c r="AM268" s="6"/>
      <c r="AN268" s="6"/>
      <c r="AO268" s="6"/>
      <c r="AP268" s="6"/>
    </row>
    <row r="269" spans="1:42" s="6" customFormat="1" x14ac:dyDescent="0.25">
      <c r="A269" s="323" t="s">
        <v>970</v>
      </c>
      <c r="B269" s="632" t="s">
        <v>1110</v>
      </c>
      <c r="C269" s="633"/>
      <c r="D269" s="633"/>
      <c r="E269" s="633"/>
      <c r="F269" s="107"/>
      <c r="G269" s="167"/>
      <c r="H269" s="167"/>
      <c r="I269" s="167"/>
      <c r="J269" s="167"/>
    </row>
    <row r="270" spans="1:42" x14ac:dyDescent="0.25">
      <c r="A270" s="614" t="s">
        <v>1095</v>
      </c>
      <c r="B270" s="704" t="s">
        <v>1573</v>
      </c>
      <c r="C270" s="705"/>
      <c r="D270" s="706"/>
      <c r="E270" s="706"/>
      <c r="F270" s="706"/>
      <c r="G270" s="706"/>
      <c r="H270" s="706"/>
      <c r="I270" s="706"/>
      <c r="J270" s="706"/>
      <c r="K270" s="706"/>
      <c r="L270" s="706"/>
      <c r="M270" s="706"/>
      <c r="N270" s="706"/>
      <c r="O270" s="706"/>
      <c r="P270" s="706"/>
      <c r="Q270" s="707"/>
      <c r="R270" s="695" t="s">
        <v>1126</v>
      </c>
      <c r="S270" s="695" t="s">
        <v>1107</v>
      </c>
      <c r="T270" s="695" t="s">
        <v>1108</v>
      </c>
      <c r="U270" s="695" t="s">
        <v>1127</v>
      </c>
      <c r="V270" s="6"/>
      <c r="W270" s="6"/>
      <c r="X270" s="6"/>
      <c r="Y270" s="6"/>
      <c r="Z270" s="6"/>
      <c r="AA270" s="6"/>
      <c r="AB270" s="6"/>
      <c r="AC270" s="6"/>
      <c r="AD270" s="6"/>
      <c r="AE270" s="6"/>
      <c r="AF270" s="6"/>
      <c r="AG270" s="6"/>
      <c r="AH270" s="6"/>
      <c r="AI270" s="6"/>
      <c r="AJ270" s="6"/>
      <c r="AK270" s="6"/>
      <c r="AL270" s="6"/>
      <c r="AM270" s="6"/>
      <c r="AN270" s="6"/>
      <c r="AO270" s="6"/>
    </row>
    <row r="271" spans="1:42" s="6" customFormat="1" x14ac:dyDescent="0.25">
      <c r="A271" s="323"/>
      <c r="B271" s="634" t="s">
        <v>1109</v>
      </c>
      <c r="C271" s="187" t="s">
        <v>1111</v>
      </c>
      <c r="D271" s="187" t="s">
        <v>1113</v>
      </c>
      <c r="E271" s="562" t="s">
        <v>1112</v>
      </c>
      <c r="F271" s="101" t="s">
        <v>1114</v>
      </c>
      <c r="G271" s="187" t="s">
        <v>1115</v>
      </c>
      <c r="H271" s="187" t="s">
        <v>1116</v>
      </c>
      <c r="I271" s="187" t="s">
        <v>1117</v>
      </c>
      <c r="J271" s="187" t="s">
        <v>1118</v>
      </c>
      <c r="K271" s="187" t="s">
        <v>1119</v>
      </c>
      <c r="L271" s="187" t="s">
        <v>1120</v>
      </c>
      <c r="M271" s="187" t="s">
        <v>1121</v>
      </c>
      <c r="N271" s="187" t="s">
        <v>1122</v>
      </c>
      <c r="O271" s="187" t="s">
        <v>1123</v>
      </c>
      <c r="P271" s="187" t="s">
        <v>1124</v>
      </c>
      <c r="Q271" s="187" t="s">
        <v>1125</v>
      </c>
      <c r="R271" s="696"/>
      <c r="S271" s="696"/>
      <c r="T271" s="696"/>
      <c r="U271" s="696"/>
    </row>
    <row r="272" spans="1:42" s="6" customFormat="1" x14ac:dyDescent="0.25">
      <c r="A272" s="323"/>
      <c r="B272" s="589" t="str">
        <f>$F$8</f>
        <v>9999</v>
      </c>
      <c r="C272" s="562">
        <f>B265</f>
        <v>20180326</v>
      </c>
      <c r="D272" s="562"/>
      <c r="E272" s="517" t="str">
        <f>C265</f>
        <v>6001</v>
      </c>
      <c r="F272" s="517" t="str">
        <f>D265</f>
        <v>B00101</v>
      </c>
      <c r="G272" s="517" t="str">
        <f>E265</f>
        <v>6001</v>
      </c>
      <c r="H272" s="111" t="str">
        <f>R265</f>
        <v>CNY</v>
      </c>
      <c r="I272" s="111" t="str">
        <f>$B$22</f>
        <v>CZCE</v>
      </c>
      <c r="J272" s="248" t="str">
        <f>H265</f>
        <v>SR807</v>
      </c>
      <c r="K272" s="113">
        <f>K265</f>
        <v>1</v>
      </c>
      <c r="L272" s="113">
        <f>J265</f>
        <v>3</v>
      </c>
      <c r="M272" s="113">
        <f>L265</f>
        <v>2</v>
      </c>
      <c r="N272" s="248">
        <f>M265</f>
        <v>6130</v>
      </c>
      <c r="O272" s="111">
        <v>1</v>
      </c>
      <c r="P272" s="111"/>
      <c r="Q272" s="111"/>
      <c r="R272" s="111" t="s">
        <v>1128</v>
      </c>
      <c r="S272" s="111"/>
      <c r="T272" s="111"/>
      <c r="U272" s="111">
        <v>0</v>
      </c>
    </row>
    <row r="273" spans="1:42" s="6" customFormat="1" x14ac:dyDescent="0.25">
      <c r="A273" s="167"/>
      <c r="B273" s="179"/>
      <c r="C273" s="179"/>
      <c r="D273" s="179"/>
      <c r="E273" s="179"/>
      <c r="F273" s="180"/>
      <c r="G273" s="180"/>
      <c r="H273" s="180"/>
      <c r="I273" s="167"/>
      <c r="J273" s="167"/>
      <c r="K273" s="181"/>
      <c r="L273" s="182"/>
      <c r="M273" s="182"/>
      <c r="N273" s="182"/>
      <c r="O273" s="181"/>
      <c r="P273" s="167"/>
      <c r="Q273" s="167"/>
      <c r="R273" s="167"/>
      <c r="S273" s="167"/>
      <c r="T273" s="167"/>
      <c r="U273" s="167"/>
      <c r="V273" s="167"/>
    </row>
    <row r="274" spans="1:42" s="6" customFormat="1" x14ac:dyDescent="0.25">
      <c r="A274" s="323" t="s">
        <v>970</v>
      </c>
      <c r="B274" s="632" t="s">
        <v>1110</v>
      </c>
      <c r="C274" s="633"/>
      <c r="D274" s="633"/>
      <c r="E274" s="633"/>
      <c r="F274" s="107"/>
      <c r="G274" s="167"/>
      <c r="H274" s="167"/>
      <c r="I274" s="167"/>
      <c r="J274" s="167"/>
    </row>
    <row r="275" spans="1:42" s="6" customFormat="1" x14ac:dyDescent="0.25">
      <c r="A275" s="614" t="s">
        <v>1095</v>
      </c>
      <c r="B275" s="704" t="s">
        <v>1573</v>
      </c>
      <c r="C275" s="705"/>
      <c r="D275" s="706"/>
      <c r="E275" s="706"/>
      <c r="F275" s="706"/>
      <c r="G275" s="706"/>
      <c r="H275" s="706"/>
      <c r="I275" s="706"/>
      <c r="J275" s="706"/>
      <c r="K275" s="706"/>
      <c r="L275" s="706"/>
      <c r="M275" s="706"/>
      <c r="N275" s="706"/>
      <c r="O275" s="706"/>
      <c r="P275" s="706"/>
      <c r="Q275" s="707"/>
      <c r="R275" s="695" t="s">
        <v>1126</v>
      </c>
      <c r="S275" s="695" t="s">
        <v>1107</v>
      </c>
      <c r="T275" s="695" t="s">
        <v>1108</v>
      </c>
      <c r="U275" s="695" t="s">
        <v>1127</v>
      </c>
    </row>
    <row r="276" spans="1:42" s="6" customFormat="1" x14ac:dyDescent="0.25">
      <c r="A276" s="323"/>
      <c r="B276" s="634" t="s">
        <v>1109</v>
      </c>
      <c r="C276" s="187" t="s">
        <v>1111</v>
      </c>
      <c r="D276" s="187" t="s">
        <v>1113</v>
      </c>
      <c r="E276" s="562" t="s">
        <v>1112</v>
      </c>
      <c r="F276" s="101" t="s">
        <v>1114</v>
      </c>
      <c r="G276" s="187" t="s">
        <v>1115</v>
      </c>
      <c r="H276" s="187" t="s">
        <v>1116</v>
      </c>
      <c r="I276" s="187" t="s">
        <v>1117</v>
      </c>
      <c r="J276" s="187" t="s">
        <v>1118</v>
      </c>
      <c r="K276" s="187" t="s">
        <v>1119</v>
      </c>
      <c r="L276" s="187" t="s">
        <v>1120</v>
      </c>
      <c r="M276" s="187" t="s">
        <v>1121</v>
      </c>
      <c r="N276" s="187" t="s">
        <v>1122</v>
      </c>
      <c r="O276" s="187" t="s">
        <v>1123</v>
      </c>
      <c r="P276" s="187" t="s">
        <v>1124</v>
      </c>
      <c r="Q276" s="187" t="s">
        <v>1125</v>
      </c>
      <c r="R276" s="696"/>
      <c r="S276" s="696"/>
      <c r="T276" s="696"/>
      <c r="U276" s="696"/>
    </row>
    <row r="277" spans="1:42" s="6" customFormat="1" x14ac:dyDescent="0.25">
      <c r="A277" s="323"/>
      <c r="B277" s="589" t="str">
        <f t="shared" ref="B277:H277" si="14">B272</f>
        <v>9999</v>
      </c>
      <c r="C277" s="562">
        <f t="shared" si="14"/>
        <v>20180326</v>
      </c>
      <c r="D277" s="562">
        <f t="shared" si="14"/>
        <v>0</v>
      </c>
      <c r="E277" s="562" t="str">
        <f t="shared" si="14"/>
        <v>6001</v>
      </c>
      <c r="F277" s="517" t="str">
        <f>D266</f>
        <v>B00102</v>
      </c>
      <c r="G277" s="562" t="str">
        <f t="shared" si="14"/>
        <v>6001</v>
      </c>
      <c r="H277" s="562" t="str">
        <f t="shared" si="14"/>
        <v>CNY</v>
      </c>
      <c r="I277" s="111" t="str">
        <f>$B$22</f>
        <v>CZCE</v>
      </c>
      <c r="J277" s="248" t="str">
        <f>H266</f>
        <v>PTA807</v>
      </c>
      <c r="K277" s="113">
        <f>K266</f>
        <v>1</v>
      </c>
      <c r="L277" s="113">
        <f>J266</f>
        <v>2</v>
      </c>
      <c r="M277" s="113">
        <f>L266</f>
        <v>5</v>
      </c>
      <c r="N277" s="248">
        <f>M266</f>
        <v>6120</v>
      </c>
      <c r="O277" s="111">
        <v>1</v>
      </c>
      <c r="P277" s="111"/>
      <c r="Q277" s="111"/>
      <c r="R277" s="111" t="s">
        <v>1128</v>
      </c>
      <c r="S277" s="111"/>
      <c r="T277" s="111"/>
      <c r="U277" s="111">
        <v>0</v>
      </c>
    </row>
    <row r="278" spans="1:42" s="6" customFormat="1" x14ac:dyDescent="0.25">
      <c r="A278" s="167"/>
      <c r="B278" s="179"/>
      <c r="C278" s="179"/>
      <c r="D278" s="179"/>
      <c r="E278" s="179"/>
      <c r="F278" s="180"/>
      <c r="G278" s="180"/>
      <c r="H278" s="180"/>
      <c r="I278" s="167"/>
      <c r="J278" s="167"/>
      <c r="K278" s="181"/>
      <c r="L278" s="182"/>
      <c r="M278" s="182"/>
      <c r="N278" s="182"/>
      <c r="O278" s="181"/>
      <c r="P278" s="167"/>
      <c r="Q278" s="167"/>
      <c r="R278" s="167"/>
      <c r="S278" s="167"/>
      <c r="T278" s="167"/>
      <c r="U278" s="167"/>
      <c r="V278" s="167"/>
    </row>
    <row r="279" spans="1:42" s="6" customFormat="1" x14ac:dyDescent="0.25">
      <c r="A279" s="323" t="s">
        <v>970</v>
      </c>
      <c r="B279" s="632" t="s">
        <v>1110</v>
      </c>
      <c r="C279" s="633"/>
      <c r="D279" s="633"/>
      <c r="E279" s="633"/>
      <c r="F279" s="107"/>
      <c r="G279" s="167"/>
      <c r="H279" s="167"/>
      <c r="I279" s="167"/>
      <c r="J279" s="167"/>
      <c r="R279" s="167"/>
      <c r="S279" s="167"/>
      <c r="T279" s="167"/>
      <c r="U279" s="167"/>
    </row>
    <row r="280" spans="1:42" s="6" customFormat="1" x14ac:dyDescent="0.25">
      <c r="A280" s="614" t="s">
        <v>1095</v>
      </c>
      <c r="B280" s="704" t="s">
        <v>1573</v>
      </c>
      <c r="C280" s="705"/>
      <c r="D280" s="706"/>
      <c r="E280" s="706"/>
      <c r="F280" s="706"/>
      <c r="G280" s="706"/>
      <c r="H280" s="706"/>
      <c r="I280" s="706"/>
      <c r="J280" s="706"/>
      <c r="K280" s="706"/>
      <c r="L280" s="706"/>
      <c r="M280" s="706"/>
      <c r="N280" s="706"/>
      <c r="O280" s="706"/>
      <c r="P280" s="706"/>
      <c r="Q280" s="707"/>
      <c r="R280" s="695" t="s">
        <v>1126</v>
      </c>
      <c r="S280" s="695" t="s">
        <v>1107</v>
      </c>
      <c r="T280" s="695" t="s">
        <v>1108</v>
      </c>
      <c r="U280" s="695" t="s">
        <v>1127</v>
      </c>
    </row>
    <row r="281" spans="1:42" s="6" customFormat="1" x14ac:dyDescent="0.25">
      <c r="A281" s="323"/>
      <c r="B281" s="634" t="s">
        <v>1109</v>
      </c>
      <c r="C281" s="187" t="s">
        <v>1111</v>
      </c>
      <c r="D281" s="187" t="s">
        <v>1113</v>
      </c>
      <c r="E281" s="562" t="s">
        <v>1112</v>
      </c>
      <c r="F281" s="101" t="s">
        <v>1114</v>
      </c>
      <c r="G281" s="187" t="s">
        <v>1115</v>
      </c>
      <c r="H281" s="187" t="s">
        <v>1116</v>
      </c>
      <c r="I281" s="187" t="s">
        <v>1117</v>
      </c>
      <c r="J281" s="187" t="s">
        <v>1118</v>
      </c>
      <c r="K281" s="187" t="s">
        <v>1119</v>
      </c>
      <c r="L281" s="187" t="s">
        <v>1120</v>
      </c>
      <c r="M281" s="187" t="s">
        <v>1121</v>
      </c>
      <c r="N281" s="187" t="s">
        <v>1122</v>
      </c>
      <c r="O281" s="187" t="s">
        <v>1123</v>
      </c>
      <c r="P281" s="187" t="s">
        <v>1124</v>
      </c>
      <c r="Q281" s="187" t="s">
        <v>1125</v>
      </c>
      <c r="R281" s="696"/>
      <c r="S281" s="696"/>
      <c r="T281" s="696"/>
      <c r="U281" s="696"/>
    </row>
    <row r="282" spans="1:42" s="6" customFormat="1" x14ac:dyDescent="0.25">
      <c r="A282" s="323"/>
      <c r="B282" s="589" t="str">
        <f>$F$8</f>
        <v>9999</v>
      </c>
      <c r="C282" s="562">
        <f t="shared" ref="C282:H282" si="15">C277</f>
        <v>20180326</v>
      </c>
      <c r="D282" s="562">
        <f t="shared" si="15"/>
        <v>0</v>
      </c>
      <c r="E282" s="562" t="str">
        <f t="shared" si="15"/>
        <v>6001</v>
      </c>
      <c r="F282" s="517" t="str">
        <f>D267</f>
        <v>B00102</v>
      </c>
      <c r="G282" s="562" t="str">
        <f t="shared" si="15"/>
        <v>6001</v>
      </c>
      <c r="H282" s="562" t="str">
        <f t="shared" si="15"/>
        <v>CNY</v>
      </c>
      <c r="I282" s="111" t="str">
        <f>$B$22</f>
        <v>CZCE</v>
      </c>
      <c r="J282" s="248" t="str">
        <f>H267</f>
        <v>PTA807</v>
      </c>
      <c r="K282" s="113">
        <f>K267</f>
        <v>3</v>
      </c>
      <c r="L282" s="113">
        <f>J267</f>
        <v>2</v>
      </c>
      <c r="M282" s="113">
        <f>L267</f>
        <v>4</v>
      </c>
      <c r="N282" s="248">
        <f>M267</f>
        <v>6120</v>
      </c>
      <c r="O282" s="111">
        <v>1</v>
      </c>
      <c r="P282" s="111"/>
      <c r="Q282" s="111"/>
      <c r="R282" s="111" t="s">
        <v>1128</v>
      </c>
      <c r="S282" s="111"/>
      <c r="T282" s="111"/>
      <c r="U282" s="111">
        <v>0</v>
      </c>
    </row>
    <row r="283" spans="1:42" x14ac:dyDescent="0.25">
      <c r="B283" s="2"/>
      <c r="C283" s="137"/>
      <c r="D283" s="2"/>
      <c r="E283" s="2"/>
      <c r="F283" s="2"/>
      <c r="G283" s="137"/>
      <c r="H283" s="126"/>
      <c r="I283" s="126"/>
      <c r="J283" s="126"/>
      <c r="K283" s="126"/>
      <c r="W283" s="6"/>
      <c r="X283" s="6"/>
      <c r="Y283" s="6"/>
      <c r="Z283" s="6"/>
      <c r="AA283" s="6"/>
      <c r="AB283" s="6"/>
      <c r="AC283" s="6"/>
      <c r="AD283" s="6"/>
      <c r="AE283" s="6"/>
      <c r="AF283" s="6"/>
      <c r="AG283" s="6"/>
      <c r="AH283" s="6"/>
      <c r="AI283" s="6"/>
      <c r="AJ283" s="6"/>
      <c r="AK283" s="6"/>
      <c r="AL283" s="6"/>
      <c r="AM283" s="6"/>
      <c r="AN283" s="6"/>
      <c r="AO283" s="6"/>
      <c r="AP283" s="6"/>
    </row>
    <row r="284" spans="1:42" x14ac:dyDescent="0.25">
      <c r="A284" s="126" t="s">
        <v>1129</v>
      </c>
      <c r="B284" s="2" t="s">
        <v>1131</v>
      </c>
      <c r="C284" s="137"/>
      <c r="D284" s="2"/>
      <c r="E284" s="2"/>
      <c r="F284" s="2"/>
      <c r="G284" s="137"/>
      <c r="H284" s="126"/>
      <c r="I284" s="126"/>
      <c r="J284" s="126"/>
      <c r="K284" s="126"/>
      <c r="W284" s="6"/>
      <c r="X284" s="6"/>
      <c r="Y284" s="6"/>
      <c r="Z284" s="6"/>
      <c r="AA284" s="6"/>
      <c r="AB284" s="6"/>
      <c r="AC284" s="6"/>
      <c r="AD284" s="6"/>
      <c r="AE284" s="6"/>
      <c r="AF284" s="6"/>
      <c r="AG284" s="6"/>
      <c r="AH284" s="6"/>
      <c r="AI284" s="6"/>
      <c r="AJ284" s="6"/>
      <c r="AK284" s="6"/>
      <c r="AL284" s="6"/>
      <c r="AM284" s="6"/>
      <c r="AN284" s="6"/>
      <c r="AO284" s="6"/>
      <c r="AP284" s="6"/>
    </row>
    <row r="285" spans="1:42" x14ac:dyDescent="0.25">
      <c r="A285" s="126" t="s">
        <v>1129</v>
      </c>
      <c r="B285" s="586" t="s">
        <v>365</v>
      </c>
      <c r="C285" s="7" t="s">
        <v>191</v>
      </c>
      <c r="D285" s="7" t="s">
        <v>5</v>
      </c>
      <c r="E285" s="7" t="s">
        <v>286</v>
      </c>
      <c r="F285" s="7" t="s">
        <v>287</v>
      </c>
      <c r="G285" s="7" t="s">
        <v>120</v>
      </c>
      <c r="H285" s="144" t="s">
        <v>591</v>
      </c>
      <c r="I285" s="144" t="s">
        <v>52</v>
      </c>
      <c r="J285" s="144" t="s">
        <v>294</v>
      </c>
      <c r="K285" s="144" t="s">
        <v>9</v>
      </c>
      <c r="L285" s="144" t="s">
        <v>592</v>
      </c>
      <c r="W285" s="6"/>
      <c r="X285" s="6"/>
      <c r="Y285" s="6"/>
      <c r="Z285" s="6"/>
      <c r="AA285" s="6"/>
      <c r="AB285" s="6"/>
      <c r="AC285" s="6"/>
      <c r="AD285" s="6"/>
      <c r="AE285" s="6"/>
      <c r="AF285" s="6"/>
      <c r="AG285" s="6"/>
      <c r="AH285" s="6"/>
      <c r="AI285" s="6"/>
      <c r="AJ285" s="6"/>
      <c r="AK285" s="6"/>
      <c r="AL285" s="6"/>
      <c r="AM285" s="6"/>
      <c r="AN285" s="6"/>
      <c r="AO285" s="6"/>
      <c r="AP285" s="6"/>
    </row>
    <row r="286" spans="1:42" ht="24" x14ac:dyDescent="0.25">
      <c r="A286" s="126" t="s">
        <v>1129</v>
      </c>
      <c r="B286" s="586" t="s">
        <v>325</v>
      </c>
      <c r="C286" s="7" t="s">
        <v>346</v>
      </c>
      <c r="D286" s="7" t="s">
        <v>327</v>
      </c>
      <c r="E286" s="7" t="s">
        <v>321</v>
      </c>
      <c r="F286" s="144" t="s">
        <v>322</v>
      </c>
      <c r="G286" s="7" t="s">
        <v>323</v>
      </c>
      <c r="H286" s="37" t="s">
        <v>1010</v>
      </c>
      <c r="I286" s="144" t="s">
        <v>328</v>
      </c>
      <c r="J286" s="144" t="s">
        <v>331</v>
      </c>
      <c r="K286" s="144" t="s">
        <v>332</v>
      </c>
      <c r="L286" s="144" t="s">
        <v>333</v>
      </c>
      <c r="W286" s="6"/>
      <c r="X286" s="6"/>
      <c r="Y286" s="6"/>
      <c r="Z286" s="6"/>
      <c r="AA286" s="6"/>
      <c r="AB286" s="6"/>
      <c r="AC286" s="6"/>
      <c r="AD286" s="6"/>
      <c r="AE286" s="6"/>
      <c r="AF286" s="6"/>
      <c r="AG286" s="6"/>
      <c r="AH286" s="6"/>
      <c r="AI286" s="6"/>
      <c r="AJ286" s="6"/>
      <c r="AK286" s="6"/>
      <c r="AL286" s="6"/>
      <c r="AM286" s="6"/>
      <c r="AN286" s="6"/>
      <c r="AO286" s="6"/>
      <c r="AP286" s="6"/>
    </row>
    <row r="287" spans="1:42" x14ac:dyDescent="0.25">
      <c r="A287" s="126" t="s">
        <v>1129</v>
      </c>
      <c r="B287" s="587">
        <f>$B$2</f>
        <v>20180326</v>
      </c>
      <c r="C287" s="12" t="str">
        <f>$F$8</f>
        <v>9999</v>
      </c>
      <c r="D287" s="12" t="str">
        <f>$B$22</f>
        <v>CZCE</v>
      </c>
      <c r="E287" s="12" t="str">
        <f>E765</f>
        <v>6001</v>
      </c>
      <c r="F287" s="12" t="str">
        <f t="shared" ref="F287:L288" si="16">F765</f>
        <v>B00101</v>
      </c>
      <c r="G287" s="12" t="str">
        <f t="shared" si="16"/>
        <v>6001</v>
      </c>
      <c r="H287" s="12" t="str">
        <f t="shared" si="16"/>
        <v>CNY</v>
      </c>
      <c r="I287" s="12" t="str">
        <f t="shared" si="16"/>
        <v>SR807</v>
      </c>
      <c r="J287" s="12">
        <f t="shared" si="16"/>
        <v>3</v>
      </c>
      <c r="K287" s="12">
        <f t="shared" si="16"/>
        <v>1</v>
      </c>
      <c r="L287" s="12">
        <f t="shared" si="16"/>
        <v>2</v>
      </c>
      <c r="W287" s="6"/>
      <c r="X287" s="6"/>
      <c r="Y287" s="6"/>
      <c r="Z287" s="6"/>
      <c r="AA287" s="6"/>
      <c r="AB287" s="6"/>
      <c r="AC287" s="6"/>
      <c r="AD287" s="6"/>
      <c r="AE287" s="6"/>
      <c r="AF287" s="6"/>
      <c r="AG287" s="6"/>
      <c r="AH287" s="6"/>
      <c r="AI287" s="6"/>
      <c r="AJ287" s="6"/>
      <c r="AK287" s="6"/>
      <c r="AL287" s="6"/>
      <c r="AM287" s="6"/>
      <c r="AN287" s="6"/>
      <c r="AO287" s="6"/>
      <c r="AP287" s="6"/>
    </row>
    <row r="288" spans="1:42" x14ac:dyDescent="0.25">
      <c r="A288" s="126" t="s">
        <v>1129</v>
      </c>
      <c r="B288" s="587">
        <f>$B$2</f>
        <v>20180326</v>
      </c>
      <c r="C288" s="12" t="str">
        <f>$F$8</f>
        <v>9999</v>
      </c>
      <c r="D288" s="12" t="str">
        <f>$B$22</f>
        <v>CZCE</v>
      </c>
      <c r="E288" s="12" t="str">
        <f>E766</f>
        <v>6001</v>
      </c>
      <c r="F288" s="12" t="str">
        <f t="shared" si="16"/>
        <v>B00101</v>
      </c>
      <c r="G288" s="12" t="str">
        <f t="shared" si="16"/>
        <v>6001</v>
      </c>
      <c r="H288" s="12" t="str">
        <f t="shared" si="16"/>
        <v>CNY</v>
      </c>
      <c r="I288" s="12" t="str">
        <f t="shared" si="16"/>
        <v>SR807</v>
      </c>
      <c r="J288" s="12">
        <f t="shared" si="16"/>
        <v>3</v>
      </c>
      <c r="K288" s="12">
        <f t="shared" si="16"/>
        <v>3</v>
      </c>
      <c r="L288" s="12">
        <f t="shared" si="16"/>
        <v>3</v>
      </c>
      <c r="W288" s="6"/>
      <c r="X288" s="6"/>
      <c r="Y288" s="6"/>
      <c r="Z288" s="6"/>
      <c r="AA288" s="6"/>
      <c r="AB288" s="6"/>
      <c r="AC288" s="6"/>
      <c r="AD288" s="6"/>
      <c r="AE288" s="6"/>
      <c r="AF288" s="6"/>
      <c r="AG288" s="6"/>
      <c r="AH288" s="6"/>
      <c r="AI288" s="6"/>
      <c r="AJ288" s="6"/>
      <c r="AK288" s="6"/>
      <c r="AL288" s="6"/>
      <c r="AM288" s="6"/>
      <c r="AN288" s="6"/>
      <c r="AO288" s="6"/>
      <c r="AP288" s="6"/>
    </row>
    <row r="289" spans="1:42" x14ac:dyDescent="0.25">
      <c r="B289" s="161"/>
      <c r="C289" s="3"/>
      <c r="D289" s="3"/>
      <c r="E289" s="3"/>
      <c r="F289" s="3"/>
      <c r="G289" s="3"/>
      <c r="H289" s="3"/>
      <c r="I289" s="3"/>
      <c r="J289" s="3"/>
      <c r="K289" s="3"/>
      <c r="L289" s="3"/>
      <c r="W289" s="6"/>
      <c r="X289" s="6"/>
      <c r="Y289" s="6"/>
      <c r="Z289" s="6"/>
      <c r="AA289" s="6"/>
      <c r="AB289" s="6"/>
      <c r="AC289" s="6"/>
      <c r="AD289" s="6"/>
      <c r="AE289" s="6"/>
      <c r="AF289" s="6"/>
      <c r="AG289" s="6"/>
      <c r="AH289" s="6"/>
      <c r="AI289" s="6"/>
      <c r="AJ289" s="6"/>
      <c r="AK289" s="6"/>
      <c r="AL289" s="6"/>
      <c r="AM289" s="6"/>
      <c r="AN289" s="6"/>
      <c r="AO289" s="6"/>
      <c r="AP289" s="6"/>
    </row>
    <row r="290" spans="1:42" x14ac:dyDescent="0.25">
      <c r="A290" s="195" t="s">
        <v>1618</v>
      </c>
      <c r="B290" s="583" t="s">
        <v>1135</v>
      </c>
      <c r="C290" s="184"/>
      <c r="D290" s="184"/>
      <c r="E290" s="171"/>
      <c r="F290" s="137"/>
      <c r="G290" s="126"/>
      <c r="H290" s="126"/>
      <c r="I290" s="126"/>
      <c r="J290" s="126"/>
      <c r="V290" s="6"/>
      <c r="W290" s="6"/>
      <c r="X290" s="6"/>
      <c r="Y290" s="6"/>
      <c r="Z290" s="6"/>
      <c r="AA290" s="6"/>
      <c r="AB290" s="6"/>
      <c r="AC290" s="6"/>
      <c r="AD290" s="6"/>
      <c r="AE290" s="6"/>
      <c r="AF290" s="6"/>
      <c r="AG290" s="6"/>
      <c r="AH290" s="6"/>
      <c r="AI290" s="6"/>
      <c r="AJ290" s="6"/>
      <c r="AK290" s="6"/>
      <c r="AL290" s="6"/>
      <c r="AM290" s="6"/>
      <c r="AN290" s="6"/>
      <c r="AO290" s="6"/>
    </row>
    <row r="291" spans="1:42" x14ac:dyDescent="0.25">
      <c r="A291" s="614" t="s">
        <v>1095</v>
      </c>
      <c r="B291" s="704" t="s">
        <v>1569</v>
      </c>
      <c r="C291" s="705"/>
      <c r="D291" s="706"/>
      <c r="E291" s="706"/>
      <c r="F291" s="706"/>
      <c r="G291" s="706"/>
      <c r="H291" s="706"/>
      <c r="I291" s="706"/>
      <c r="J291" s="706"/>
      <c r="K291" s="706"/>
      <c r="L291" s="707"/>
      <c r="M291" s="695" t="s">
        <v>1126</v>
      </c>
      <c r="N291" s="695" t="s">
        <v>1107</v>
      </c>
      <c r="O291" s="695" t="s">
        <v>1108</v>
      </c>
      <c r="P291" s="695" t="s">
        <v>1127</v>
      </c>
      <c r="Q291" s="185"/>
      <c r="V291" s="6"/>
      <c r="W291" s="6"/>
      <c r="X291" s="6"/>
      <c r="Y291" s="6"/>
      <c r="Z291" s="6"/>
      <c r="AA291" s="6"/>
      <c r="AB291" s="6"/>
      <c r="AC291" s="6"/>
      <c r="AD291" s="6"/>
      <c r="AE291" s="6"/>
      <c r="AF291" s="6"/>
      <c r="AG291" s="6"/>
      <c r="AH291" s="6"/>
      <c r="AI291" s="6"/>
      <c r="AJ291" s="6"/>
      <c r="AK291" s="6"/>
      <c r="AL291" s="6"/>
      <c r="AM291" s="6"/>
      <c r="AN291" s="6"/>
      <c r="AO291" s="6"/>
    </row>
    <row r="292" spans="1:42" x14ac:dyDescent="0.25">
      <c r="A292" s="614"/>
      <c r="B292" s="585" t="s">
        <v>1133</v>
      </c>
      <c r="C292" s="172" t="s">
        <v>1134</v>
      </c>
      <c r="D292" s="172" t="s">
        <v>1117</v>
      </c>
      <c r="E292" s="173" t="s">
        <v>1112</v>
      </c>
      <c r="F292" s="138" t="s">
        <v>1114</v>
      </c>
      <c r="G292" s="172" t="s">
        <v>1115</v>
      </c>
      <c r="H292" s="172" t="s">
        <v>1116</v>
      </c>
      <c r="I292" s="172" t="s">
        <v>1118</v>
      </c>
      <c r="J292" s="172" t="s">
        <v>1120</v>
      </c>
      <c r="K292" s="172" t="s">
        <v>1119</v>
      </c>
      <c r="L292" s="172" t="s">
        <v>1136</v>
      </c>
      <c r="M292" s="696"/>
      <c r="N292" s="696"/>
      <c r="O292" s="696"/>
      <c r="P292" s="696"/>
      <c r="Q292" s="187"/>
      <c r="V292" s="6"/>
      <c r="W292" s="6"/>
      <c r="X292" s="6"/>
      <c r="Y292" s="6"/>
      <c r="Z292" s="6"/>
      <c r="AA292" s="6"/>
      <c r="AB292" s="6"/>
      <c r="AC292" s="6"/>
      <c r="AD292" s="6"/>
      <c r="AE292" s="6"/>
      <c r="AF292" s="6"/>
      <c r="AG292" s="6"/>
      <c r="AH292" s="6"/>
      <c r="AI292" s="6"/>
      <c r="AJ292" s="6"/>
      <c r="AK292" s="6"/>
      <c r="AL292" s="6"/>
      <c r="AM292" s="6"/>
      <c r="AN292" s="6"/>
      <c r="AO292" s="6"/>
    </row>
    <row r="293" spans="1:42" x14ac:dyDescent="0.25">
      <c r="A293" s="614"/>
      <c r="B293" s="588">
        <f t="shared" ref="B293:L293" si="17">B287</f>
        <v>20180326</v>
      </c>
      <c r="C293" s="186" t="str">
        <f t="shared" si="17"/>
        <v>9999</v>
      </c>
      <c r="D293" s="186" t="str">
        <f t="shared" si="17"/>
        <v>CZCE</v>
      </c>
      <c r="E293" s="186" t="str">
        <f t="shared" si="17"/>
        <v>6001</v>
      </c>
      <c r="F293" s="186" t="str">
        <f t="shared" si="17"/>
        <v>B00101</v>
      </c>
      <c r="G293" s="186" t="str">
        <f t="shared" si="17"/>
        <v>6001</v>
      </c>
      <c r="H293" s="186" t="str">
        <f t="shared" si="17"/>
        <v>CNY</v>
      </c>
      <c r="I293" s="186" t="str">
        <f t="shared" si="17"/>
        <v>SR807</v>
      </c>
      <c r="J293" s="186">
        <f t="shared" si="17"/>
        <v>3</v>
      </c>
      <c r="K293" s="186">
        <f t="shared" si="17"/>
        <v>1</v>
      </c>
      <c r="L293" s="186">
        <f t="shared" si="17"/>
        <v>2</v>
      </c>
      <c r="M293" s="176" t="s">
        <v>1128</v>
      </c>
      <c r="N293" s="176"/>
      <c r="O293" s="176"/>
      <c r="P293" s="176">
        <v>0</v>
      </c>
      <c r="Q293" s="111"/>
      <c r="V293" s="6"/>
      <c r="W293" s="6"/>
      <c r="X293" s="6"/>
      <c r="Y293" s="6"/>
      <c r="Z293" s="6"/>
      <c r="AA293" s="6"/>
      <c r="AB293" s="6"/>
      <c r="AC293" s="6"/>
      <c r="AD293" s="6"/>
      <c r="AE293" s="6"/>
      <c r="AF293" s="6"/>
      <c r="AG293" s="6"/>
      <c r="AH293" s="6"/>
      <c r="AI293" s="6"/>
      <c r="AJ293" s="6"/>
      <c r="AK293" s="6"/>
      <c r="AL293" s="6"/>
      <c r="AM293" s="6"/>
      <c r="AN293" s="6"/>
      <c r="AO293" s="6"/>
    </row>
    <row r="294" spans="1:42" x14ac:dyDescent="0.25">
      <c r="A294" s="2"/>
      <c r="B294" s="137"/>
      <c r="C294" s="2"/>
      <c r="D294" s="2"/>
      <c r="E294" s="2"/>
      <c r="F294" s="137"/>
      <c r="G294" s="126"/>
      <c r="H294" s="126"/>
      <c r="I294" s="126"/>
      <c r="J294" s="126"/>
      <c r="V294" s="6"/>
      <c r="W294" s="6"/>
      <c r="X294" s="6"/>
      <c r="Y294" s="6"/>
      <c r="Z294" s="6"/>
      <c r="AA294" s="6"/>
      <c r="AB294" s="6"/>
      <c r="AC294" s="6"/>
      <c r="AD294" s="6"/>
      <c r="AE294" s="6"/>
      <c r="AF294" s="6"/>
      <c r="AG294" s="6"/>
      <c r="AH294" s="6"/>
      <c r="AI294" s="6"/>
      <c r="AJ294" s="6"/>
      <c r="AK294" s="6"/>
      <c r="AL294" s="6"/>
      <c r="AM294" s="6"/>
      <c r="AN294" s="6"/>
      <c r="AO294" s="6"/>
    </row>
    <row r="295" spans="1:42" x14ac:dyDescent="0.25">
      <c r="A295" s="195" t="s">
        <v>1132</v>
      </c>
      <c r="B295" s="583" t="s">
        <v>1135</v>
      </c>
      <c r="C295" s="184"/>
      <c r="D295" s="184"/>
      <c r="E295" s="171"/>
      <c r="F295" s="137"/>
      <c r="G295" s="126"/>
      <c r="H295" s="126"/>
      <c r="I295" s="126"/>
      <c r="J295" s="126"/>
      <c r="V295" s="6"/>
      <c r="W295" s="6"/>
      <c r="X295" s="6"/>
      <c r="Y295" s="6"/>
      <c r="Z295" s="6"/>
      <c r="AA295" s="6"/>
      <c r="AB295" s="6"/>
      <c r="AC295" s="6"/>
      <c r="AD295" s="6"/>
      <c r="AE295" s="6"/>
      <c r="AF295" s="6"/>
      <c r="AG295" s="6"/>
      <c r="AH295" s="6"/>
      <c r="AI295" s="6"/>
      <c r="AJ295" s="6"/>
      <c r="AK295" s="6"/>
      <c r="AL295" s="6"/>
      <c r="AM295" s="6"/>
      <c r="AN295" s="6"/>
      <c r="AO295" s="6"/>
    </row>
    <row r="296" spans="1:42" x14ac:dyDescent="0.25">
      <c r="A296" s="614" t="s">
        <v>1143</v>
      </c>
      <c r="B296" s="704" t="s">
        <v>1569</v>
      </c>
      <c r="C296" s="705"/>
      <c r="D296" s="706"/>
      <c r="E296" s="706"/>
      <c r="F296" s="706"/>
      <c r="G296" s="706"/>
      <c r="H296" s="706"/>
      <c r="I296" s="706"/>
      <c r="J296" s="706"/>
      <c r="K296" s="706"/>
      <c r="L296" s="707"/>
      <c r="M296" s="695" t="s">
        <v>1126</v>
      </c>
      <c r="N296" s="695" t="s">
        <v>1107</v>
      </c>
      <c r="O296" s="695" t="s">
        <v>1108</v>
      </c>
      <c r="P296" s="695" t="s">
        <v>1127</v>
      </c>
      <c r="V296" s="6"/>
      <c r="W296" s="6"/>
      <c r="X296" s="6"/>
      <c r="Y296" s="6"/>
      <c r="Z296" s="6"/>
      <c r="AA296" s="6"/>
      <c r="AB296" s="6"/>
      <c r="AC296" s="6"/>
      <c r="AD296" s="6"/>
      <c r="AE296" s="6"/>
      <c r="AF296" s="6"/>
      <c r="AG296" s="6"/>
      <c r="AH296" s="6"/>
      <c r="AI296" s="6"/>
      <c r="AJ296" s="6"/>
      <c r="AK296" s="6"/>
      <c r="AL296" s="6"/>
      <c r="AM296" s="6"/>
      <c r="AN296" s="6"/>
      <c r="AO296" s="6"/>
    </row>
    <row r="297" spans="1:42" x14ac:dyDescent="0.25">
      <c r="A297" s="614"/>
      <c r="B297" s="584" t="s">
        <v>1133</v>
      </c>
      <c r="C297" s="273" t="s">
        <v>1134</v>
      </c>
      <c r="D297" s="273" t="s">
        <v>1117</v>
      </c>
      <c r="E297" s="173" t="s">
        <v>1112</v>
      </c>
      <c r="F297" s="274" t="s">
        <v>1114</v>
      </c>
      <c r="G297" s="273" t="s">
        <v>1115</v>
      </c>
      <c r="H297" s="273" t="s">
        <v>1116</v>
      </c>
      <c r="I297" s="273" t="s">
        <v>1118</v>
      </c>
      <c r="J297" s="273" t="s">
        <v>1120</v>
      </c>
      <c r="K297" s="273" t="s">
        <v>1119</v>
      </c>
      <c r="L297" s="273" t="s">
        <v>1136</v>
      </c>
      <c r="M297" s="696"/>
      <c r="N297" s="696"/>
      <c r="O297" s="696"/>
      <c r="P297" s="696"/>
      <c r="V297" s="6"/>
      <c r="W297" s="6"/>
      <c r="X297" s="6"/>
      <c r="Y297" s="6"/>
      <c r="Z297" s="6"/>
      <c r="AA297" s="6"/>
      <c r="AB297" s="6"/>
      <c r="AC297" s="6"/>
      <c r="AD297" s="6"/>
      <c r="AE297" s="6"/>
      <c r="AF297" s="6"/>
      <c r="AG297" s="6"/>
      <c r="AH297" s="6"/>
      <c r="AI297" s="6"/>
      <c r="AJ297" s="6"/>
      <c r="AK297" s="6"/>
      <c r="AL297" s="6"/>
      <c r="AM297" s="6"/>
      <c r="AN297" s="6"/>
      <c r="AO297" s="6"/>
    </row>
    <row r="298" spans="1:42" x14ac:dyDescent="0.25">
      <c r="A298" s="614"/>
      <c r="B298" s="588">
        <f t="shared" ref="B298:L298" si="18">B288</f>
        <v>20180326</v>
      </c>
      <c r="C298" s="186" t="str">
        <f t="shared" si="18"/>
        <v>9999</v>
      </c>
      <c r="D298" s="186" t="str">
        <f t="shared" si="18"/>
        <v>CZCE</v>
      </c>
      <c r="E298" s="186" t="str">
        <f t="shared" si="18"/>
        <v>6001</v>
      </c>
      <c r="F298" s="186" t="str">
        <f t="shared" si="18"/>
        <v>B00101</v>
      </c>
      <c r="G298" s="186" t="str">
        <f t="shared" si="18"/>
        <v>6001</v>
      </c>
      <c r="H298" s="186" t="str">
        <f t="shared" si="18"/>
        <v>CNY</v>
      </c>
      <c r="I298" s="186" t="str">
        <f t="shared" si="18"/>
        <v>SR807</v>
      </c>
      <c r="J298" s="186">
        <f t="shared" si="18"/>
        <v>3</v>
      </c>
      <c r="K298" s="186">
        <f t="shared" si="18"/>
        <v>3</v>
      </c>
      <c r="L298" s="186">
        <f t="shared" si="18"/>
        <v>3</v>
      </c>
      <c r="M298" s="176" t="s">
        <v>1128</v>
      </c>
      <c r="N298" s="176"/>
      <c r="O298" s="176"/>
      <c r="P298" s="176">
        <v>0</v>
      </c>
      <c r="V298" s="6"/>
      <c r="W298" s="6"/>
      <c r="X298" s="6"/>
      <c r="Y298" s="6"/>
      <c r="Z298" s="6"/>
      <c r="AA298" s="6"/>
      <c r="AB298" s="6"/>
      <c r="AC298" s="6"/>
      <c r="AD298" s="6"/>
      <c r="AE298" s="6"/>
      <c r="AF298" s="6"/>
      <c r="AG298" s="6"/>
      <c r="AH298" s="6"/>
      <c r="AI298" s="6"/>
      <c r="AJ298" s="6"/>
      <c r="AK298" s="6"/>
      <c r="AL298" s="6"/>
      <c r="AM298" s="6"/>
      <c r="AN298" s="6"/>
      <c r="AO298" s="6"/>
    </row>
    <row r="299" spans="1:42" s="6" customFormat="1" x14ac:dyDescent="0.25">
      <c r="A299" s="167"/>
      <c r="B299" s="179"/>
      <c r="C299" s="188"/>
      <c r="D299" s="188"/>
      <c r="E299" s="188"/>
      <c r="F299" s="188"/>
      <c r="G299" s="188"/>
      <c r="H299" s="188"/>
      <c r="I299" s="188"/>
      <c r="J299" s="188"/>
      <c r="K299" s="188"/>
      <c r="L299" s="188"/>
      <c r="M299" s="188"/>
      <c r="N299" s="167"/>
      <c r="O299" s="167"/>
      <c r="P299" s="167"/>
      <c r="Q299" s="167"/>
    </row>
    <row r="300" spans="1:42" s="6" customFormat="1" x14ac:dyDescent="0.25">
      <c r="A300" s="126" t="s">
        <v>1129</v>
      </c>
      <c r="B300" s="179" t="s">
        <v>1141</v>
      </c>
      <c r="C300" s="188"/>
      <c r="D300" s="188"/>
      <c r="E300" s="188"/>
      <c r="F300" s="188"/>
      <c r="G300" s="188"/>
      <c r="H300" s="188"/>
      <c r="I300" s="188"/>
      <c r="J300" s="188"/>
      <c r="K300" s="188"/>
      <c r="L300" s="188"/>
      <c r="M300" s="188"/>
      <c r="N300" s="167"/>
      <c r="O300" s="167"/>
      <c r="P300" s="167"/>
      <c r="Q300" s="167"/>
    </row>
    <row r="301" spans="1:42" s="6" customFormat="1" x14ac:dyDescent="0.25">
      <c r="A301" s="126" t="s">
        <v>1129</v>
      </c>
      <c r="B301" s="589" t="s">
        <v>1137</v>
      </c>
      <c r="C301" s="189" t="s">
        <v>1138</v>
      </c>
      <c r="D301" s="189" t="s">
        <v>1139</v>
      </c>
      <c r="E301" s="189" t="s">
        <v>1140</v>
      </c>
      <c r="F301" s="189" t="s">
        <v>1463</v>
      </c>
      <c r="G301" s="189" t="s">
        <v>1171</v>
      </c>
      <c r="H301" s="188"/>
      <c r="I301" s="188"/>
      <c r="J301" s="188"/>
      <c r="K301" s="188"/>
      <c r="L301" s="188"/>
      <c r="M301" s="188"/>
      <c r="N301" s="167"/>
      <c r="O301" s="167"/>
      <c r="P301" s="167"/>
      <c r="Q301" s="167"/>
    </row>
    <row r="302" spans="1:42" s="6" customFormat="1" x14ac:dyDescent="0.25">
      <c r="A302" s="126" t="s">
        <v>1129</v>
      </c>
      <c r="B302" s="589" t="str">
        <f t="shared" ref="B302:D304" si="19">B12</f>
        <v>6001</v>
      </c>
      <c r="C302" s="174" t="str">
        <f t="shared" si="19"/>
        <v>6001</v>
      </c>
      <c r="D302" s="174" t="str">
        <f t="shared" si="19"/>
        <v>CNY</v>
      </c>
      <c r="E302" s="236">
        <v>3000.99</v>
      </c>
      <c r="F302" s="189">
        <v>0</v>
      </c>
      <c r="G302" s="189" t="str">
        <f>$F$8</f>
        <v>9999</v>
      </c>
      <c r="H302" s="188"/>
      <c r="I302" s="188"/>
      <c r="J302" s="188"/>
      <c r="K302" s="188"/>
      <c r="L302" s="188"/>
      <c r="M302" s="188"/>
      <c r="N302" s="167"/>
      <c r="O302" s="167"/>
      <c r="P302" s="167"/>
      <c r="Q302" s="167"/>
    </row>
    <row r="303" spans="1:42" s="6" customFormat="1" x14ac:dyDescent="0.25">
      <c r="A303" s="126" t="s">
        <v>237</v>
      </c>
      <c r="B303" s="589" t="str">
        <f t="shared" si="19"/>
        <v>6001</v>
      </c>
      <c r="C303" s="413" t="str">
        <f t="shared" si="19"/>
        <v>6001</v>
      </c>
      <c r="D303" s="413" t="str">
        <f t="shared" si="19"/>
        <v>HKD</v>
      </c>
      <c r="E303" s="236">
        <v>2000.86</v>
      </c>
      <c r="F303" s="189">
        <v>0</v>
      </c>
      <c r="G303" s="189" t="str">
        <f>$F$8</f>
        <v>9999</v>
      </c>
      <c r="H303" s="188"/>
      <c r="I303" s="188"/>
      <c r="J303" s="188"/>
      <c r="K303" s="188"/>
      <c r="L303" s="188"/>
      <c r="M303" s="188"/>
      <c r="N303" s="167"/>
      <c r="O303" s="167"/>
      <c r="P303" s="167"/>
      <c r="Q303" s="167"/>
    </row>
    <row r="304" spans="1:42" s="6" customFormat="1" x14ac:dyDescent="0.25">
      <c r="A304" s="126" t="s">
        <v>1129</v>
      </c>
      <c r="B304" s="589" t="str">
        <f t="shared" si="19"/>
        <v>6001</v>
      </c>
      <c r="C304" s="174" t="str">
        <f t="shared" si="19"/>
        <v>6001</v>
      </c>
      <c r="D304" s="174" t="str">
        <f t="shared" si="19"/>
        <v>USD</v>
      </c>
      <c r="E304" s="236">
        <v>2000.86</v>
      </c>
      <c r="F304" s="189">
        <v>0</v>
      </c>
      <c r="G304" s="189" t="str">
        <f t="shared" ref="G304:G307" si="20">$F$8</f>
        <v>9999</v>
      </c>
      <c r="H304" s="188"/>
      <c r="I304" s="188"/>
      <c r="J304" s="188"/>
      <c r="K304" s="188"/>
      <c r="L304" s="188"/>
      <c r="M304" s="188"/>
      <c r="N304" s="167"/>
      <c r="O304" s="167"/>
      <c r="P304" s="167"/>
      <c r="Q304" s="167"/>
    </row>
    <row r="305" spans="1:41" s="6" customFormat="1" x14ac:dyDescent="0.25">
      <c r="A305" s="126" t="s">
        <v>1129</v>
      </c>
      <c r="B305" s="589" t="str">
        <f>B302</f>
        <v>6001</v>
      </c>
      <c r="C305" s="174" t="str">
        <f t="shared" ref="C305:D306" si="21">C302</f>
        <v>6001</v>
      </c>
      <c r="D305" s="174" t="str">
        <f t="shared" si="21"/>
        <v>CNY</v>
      </c>
      <c r="E305" s="236">
        <v>1000</v>
      </c>
      <c r="F305" s="189">
        <v>1</v>
      </c>
      <c r="G305" s="189" t="str">
        <f t="shared" si="20"/>
        <v>9999</v>
      </c>
      <c r="H305" s="188"/>
      <c r="I305" s="188"/>
      <c r="J305" s="188"/>
      <c r="K305" s="188"/>
      <c r="L305" s="188"/>
      <c r="M305" s="188"/>
      <c r="N305" s="167"/>
      <c r="O305" s="167"/>
      <c r="P305" s="167"/>
      <c r="Q305" s="167"/>
    </row>
    <row r="306" spans="1:41" s="6" customFormat="1" x14ac:dyDescent="0.25">
      <c r="A306" s="126" t="s">
        <v>237</v>
      </c>
      <c r="B306" s="589" t="str">
        <f>B303</f>
        <v>6001</v>
      </c>
      <c r="C306" s="413" t="str">
        <f t="shared" si="21"/>
        <v>6001</v>
      </c>
      <c r="D306" s="413" t="str">
        <f t="shared" si="21"/>
        <v>HKD</v>
      </c>
      <c r="E306" s="236">
        <v>1000</v>
      </c>
      <c r="F306" s="189">
        <v>1</v>
      </c>
      <c r="G306" s="189" t="str">
        <f t="shared" si="20"/>
        <v>9999</v>
      </c>
      <c r="H306" s="188"/>
      <c r="I306" s="188"/>
      <c r="J306" s="188"/>
      <c r="K306" s="188"/>
      <c r="L306" s="188"/>
      <c r="M306" s="188"/>
      <c r="N306" s="167"/>
      <c r="O306" s="167"/>
      <c r="P306" s="167"/>
      <c r="Q306" s="167"/>
    </row>
    <row r="307" spans="1:41" s="6" customFormat="1" x14ac:dyDescent="0.25">
      <c r="A307" s="126" t="s">
        <v>1181</v>
      </c>
      <c r="B307" s="589" t="str">
        <f>B304</f>
        <v>6001</v>
      </c>
      <c r="C307" s="174" t="str">
        <f t="shared" ref="C307:D307" si="22">C304</f>
        <v>6001</v>
      </c>
      <c r="D307" s="174" t="str">
        <f t="shared" si="22"/>
        <v>USD</v>
      </c>
      <c r="E307" s="236">
        <v>1000</v>
      </c>
      <c r="F307" s="189">
        <v>1</v>
      </c>
      <c r="G307" s="189" t="str">
        <f t="shared" si="20"/>
        <v>9999</v>
      </c>
      <c r="H307" s="188"/>
      <c r="I307" s="188"/>
      <c r="J307" s="188"/>
      <c r="K307" s="188"/>
      <c r="L307" s="188"/>
      <c r="M307" s="188"/>
      <c r="N307" s="167"/>
      <c r="O307" s="167"/>
      <c r="P307" s="167"/>
      <c r="Q307" s="167"/>
    </row>
    <row r="308" spans="1:41" s="6" customFormat="1" x14ac:dyDescent="0.25">
      <c r="A308" s="126" t="s">
        <v>1197</v>
      </c>
      <c r="B308" s="179" t="s">
        <v>1182</v>
      </c>
      <c r="C308" s="179"/>
      <c r="D308" s="179"/>
      <c r="E308" s="179"/>
      <c r="F308" s="188"/>
      <c r="G308" s="188"/>
      <c r="H308" s="188"/>
      <c r="I308" s="188"/>
      <c r="J308" s="188"/>
      <c r="K308" s="188"/>
      <c r="L308" s="188"/>
      <c r="M308" s="188"/>
      <c r="N308" s="167"/>
      <c r="O308" s="167"/>
      <c r="P308" s="167"/>
      <c r="Q308" s="167"/>
    </row>
    <row r="309" spans="1:41" s="6" customFormat="1" x14ac:dyDescent="0.25">
      <c r="A309" s="195" t="s">
        <v>1132</v>
      </c>
      <c r="B309" s="590" t="s">
        <v>1142</v>
      </c>
      <c r="C309" s="204"/>
      <c r="D309" s="204"/>
      <c r="E309" s="235"/>
      <c r="F309" s="188"/>
      <c r="G309" s="188"/>
      <c r="H309" s="188"/>
      <c r="I309" s="188"/>
      <c r="J309" s="188"/>
      <c r="K309" s="188"/>
      <c r="L309" s="188"/>
      <c r="M309" s="167"/>
      <c r="N309" s="167"/>
      <c r="O309" s="167"/>
      <c r="P309" s="167"/>
    </row>
    <row r="310" spans="1:41" s="6" customFormat="1" x14ac:dyDescent="0.25">
      <c r="A310" s="323" t="s">
        <v>1144</v>
      </c>
      <c r="B310" s="704" t="s">
        <v>1566</v>
      </c>
      <c r="C310" s="705"/>
      <c r="D310" s="705"/>
      <c r="E310" s="705"/>
      <c r="F310" s="705"/>
      <c r="G310" s="705"/>
      <c r="H310" s="705"/>
      <c r="I310" s="705"/>
      <c r="J310" s="705"/>
      <c r="K310" s="705"/>
      <c r="L310" s="705"/>
      <c r="M310" s="705"/>
      <c r="N310" s="705"/>
      <c r="O310" s="705"/>
      <c r="P310" s="705"/>
      <c r="Q310" s="705"/>
      <c r="R310" s="705"/>
      <c r="S310" s="705"/>
      <c r="T310" s="705"/>
      <c r="U310" s="705"/>
      <c r="V310" s="705"/>
      <c r="W310" s="705"/>
      <c r="X310" s="705"/>
      <c r="Y310" s="705"/>
      <c r="Z310" s="705"/>
      <c r="AA310" s="705"/>
      <c r="AB310" s="705"/>
      <c r="AC310" s="705"/>
      <c r="AD310" s="705"/>
      <c r="AE310" s="708"/>
      <c r="AF310" s="695" t="s">
        <v>1126</v>
      </c>
      <c r="AG310" s="695" t="s">
        <v>1107</v>
      </c>
      <c r="AH310" s="695" t="s">
        <v>1108</v>
      </c>
      <c r="AI310" s="695" t="s">
        <v>1127</v>
      </c>
    </row>
    <row r="311" spans="1:41" s="6" customFormat="1" x14ac:dyDescent="0.25">
      <c r="A311" s="323"/>
      <c r="B311" s="589" t="s">
        <v>1145</v>
      </c>
      <c r="C311" s="174" t="s">
        <v>1146</v>
      </c>
      <c r="D311" s="174" t="s">
        <v>1147</v>
      </c>
      <c r="E311" s="189" t="s">
        <v>1148</v>
      </c>
      <c r="F311" s="189" t="s">
        <v>1149</v>
      </c>
      <c r="G311" s="189" t="s">
        <v>1150</v>
      </c>
      <c r="H311" s="189" t="s">
        <v>1151</v>
      </c>
      <c r="I311" s="189" t="s">
        <v>1152</v>
      </c>
      <c r="J311" s="189" t="s">
        <v>1153</v>
      </c>
      <c r="K311" s="189" t="s">
        <v>1154</v>
      </c>
      <c r="L311" s="189" t="s">
        <v>1134</v>
      </c>
      <c r="M311" s="189" t="s">
        <v>1155</v>
      </c>
      <c r="N311" s="189" t="s">
        <v>1112</v>
      </c>
      <c r="O311" s="189" t="s">
        <v>1115</v>
      </c>
      <c r="P311" s="189" t="s">
        <v>1156</v>
      </c>
      <c r="Q311" s="189" t="s">
        <v>1157</v>
      </c>
      <c r="R311" s="189" t="s">
        <v>1158</v>
      </c>
      <c r="S311" s="189" t="s">
        <v>1159</v>
      </c>
      <c r="T311" s="189" t="s">
        <v>1160</v>
      </c>
      <c r="U311" s="189" t="s">
        <v>1161</v>
      </c>
      <c r="V311" s="189" t="s">
        <v>1162</v>
      </c>
      <c r="W311" s="189" t="s">
        <v>1164</v>
      </c>
      <c r="X311" s="189" t="s">
        <v>1165</v>
      </c>
      <c r="Y311" s="189" t="s">
        <v>1166</v>
      </c>
      <c r="Z311" s="189" t="s">
        <v>1117</v>
      </c>
      <c r="AA311" s="189" t="s">
        <v>1116</v>
      </c>
      <c r="AB311" s="189" t="s">
        <v>1167</v>
      </c>
      <c r="AC311" s="189" t="s">
        <v>1168</v>
      </c>
      <c r="AD311" s="189" t="s">
        <v>1169</v>
      </c>
      <c r="AE311" s="189" t="s">
        <v>1170</v>
      </c>
      <c r="AF311" s="696"/>
      <c r="AG311" s="696"/>
      <c r="AH311" s="696"/>
      <c r="AI311" s="696"/>
    </row>
    <row r="312" spans="1:41" s="6" customFormat="1" x14ac:dyDescent="0.25">
      <c r="A312" s="323"/>
      <c r="B312" s="589"/>
      <c r="C312" s="174"/>
      <c r="D312" s="174"/>
      <c r="E312" s="189"/>
      <c r="F312" s="189"/>
      <c r="G312" s="189"/>
      <c r="H312" s="189"/>
      <c r="I312" s="189"/>
      <c r="J312" s="189"/>
      <c r="K312" s="189"/>
      <c r="L312" s="189" t="str">
        <f>G302</f>
        <v>9999</v>
      </c>
      <c r="M312" s="111"/>
      <c r="N312" s="111" t="str">
        <f>B302</f>
        <v>6001</v>
      </c>
      <c r="O312" s="111" t="str">
        <f>C302</f>
        <v>6001</v>
      </c>
      <c r="P312" s="111"/>
      <c r="Q312" s="111"/>
      <c r="R312" s="111">
        <v>3</v>
      </c>
      <c r="S312" s="111">
        <v>1</v>
      </c>
      <c r="T312" s="111">
        <v>1</v>
      </c>
      <c r="U312" s="113">
        <f>E302</f>
        <v>3000.99</v>
      </c>
      <c r="V312" s="111" t="s">
        <v>2034</v>
      </c>
      <c r="W312" s="111"/>
      <c r="X312" s="111"/>
      <c r="Y312" s="111"/>
      <c r="Z312" s="111"/>
      <c r="AA312" s="111" t="str">
        <f>D302</f>
        <v>CNY</v>
      </c>
      <c r="AB312" s="111"/>
      <c r="AC312" s="111"/>
      <c r="AD312" s="111"/>
      <c r="AE312" s="111">
        <v>1</v>
      </c>
      <c r="AF312" s="176" t="s">
        <v>1128</v>
      </c>
      <c r="AG312" s="176"/>
      <c r="AH312" s="176"/>
      <c r="AI312" s="176">
        <v>0</v>
      </c>
    </row>
    <row r="313" spans="1:41" s="6" customFormat="1" x14ac:dyDescent="0.25">
      <c r="A313" s="126" t="s">
        <v>173</v>
      </c>
      <c r="B313" s="179" t="s">
        <v>1183</v>
      </c>
      <c r="C313" s="179"/>
      <c r="D313" s="179"/>
      <c r="E313" s="188"/>
      <c r="F313" s="188"/>
      <c r="G313" s="188"/>
      <c r="H313" s="188"/>
      <c r="I313" s="188"/>
      <c r="J313" s="188"/>
      <c r="K313" s="188"/>
      <c r="L313" s="188"/>
      <c r="M313" s="188"/>
      <c r="N313" s="167"/>
      <c r="O313" s="167"/>
      <c r="P313" s="167"/>
      <c r="Q313" s="167"/>
    </row>
    <row r="314" spans="1:41" s="6" customFormat="1" x14ac:dyDescent="0.25">
      <c r="A314" s="195" t="s">
        <v>124</v>
      </c>
      <c r="B314" s="583" t="s">
        <v>1172</v>
      </c>
      <c r="C314" s="184"/>
      <c r="D314" s="184"/>
      <c r="E314" s="171"/>
      <c r="F314" s="188"/>
      <c r="G314" s="188"/>
      <c r="H314" s="188"/>
      <c r="I314" s="188"/>
      <c r="J314" s="188"/>
      <c r="K314" s="188"/>
      <c r="L314" s="188"/>
      <c r="M314" s="167"/>
      <c r="N314" s="167"/>
      <c r="O314" s="167"/>
      <c r="P314" s="167"/>
    </row>
    <row r="315" spans="1:41" s="6" customFormat="1" x14ac:dyDescent="0.25">
      <c r="A315" s="323" t="s">
        <v>306</v>
      </c>
      <c r="B315" s="704" t="s">
        <v>1566</v>
      </c>
      <c r="C315" s="705"/>
      <c r="D315" s="705"/>
      <c r="E315" s="705"/>
      <c r="F315" s="705"/>
      <c r="G315" s="705"/>
      <c r="H315" s="705"/>
      <c r="I315" s="705"/>
      <c r="J315" s="705"/>
      <c r="K315" s="705"/>
      <c r="L315" s="705"/>
      <c r="M315" s="705"/>
      <c r="N315" s="705"/>
      <c r="O315" s="705"/>
      <c r="P315" s="705"/>
      <c r="Q315" s="705"/>
      <c r="R315" s="705"/>
      <c r="S315" s="705"/>
      <c r="T315" s="705"/>
      <c r="U315" s="705"/>
      <c r="V315" s="705"/>
      <c r="W315" s="705"/>
      <c r="X315" s="705"/>
      <c r="Y315" s="705"/>
      <c r="Z315" s="705"/>
      <c r="AA315" s="705"/>
      <c r="AB315" s="705"/>
      <c r="AC315" s="705"/>
      <c r="AD315" s="705"/>
      <c r="AE315" s="708"/>
      <c r="AF315" s="695" t="s">
        <v>1126</v>
      </c>
      <c r="AG315" s="695" t="s">
        <v>1107</v>
      </c>
      <c r="AH315" s="695" t="s">
        <v>1108</v>
      </c>
      <c r="AI315" s="695" t="s">
        <v>1127</v>
      </c>
    </row>
    <row r="316" spans="1:41" s="6" customFormat="1" x14ac:dyDescent="0.25">
      <c r="A316" s="323"/>
      <c r="B316" s="591" t="s">
        <v>1145</v>
      </c>
      <c r="C316" s="174" t="s">
        <v>1146</v>
      </c>
      <c r="D316" s="174" t="s">
        <v>1147</v>
      </c>
      <c r="E316" s="189" t="s">
        <v>1148</v>
      </c>
      <c r="F316" s="189" t="s">
        <v>1149</v>
      </c>
      <c r="G316" s="189" t="s">
        <v>1150</v>
      </c>
      <c r="H316" s="189" t="s">
        <v>1151</v>
      </c>
      <c r="I316" s="189" t="s">
        <v>1152</v>
      </c>
      <c r="J316" s="189" t="s">
        <v>1153</v>
      </c>
      <c r="K316" s="189" t="s">
        <v>1154</v>
      </c>
      <c r="L316" s="189" t="s">
        <v>1134</v>
      </c>
      <c r="M316" s="189" t="s">
        <v>1155</v>
      </c>
      <c r="N316" s="189" t="s">
        <v>1112</v>
      </c>
      <c r="O316" s="189" t="s">
        <v>1115</v>
      </c>
      <c r="P316" s="189" t="s">
        <v>1156</v>
      </c>
      <c r="Q316" s="189" t="s">
        <v>1157</v>
      </c>
      <c r="R316" s="189" t="s">
        <v>1158</v>
      </c>
      <c r="S316" s="189" t="s">
        <v>1159</v>
      </c>
      <c r="T316" s="189" t="s">
        <v>1160</v>
      </c>
      <c r="U316" s="189" t="s">
        <v>1161</v>
      </c>
      <c r="V316" s="189" t="s">
        <v>1162</v>
      </c>
      <c r="W316" s="189" t="s">
        <v>1164</v>
      </c>
      <c r="X316" s="189" t="s">
        <v>1165</v>
      </c>
      <c r="Y316" s="189" t="s">
        <v>1166</v>
      </c>
      <c r="Z316" s="189" t="s">
        <v>1117</v>
      </c>
      <c r="AA316" s="189" t="s">
        <v>1116</v>
      </c>
      <c r="AB316" s="189" t="s">
        <v>1167</v>
      </c>
      <c r="AC316" s="189" t="s">
        <v>1168</v>
      </c>
      <c r="AD316" s="189" t="s">
        <v>1169</v>
      </c>
      <c r="AE316" s="189" t="s">
        <v>1170</v>
      </c>
      <c r="AF316" s="696"/>
      <c r="AG316" s="696"/>
      <c r="AH316" s="696"/>
      <c r="AI316" s="696"/>
    </row>
    <row r="317" spans="1:41" x14ac:dyDescent="0.25">
      <c r="A317" s="323"/>
      <c r="B317" s="591">
        <f>F2</f>
        <v>2</v>
      </c>
      <c r="C317" s="174">
        <v>1</v>
      </c>
      <c r="D317" s="174" t="s">
        <v>1173</v>
      </c>
      <c r="E317" s="189">
        <v>20190328</v>
      </c>
      <c r="F317" s="191">
        <v>0.57240740740740736</v>
      </c>
      <c r="G317" s="189"/>
      <c r="H317" s="189"/>
      <c r="I317" s="189"/>
      <c r="J317" s="189" t="s">
        <v>1179</v>
      </c>
      <c r="K317" s="189">
        <v>1</v>
      </c>
      <c r="L317" s="189" t="str">
        <f>G302</f>
        <v>9999</v>
      </c>
      <c r="M317" s="111"/>
      <c r="N317" s="111" t="str">
        <f>B302</f>
        <v>6001</v>
      </c>
      <c r="O317" s="111" t="str">
        <f>C302</f>
        <v>6001</v>
      </c>
      <c r="P317" s="111"/>
      <c r="Q317" s="111">
        <v>1</v>
      </c>
      <c r="R317" s="111">
        <v>3</v>
      </c>
      <c r="S317" s="111">
        <v>1</v>
      </c>
      <c r="T317" s="111">
        <v>1</v>
      </c>
      <c r="U317" s="113">
        <f>U312</f>
        <v>3000.99</v>
      </c>
      <c r="V317" s="111" t="s">
        <v>2035</v>
      </c>
      <c r="W317" s="111">
        <v>1</v>
      </c>
      <c r="X317" s="111"/>
      <c r="Y317" s="111"/>
      <c r="Z317" s="111"/>
      <c r="AA317" s="111" t="str">
        <f>AA312</f>
        <v>CNY</v>
      </c>
      <c r="AB317" s="111">
        <v>1</v>
      </c>
      <c r="AC317" s="111">
        <v>1</v>
      </c>
      <c r="AD317" s="111"/>
      <c r="AE317" s="111">
        <v>1</v>
      </c>
      <c r="AF317" s="111" t="s">
        <v>1128</v>
      </c>
      <c r="AG317" s="111"/>
      <c r="AH317" s="111"/>
      <c r="AI317" s="111">
        <v>0</v>
      </c>
      <c r="AJ317" s="6"/>
      <c r="AK317" s="6"/>
      <c r="AL317" s="6"/>
      <c r="AM317" s="6"/>
      <c r="AN317" s="6"/>
      <c r="AO317" s="6"/>
    </row>
    <row r="318" spans="1:41" x14ac:dyDescent="0.25">
      <c r="A318" s="126" t="s">
        <v>173</v>
      </c>
      <c r="B318" s="323" t="s">
        <v>1873</v>
      </c>
      <c r="C318" s="323"/>
      <c r="D318" s="323"/>
      <c r="E318" s="188"/>
      <c r="F318" s="194"/>
      <c r="G318" s="188"/>
      <c r="H318" s="188"/>
      <c r="I318" s="188"/>
      <c r="J318" s="188"/>
      <c r="K318" s="188"/>
      <c r="L318" s="188"/>
      <c r="M318" s="167"/>
      <c r="N318" s="167"/>
      <c r="O318" s="167"/>
      <c r="P318" s="167"/>
      <c r="Q318" s="167"/>
      <c r="R318" s="167"/>
      <c r="S318" s="167"/>
      <c r="T318" s="167"/>
      <c r="U318" s="182"/>
      <c r="V318" s="167"/>
      <c r="W318" s="167"/>
      <c r="X318" s="167"/>
      <c r="Y318" s="167"/>
      <c r="Z318" s="167"/>
      <c r="AA318" s="167"/>
      <c r="AB318" s="167"/>
      <c r="AC318" s="167"/>
      <c r="AD318" s="167"/>
      <c r="AE318" s="167"/>
      <c r="AF318" s="167"/>
      <c r="AG318" s="167"/>
      <c r="AH318" s="167"/>
      <c r="AI318" s="167"/>
      <c r="AJ318" s="6"/>
      <c r="AK318" s="6"/>
      <c r="AL318" s="6"/>
      <c r="AM318" s="6"/>
      <c r="AN318" s="6"/>
      <c r="AO318" s="6"/>
    </row>
    <row r="319" spans="1:41" x14ac:dyDescent="0.25">
      <c r="A319" s="195" t="s">
        <v>124</v>
      </c>
      <c r="B319" s="583" t="s">
        <v>1142</v>
      </c>
      <c r="C319" s="414"/>
      <c r="D319" s="414"/>
      <c r="E319" s="189"/>
      <c r="F319" s="194"/>
      <c r="G319" s="188"/>
      <c r="H319" s="188"/>
      <c r="I319" s="188"/>
      <c r="J319" s="188"/>
      <c r="K319" s="188"/>
      <c r="L319" s="188"/>
      <c r="M319" s="167"/>
      <c r="N319" s="167"/>
      <c r="O319" s="167"/>
      <c r="P319" s="167"/>
      <c r="Q319" s="167"/>
      <c r="R319" s="167"/>
      <c r="S319" s="167"/>
      <c r="T319" s="167"/>
      <c r="U319" s="182"/>
      <c r="V319" s="167"/>
      <c r="W319" s="167"/>
      <c r="X319" s="167"/>
      <c r="Y319" s="167"/>
      <c r="Z319" s="167"/>
      <c r="AA319" s="167"/>
      <c r="AB319" s="167"/>
      <c r="AC319" s="167"/>
      <c r="AD319" s="167"/>
      <c r="AE319" s="167"/>
      <c r="AF319" s="167"/>
      <c r="AG319" s="167"/>
      <c r="AH319" s="167"/>
      <c r="AI319" s="167"/>
      <c r="AJ319" s="6"/>
      <c r="AK319" s="6"/>
      <c r="AL319" s="6"/>
      <c r="AM319" s="6"/>
      <c r="AN319" s="6"/>
      <c r="AO319" s="6"/>
    </row>
    <row r="320" spans="1:41" x14ac:dyDescent="0.25">
      <c r="A320" s="323" t="s">
        <v>306</v>
      </c>
      <c r="B320" s="704" t="s">
        <v>1566</v>
      </c>
      <c r="C320" s="705"/>
      <c r="D320" s="705"/>
      <c r="E320" s="705"/>
      <c r="F320" s="705"/>
      <c r="G320" s="705"/>
      <c r="H320" s="705"/>
      <c r="I320" s="705"/>
      <c r="J320" s="705"/>
      <c r="K320" s="705"/>
      <c r="L320" s="705"/>
      <c r="M320" s="705"/>
      <c r="N320" s="705"/>
      <c r="O320" s="705"/>
      <c r="P320" s="705"/>
      <c r="Q320" s="705"/>
      <c r="R320" s="705"/>
      <c r="S320" s="705"/>
      <c r="T320" s="705"/>
      <c r="U320" s="705"/>
      <c r="V320" s="705"/>
      <c r="W320" s="705"/>
      <c r="X320" s="705"/>
      <c r="Y320" s="705"/>
      <c r="Z320" s="705"/>
      <c r="AA320" s="705"/>
      <c r="AB320" s="705"/>
      <c r="AC320" s="705"/>
      <c r="AD320" s="705"/>
      <c r="AE320" s="708"/>
      <c r="AF320" s="695" t="s">
        <v>1126</v>
      </c>
      <c r="AG320" s="695" t="s">
        <v>1107</v>
      </c>
      <c r="AH320" s="695" t="s">
        <v>1108</v>
      </c>
      <c r="AI320" s="695" t="s">
        <v>1127</v>
      </c>
      <c r="AJ320" s="6"/>
      <c r="AK320" s="6"/>
      <c r="AL320" s="6"/>
      <c r="AM320" s="6"/>
      <c r="AN320" s="6"/>
      <c r="AO320" s="6"/>
    </row>
    <row r="321" spans="1:42" s="6" customFormat="1" x14ac:dyDescent="0.25">
      <c r="A321" s="323"/>
      <c r="B321" s="589" t="s">
        <v>1145</v>
      </c>
      <c r="C321" s="414" t="s">
        <v>1146</v>
      </c>
      <c r="D321" s="414" t="s">
        <v>1147</v>
      </c>
      <c r="E321" s="189" t="s">
        <v>1148</v>
      </c>
      <c r="F321" s="189" t="s">
        <v>1149</v>
      </c>
      <c r="G321" s="189" t="s">
        <v>1150</v>
      </c>
      <c r="H321" s="189" t="s">
        <v>1151</v>
      </c>
      <c r="I321" s="189" t="s">
        <v>1152</v>
      </c>
      <c r="J321" s="189" t="s">
        <v>1153</v>
      </c>
      <c r="K321" s="189" t="s">
        <v>1154</v>
      </c>
      <c r="L321" s="189" t="s">
        <v>1134</v>
      </c>
      <c r="M321" s="189" t="s">
        <v>1155</v>
      </c>
      <c r="N321" s="189" t="s">
        <v>1112</v>
      </c>
      <c r="O321" s="189" t="s">
        <v>1115</v>
      </c>
      <c r="P321" s="189" t="s">
        <v>1156</v>
      </c>
      <c r="Q321" s="189" t="s">
        <v>1157</v>
      </c>
      <c r="R321" s="189" t="s">
        <v>1158</v>
      </c>
      <c r="S321" s="189" t="s">
        <v>1159</v>
      </c>
      <c r="T321" s="189" t="s">
        <v>1160</v>
      </c>
      <c r="U321" s="189" t="s">
        <v>1161</v>
      </c>
      <c r="V321" s="189" t="s">
        <v>1162</v>
      </c>
      <c r="W321" s="189" t="s">
        <v>1164</v>
      </c>
      <c r="X321" s="189" t="s">
        <v>1165</v>
      </c>
      <c r="Y321" s="189" t="s">
        <v>1166</v>
      </c>
      <c r="Z321" s="189" t="s">
        <v>1117</v>
      </c>
      <c r="AA321" s="189" t="s">
        <v>1116</v>
      </c>
      <c r="AB321" s="189" t="s">
        <v>1167</v>
      </c>
      <c r="AC321" s="189" t="s">
        <v>1168</v>
      </c>
      <c r="AD321" s="189" t="s">
        <v>1169</v>
      </c>
      <c r="AE321" s="189" t="s">
        <v>1170</v>
      </c>
      <c r="AF321" s="696"/>
      <c r="AG321" s="696"/>
      <c r="AH321" s="696"/>
      <c r="AI321" s="696"/>
    </row>
    <row r="322" spans="1:42" s="6" customFormat="1" x14ac:dyDescent="0.25">
      <c r="A322" s="323"/>
      <c r="B322" s="589"/>
      <c r="C322" s="414"/>
      <c r="D322" s="414"/>
      <c r="E322" s="189"/>
      <c r="F322" s="189"/>
      <c r="G322" s="189"/>
      <c r="H322" s="189"/>
      <c r="I322" s="189"/>
      <c r="J322" s="189"/>
      <c r="K322" s="189"/>
      <c r="L322" s="189" t="str">
        <f>G303</f>
        <v>9999</v>
      </c>
      <c r="M322" s="189"/>
      <c r="N322" s="189" t="str">
        <f>B303</f>
        <v>6001</v>
      </c>
      <c r="O322" s="189" t="str">
        <f>C303</f>
        <v>6001</v>
      </c>
      <c r="P322" s="189"/>
      <c r="Q322" s="189"/>
      <c r="R322" s="418">
        <v>3</v>
      </c>
      <c r="S322" s="418">
        <v>1</v>
      </c>
      <c r="T322" s="418">
        <v>1</v>
      </c>
      <c r="U322" s="418">
        <f>E303</f>
        <v>2000.86</v>
      </c>
      <c r="V322" s="111" t="s">
        <v>2036</v>
      </c>
      <c r="W322" s="189"/>
      <c r="X322" s="189"/>
      <c r="Y322" s="189"/>
      <c r="Z322" s="189"/>
      <c r="AA322" s="189" t="str">
        <f>D303</f>
        <v>HKD</v>
      </c>
      <c r="AB322" s="189"/>
      <c r="AC322" s="189"/>
      <c r="AD322" s="189"/>
      <c r="AE322" s="189"/>
      <c r="AF322" s="176" t="s">
        <v>1128</v>
      </c>
      <c r="AG322" s="176"/>
      <c r="AH322" s="176"/>
      <c r="AI322" s="176">
        <v>0</v>
      </c>
    </row>
    <row r="323" spans="1:42" s="6" customFormat="1" x14ac:dyDescent="0.25">
      <c r="A323" s="126" t="s">
        <v>173</v>
      </c>
      <c r="B323" s="323" t="s">
        <v>1875</v>
      </c>
      <c r="C323" s="323"/>
      <c r="D323" s="323"/>
      <c r="E323" s="188"/>
      <c r="F323" s="188"/>
      <c r="G323" s="188"/>
      <c r="H323" s="188"/>
      <c r="I323" s="188"/>
      <c r="J323" s="188"/>
      <c r="K323" s="188"/>
      <c r="L323" s="188"/>
      <c r="M323" s="188"/>
      <c r="N323" s="167"/>
      <c r="O323" s="167"/>
      <c r="P323" s="167"/>
      <c r="Q323" s="167"/>
    </row>
    <row r="324" spans="1:42" s="6" customFormat="1" x14ac:dyDescent="0.25">
      <c r="A324" s="195" t="s">
        <v>124</v>
      </c>
      <c r="B324" s="583" t="s">
        <v>1172</v>
      </c>
      <c r="C324" s="184"/>
      <c r="D324" s="184"/>
      <c r="E324" s="171"/>
      <c r="F324" s="188"/>
      <c r="G324" s="188"/>
      <c r="H324" s="188"/>
      <c r="I324" s="188"/>
      <c r="J324" s="188"/>
      <c r="K324" s="188"/>
      <c r="L324" s="188"/>
      <c r="M324" s="167"/>
      <c r="N324" s="167"/>
      <c r="O324" s="167"/>
      <c r="P324" s="167"/>
    </row>
    <row r="325" spans="1:42" s="6" customFormat="1" x14ac:dyDescent="0.25">
      <c r="A325" s="323" t="s">
        <v>306</v>
      </c>
      <c r="B325" s="704" t="s">
        <v>1566</v>
      </c>
      <c r="C325" s="705"/>
      <c r="D325" s="705"/>
      <c r="E325" s="705"/>
      <c r="F325" s="705"/>
      <c r="G325" s="705"/>
      <c r="H325" s="705"/>
      <c r="I325" s="705"/>
      <c r="J325" s="705"/>
      <c r="K325" s="705"/>
      <c r="L325" s="705"/>
      <c r="M325" s="705"/>
      <c r="N325" s="705"/>
      <c r="O325" s="705"/>
      <c r="P325" s="705"/>
      <c r="Q325" s="705"/>
      <c r="R325" s="705"/>
      <c r="S325" s="705"/>
      <c r="T325" s="705"/>
      <c r="U325" s="705"/>
      <c r="V325" s="705"/>
      <c r="W325" s="705"/>
      <c r="X325" s="705"/>
      <c r="Y325" s="705"/>
      <c r="Z325" s="705"/>
      <c r="AA325" s="705"/>
      <c r="AB325" s="705"/>
      <c r="AC325" s="705"/>
      <c r="AD325" s="705"/>
      <c r="AE325" s="708"/>
      <c r="AF325" s="695" t="s">
        <v>1126</v>
      </c>
      <c r="AG325" s="695" t="s">
        <v>1107</v>
      </c>
      <c r="AH325" s="695" t="s">
        <v>1108</v>
      </c>
      <c r="AI325" s="695" t="s">
        <v>1127</v>
      </c>
    </row>
    <row r="326" spans="1:42" s="6" customFormat="1" x14ac:dyDescent="0.25">
      <c r="A326" s="323"/>
      <c r="B326" s="591" t="s">
        <v>1145</v>
      </c>
      <c r="C326" s="414" t="s">
        <v>1146</v>
      </c>
      <c r="D326" s="414" t="s">
        <v>1147</v>
      </c>
      <c r="E326" s="189" t="s">
        <v>1148</v>
      </c>
      <c r="F326" s="189" t="s">
        <v>1149</v>
      </c>
      <c r="G326" s="189" t="s">
        <v>1150</v>
      </c>
      <c r="H326" s="189" t="s">
        <v>1151</v>
      </c>
      <c r="I326" s="189" t="s">
        <v>1152</v>
      </c>
      <c r="J326" s="189" t="s">
        <v>1153</v>
      </c>
      <c r="K326" s="189" t="s">
        <v>1154</v>
      </c>
      <c r="L326" s="189" t="s">
        <v>1134</v>
      </c>
      <c r="M326" s="189" t="s">
        <v>1155</v>
      </c>
      <c r="N326" s="189" t="s">
        <v>1112</v>
      </c>
      <c r="O326" s="189" t="s">
        <v>1115</v>
      </c>
      <c r="P326" s="189" t="s">
        <v>1156</v>
      </c>
      <c r="Q326" s="189" t="s">
        <v>1157</v>
      </c>
      <c r="R326" s="189" t="s">
        <v>1158</v>
      </c>
      <c r="S326" s="189" t="s">
        <v>1159</v>
      </c>
      <c r="T326" s="189" t="s">
        <v>1160</v>
      </c>
      <c r="U326" s="189" t="s">
        <v>1161</v>
      </c>
      <c r="V326" s="189" t="s">
        <v>1162</v>
      </c>
      <c r="W326" s="189" t="s">
        <v>1164</v>
      </c>
      <c r="X326" s="189" t="s">
        <v>1165</v>
      </c>
      <c r="Y326" s="189" t="s">
        <v>1166</v>
      </c>
      <c r="Z326" s="189" t="s">
        <v>1117</v>
      </c>
      <c r="AA326" s="189" t="s">
        <v>1116</v>
      </c>
      <c r="AB326" s="189" t="s">
        <v>1167</v>
      </c>
      <c r="AC326" s="189" t="s">
        <v>1168</v>
      </c>
      <c r="AD326" s="189" t="s">
        <v>1169</v>
      </c>
      <c r="AE326" s="189" t="s">
        <v>1170</v>
      </c>
      <c r="AF326" s="696"/>
      <c r="AG326" s="696"/>
      <c r="AH326" s="696"/>
      <c r="AI326" s="696"/>
    </row>
    <row r="327" spans="1:42" x14ac:dyDescent="0.25">
      <c r="A327" s="323"/>
      <c r="B327" s="591">
        <f>B317+1</f>
        <v>3</v>
      </c>
      <c r="C327" s="414">
        <v>1</v>
      </c>
      <c r="D327" s="414" t="s">
        <v>1173</v>
      </c>
      <c r="E327" s="189">
        <v>20190328</v>
      </c>
      <c r="F327" s="191">
        <v>0.57240740740740736</v>
      </c>
      <c r="G327" s="189"/>
      <c r="H327" s="189"/>
      <c r="I327" s="189"/>
      <c r="J327" s="189" t="s">
        <v>1876</v>
      </c>
      <c r="K327" s="189">
        <v>1</v>
      </c>
      <c r="L327" s="189" t="str">
        <f>G303</f>
        <v>9999</v>
      </c>
      <c r="M327" s="111"/>
      <c r="N327" s="111" t="str">
        <f>B303</f>
        <v>6001</v>
      </c>
      <c r="O327" s="111" t="str">
        <f>C303</f>
        <v>6001</v>
      </c>
      <c r="P327" s="111"/>
      <c r="Q327" s="111">
        <v>1</v>
      </c>
      <c r="R327" s="111">
        <v>3</v>
      </c>
      <c r="S327" s="111">
        <v>1</v>
      </c>
      <c r="T327" s="111">
        <v>1</v>
      </c>
      <c r="U327" s="113">
        <f>U322</f>
        <v>2000.86</v>
      </c>
      <c r="V327" s="111" t="s">
        <v>2036</v>
      </c>
      <c r="W327" s="111">
        <v>1</v>
      </c>
      <c r="X327" s="111"/>
      <c r="Y327" s="111"/>
      <c r="Z327" s="111"/>
      <c r="AA327" s="111" t="str">
        <f>AA322</f>
        <v>HKD</v>
      </c>
      <c r="AB327" s="111">
        <v>1</v>
      </c>
      <c r="AC327" s="111">
        <v>1</v>
      </c>
      <c r="AD327" s="111"/>
      <c r="AE327" s="111">
        <v>1</v>
      </c>
      <c r="AF327" s="111" t="s">
        <v>1128</v>
      </c>
      <c r="AG327" s="111"/>
      <c r="AH327" s="111"/>
      <c r="AI327" s="111">
        <v>0</v>
      </c>
      <c r="AJ327" s="6"/>
      <c r="AK327" s="6"/>
      <c r="AL327" s="6"/>
      <c r="AM327" s="6"/>
      <c r="AN327" s="6"/>
      <c r="AO327" s="6"/>
    </row>
    <row r="328" spans="1:42" x14ac:dyDescent="0.25">
      <c r="A328" s="126" t="s">
        <v>1197</v>
      </c>
      <c r="B328" s="179" t="s">
        <v>1184</v>
      </c>
      <c r="C328" s="179"/>
      <c r="D328" s="179"/>
      <c r="E328" s="179"/>
      <c r="F328" s="188"/>
      <c r="G328" s="188"/>
      <c r="H328" s="188"/>
      <c r="I328" s="188"/>
      <c r="J328" s="188"/>
      <c r="K328" s="188"/>
      <c r="L328" s="188"/>
      <c r="M328" s="188"/>
      <c r="N328" s="167"/>
      <c r="O328" s="167"/>
      <c r="P328" s="167"/>
      <c r="Q328" s="167"/>
      <c r="R328" s="167"/>
      <c r="S328" s="167"/>
      <c r="T328" s="167"/>
      <c r="U328" s="167"/>
      <c r="V328" s="182"/>
      <c r="W328" s="167"/>
      <c r="X328" s="167"/>
      <c r="Y328" s="167"/>
      <c r="Z328" s="167"/>
      <c r="AA328" s="167"/>
      <c r="AB328" s="167"/>
      <c r="AC328" s="167"/>
      <c r="AD328" s="167"/>
      <c r="AE328" s="167"/>
      <c r="AF328" s="167"/>
      <c r="AG328" s="167"/>
      <c r="AH328" s="167"/>
      <c r="AI328" s="167"/>
      <c r="AJ328" s="167"/>
      <c r="AK328" s="6"/>
      <c r="AL328" s="6"/>
      <c r="AM328" s="6"/>
      <c r="AN328" s="6"/>
      <c r="AO328" s="6"/>
      <c r="AP328" s="6"/>
    </row>
    <row r="329" spans="1:42" s="6" customFormat="1" x14ac:dyDescent="0.25">
      <c r="A329" s="195" t="s">
        <v>1132</v>
      </c>
      <c r="B329" s="583" t="s">
        <v>1142</v>
      </c>
      <c r="C329" s="184"/>
      <c r="D329" s="184"/>
      <c r="E329" s="171"/>
      <c r="F329" s="188"/>
      <c r="G329" s="188"/>
      <c r="H329" s="188"/>
      <c r="I329" s="188"/>
      <c r="J329" s="188"/>
      <c r="K329" s="188"/>
      <c r="L329" s="188"/>
      <c r="M329" s="167"/>
      <c r="N329" s="167"/>
      <c r="O329" s="167"/>
      <c r="P329" s="167"/>
    </row>
    <row r="330" spans="1:42" s="6" customFormat="1" x14ac:dyDescent="0.25">
      <c r="A330" s="323" t="s">
        <v>1144</v>
      </c>
      <c r="B330" s="704" t="s">
        <v>1566</v>
      </c>
      <c r="C330" s="705"/>
      <c r="D330" s="705"/>
      <c r="E330" s="705"/>
      <c r="F330" s="705"/>
      <c r="G330" s="705"/>
      <c r="H330" s="705"/>
      <c r="I330" s="705"/>
      <c r="J330" s="705"/>
      <c r="K330" s="705"/>
      <c r="L330" s="705"/>
      <c r="M330" s="705"/>
      <c r="N330" s="705"/>
      <c r="O330" s="705"/>
      <c r="P330" s="705"/>
      <c r="Q330" s="705"/>
      <c r="R330" s="705"/>
      <c r="S330" s="705"/>
      <c r="T330" s="705"/>
      <c r="U330" s="705"/>
      <c r="V330" s="705"/>
      <c r="W330" s="705"/>
      <c r="X330" s="705"/>
      <c r="Y330" s="705"/>
      <c r="Z330" s="705"/>
      <c r="AA330" s="705"/>
      <c r="AB330" s="705"/>
      <c r="AC330" s="706"/>
      <c r="AD330" s="706"/>
      <c r="AE330" s="707"/>
      <c r="AF330" s="695" t="s">
        <v>1252</v>
      </c>
      <c r="AG330" s="695" t="s">
        <v>1253</v>
      </c>
      <c r="AH330" s="695" t="s">
        <v>1254</v>
      </c>
      <c r="AI330" s="695" t="s">
        <v>1255</v>
      </c>
    </row>
    <row r="331" spans="1:42" s="6" customFormat="1" x14ac:dyDescent="0.25">
      <c r="A331" s="323"/>
      <c r="B331" s="589" t="s">
        <v>1145</v>
      </c>
      <c r="C331" s="174" t="s">
        <v>1146</v>
      </c>
      <c r="D331" s="174" t="s">
        <v>1147</v>
      </c>
      <c r="E331" s="189" t="s">
        <v>1148</v>
      </c>
      <c r="F331" s="189" t="s">
        <v>1149</v>
      </c>
      <c r="G331" s="189" t="s">
        <v>1150</v>
      </c>
      <c r="H331" s="189" t="s">
        <v>1151</v>
      </c>
      <c r="I331" s="189" t="s">
        <v>1152</v>
      </c>
      <c r="J331" s="189" t="s">
        <v>1153</v>
      </c>
      <c r="K331" s="189" t="s">
        <v>1154</v>
      </c>
      <c r="L331" s="189" t="s">
        <v>1134</v>
      </c>
      <c r="M331" s="189" t="s">
        <v>1155</v>
      </c>
      <c r="N331" s="189" t="s">
        <v>1112</v>
      </c>
      <c r="O331" s="189" t="s">
        <v>1115</v>
      </c>
      <c r="P331" s="189" t="s">
        <v>1156</v>
      </c>
      <c r="Q331" s="189" t="s">
        <v>1157</v>
      </c>
      <c r="R331" s="189" t="s">
        <v>1158</v>
      </c>
      <c r="S331" s="189" t="s">
        <v>1159</v>
      </c>
      <c r="T331" s="189" t="s">
        <v>1160</v>
      </c>
      <c r="U331" s="189" t="s">
        <v>1161</v>
      </c>
      <c r="V331" s="189" t="s">
        <v>1162</v>
      </c>
      <c r="W331" s="189" t="s">
        <v>1164</v>
      </c>
      <c r="X331" s="189" t="s">
        <v>1165</v>
      </c>
      <c r="Y331" s="189" t="s">
        <v>1166</v>
      </c>
      <c r="Z331" s="189" t="s">
        <v>1117</v>
      </c>
      <c r="AA331" s="189" t="s">
        <v>1116</v>
      </c>
      <c r="AB331" s="189" t="s">
        <v>1167</v>
      </c>
      <c r="AC331" s="189" t="s">
        <v>1168</v>
      </c>
      <c r="AD331" s="189" t="s">
        <v>1169</v>
      </c>
      <c r="AE331" s="189" t="s">
        <v>1170</v>
      </c>
      <c r="AF331" s="696"/>
      <c r="AG331" s="696"/>
      <c r="AH331" s="696"/>
      <c r="AI331" s="696"/>
    </row>
    <row r="332" spans="1:42" s="6" customFormat="1" x14ac:dyDescent="0.25">
      <c r="A332" s="323"/>
      <c r="B332" s="589"/>
      <c r="C332" s="174"/>
      <c r="D332" s="174"/>
      <c r="E332" s="189"/>
      <c r="F332" s="189"/>
      <c r="G332" s="189"/>
      <c r="H332" s="189"/>
      <c r="I332" s="189"/>
      <c r="J332" s="189"/>
      <c r="K332" s="189"/>
      <c r="L332" s="189" t="str">
        <f>L317</f>
        <v>9999</v>
      </c>
      <c r="M332" s="111"/>
      <c r="N332" s="111" t="str">
        <f>B304</f>
        <v>6001</v>
      </c>
      <c r="O332" s="111" t="str">
        <f>C304</f>
        <v>6001</v>
      </c>
      <c r="P332" s="111"/>
      <c r="Q332" s="111"/>
      <c r="R332" s="111">
        <v>3</v>
      </c>
      <c r="S332" s="111">
        <v>1</v>
      </c>
      <c r="T332" s="111">
        <v>1</v>
      </c>
      <c r="U332" s="113">
        <f>E304</f>
        <v>2000.86</v>
      </c>
      <c r="V332" s="111" t="s">
        <v>2037</v>
      </c>
      <c r="W332" s="111"/>
      <c r="X332" s="111"/>
      <c r="Y332" s="111"/>
      <c r="Z332" s="111"/>
      <c r="AA332" s="111" t="str">
        <f>D304</f>
        <v>USD</v>
      </c>
      <c r="AB332" s="111"/>
      <c r="AC332" s="111"/>
      <c r="AD332" s="111"/>
      <c r="AE332" s="111">
        <v>1</v>
      </c>
      <c r="AF332" s="176" t="s">
        <v>1128</v>
      </c>
      <c r="AG332" s="176"/>
      <c r="AH332" s="176"/>
      <c r="AI332" s="176">
        <v>0</v>
      </c>
    </row>
    <row r="333" spans="1:42" s="6" customFormat="1" x14ac:dyDescent="0.25">
      <c r="A333" s="126" t="s">
        <v>173</v>
      </c>
      <c r="B333" s="179" t="s">
        <v>1185</v>
      </c>
      <c r="C333" s="179"/>
      <c r="D333" s="179"/>
      <c r="E333" s="188"/>
      <c r="F333" s="188"/>
      <c r="G333" s="188"/>
      <c r="H333" s="188"/>
      <c r="I333" s="188"/>
      <c r="J333" s="188"/>
      <c r="K333" s="188"/>
      <c r="L333" s="188"/>
      <c r="M333" s="188"/>
      <c r="N333" s="167"/>
      <c r="O333" s="167"/>
      <c r="P333" s="167"/>
      <c r="Q333" s="167"/>
    </row>
    <row r="334" spans="1:42" s="6" customFormat="1" x14ac:dyDescent="0.25">
      <c r="A334" s="195" t="s">
        <v>124</v>
      </c>
      <c r="B334" s="583" t="s">
        <v>1172</v>
      </c>
      <c r="C334" s="184"/>
      <c r="D334" s="184"/>
      <c r="E334" s="171"/>
      <c r="F334" s="188"/>
      <c r="G334" s="188"/>
      <c r="H334" s="188"/>
      <c r="I334" s="188"/>
      <c r="J334" s="188"/>
      <c r="K334" s="188"/>
      <c r="L334" s="188"/>
      <c r="M334" s="167"/>
      <c r="N334" s="167"/>
      <c r="O334" s="167"/>
      <c r="P334" s="167"/>
    </row>
    <row r="335" spans="1:42" s="6" customFormat="1" x14ac:dyDescent="0.25">
      <c r="A335" s="323" t="s">
        <v>306</v>
      </c>
      <c r="B335" s="704" t="s">
        <v>1566</v>
      </c>
      <c r="C335" s="705"/>
      <c r="D335" s="705"/>
      <c r="E335" s="705"/>
      <c r="F335" s="705"/>
      <c r="G335" s="705"/>
      <c r="H335" s="705"/>
      <c r="I335" s="705"/>
      <c r="J335" s="705"/>
      <c r="K335" s="705"/>
      <c r="L335" s="705"/>
      <c r="M335" s="705"/>
      <c r="N335" s="705"/>
      <c r="O335" s="705"/>
      <c r="P335" s="705"/>
      <c r="Q335" s="705"/>
      <c r="R335" s="705"/>
      <c r="S335" s="705"/>
      <c r="T335" s="705"/>
      <c r="U335" s="705"/>
      <c r="V335" s="705"/>
      <c r="W335" s="705"/>
      <c r="X335" s="705"/>
      <c r="Y335" s="705"/>
      <c r="Z335" s="705"/>
      <c r="AA335" s="705"/>
      <c r="AB335" s="705"/>
      <c r="AC335" s="706"/>
      <c r="AD335" s="706"/>
      <c r="AE335" s="707"/>
      <c r="AF335" s="695" t="s">
        <v>1126</v>
      </c>
      <c r="AG335" s="695" t="s">
        <v>1107</v>
      </c>
      <c r="AH335" s="695" t="s">
        <v>1108</v>
      </c>
      <c r="AI335" s="695" t="s">
        <v>1127</v>
      </c>
    </row>
    <row r="336" spans="1:42" s="6" customFormat="1" x14ac:dyDescent="0.25">
      <c r="A336" s="323"/>
      <c r="B336" s="591" t="s">
        <v>1231</v>
      </c>
      <c r="C336" s="174" t="s">
        <v>1146</v>
      </c>
      <c r="D336" s="174" t="s">
        <v>1147</v>
      </c>
      <c r="E336" s="189" t="s">
        <v>1148</v>
      </c>
      <c r="F336" s="189" t="s">
        <v>1149</v>
      </c>
      <c r="G336" s="189" t="s">
        <v>1150</v>
      </c>
      <c r="H336" s="189" t="s">
        <v>1151</v>
      </c>
      <c r="I336" s="189" t="s">
        <v>1152</v>
      </c>
      <c r="J336" s="189" t="s">
        <v>1153</v>
      </c>
      <c r="K336" s="189" t="s">
        <v>1154</v>
      </c>
      <c r="L336" s="189" t="s">
        <v>1134</v>
      </c>
      <c r="M336" s="189" t="s">
        <v>1155</v>
      </c>
      <c r="N336" s="189" t="s">
        <v>1112</v>
      </c>
      <c r="O336" s="189" t="s">
        <v>1115</v>
      </c>
      <c r="P336" s="189" t="s">
        <v>1156</v>
      </c>
      <c r="Q336" s="189" t="s">
        <v>1157</v>
      </c>
      <c r="R336" s="189" t="s">
        <v>1158</v>
      </c>
      <c r="S336" s="189" t="s">
        <v>1159</v>
      </c>
      <c r="T336" s="189" t="s">
        <v>1160</v>
      </c>
      <c r="U336" s="189" t="s">
        <v>1161</v>
      </c>
      <c r="V336" s="189" t="s">
        <v>1162</v>
      </c>
      <c r="W336" s="189" t="s">
        <v>1164</v>
      </c>
      <c r="X336" s="189" t="s">
        <v>1165</v>
      </c>
      <c r="Y336" s="189" t="s">
        <v>1166</v>
      </c>
      <c r="Z336" s="189" t="s">
        <v>1117</v>
      </c>
      <c r="AA336" s="189" t="s">
        <v>1116</v>
      </c>
      <c r="AB336" s="189" t="s">
        <v>1167</v>
      </c>
      <c r="AC336" s="189" t="s">
        <v>1168</v>
      </c>
      <c r="AD336" s="189" t="s">
        <v>1169</v>
      </c>
      <c r="AE336" s="189" t="s">
        <v>1170</v>
      </c>
      <c r="AF336" s="696"/>
      <c r="AG336" s="696"/>
      <c r="AH336" s="696"/>
      <c r="AI336" s="696"/>
    </row>
    <row r="337" spans="1:41" x14ac:dyDescent="0.25">
      <c r="A337" s="323"/>
      <c r="B337" s="591">
        <f>B327+1</f>
        <v>4</v>
      </c>
      <c r="C337" s="174">
        <v>1</v>
      </c>
      <c r="D337" s="174" t="s">
        <v>1173</v>
      </c>
      <c r="E337" s="189">
        <v>20190328</v>
      </c>
      <c r="F337" s="191">
        <v>0.57240740740740736</v>
      </c>
      <c r="G337" s="189"/>
      <c r="H337" s="189"/>
      <c r="I337" s="189"/>
      <c r="J337" s="189" t="s">
        <v>1180</v>
      </c>
      <c r="K337" s="189">
        <v>1</v>
      </c>
      <c r="L337" s="189" t="str">
        <f>L332</f>
        <v>9999</v>
      </c>
      <c r="M337" s="111"/>
      <c r="N337" s="111" t="str">
        <f>B304</f>
        <v>6001</v>
      </c>
      <c r="O337" s="111" t="str">
        <f>C304</f>
        <v>6001</v>
      </c>
      <c r="P337" s="111"/>
      <c r="Q337" s="111">
        <v>1</v>
      </c>
      <c r="R337" s="111">
        <v>3</v>
      </c>
      <c r="S337" s="111">
        <v>1</v>
      </c>
      <c r="T337" s="111">
        <v>1</v>
      </c>
      <c r="U337" s="113">
        <f>U332</f>
        <v>2000.86</v>
      </c>
      <c r="V337" s="111" t="s">
        <v>2037</v>
      </c>
      <c r="W337" s="111">
        <v>1</v>
      </c>
      <c r="X337" s="111"/>
      <c r="Y337" s="111"/>
      <c r="Z337" s="111"/>
      <c r="AA337" s="111" t="str">
        <f>AA332</f>
        <v>USD</v>
      </c>
      <c r="AB337" s="111">
        <v>1</v>
      </c>
      <c r="AC337" s="111">
        <v>1</v>
      </c>
      <c r="AD337" s="111"/>
      <c r="AE337" s="111">
        <v>1</v>
      </c>
      <c r="AF337" s="111" t="s">
        <v>1128</v>
      </c>
      <c r="AG337" s="111"/>
      <c r="AH337" s="111"/>
      <c r="AI337" s="111">
        <v>0</v>
      </c>
      <c r="AJ337" s="6"/>
      <c r="AK337" s="6"/>
      <c r="AL337" s="6"/>
      <c r="AM337" s="6"/>
      <c r="AN337" s="6"/>
      <c r="AO337" s="6"/>
    </row>
    <row r="338" spans="1:41" s="4" customFormat="1" x14ac:dyDescent="0.25">
      <c r="A338" s="197" t="s">
        <v>1197</v>
      </c>
      <c r="B338" s="195" t="s">
        <v>1186</v>
      </c>
      <c r="C338" s="277"/>
      <c r="D338" s="277"/>
      <c r="E338" s="277"/>
      <c r="F338" s="188"/>
      <c r="G338" s="188"/>
      <c r="H338" s="188"/>
      <c r="I338" s="188"/>
      <c r="J338" s="188"/>
      <c r="K338" s="188"/>
      <c r="L338" s="188"/>
      <c r="M338" s="188"/>
      <c r="N338" s="167"/>
      <c r="O338" s="167"/>
      <c r="P338" s="197"/>
      <c r="Q338" s="197"/>
      <c r="R338" s="197"/>
      <c r="S338" s="197"/>
      <c r="T338" s="197"/>
      <c r="U338" s="197"/>
      <c r="V338" s="198"/>
      <c r="W338" s="197"/>
      <c r="X338" s="197"/>
      <c r="Y338" s="197"/>
      <c r="Z338" s="197"/>
      <c r="AA338" s="197"/>
      <c r="AB338" s="197"/>
      <c r="AC338" s="197"/>
      <c r="AD338" s="197"/>
      <c r="AE338" s="197"/>
      <c r="AF338" s="197"/>
      <c r="AG338" s="197"/>
      <c r="AH338" s="197"/>
      <c r="AI338" s="197"/>
      <c r="AJ338" s="197"/>
    </row>
    <row r="339" spans="1:41" s="6" customFormat="1" x14ac:dyDescent="0.25">
      <c r="A339" s="195" t="s">
        <v>1132</v>
      </c>
      <c r="B339" s="590" t="s">
        <v>1142</v>
      </c>
      <c r="C339" s="204"/>
      <c r="D339" s="204"/>
      <c r="E339" s="235"/>
      <c r="F339" s="188"/>
      <c r="G339" s="188"/>
      <c r="H339" s="188"/>
      <c r="I339" s="188"/>
      <c r="J339" s="188"/>
      <c r="K339" s="188"/>
      <c r="L339" s="188"/>
      <c r="M339" s="167"/>
      <c r="N339" s="167"/>
      <c r="O339" s="167"/>
      <c r="P339" s="167"/>
    </row>
    <row r="340" spans="1:41" s="6" customFormat="1" x14ac:dyDescent="0.25">
      <c r="A340" s="323" t="s">
        <v>1144</v>
      </c>
      <c r="B340" s="704" t="s">
        <v>1566</v>
      </c>
      <c r="C340" s="705"/>
      <c r="D340" s="705"/>
      <c r="E340" s="705"/>
      <c r="F340" s="705"/>
      <c r="G340" s="705"/>
      <c r="H340" s="705"/>
      <c r="I340" s="705"/>
      <c r="J340" s="705"/>
      <c r="K340" s="705"/>
      <c r="L340" s="705"/>
      <c r="M340" s="705"/>
      <c r="N340" s="705"/>
      <c r="O340" s="705"/>
      <c r="P340" s="705"/>
      <c r="Q340" s="705"/>
      <c r="R340" s="705"/>
      <c r="S340" s="705"/>
      <c r="T340" s="705"/>
      <c r="U340" s="705"/>
      <c r="V340" s="705"/>
      <c r="W340" s="705"/>
      <c r="X340" s="705"/>
      <c r="Y340" s="705"/>
      <c r="Z340" s="705"/>
      <c r="AA340" s="705"/>
      <c r="AB340" s="705"/>
      <c r="AC340" s="706"/>
      <c r="AD340" s="706"/>
      <c r="AE340" s="707"/>
      <c r="AF340" s="695" t="s">
        <v>1126</v>
      </c>
      <c r="AG340" s="695" t="s">
        <v>1107</v>
      </c>
      <c r="AH340" s="695" t="s">
        <v>1108</v>
      </c>
      <c r="AI340" s="695" t="s">
        <v>1127</v>
      </c>
    </row>
    <row r="341" spans="1:41" s="6" customFormat="1" x14ac:dyDescent="0.25">
      <c r="A341" s="323"/>
      <c r="B341" s="589" t="s">
        <v>1145</v>
      </c>
      <c r="C341" s="278" t="s">
        <v>1146</v>
      </c>
      <c r="D341" s="278" t="s">
        <v>1147</v>
      </c>
      <c r="E341" s="189" t="s">
        <v>1148</v>
      </c>
      <c r="F341" s="189" t="s">
        <v>1149</v>
      </c>
      <c r="G341" s="189" t="s">
        <v>1150</v>
      </c>
      <c r="H341" s="189" t="s">
        <v>1151</v>
      </c>
      <c r="I341" s="189" t="s">
        <v>1152</v>
      </c>
      <c r="J341" s="189" t="s">
        <v>1153</v>
      </c>
      <c r="K341" s="189" t="s">
        <v>1154</v>
      </c>
      <c r="L341" s="189" t="s">
        <v>1134</v>
      </c>
      <c r="M341" s="189" t="s">
        <v>1155</v>
      </c>
      <c r="N341" s="189" t="s">
        <v>1112</v>
      </c>
      <c r="O341" s="189" t="s">
        <v>1115</v>
      </c>
      <c r="P341" s="189" t="s">
        <v>1156</v>
      </c>
      <c r="Q341" s="189" t="s">
        <v>1157</v>
      </c>
      <c r="R341" s="189" t="s">
        <v>1158</v>
      </c>
      <c r="S341" s="189" t="s">
        <v>1159</v>
      </c>
      <c r="T341" s="189" t="s">
        <v>1160</v>
      </c>
      <c r="U341" s="189" t="s">
        <v>1161</v>
      </c>
      <c r="V341" s="189" t="s">
        <v>1162</v>
      </c>
      <c r="W341" s="189" t="s">
        <v>1164</v>
      </c>
      <c r="X341" s="189" t="s">
        <v>1165</v>
      </c>
      <c r="Y341" s="189" t="s">
        <v>1166</v>
      </c>
      <c r="Z341" s="189" t="s">
        <v>1117</v>
      </c>
      <c r="AA341" s="189" t="s">
        <v>1116</v>
      </c>
      <c r="AB341" s="189" t="s">
        <v>1167</v>
      </c>
      <c r="AC341" s="189" t="s">
        <v>1168</v>
      </c>
      <c r="AD341" s="189" t="s">
        <v>1169</v>
      </c>
      <c r="AE341" s="189" t="s">
        <v>1170</v>
      </c>
      <c r="AF341" s="696"/>
      <c r="AG341" s="696"/>
      <c r="AH341" s="696"/>
      <c r="AI341" s="696"/>
    </row>
    <row r="342" spans="1:41" s="6" customFormat="1" x14ac:dyDescent="0.25">
      <c r="A342" s="323"/>
      <c r="B342" s="589"/>
      <c r="C342" s="278"/>
      <c r="D342" s="278"/>
      <c r="E342" s="189"/>
      <c r="F342" s="189"/>
      <c r="G342" s="189"/>
      <c r="H342" s="189"/>
      <c r="I342" s="189"/>
      <c r="J342" s="189"/>
      <c r="K342" s="189"/>
      <c r="L342" s="189" t="str">
        <f>L312</f>
        <v>9999</v>
      </c>
      <c r="M342" s="111"/>
      <c r="N342" s="111" t="str">
        <f>B305</f>
        <v>6001</v>
      </c>
      <c r="O342" s="111" t="str">
        <f>C305</f>
        <v>6001</v>
      </c>
      <c r="P342" s="111"/>
      <c r="Q342" s="111"/>
      <c r="R342" s="111">
        <v>3</v>
      </c>
      <c r="S342" s="111">
        <v>2</v>
      </c>
      <c r="T342" s="111">
        <v>1</v>
      </c>
      <c r="U342" s="113">
        <f>E305</f>
        <v>1000</v>
      </c>
      <c r="V342" s="111" t="s">
        <v>2038</v>
      </c>
      <c r="W342" s="111"/>
      <c r="X342" s="111"/>
      <c r="Y342" s="111"/>
      <c r="Z342" s="111"/>
      <c r="AA342" s="111" t="str">
        <f>D305</f>
        <v>CNY</v>
      </c>
      <c r="AB342" s="111"/>
      <c r="AC342" s="111"/>
      <c r="AD342" s="111"/>
      <c r="AE342" s="111">
        <v>1</v>
      </c>
      <c r="AF342" s="176" t="s">
        <v>1128</v>
      </c>
      <c r="AG342" s="176"/>
      <c r="AH342" s="176"/>
      <c r="AI342" s="176">
        <v>0</v>
      </c>
    </row>
    <row r="343" spans="1:41" s="6" customFormat="1" x14ac:dyDescent="0.25">
      <c r="A343" s="126" t="s">
        <v>173</v>
      </c>
      <c r="B343" s="179" t="s">
        <v>1187</v>
      </c>
      <c r="C343" s="179"/>
      <c r="D343" s="179"/>
      <c r="E343" s="188"/>
      <c r="F343" s="188"/>
      <c r="G343" s="188"/>
      <c r="H343" s="188"/>
      <c r="I343" s="188"/>
      <c r="J343" s="188"/>
      <c r="K343" s="188"/>
      <c r="L343" s="188"/>
      <c r="M343" s="188"/>
      <c r="N343" s="167"/>
      <c r="O343" s="167"/>
      <c r="P343" s="167"/>
      <c r="Q343" s="167"/>
    </row>
    <row r="344" spans="1:41" s="6" customFormat="1" x14ac:dyDescent="0.25">
      <c r="A344" s="195" t="s">
        <v>124</v>
      </c>
      <c r="B344" s="590" t="s">
        <v>1172</v>
      </c>
      <c r="C344" s="204"/>
      <c r="D344" s="204"/>
      <c r="E344" s="235"/>
      <c r="F344" s="188"/>
      <c r="G344" s="188"/>
      <c r="H344" s="188"/>
      <c r="I344" s="188"/>
      <c r="J344" s="188"/>
      <c r="K344" s="188"/>
      <c r="L344" s="188"/>
      <c r="M344" s="167"/>
      <c r="N344" s="167"/>
      <c r="O344" s="167"/>
      <c r="P344" s="167"/>
    </row>
    <row r="345" spans="1:41" s="6" customFormat="1" x14ac:dyDescent="0.25">
      <c r="A345" s="323" t="s">
        <v>306</v>
      </c>
      <c r="B345" s="704" t="s">
        <v>1566</v>
      </c>
      <c r="C345" s="705"/>
      <c r="D345" s="705"/>
      <c r="E345" s="705"/>
      <c r="F345" s="705"/>
      <c r="G345" s="705"/>
      <c r="H345" s="705"/>
      <c r="I345" s="705"/>
      <c r="J345" s="705"/>
      <c r="K345" s="705"/>
      <c r="L345" s="705"/>
      <c r="M345" s="705"/>
      <c r="N345" s="705"/>
      <c r="O345" s="705"/>
      <c r="P345" s="705"/>
      <c r="Q345" s="705"/>
      <c r="R345" s="705"/>
      <c r="S345" s="705"/>
      <c r="T345" s="705"/>
      <c r="U345" s="705"/>
      <c r="V345" s="705"/>
      <c r="W345" s="705"/>
      <c r="X345" s="705"/>
      <c r="Y345" s="705"/>
      <c r="Z345" s="705"/>
      <c r="AA345" s="705"/>
      <c r="AB345" s="705"/>
      <c r="AC345" s="706"/>
      <c r="AD345" s="706"/>
      <c r="AE345" s="707"/>
      <c r="AF345" s="695" t="s">
        <v>1126</v>
      </c>
      <c r="AG345" s="695" t="s">
        <v>1107</v>
      </c>
      <c r="AH345" s="695" t="s">
        <v>1108</v>
      </c>
      <c r="AI345" s="695" t="s">
        <v>1127</v>
      </c>
    </row>
    <row r="346" spans="1:41" s="6" customFormat="1" x14ac:dyDescent="0.25">
      <c r="A346" s="323"/>
      <c r="B346" s="591" t="s">
        <v>1145</v>
      </c>
      <c r="C346" s="278" t="s">
        <v>1146</v>
      </c>
      <c r="D346" s="278" t="s">
        <v>1147</v>
      </c>
      <c r="E346" s="189" t="s">
        <v>1148</v>
      </c>
      <c r="F346" s="189" t="s">
        <v>1149</v>
      </c>
      <c r="G346" s="189" t="s">
        <v>1150</v>
      </c>
      <c r="H346" s="189" t="s">
        <v>1151</v>
      </c>
      <c r="I346" s="189" t="s">
        <v>1152</v>
      </c>
      <c r="J346" s="189" t="s">
        <v>1153</v>
      </c>
      <c r="K346" s="189" t="s">
        <v>1154</v>
      </c>
      <c r="L346" s="189" t="s">
        <v>1134</v>
      </c>
      <c r="M346" s="189" t="s">
        <v>1155</v>
      </c>
      <c r="N346" s="189" t="s">
        <v>1112</v>
      </c>
      <c r="O346" s="189" t="s">
        <v>1115</v>
      </c>
      <c r="P346" s="189" t="s">
        <v>1156</v>
      </c>
      <c r="Q346" s="189" t="s">
        <v>1157</v>
      </c>
      <c r="R346" s="189" t="s">
        <v>1158</v>
      </c>
      <c r="S346" s="189" t="s">
        <v>1159</v>
      </c>
      <c r="T346" s="189" t="s">
        <v>1160</v>
      </c>
      <c r="U346" s="189" t="s">
        <v>1161</v>
      </c>
      <c r="V346" s="189" t="s">
        <v>1162</v>
      </c>
      <c r="W346" s="189" t="s">
        <v>1164</v>
      </c>
      <c r="X346" s="189" t="s">
        <v>1165</v>
      </c>
      <c r="Y346" s="189" t="s">
        <v>1166</v>
      </c>
      <c r="Z346" s="189" t="s">
        <v>1117</v>
      </c>
      <c r="AA346" s="189" t="s">
        <v>1116</v>
      </c>
      <c r="AB346" s="189" t="s">
        <v>1167</v>
      </c>
      <c r="AC346" s="189" t="s">
        <v>1168</v>
      </c>
      <c r="AD346" s="189" t="s">
        <v>1169</v>
      </c>
      <c r="AE346" s="189" t="s">
        <v>1170</v>
      </c>
      <c r="AF346" s="696"/>
      <c r="AG346" s="696"/>
      <c r="AH346" s="696"/>
      <c r="AI346" s="696"/>
    </row>
    <row r="347" spans="1:41" x14ac:dyDescent="0.25">
      <c r="A347" s="323"/>
      <c r="B347" s="591">
        <f>B337+1</f>
        <v>5</v>
      </c>
      <c r="C347" s="278">
        <v>1</v>
      </c>
      <c r="D347" s="278" t="s">
        <v>1173</v>
      </c>
      <c r="E347" s="189">
        <v>20190328</v>
      </c>
      <c r="F347" s="191">
        <v>0.57240740740740736</v>
      </c>
      <c r="G347" s="189"/>
      <c r="H347" s="189"/>
      <c r="I347" s="189"/>
      <c r="J347" s="189" t="s">
        <v>1191</v>
      </c>
      <c r="K347" s="189">
        <v>1</v>
      </c>
      <c r="L347" s="189" t="str">
        <f>L342</f>
        <v>9999</v>
      </c>
      <c r="M347" s="111"/>
      <c r="N347" s="111" t="str">
        <f>B305</f>
        <v>6001</v>
      </c>
      <c r="O347" s="111" t="str">
        <f>C305</f>
        <v>6001</v>
      </c>
      <c r="P347" s="111"/>
      <c r="Q347" s="111">
        <v>1</v>
      </c>
      <c r="R347" s="111">
        <v>3</v>
      </c>
      <c r="S347" s="111">
        <v>2</v>
      </c>
      <c r="T347" s="111">
        <v>1</v>
      </c>
      <c r="U347" s="113">
        <f>U342</f>
        <v>1000</v>
      </c>
      <c r="V347" s="111" t="s">
        <v>2038</v>
      </c>
      <c r="W347" s="111">
        <v>1</v>
      </c>
      <c r="X347" s="111"/>
      <c r="Y347" s="111"/>
      <c r="Z347" s="111"/>
      <c r="AA347" s="111" t="str">
        <f>AA342</f>
        <v>CNY</v>
      </c>
      <c r="AB347" s="111">
        <v>1</v>
      </c>
      <c r="AC347" s="111">
        <v>1</v>
      </c>
      <c r="AD347" s="111"/>
      <c r="AE347" s="111">
        <v>1</v>
      </c>
      <c r="AF347" s="111" t="s">
        <v>1128</v>
      </c>
      <c r="AG347" s="111"/>
      <c r="AH347" s="111"/>
      <c r="AI347" s="111">
        <v>0</v>
      </c>
      <c r="AJ347" s="6"/>
      <c r="AK347" s="6"/>
      <c r="AL347" s="6"/>
      <c r="AM347" s="6"/>
      <c r="AN347" s="6"/>
      <c r="AO347" s="6"/>
    </row>
    <row r="348" spans="1:41" s="4" customFormat="1" x14ac:dyDescent="0.25">
      <c r="A348" s="197" t="s">
        <v>173</v>
      </c>
      <c r="B348" s="195" t="s">
        <v>1877</v>
      </c>
      <c r="C348" s="323"/>
      <c r="D348" s="323"/>
      <c r="E348" s="323"/>
      <c r="F348" s="188"/>
      <c r="G348" s="188"/>
      <c r="H348" s="188"/>
      <c r="I348" s="188"/>
      <c r="J348" s="188"/>
      <c r="K348" s="188"/>
      <c r="L348" s="188"/>
      <c r="M348" s="188"/>
      <c r="N348" s="167"/>
      <c r="O348" s="167"/>
      <c r="P348" s="197"/>
      <c r="Q348" s="197"/>
      <c r="R348" s="197"/>
      <c r="S348" s="197"/>
      <c r="T348" s="197"/>
      <c r="U348" s="197"/>
      <c r="V348" s="198"/>
      <c r="W348" s="197"/>
      <c r="X348" s="197"/>
      <c r="Y348" s="197"/>
      <c r="Z348" s="197"/>
      <c r="AA348" s="197"/>
      <c r="AB348" s="197"/>
      <c r="AC348" s="197"/>
      <c r="AD348" s="197"/>
      <c r="AE348" s="197"/>
      <c r="AF348" s="197"/>
      <c r="AG348" s="197"/>
      <c r="AH348" s="197"/>
      <c r="AI348" s="197"/>
      <c r="AJ348" s="197"/>
    </row>
    <row r="349" spans="1:41" s="6" customFormat="1" x14ac:dyDescent="0.25">
      <c r="A349" s="195" t="s">
        <v>124</v>
      </c>
      <c r="B349" s="590" t="s">
        <v>1142</v>
      </c>
      <c r="C349" s="204"/>
      <c r="D349" s="204"/>
      <c r="E349" s="235"/>
      <c r="F349" s="188"/>
      <c r="G349" s="188"/>
      <c r="H349" s="188"/>
      <c r="I349" s="188"/>
      <c r="J349" s="188"/>
      <c r="K349" s="188"/>
      <c r="L349" s="188"/>
      <c r="M349" s="167"/>
      <c r="N349" s="167"/>
      <c r="O349" s="167"/>
      <c r="P349" s="167"/>
    </row>
    <row r="350" spans="1:41" s="6" customFormat="1" x14ac:dyDescent="0.25">
      <c r="A350" s="323" t="s">
        <v>306</v>
      </c>
      <c r="B350" s="704" t="s">
        <v>1566</v>
      </c>
      <c r="C350" s="705"/>
      <c r="D350" s="705"/>
      <c r="E350" s="705"/>
      <c r="F350" s="705"/>
      <c r="G350" s="705"/>
      <c r="H350" s="705"/>
      <c r="I350" s="705"/>
      <c r="J350" s="705"/>
      <c r="K350" s="705"/>
      <c r="L350" s="705"/>
      <c r="M350" s="705"/>
      <c r="N350" s="705"/>
      <c r="O350" s="705"/>
      <c r="P350" s="705"/>
      <c r="Q350" s="705"/>
      <c r="R350" s="705"/>
      <c r="S350" s="705"/>
      <c r="T350" s="705"/>
      <c r="U350" s="705"/>
      <c r="V350" s="705"/>
      <c r="W350" s="705"/>
      <c r="X350" s="705"/>
      <c r="Y350" s="705"/>
      <c r="Z350" s="705"/>
      <c r="AA350" s="705"/>
      <c r="AB350" s="705"/>
      <c r="AC350" s="706"/>
      <c r="AD350" s="706"/>
      <c r="AE350" s="707"/>
      <c r="AF350" s="695" t="s">
        <v>1126</v>
      </c>
      <c r="AG350" s="695" t="s">
        <v>1107</v>
      </c>
      <c r="AH350" s="695" t="s">
        <v>1108</v>
      </c>
      <c r="AI350" s="695" t="s">
        <v>1127</v>
      </c>
    </row>
    <row r="351" spans="1:41" s="6" customFormat="1" x14ac:dyDescent="0.25">
      <c r="A351" s="323"/>
      <c r="B351" s="589" t="s">
        <v>1145</v>
      </c>
      <c r="C351" s="414" t="s">
        <v>1146</v>
      </c>
      <c r="D351" s="414" t="s">
        <v>1147</v>
      </c>
      <c r="E351" s="189" t="s">
        <v>1148</v>
      </c>
      <c r="F351" s="189" t="s">
        <v>1149</v>
      </c>
      <c r="G351" s="189" t="s">
        <v>1150</v>
      </c>
      <c r="H351" s="189" t="s">
        <v>1151</v>
      </c>
      <c r="I351" s="189" t="s">
        <v>1152</v>
      </c>
      <c r="J351" s="189" t="s">
        <v>1153</v>
      </c>
      <c r="K351" s="189" t="s">
        <v>1154</v>
      </c>
      <c r="L351" s="189" t="s">
        <v>1134</v>
      </c>
      <c r="M351" s="189" t="s">
        <v>1155</v>
      </c>
      <c r="N351" s="189" t="s">
        <v>1112</v>
      </c>
      <c r="O351" s="189" t="s">
        <v>1115</v>
      </c>
      <c r="P351" s="189" t="s">
        <v>1156</v>
      </c>
      <c r="Q351" s="189" t="s">
        <v>1157</v>
      </c>
      <c r="R351" s="189" t="s">
        <v>1158</v>
      </c>
      <c r="S351" s="189" t="s">
        <v>1159</v>
      </c>
      <c r="T351" s="189" t="s">
        <v>1160</v>
      </c>
      <c r="U351" s="189" t="s">
        <v>1161</v>
      </c>
      <c r="V351" s="189" t="s">
        <v>1162</v>
      </c>
      <c r="W351" s="189" t="s">
        <v>1164</v>
      </c>
      <c r="X351" s="189" t="s">
        <v>1165</v>
      </c>
      <c r="Y351" s="189" t="s">
        <v>1166</v>
      </c>
      <c r="Z351" s="189" t="s">
        <v>1117</v>
      </c>
      <c r="AA351" s="189" t="s">
        <v>1116</v>
      </c>
      <c r="AB351" s="189" t="s">
        <v>1167</v>
      </c>
      <c r="AC351" s="189" t="s">
        <v>1168</v>
      </c>
      <c r="AD351" s="189" t="s">
        <v>1169</v>
      </c>
      <c r="AE351" s="189" t="s">
        <v>1170</v>
      </c>
      <c r="AF351" s="696"/>
      <c r="AG351" s="696"/>
      <c r="AH351" s="696"/>
      <c r="AI351" s="696"/>
    </row>
    <row r="352" spans="1:41" s="6" customFormat="1" x14ac:dyDescent="0.25">
      <c r="A352" s="323"/>
      <c r="B352" s="589"/>
      <c r="C352" s="414"/>
      <c r="D352" s="414"/>
      <c r="E352" s="189"/>
      <c r="F352" s="189"/>
      <c r="G352" s="189"/>
      <c r="H352" s="189"/>
      <c r="I352" s="189"/>
      <c r="J352" s="189"/>
      <c r="K352" s="189"/>
      <c r="L352" s="189" t="str">
        <f>L322</f>
        <v>9999</v>
      </c>
      <c r="M352" s="111"/>
      <c r="N352" s="111" t="str">
        <f>B306</f>
        <v>6001</v>
      </c>
      <c r="O352" s="111" t="str">
        <f>C306</f>
        <v>6001</v>
      </c>
      <c r="P352" s="111"/>
      <c r="Q352" s="111"/>
      <c r="R352" s="111">
        <v>3</v>
      </c>
      <c r="S352" s="111">
        <v>2</v>
      </c>
      <c r="T352" s="111">
        <v>1</v>
      </c>
      <c r="U352" s="113">
        <f>E306</f>
        <v>1000</v>
      </c>
      <c r="V352" s="111" t="s">
        <v>2039</v>
      </c>
      <c r="W352" s="111"/>
      <c r="X352" s="111"/>
      <c r="Y352" s="111"/>
      <c r="Z352" s="111"/>
      <c r="AA352" s="111" t="str">
        <f>D306</f>
        <v>HKD</v>
      </c>
      <c r="AB352" s="111"/>
      <c r="AC352" s="111"/>
      <c r="AD352" s="111"/>
      <c r="AE352" s="111">
        <v>1</v>
      </c>
      <c r="AF352" s="176" t="s">
        <v>1128</v>
      </c>
      <c r="AG352" s="176"/>
      <c r="AH352" s="176"/>
      <c r="AI352" s="176">
        <v>0</v>
      </c>
    </row>
    <row r="353" spans="1:42" s="6" customFormat="1" x14ac:dyDescent="0.25">
      <c r="A353" s="126" t="s">
        <v>173</v>
      </c>
      <c r="B353" s="323" t="s">
        <v>1879</v>
      </c>
      <c r="C353" s="323"/>
      <c r="D353" s="323"/>
      <c r="E353" s="188"/>
      <c r="F353" s="188"/>
      <c r="G353" s="188"/>
      <c r="H353" s="188"/>
      <c r="I353" s="188"/>
      <c r="J353" s="188"/>
      <c r="K353" s="188"/>
      <c r="L353" s="188"/>
      <c r="M353" s="188"/>
      <c r="N353" s="167"/>
      <c r="O353" s="167"/>
      <c r="P353" s="167"/>
      <c r="Q353" s="167"/>
    </row>
    <row r="354" spans="1:42" s="6" customFormat="1" x14ac:dyDescent="0.25">
      <c r="A354" s="195" t="s">
        <v>124</v>
      </c>
      <c r="B354" s="590" t="s">
        <v>1172</v>
      </c>
      <c r="C354" s="204"/>
      <c r="D354" s="204"/>
      <c r="E354" s="235"/>
      <c r="F354" s="188"/>
      <c r="G354" s="188"/>
      <c r="H354" s="188"/>
      <c r="I354" s="188"/>
      <c r="J354" s="188"/>
      <c r="K354" s="188"/>
      <c r="L354" s="188"/>
      <c r="M354" s="167"/>
      <c r="N354" s="167"/>
      <c r="O354" s="167"/>
      <c r="P354" s="167"/>
    </row>
    <row r="355" spans="1:42" s="6" customFormat="1" x14ac:dyDescent="0.25">
      <c r="A355" s="323" t="s">
        <v>306</v>
      </c>
      <c r="B355" s="704" t="s">
        <v>1566</v>
      </c>
      <c r="C355" s="705"/>
      <c r="D355" s="705"/>
      <c r="E355" s="705"/>
      <c r="F355" s="705"/>
      <c r="G355" s="705"/>
      <c r="H355" s="705"/>
      <c r="I355" s="705"/>
      <c r="J355" s="705"/>
      <c r="K355" s="705"/>
      <c r="L355" s="705"/>
      <c r="M355" s="705"/>
      <c r="N355" s="705"/>
      <c r="O355" s="705"/>
      <c r="P355" s="705"/>
      <c r="Q355" s="705"/>
      <c r="R355" s="705"/>
      <c r="S355" s="705"/>
      <c r="T355" s="705"/>
      <c r="U355" s="705"/>
      <c r="V355" s="705"/>
      <c r="W355" s="705"/>
      <c r="X355" s="705"/>
      <c r="Y355" s="705"/>
      <c r="Z355" s="705"/>
      <c r="AA355" s="705"/>
      <c r="AB355" s="705"/>
      <c r="AC355" s="706"/>
      <c r="AD355" s="706"/>
      <c r="AE355" s="707"/>
      <c r="AF355" s="695" t="s">
        <v>1126</v>
      </c>
      <c r="AG355" s="695" t="s">
        <v>1107</v>
      </c>
      <c r="AH355" s="695" t="s">
        <v>1108</v>
      </c>
      <c r="AI355" s="695" t="s">
        <v>1127</v>
      </c>
    </row>
    <row r="356" spans="1:42" s="6" customFormat="1" x14ac:dyDescent="0.25">
      <c r="A356" s="323"/>
      <c r="B356" s="591" t="s">
        <v>1145</v>
      </c>
      <c r="C356" s="417" t="s">
        <v>1146</v>
      </c>
      <c r="D356" s="417" t="s">
        <v>1147</v>
      </c>
      <c r="E356" s="189" t="s">
        <v>1148</v>
      </c>
      <c r="F356" s="189" t="s">
        <v>1149</v>
      </c>
      <c r="G356" s="189" t="s">
        <v>1150</v>
      </c>
      <c r="H356" s="189" t="s">
        <v>1151</v>
      </c>
      <c r="I356" s="189" t="s">
        <v>1152</v>
      </c>
      <c r="J356" s="189" t="s">
        <v>1153</v>
      </c>
      <c r="K356" s="189" t="s">
        <v>1154</v>
      </c>
      <c r="L356" s="189" t="s">
        <v>1134</v>
      </c>
      <c r="M356" s="189" t="s">
        <v>1155</v>
      </c>
      <c r="N356" s="189" t="s">
        <v>1112</v>
      </c>
      <c r="O356" s="189" t="s">
        <v>1115</v>
      </c>
      <c r="P356" s="189" t="s">
        <v>1156</v>
      </c>
      <c r="Q356" s="189" t="s">
        <v>1157</v>
      </c>
      <c r="R356" s="189" t="s">
        <v>1158</v>
      </c>
      <c r="S356" s="189" t="s">
        <v>1159</v>
      </c>
      <c r="T356" s="189" t="s">
        <v>1160</v>
      </c>
      <c r="U356" s="189" t="s">
        <v>1161</v>
      </c>
      <c r="V356" s="189" t="s">
        <v>1162</v>
      </c>
      <c r="W356" s="189" t="s">
        <v>1164</v>
      </c>
      <c r="X356" s="189" t="s">
        <v>1165</v>
      </c>
      <c r="Y356" s="189" t="s">
        <v>1166</v>
      </c>
      <c r="Z356" s="189" t="s">
        <v>1117</v>
      </c>
      <c r="AA356" s="189" t="s">
        <v>1116</v>
      </c>
      <c r="AB356" s="189" t="s">
        <v>1167</v>
      </c>
      <c r="AC356" s="189" t="s">
        <v>1168</v>
      </c>
      <c r="AD356" s="189" t="s">
        <v>1169</v>
      </c>
      <c r="AE356" s="189" t="s">
        <v>1170</v>
      </c>
      <c r="AF356" s="696"/>
      <c r="AG356" s="696"/>
      <c r="AH356" s="696"/>
      <c r="AI356" s="696"/>
    </row>
    <row r="357" spans="1:42" x14ac:dyDescent="0.25">
      <c r="A357" s="323"/>
      <c r="B357" s="591">
        <f>B347+1</f>
        <v>6</v>
      </c>
      <c r="C357" s="417">
        <v>1</v>
      </c>
      <c r="D357" s="417" t="s">
        <v>1173</v>
      </c>
      <c r="E357" s="189">
        <v>20190328</v>
      </c>
      <c r="F357" s="191">
        <v>0.57240740740740736</v>
      </c>
      <c r="G357" s="189"/>
      <c r="H357" s="189"/>
      <c r="I357" s="189"/>
      <c r="J357" s="189" t="s">
        <v>1880</v>
      </c>
      <c r="K357" s="189">
        <v>1</v>
      </c>
      <c r="L357" s="189" t="str">
        <f>L352</f>
        <v>9999</v>
      </c>
      <c r="M357" s="111"/>
      <c r="N357" s="111" t="str">
        <f>B306</f>
        <v>6001</v>
      </c>
      <c r="O357" s="111" t="str">
        <f>C306</f>
        <v>6001</v>
      </c>
      <c r="P357" s="111"/>
      <c r="Q357" s="111">
        <v>1</v>
      </c>
      <c r="R357" s="111">
        <v>3</v>
      </c>
      <c r="S357" s="111">
        <v>2</v>
      </c>
      <c r="T357" s="111">
        <v>1</v>
      </c>
      <c r="U357" s="113">
        <f>U352</f>
        <v>1000</v>
      </c>
      <c r="V357" s="111" t="s">
        <v>2040</v>
      </c>
      <c r="W357" s="111">
        <v>1</v>
      </c>
      <c r="X357" s="111"/>
      <c r="Y357" s="111"/>
      <c r="Z357" s="111"/>
      <c r="AA357" s="111" t="str">
        <f>AA352</f>
        <v>HKD</v>
      </c>
      <c r="AB357" s="111">
        <v>1</v>
      </c>
      <c r="AC357" s="111">
        <v>1</v>
      </c>
      <c r="AD357" s="111"/>
      <c r="AE357" s="111">
        <v>1</v>
      </c>
      <c r="AF357" s="111" t="s">
        <v>1128</v>
      </c>
      <c r="AG357" s="111"/>
      <c r="AH357" s="111"/>
      <c r="AI357" s="111">
        <v>0</v>
      </c>
      <c r="AJ357" s="6"/>
      <c r="AK357" s="6"/>
      <c r="AL357" s="6"/>
      <c r="AM357" s="6"/>
      <c r="AN357" s="6"/>
      <c r="AO357" s="6"/>
    </row>
    <row r="358" spans="1:42" x14ac:dyDescent="0.25">
      <c r="A358" s="126" t="s">
        <v>359</v>
      </c>
      <c r="B358" s="179" t="s">
        <v>1188</v>
      </c>
      <c r="C358" s="179"/>
      <c r="D358" s="179"/>
      <c r="E358" s="179"/>
      <c r="F358" s="188"/>
      <c r="G358" s="188"/>
      <c r="H358" s="188"/>
      <c r="I358" s="188"/>
      <c r="J358" s="188"/>
      <c r="K358" s="188"/>
      <c r="L358" s="188"/>
      <c r="M358" s="188"/>
      <c r="N358" s="167"/>
      <c r="O358" s="167"/>
      <c r="P358" s="167"/>
      <c r="Q358" s="167"/>
      <c r="R358" s="167"/>
      <c r="S358" s="167"/>
      <c r="T358" s="167"/>
      <c r="U358" s="167"/>
      <c r="V358" s="182"/>
      <c r="W358" s="167"/>
      <c r="X358" s="167"/>
      <c r="Y358" s="167"/>
      <c r="Z358" s="167"/>
      <c r="AA358" s="167"/>
      <c r="AB358" s="167"/>
      <c r="AC358" s="167"/>
      <c r="AD358" s="167"/>
      <c r="AE358" s="167"/>
      <c r="AF358" s="167"/>
      <c r="AG358" s="167"/>
      <c r="AH358" s="167"/>
      <c r="AI358" s="167"/>
      <c r="AJ358" s="167"/>
      <c r="AK358" s="6"/>
      <c r="AL358" s="6"/>
      <c r="AM358" s="6"/>
      <c r="AN358" s="6"/>
      <c r="AO358" s="6"/>
      <c r="AP358" s="6"/>
    </row>
    <row r="359" spans="1:42" s="6" customFormat="1" x14ac:dyDescent="0.25">
      <c r="A359" s="195" t="s">
        <v>1132</v>
      </c>
      <c r="B359" s="590" t="s">
        <v>1142</v>
      </c>
      <c r="C359" s="204"/>
      <c r="D359" s="204"/>
      <c r="E359" s="235"/>
      <c r="F359" s="188"/>
      <c r="G359" s="188"/>
      <c r="H359" s="188"/>
      <c r="I359" s="188"/>
      <c r="J359" s="188"/>
      <c r="K359" s="188"/>
      <c r="L359" s="188"/>
      <c r="M359" s="167"/>
      <c r="N359" s="167"/>
      <c r="O359" s="167"/>
      <c r="P359" s="167"/>
    </row>
    <row r="360" spans="1:42" s="6" customFormat="1" x14ac:dyDescent="0.25">
      <c r="A360" s="323" t="s">
        <v>1144</v>
      </c>
      <c r="B360" s="704" t="s">
        <v>1566</v>
      </c>
      <c r="C360" s="705"/>
      <c r="D360" s="705"/>
      <c r="E360" s="705"/>
      <c r="F360" s="705"/>
      <c r="G360" s="705"/>
      <c r="H360" s="705"/>
      <c r="I360" s="705"/>
      <c r="J360" s="705"/>
      <c r="K360" s="705"/>
      <c r="L360" s="705"/>
      <c r="M360" s="705"/>
      <c r="N360" s="705"/>
      <c r="O360" s="705"/>
      <c r="P360" s="705"/>
      <c r="Q360" s="705"/>
      <c r="R360" s="705"/>
      <c r="S360" s="705"/>
      <c r="T360" s="705"/>
      <c r="U360" s="705"/>
      <c r="V360" s="705"/>
      <c r="W360" s="705"/>
      <c r="X360" s="705"/>
      <c r="Y360" s="705"/>
      <c r="Z360" s="705"/>
      <c r="AA360" s="705"/>
      <c r="AB360" s="705"/>
      <c r="AC360" s="706"/>
      <c r="AD360" s="706"/>
      <c r="AE360" s="707"/>
      <c r="AF360" s="695" t="s">
        <v>1126</v>
      </c>
      <c r="AG360" s="695" t="s">
        <v>1107</v>
      </c>
      <c r="AH360" s="695" t="s">
        <v>1108</v>
      </c>
      <c r="AI360" s="695" t="s">
        <v>1127</v>
      </c>
    </row>
    <row r="361" spans="1:42" s="6" customFormat="1" x14ac:dyDescent="0.25">
      <c r="A361" s="323"/>
      <c r="B361" s="589" t="s">
        <v>1145</v>
      </c>
      <c r="C361" s="278" t="s">
        <v>1146</v>
      </c>
      <c r="D361" s="278" t="s">
        <v>1147</v>
      </c>
      <c r="E361" s="189" t="s">
        <v>1148</v>
      </c>
      <c r="F361" s="189" t="s">
        <v>1149</v>
      </c>
      <c r="G361" s="189" t="s">
        <v>1150</v>
      </c>
      <c r="H361" s="189" t="s">
        <v>1151</v>
      </c>
      <c r="I361" s="189" t="s">
        <v>1152</v>
      </c>
      <c r="J361" s="189" t="s">
        <v>1153</v>
      </c>
      <c r="K361" s="189" t="s">
        <v>1154</v>
      </c>
      <c r="L361" s="189" t="s">
        <v>1134</v>
      </c>
      <c r="M361" s="189" t="s">
        <v>1155</v>
      </c>
      <c r="N361" s="189" t="s">
        <v>1112</v>
      </c>
      <c r="O361" s="189" t="s">
        <v>1115</v>
      </c>
      <c r="P361" s="189" t="s">
        <v>1156</v>
      </c>
      <c r="Q361" s="189" t="s">
        <v>1157</v>
      </c>
      <c r="R361" s="189" t="s">
        <v>1158</v>
      </c>
      <c r="S361" s="189" t="s">
        <v>1159</v>
      </c>
      <c r="T361" s="189" t="s">
        <v>1160</v>
      </c>
      <c r="U361" s="189" t="s">
        <v>1161</v>
      </c>
      <c r="V361" s="189" t="s">
        <v>1162</v>
      </c>
      <c r="W361" s="189" t="s">
        <v>1164</v>
      </c>
      <c r="X361" s="189" t="s">
        <v>1165</v>
      </c>
      <c r="Y361" s="189" t="s">
        <v>1166</v>
      </c>
      <c r="Z361" s="189" t="s">
        <v>1117</v>
      </c>
      <c r="AA361" s="189" t="s">
        <v>1116</v>
      </c>
      <c r="AB361" s="189" t="s">
        <v>1167</v>
      </c>
      <c r="AC361" s="189" t="s">
        <v>1168</v>
      </c>
      <c r="AD361" s="189" t="s">
        <v>1169</v>
      </c>
      <c r="AE361" s="189" t="s">
        <v>1170</v>
      </c>
      <c r="AF361" s="696"/>
      <c r="AG361" s="696"/>
      <c r="AH361" s="696"/>
      <c r="AI361" s="696"/>
    </row>
    <row r="362" spans="1:42" s="6" customFormat="1" x14ac:dyDescent="0.25">
      <c r="A362" s="323"/>
      <c r="B362" s="589"/>
      <c r="C362" s="278"/>
      <c r="D362" s="278"/>
      <c r="E362" s="189"/>
      <c r="F362" s="189"/>
      <c r="G362" s="189"/>
      <c r="H362" s="189"/>
      <c r="I362" s="189"/>
      <c r="J362" s="189"/>
      <c r="K362" s="189"/>
      <c r="L362" s="189" t="str">
        <f>L347</f>
        <v>9999</v>
      </c>
      <c r="M362" s="111"/>
      <c r="N362" s="111" t="str">
        <f>B307</f>
        <v>6001</v>
      </c>
      <c r="O362" s="111" t="str">
        <f>C307</f>
        <v>6001</v>
      </c>
      <c r="P362" s="111"/>
      <c r="Q362" s="111"/>
      <c r="R362" s="111">
        <v>3</v>
      </c>
      <c r="S362" s="111">
        <v>2</v>
      </c>
      <c r="T362" s="111">
        <v>1</v>
      </c>
      <c r="U362" s="113">
        <f>E307</f>
        <v>1000</v>
      </c>
      <c r="V362" s="111" t="s">
        <v>2041</v>
      </c>
      <c r="W362" s="111"/>
      <c r="X362" s="111"/>
      <c r="Y362" s="111"/>
      <c r="Z362" s="111"/>
      <c r="AA362" s="111" t="str">
        <f>D307</f>
        <v>USD</v>
      </c>
      <c r="AB362" s="111"/>
      <c r="AC362" s="111"/>
      <c r="AD362" s="111"/>
      <c r="AE362" s="111">
        <v>1</v>
      </c>
      <c r="AF362" s="176" t="s">
        <v>1128</v>
      </c>
      <c r="AG362" s="176"/>
      <c r="AH362" s="176"/>
      <c r="AI362" s="176">
        <v>0</v>
      </c>
    </row>
    <row r="363" spans="1:42" s="6" customFormat="1" x14ac:dyDescent="0.25">
      <c r="A363" s="126" t="s">
        <v>173</v>
      </c>
      <c r="B363" s="179" t="s">
        <v>1196</v>
      </c>
      <c r="C363" s="179"/>
      <c r="D363" s="179"/>
      <c r="E363" s="188"/>
      <c r="F363" s="188"/>
      <c r="G363" s="188"/>
      <c r="H363" s="188"/>
      <c r="I363" s="188"/>
      <c r="J363" s="188"/>
      <c r="K363" s="188"/>
      <c r="L363" s="188"/>
      <c r="M363" s="188"/>
      <c r="N363" s="167"/>
      <c r="O363" s="167"/>
      <c r="P363" s="167"/>
      <c r="Q363" s="167"/>
    </row>
    <row r="364" spans="1:42" s="6" customFormat="1" x14ac:dyDescent="0.25">
      <c r="A364" s="195" t="s">
        <v>124</v>
      </c>
      <c r="B364" s="590" t="s">
        <v>1172</v>
      </c>
      <c r="C364" s="204"/>
      <c r="D364" s="204"/>
      <c r="E364" s="235"/>
      <c r="F364" s="188"/>
      <c r="G364" s="188"/>
      <c r="H364" s="188"/>
      <c r="I364" s="188"/>
      <c r="J364" s="188"/>
      <c r="K364" s="188"/>
      <c r="L364" s="188"/>
      <c r="M364" s="167"/>
      <c r="N364" s="167"/>
      <c r="O364" s="167"/>
      <c r="P364" s="167"/>
    </row>
    <row r="365" spans="1:42" s="6" customFormat="1" x14ac:dyDescent="0.25">
      <c r="A365" s="323" t="s">
        <v>306</v>
      </c>
      <c r="B365" s="704" t="s">
        <v>1566</v>
      </c>
      <c r="C365" s="705"/>
      <c r="D365" s="705"/>
      <c r="E365" s="705"/>
      <c r="F365" s="705"/>
      <c r="G365" s="705"/>
      <c r="H365" s="705"/>
      <c r="I365" s="705"/>
      <c r="J365" s="705"/>
      <c r="K365" s="705"/>
      <c r="L365" s="705"/>
      <c r="M365" s="705"/>
      <c r="N365" s="705"/>
      <c r="O365" s="705"/>
      <c r="P365" s="705"/>
      <c r="Q365" s="705"/>
      <c r="R365" s="705"/>
      <c r="S365" s="705"/>
      <c r="T365" s="705"/>
      <c r="U365" s="705"/>
      <c r="V365" s="705"/>
      <c r="W365" s="705"/>
      <c r="X365" s="705"/>
      <c r="Y365" s="705"/>
      <c r="Z365" s="705"/>
      <c r="AA365" s="705"/>
      <c r="AB365" s="705"/>
      <c r="AC365" s="706"/>
      <c r="AD365" s="706"/>
      <c r="AE365" s="707"/>
      <c r="AF365" s="695" t="s">
        <v>1126</v>
      </c>
      <c r="AG365" s="695" t="s">
        <v>1107</v>
      </c>
      <c r="AH365" s="695" t="s">
        <v>1108</v>
      </c>
      <c r="AI365" s="695" t="s">
        <v>1127</v>
      </c>
    </row>
    <row r="366" spans="1:42" s="6" customFormat="1" x14ac:dyDescent="0.25">
      <c r="A366" s="323"/>
      <c r="B366" s="591" t="s">
        <v>1145</v>
      </c>
      <c r="C366" s="278" t="s">
        <v>1146</v>
      </c>
      <c r="D366" s="278" t="s">
        <v>1147</v>
      </c>
      <c r="E366" s="189" t="s">
        <v>1148</v>
      </c>
      <c r="F366" s="189" t="s">
        <v>1149</v>
      </c>
      <c r="G366" s="189" t="s">
        <v>1150</v>
      </c>
      <c r="H366" s="189" t="s">
        <v>1151</v>
      </c>
      <c r="I366" s="189" t="s">
        <v>1152</v>
      </c>
      <c r="J366" s="189" t="s">
        <v>1153</v>
      </c>
      <c r="K366" s="189" t="s">
        <v>1154</v>
      </c>
      <c r="L366" s="189" t="s">
        <v>1134</v>
      </c>
      <c r="M366" s="189" t="s">
        <v>1155</v>
      </c>
      <c r="N366" s="189" t="s">
        <v>1112</v>
      </c>
      <c r="O366" s="189" t="s">
        <v>1115</v>
      </c>
      <c r="P366" s="189" t="s">
        <v>1156</v>
      </c>
      <c r="Q366" s="189" t="s">
        <v>1157</v>
      </c>
      <c r="R366" s="189" t="s">
        <v>1158</v>
      </c>
      <c r="S366" s="189" t="s">
        <v>1159</v>
      </c>
      <c r="T366" s="189" t="s">
        <v>1160</v>
      </c>
      <c r="U366" s="189" t="s">
        <v>1161</v>
      </c>
      <c r="V366" s="189" t="s">
        <v>1162</v>
      </c>
      <c r="W366" s="189" t="s">
        <v>1164</v>
      </c>
      <c r="X366" s="189" t="s">
        <v>1165</v>
      </c>
      <c r="Y366" s="189" t="s">
        <v>1166</v>
      </c>
      <c r="Z366" s="189" t="s">
        <v>1117</v>
      </c>
      <c r="AA366" s="189" t="s">
        <v>1116</v>
      </c>
      <c r="AB366" s="189" t="s">
        <v>1167</v>
      </c>
      <c r="AC366" s="189" t="s">
        <v>1168</v>
      </c>
      <c r="AD366" s="189" t="s">
        <v>1169</v>
      </c>
      <c r="AE366" s="189" t="s">
        <v>1170</v>
      </c>
      <c r="AF366" s="696"/>
      <c r="AG366" s="696"/>
      <c r="AH366" s="696"/>
      <c r="AI366" s="696"/>
    </row>
    <row r="367" spans="1:42" x14ac:dyDescent="0.25">
      <c r="A367" s="323"/>
      <c r="B367" s="591">
        <f>B357+1</f>
        <v>7</v>
      </c>
      <c r="C367" s="278">
        <v>1</v>
      </c>
      <c r="D367" s="278" t="s">
        <v>1173</v>
      </c>
      <c r="E367" s="189">
        <v>20190328</v>
      </c>
      <c r="F367" s="191">
        <v>0.57240740740740736</v>
      </c>
      <c r="G367" s="189"/>
      <c r="H367" s="189"/>
      <c r="I367" s="189"/>
      <c r="J367" s="189" t="s">
        <v>1192</v>
      </c>
      <c r="K367" s="189">
        <v>1</v>
      </c>
      <c r="L367" s="189" t="str">
        <f>L362</f>
        <v>9999</v>
      </c>
      <c r="M367" s="111"/>
      <c r="N367" s="111" t="str">
        <f>N362</f>
        <v>6001</v>
      </c>
      <c r="O367" s="111" t="str">
        <f>O362</f>
        <v>6001</v>
      </c>
      <c r="P367" s="111"/>
      <c r="Q367" s="111">
        <v>1</v>
      </c>
      <c r="R367" s="111">
        <v>3</v>
      </c>
      <c r="S367" s="111">
        <v>2</v>
      </c>
      <c r="T367" s="111">
        <v>1</v>
      </c>
      <c r="U367" s="113">
        <f>U362</f>
        <v>1000</v>
      </c>
      <c r="V367" s="111" t="s">
        <v>2041</v>
      </c>
      <c r="W367" s="111">
        <v>1</v>
      </c>
      <c r="X367" s="111"/>
      <c r="Y367" s="111"/>
      <c r="Z367" s="111"/>
      <c r="AA367" s="111" t="str">
        <f>AA362</f>
        <v>USD</v>
      </c>
      <c r="AB367" s="111">
        <v>1</v>
      </c>
      <c r="AC367" s="111">
        <v>1</v>
      </c>
      <c r="AD367" s="111"/>
      <c r="AE367" s="111">
        <v>1</v>
      </c>
      <c r="AF367" s="111" t="s">
        <v>1128</v>
      </c>
      <c r="AG367" s="111"/>
      <c r="AH367" s="111"/>
      <c r="AI367" s="111">
        <v>0</v>
      </c>
      <c r="AJ367" s="6"/>
      <c r="AK367" s="6"/>
      <c r="AL367" s="6"/>
      <c r="AM367" s="6"/>
      <c r="AN367" s="6"/>
      <c r="AO367" s="6"/>
    </row>
    <row r="368" spans="1:42" x14ac:dyDescent="0.25">
      <c r="A368" s="126" t="s">
        <v>991</v>
      </c>
      <c r="B368" s="179"/>
      <c r="C368" s="193"/>
      <c r="D368" s="179"/>
      <c r="E368" s="179"/>
      <c r="F368" s="188"/>
      <c r="G368" s="194"/>
      <c r="H368" s="188"/>
      <c r="I368" s="188"/>
      <c r="J368" s="188"/>
      <c r="K368" s="188"/>
      <c r="L368" s="188"/>
      <c r="M368" s="188"/>
      <c r="N368" s="167"/>
      <c r="O368" s="167"/>
      <c r="P368" s="167"/>
      <c r="Q368" s="167"/>
      <c r="R368" s="167"/>
      <c r="S368" s="167"/>
      <c r="T368" s="167"/>
      <c r="U368" s="167"/>
      <c r="V368" s="182"/>
      <c r="W368" s="167"/>
      <c r="X368" s="167"/>
      <c r="Y368" s="167"/>
      <c r="Z368" s="167"/>
      <c r="AA368" s="167"/>
      <c r="AB368" s="167"/>
      <c r="AC368" s="167"/>
      <c r="AD368" s="167"/>
      <c r="AE368" s="167"/>
      <c r="AF368" s="167"/>
      <c r="AG368" s="167"/>
      <c r="AH368" s="167"/>
      <c r="AI368" s="167"/>
      <c r="AJ368" s="167"/>
      <c r="AK368" s="6"/>
      <c r="AL368" s="6"/>
      <c r="AM368" s="6"/>
      <c r="AN368" s="6"/>
      <c r="AO368" s="6"/>
      <c r="AP368" s="6"/>
    </row>
    <row r="369" spans="1:43" x14ac:dyDescent="0.25">
      <c r="A369" s="126" t="s">
        <v>359</v>
      </c>
      <c r="B369" s="179" t="s">
        <v>1237</v>
      </c>
      <c r="C369" s="193"/>
      <c r="D369" s="179"/>
      <c r="E369" s="179"/>
      <c r="F369" s="188"/>
      <c r="G369" s="194"/>
      <c r="H369" s="188"/>
      <c r="I369" s="188"/>
      <c r="J369" s="188"/>
      <c r="K369" s="188"/>
      <c r="L369" s="188"/>
      <c r="M369" s="188"/>
      <c r="N369" s="167"/>
      <c r="O369" s="167"/>
      <c r="P369" s="167"/>
      <c r="Q369" s="167"/>
      <c r="R369" s="167"/>
      <c r="S369" s="167"/>
      <c r="T369" s="167"/>
      <c r="U369" s="167"/>
      <c r="V369" s="182"/>
      <c r="W369" s="167"/>
      <c r="X369" s="167"/>
      <c r="Y369" s="167"/>
      <c r="Z369" s="167"/>
      <c r="AA369" s="167"/>
      <c r="AB369" s="167"/>
      <c r="AC369" s="167"/>
      <c r="AD369" s="167"/>
      <c r="AE369" s="167"/>
      <c r="AF369" s="167"/>
      <c r="AG369" s="167"/>
      <c r="AH369" s="167"/>
      <c r="AI369" s="167"/>
      <c r="AJ369" s="167"/>
      <c r="AK369" s="6"/>
      <c r="AL369" s="6"/>
      <c r="AM369" s="6"/>
      <c r="AN369" s="6"/>
      <c r="AO369" s="6"/>
      <c r="AP369" s="6"/>
    </row>
    <row r="370" spans="1:43" x14ac:dyDescent="0.25">
      <c r="A370" s="126" t="s">
        <v>359</v>
      </c>
      <c r="B370" s="589" t="str">
        <f t="shared" ref="B370:D373" si="23">B16</f>
        <v>交易所代码</v>
      </c>
      <c r="C370" s="174" t="str">
        <f t="shared" si="23"/>
        <v>交易所账号</v>
      </c>
      <c r="D370" s="174" t="str">
        <f t="shared" si="23"/>
        <v>币种代码</v>
      </c>
      <c r="E370" s="189" t="s">
        <v>1140</v>
      </c>
      <c r="F370" s="189" t="s">
        <v>1463</v>
      </c>
      <c r="G370" s="189" t="s">
        <v>1171</v>
      </c>
      <c r="H370" s="188"/>
      <c r="I370" s="188"/>
      <c r="J370" s="188"/>
      <c r="K370" s="188"/>
      <c r="L370" s="188"/>
      <c r="M370" s="188"/>
      <c r="N370" s="167"/>
      <c r="O370" s="167"/>
      <c r="P370" s="167"/>
      <c r="Q370" s="167"/>
      <c r="R370" s="167"/>
      <c r="S370" s="167"/>
      <c r="T370" s="167"/>
      <c r="U370" s="167"/>
      <c r="V370" s="182"/>
      <c r="W370" s="167"/>
      <c r="X370" s="167"/>
      <c r="Y370" s="167"/>
      <c r="Z370" s="167"/>
      <c r="AA370" s="167"/>
      <c r="AB370" s="167"/>
      <c r="AC370" s="167"/>
      <c r="AD370" s="167"/>
      <c r="AE370" s="167"/>
      <c r="AF370" s="167"/>
      <c r="AG370" s="167"/>
      <c r="AH370" s="167"/>
      <c r="AI370" s="167"/>
      <c r="AJ370" s="167"/>
      <c r="AK370" s="6"/>
      <c r="AL370" s="6"/>
      <c r="AM370" s="6"/>
      <c r="AN370" s="6"/>
      <c r="AO370" s="6"/>
      <c r="AP370" s="6"/>
    </row>
    <row r="371" spans="1:43" x14ac:dyDescent="0.25">
      <c r="A371" s="126" t="s">
        <v>359</v>
      </c>
      <c r="B371" s="589" t="str">
        <f t="shared" si="23"/>
        <v>CZCE</v>
      </c>
      <c r="C371" s="174">
        <f t="shared" si="23"/>
        <v>99990201</v>
      </c>
      <c r="D371" s="174" t="str">
        <f t="shared" si="23"/>
        <v>CNY</v>
      </c>
      <c r="E371" s="518">
        <v>5000</v>
      </c>
      <c r="F371" s="189">
        <v>0</v>
      </c>
      <c r="G371" s="189" t="str">
        <f>$F$8</f>
        <v>9999</v>
      </c>
      <c r="H371" s="188"/>
      <c r="I371" s="188"/>
      <c r="J371" s="188"/>
      <c r="K371" s="188"/>
      <c r="L371" s="188"/>
      <c r="M371" s="188"/>
      <c r="N371" s="167"/>
      <c r="O371" s="167"/>
      <c r="P371" s="167"/>
      <c r="Q371" s="167"/>
      <c r="R371" s="167"/>
      <c r="S371" s="167"/>
      <c r="T371" s="167"/>
      <c r="U371" s="167"/>
      <c r="V371" s="182"/>
      <c r="W371" s="167"/>
      <c r="X371" s="167"/>
      <c r="Y371" s="167"/>
      <c r="Z371" s="167"/>
      <c r="AA371" s="167"/>
      <c r="AB371" s="167"/>
      <c r="AC371" s="167"/>
      <c r="AD371" s="167"/>
      <c r="AE371" s="167"/>
      <c r="AF371" s="167"/>
      <c r="AG371" s="167"/>
      <c r="AH371" s="167"/>
      <c r="AI371" s="167"/>
      <c r="AJ371" s="167"/>
      <c r="AK371" s="6"/>
      <c r="AL371" s="6"/>
      <c r="AM371" s="6"/>
      <c r="AN371" s="6"/>
      <c r="AO371" s="6"/>
      <c r="AP371" s="6"/>
    </row>
    <row r="372" spans="1:43" x14ac:dyDescent="0.25">
      <c r="A372" s="126" t="s">
        <v>359</v>
      </c>
      <c r="B372" s="589" t="str">
        <f t="shared" si="23"/>
        <v>CZCE</v>
      </c>
      <c r="C372" s="417">
        <f t="shared" si="23"/>
        <v>99990203</v>
      </c>
      <c r="D372" s="417" t="str">
        <f t="shared" si="23"/>
        <v>HKD</v>
      </c>
      <c r="E372" s="518">
        <v>5000.5600000000004</v>
      </c>
      <c r="F372" s="189">
        <v>0</v>
      </c>
      <c r="G372" s="189" t="str">
        <f>$F$8</f>
        <v>9999</v>
      </c>
      <c r="H372" s="188"/>
      <c r="I372" s="188"/>
      <c r="J372" s="188"/>
      <c r="K372" s="188"/>
      <c r="L372" s="188"/>
      <c r="M372" s="188"/>
      <c r="N372" s="167"/>
      <c r="O372" s="167"/>
      <c r="P372" s="167"/>
      <c r="Q372" s="167"/>
      <c r="R372" s="167"/>
      <c r="S372" s="167"/>
      <c r="T372" s="167"/>
      <c r="U372" s="167"/>
      <c r="V372" s="182"/>
      <c r="W372" s="167"/>
      <c r="X372" s="167"/>
      <c r="Y372" s="167"/>
      <c r="Z372" s="167"/>
      <c r="AA372" s="167"/>
      <c r="AB372" s="167"/>
      <c r="AC372" s="167"/>
      <c r="AD372" s="167"/>
      <c r="AE372" s="167"/>
      <c r="AF372" s="167"/>
      <c r="AG372" s="167"/>
      <c r="AH372" s="167"/>
      <c r="AI372" s="167"/>
      <c r="AJ372" s="167"/>
      <c r="AK372" s="6"/>
      <c r="AL372" s="6"/>
      <c r="AM372" s="6"/>
      <c r="AN372" s="6"/>
      <c r="AO372" s="6"/>
      <c r="AP372" s="6"/>
    </row>
    <row r="373" spans="1:43" x14ac:dyDescent="0.25">
      <c r="A373" s="126" t="s">
        <v>359</v>
      </c>
      <c r="B373" s="589" t="str">
        <f t="shared" si="23"/>
        <v>CZCE</v>
      </c>
      <c r="C373" s="174">
        <f t="shared" si="23"/>
        <v>99990202</v>
      </c>
      <c r="D373" s="174" t="str">
        <f t="shared" si="23"/>
        <v>USD</v>
      </c>
      <c r="E373" s="518">
        <v>5000.5600000000004</v>
      </c>
      <c r="F373" s="189">
        <v>0</v>
      </c>
      <c r="G373" s="189" t="str">
        <f t="shared" ref="G373:G376" si="24">$F$8</f>
        <v>9999</v>
      </c>
      <c r="H373" s="188"/>
      <c r="I373" s="188"/>
      <c r="J373" s="188"/>
      <c r="K373" s="188"/>
      <c r="L373" s="188"/>
      <c r="M373" s="188"/>
      <c r="N373" s="167"/>
      <c r="O373" s="167"/>
      <c r="P373" s="167"/>
      <c r="Q373" s="167"/>
      <c r="R373" s="167"/>
      <c r="S373" s="167"/>
      <c r="T373" s="167"/>
      <c r="U373" s="167"/>
      <c r="V373" s="182"/>
      <c r="W373" s="167"/>
      <c r="X373" s="167"/>
      <c r="Y373" s="167"/>
      <c r="Z373" s="167"/>
      <c r="AA373" s="167"/>
      <c r="AB373" s="167"/>
      <c r="AC373" s="167"/>
      <c r="AD373" s="167"/>
      <c r="AE373" s="167"/>
      <c r="AF373" s="167"/>
      <c r="AG373" s="167"/>
      <c r="AH373" s="167"/>
      <c r="AI373" s="167"/>
      <c r="AJ373" s="167"/>
      <c r="AK373" s="6"/>
      <c r="AL373" s="6"/>
      <c r="AM373" s="6"/>
      <c r="AN373" s="6"/>
      <c r="AO373" s="6"/>
      <c r="AP373" s="6"/>
    </row>
    <row r="374" spans="1:43" x14ac:dyDescent="0.25">
      <c r="A374" s="126" t="s">
        <v>359</v>
      </c>
      <c r="B374" s="589" t="str">
        <f>B371</f>
        <v>CZCE</v>
      </c>
      <c r="C374" s="174">
        <f t="shared" ref="C374:D375" si="25">C371</f>
        <v>99990201</v>
      </c>
      <c r="D374" s="174" t="str">
        <f t="shared" si="25"/>
        <v>CNY</v>
      </c>
      <c r="E374" s="518">
        <v>1000</v>
      </c>
      <c r="F374" s="189">
        <v>1</v>
      </c>
      <c r="G374" s="189" t="str">
        <f t="shared" si="24"/>
        <v>9999</v>
      </c>
      <c r="H374" s="188"/>
      <c r="I374" s="188"/>
      <c r="J374" s="188"/>
      <c r="K374" s="188"/>
      <c r="L374" s="188"/>
      <c r="M374" s="188"/>
      <c r="N374" s="167"/>
      <c r="O374" s="167"/>
      <c r="P374" s="167"/>
      <c r="Q374" s="167"/>
      <c r="R374" s="167"/>
      <c r="S374" s="167"/>
      <c r="T374" s="167"/>
      <c r="U374" s="167"/>
      <c r="V374" s="182"/>
      <c r="W374" s="167"/>
      <c r="X374" s="167"/>
      <c r="Y374" s="167"/>
      <c r="Z374" s="167"/>
      <c r="AA374" s="167"/>
      <c r="AB374" s="167"/>
      <c r="AC374" s="167"/>
      <c r="AD374" s="167"/>
      <c r="AE374" s="167"/>
      <c r="AF374" s="167"/>
      <c r="AG374" s="167"/>
      <c r="AH374" s="167"/>
      <c r="AI374" s="167"/>
      <c r="AJ374" s="167"/>
      <c r="AK374" s="6"/>
      <c r="AL374" s="6"/>
      <c r="AM374" s="6"/>
      <c r="AN374" s="6"/>
      <c r="AO374" s="6"/>
      <c r="AP374" s="6"/>
    </row>
    <row r="375" spans="1:43" x14ac:dyDescent="0.25">
      <c r="A375" s="126" t="s">
        <v>359</v>
      </c>
      <c r="B375" s="589" t="str">
        <f>B372</f>
        <v>CZCE</v>
      </c>
      <c r="C375" s="417">
        <f t="shared" si="25"/>
        <v>99990203</v>
      </c>
      <c r="D375" s="417" t="str">
        <f t="shared" si="25"/>
        <v>HKD</v>
      </c>
      <c r="E375" s="518">
        <v>1000</v>
      </c>
      <c r="F375" s="189">
        <v>1</v>
      </c>
      <c r="G375" s="189" t="str">
        <f t="shared" si="24"/>
        <v>9999</v>
      </c>
      <c r="H375" s="188"/>
      <c r="I375" s="188"/>
      <c r="J375" s="188"/>
      <c r="K375" s="188"/>
      <c r="L375" s="188"/>
      <c r="M375" s="188"/>
      <c r="N375" s="167"/>
      <c r="O375" s="167"/>
      <c r="P375" s="167"/>
      <c r="Q375" s="167"/>
      <c r="R375" s="167"/>
      <c r="S375" s="167"/>
      <c r="T375" s="167"/>
      <c r="U375" s="167"/>
      <c r="V375" s="182"/>
      <c r="W375" s="167"/>
      <c r="X375" s="167"/>
      <c r="Y375" s="167"/>
      <c r="Z375" s="167"/>
      <c r="AA375" s="167"/>
      <c r="AB375" s="167"/>
      <c r="AC375" s="167"/>
      <c r="AD375" s="167"/>
      <c r="AE375" s="167"/>
      <c r="AF375" s="167"/>
      <c r="AG375" s="167"/>
      <c r="AH375" s="167"/>
      <c r="AI375" s="167"/>
      <c r="AJ375" s="167"/>
      <c r="AK375" s="6"/>
      <c r="AL375" s="6"/>
      <c r="AM375" s="6"/>
      <c r="AN375" s="6"/>
      <c r="AO375" s="6"/>
      <c r="AP375" s="6"/>
    </row>
    <row r="376" spans="1:43" x14ac:dyDescent="0.25">
      <c r="A376" s="126" t="s">
        <v>359</v>
      </c>
      <c r="B376" s="589" t="str">
        <f>B373</f>
        <v>CZCE</v>
      </c>
      <c r="C376" s="174">
        <f t="shared" ref="C376:D376" si="26">C373</f>
        <v>99990202</v>
      </c>
      <c r="D376" s="174" t="str">
        <f t="shared" si="26"/>
        <v>USD</v>
      </c>
      <c r="E376" s="518">
        <v>1000</v>
      </c>
      <c r="F376" s="189">
        <v>1</v>
      </c>
      <c r="G376" s="189" t="str">
        <f t="shared" si="24"/>
        <v>9999</v>
      </c>
      <c r="H376" s="188"/>
      <c r="I376" s="188"/>
      <c r="J376" s="188"/>
      <c r="K376" s="188"/>
      <c r="L376" s="188"/>
      <c r="M376" s="188"/>
      <c r="N376" s="167"/>
      <c r="O376" s="167"/>
      <c r="P376" s="167"/>
      <c r="Q376" s="167"/>
      <c r="R376" s="167"/>
      <c r="S376" s="167"/>
      <c r="T376" s="167"/>
      <c r="U376" s="167"/>
      <c r="V376" s="182"/>
      <c r="W376" s="167"/>
      <c r="X376" s="167"/>
      <c r="Y376" s="167"/>
      <c r="Z376" s="167"/>
      <c r="AA376" s="167"/>
      <c r="AB376" s="167"/>
      <c r="AC376" s="167"/>
      <c r="AD376" s="167"/>
      <c r="AE376" s="167"/>
      <c r="AF376" s="167"/>
      <c r="AG376" s="167"/>
      <c r="AH376" s="167"/>
      <c r="AI376" s="167"/>
      <c r="AJ376" s="167"/>
      <c r="AK376" s="6"/>
      <c r="AL376" s="6"/>
      <c r="AM376" s="6"/>
      <c r="AN376" s="6"/>
      <c r="AO376" s="6"/>
      <c r="AP376" s="6"/>
    </row>
    <row r="377" spans="1:43" x14ac:dyDescent="0.25">
      <c r="A377" s="126" t="s">
        <v>1197</v>
      </c>
      <c r="B377" s="179" t="s">
        <v>1182</v>
      </c>
      <c r="C377" s="193"/>
      <c r="D377" s="179"/>
      <c r="E377" s="179"/>
      <c r="F377" s="188"/>
      <c r="G377" s="194"/>
      <c r="H377" s="188"/>
      <c r="I377" s="188"/>
      <c r="J377" s="188"/>
      <c r="K377" s="188"/>
      <c r="L377" s="188"/>
      <c r="M377" s="188"/>
      <c r="N377" s="167"/>
      <c r="O377" s="167"/>
      <c r="P377" s="167"/>
      <c r="Q377" s="167"/>
      <c r="R377" s="167"/>
      <c r="S377" s="167"/>
      <c r="T377" s="167"/>
      <c r="U377" s="167"/>
      <c r="V377" s="182"/>
      <c r="W377" s="167"/>
      <c r="X377" s="167"/>
      <c r="Y377" s="167"/>
      <c r="Z377" s="167"/>
      <c r="AA377" s="167"/>
      <c r="AB377" s="167"/>
      <c r="AC377" s="167"/>
      <c r="AD377" s="167"/>
      <c r="AE377" s="167"/>
      <c r="AF377" s="167"/>
      <c r="AG377" s="167"/>
      <c r="AH377" s="167"/>
      <c r="AI377" s="167"/>
      <c r="AJ377" s="167"/>
      <c r="AK377" s="6"/>
      <c r="AL377" s="6"/>
      <c r="AM377" s="6"/>
      <c r="AN377" s="6"/>
      <c r="AO377" s="6"/>
      <c r="AP377" s="6"/>
    </row>
    <row r="378" spans="1:43" x14ac:dyDescent="0.25">
      <c r="A378" s="195" t="s">
        <v>1238</v>
      </c>
      <c r="B378" s="208" t="s">
        <v>1239</v>
      </c>
      <c r="C378" s="208"/>
      <c r="D378" s="208"/>
      <c r="E378" s="209"/>
      <c r="F378" s="210"/>
      <c r="G378" s="209"/>
      <c r="H378" s="209"/>
      <c r="I378" s="209"/>
      <c r="J378" s="209"/>
      <c r="K378" s="209"/>
      <c r="L378" s="209"/>
      <c r="M378" s="211"/>
      <c r="N378" s="211"/>
      <c r="O378" s="211"/>
      <c r="P378" s="211"/>
      <c r="Q378" s="211"/>
      <c r="R378" s="211"/>
      <c r="S378" s="211"/>
      <c r="T378" s="211"/>
      <c r="U378" s="212"/>
      <c r="V378" s="211"/>
      <c r="W378" s="211"/>
      <c r="X378" s="211"/>
      <c r="Y378" s="211"/>
      <c r="Z378" s="211"/>
      <c r="AA378" s="211"/>
      <c r="AB378" s="211"/>
      <c r="AG378" s="167"/>
      <c r="AH378" s="167"/>
      <c r="AI378" s="167"/>
      <c r="AJ378" s="6"/>
      <c r="AK378" s="6"/>
      <c r="AL378" s="6"/>
      <c r="AM378" s="6"/>
      <c r="AN378" s="6"/>
      <c r="AO378" s="6"/>
    </row>
    <row r="379" spans="1:43" x14ac:dyDescent="0.25">
      <c r="A379" s="195" t="s">
        <v>1214</v>
      </c>
      <c r="B379" s="704" t="s">
        <v>1568</v>
      </c>
      <c r="C379" s="705"/>
      <c r="D379" s="705"/>
      <c r="E379" s="705"/>
      <c r="F379" s="705"/>
      <c r="G379" s="705"/>
      <c r="H379" s="705"/>
      <c r="I379" s="705"/>
      <c r="J379" s="705"/>
      <c r="K379" s="705"/>
      <c r="L379" s="705"/>
      <c r="M379" s="705"/>
      <c r="N379" s="705"/>
      <c r="O379" s="705"/>
      <c r="P379" s="705"/>
      <c r="Q379" s="705"/>
      <c r="R379" s="705"/>
      <c r="S379" s="705"/>
      <c r="T379" s="705"/>
      <c r="U379" s="705"/>
      <c r="V379" s="705"/>
      <c r="W379" s="705"/>
      <c r="X379" s="705"/>
      <c r="Y379" s="705"/>
      <c r="Z379" s="705"/>
      <c r="AA379" s="705"/>
      <c r="AB379" s="708"/>
      <c r="AC379" s="695" t="s">
        <v>1126</v>
      </c>
      <c r="AD379" s="695" t="s">
        <v>1107</v>
      </c>
      <c r="AE379" s="695" t="s">
        <v>1108</v>
      </c>
      <c r="AF379" s="695" t="s">
        <v>1127</v>
      </c>
      <c r="AG379" s="167"/>
      <c r="AH379" s="167"/>
      <c r="AI379" s="167"/>
      <c r="AJ379" s="6"/>
      <c r="AK379" s="6"/>
      <c r="AL379" s="6"/>
      <c r="AM379" s="6"/>
      <c r="AN379" s="6"/>
      <c r="AO379" s="6"/>
    </row>
    <row r="380" spans="1:43" x14ac:dyDescent="0.25">
      <c r="B380" s="592" t="s">
        <v>1145</v>
      </c>
      <c r="C380" s="213" t="s">
        <v>1146</v>
      </c>
      <c r="D380" s="213" t="s">
        <v>1147</v>
      </c>
      <c r="E380" s="214" t="s">
        <v>1148</v>
      </c>
      <c r="F380" s="214" t="s">
        <v>1149</v>
      </c>
      <c r="G380" s="214" t="s">
        <v>1150</v>
      </c>
      <c r="H380" s="214" t="s">
        <v>1151</v>
      </c>
      <c r="I380" s="214" t="s">
        <v>1152</v>
      </c>
      <c r="J380" s="214" t="s">
        <v>1153</v>
      </c>
      <c r="K380" s="214" t="s">
        <v>1154</v>
      </c>
      <c r="L380" s="214" t="s">
        <v>1133</v>
      </c>
      <c r="M380" s="214" t="s">
        <v>1134</v>
      </c>
      <c r="N380" s="214" t="s">
        <v>1115</v>
      </c>
      <c r="O380" s="214" t="s">
        <v>1240</v>
      </c>
      <c r="P380" s="214" t="s">
        <v>1117</v>
      </c>
      <c r="Q380" s="214" t="s">
        <v>1156</v>
      </c>
      <c r="R380" s="214" t="s">
        <v>1157</v>
      </c>
      <c r="S380" s="214" t="s">
        <v>1158</v>
      </c>
      <c r="T380" s="214" t="s">
        <v>1159</v>
      </c>
      <c r="U380" s="214" t="s">
        <v>1160</v>
      </c>
      <c r="V380" s="214" t="s">
        <v>1161</v>
      </c>
      <c r="W380" s="214" t="s">
        <v>1162</v>
      </c>
      <c r="X380" s="214" t="s">
        <v>1164</v>
      </c>
      <c r="Y380" s="214" t="s">
        <v>1241</v>
      </c>
      <c r="Z380" s="214" t="s">
        <v>1116</v>
      </c>
      <c r="AA380" s="214" t="s">
        <v>1167</v>
      </c>
      <c r="AB380" s="214" t="s">
        <v>1168</v>
      </c>
      <c r="AC380" s="696"/>
      <c r="AD380" s="696"/>
      <c r="AE380" s="696"/>
      <c r="AF380" s="696"/>
      <c r="AG380" s="167"/>
      <c r="AH380" s="167"/>
      <c r="AI380" s="167"/>
      <c r="AJ380" s="6"/>
      <c r="AK380" s="6"/>
      <c r="AL380" s="6"/>
      <c r="AM380" s="6"/>
      <c r="AN380" s="6"/>
      <c r="AO380" s="6"/>
    </row>
    <row r="381" spans="1:43" x14ac:dyDescent="0.25">
      <c r="A381" s="323"/>
      <c r="B381" s="591"/>
      <c r="C381" s="278"/>
      <c r="D381" s="278"/>
      <c r="E381" s="189"/>
      <c r="F381" s="191"/>
      <c r="G381" s="189"/>
      <c r="H381" s="189"/>
      <c r="I381" s="189"/>
      <c r="J381" s="189"/>
      <c r="K381" s="189"/>
      <c r="L381" s="189">
        <f>$B$2</f>
        <v>20180326</v>
      </c>
      <c r="M381" s="113" t="str">
        <f>G371</f>
        <v>9999</v>
      </c>
      <c r="N381" s="111">
        <f>C371</f>
        <v>99990201</v>
      </c>
      <c r="O381" s="111"/>
      <c r="P381" s="111" t="str">
        <f>B371</f>
        <v>CZCE</v>
      </c>
      <c r="Q381" s="111"/>
      <c r="R381" s="111"/>
      <c r="S381" s="111">
        <v>1</v>
      </c>
      <c r="T381" s="111">
        <v>1</v>
      </c>
      <c r="U381" s="113">
        <v>1</v>
      </c>
      <c r="V381" s="113">
        <f>E371</f>
        <v>5000</v>
      </c>
      <c r="W381" s="111" t="s">
        <v>1163</v>
      </c>
      <c r="X381" s="111"/>
      <c r="Y381" s="111">
        <v>0</v>
      </c>
      <c r="Z381" s="111" t="str">
        <f>D371</f>
        <v>CNY</v>
      </c>
      <c r="AA381" s="111"/>
      <c r="AB381" s="111"/>
      <c r="AC381" s="189" t="s">
        <v>1128</v>
      </c>
      <c r="AD381" s="111"/>
      <c r="AE381" s="111"/>
      <c r="AF381" s="111">
        <v>0</v>
      </c>
      <c r="AG381" s="167"/>
      <c r="AH381" s="167"/>
      <c r="AI381" s="167"/>
      <c r="AJ381" s="6"/>
      <c r="AK381" s="6"/>
      <c r="AL381" s="6"/>
      <c r="AM381" s="6"/>
      <c r="AN381" s="6"/>
      <c r="AO381" s="6"/>
    </row>
    <row r="382" spans="1:43" x14ac:dyDescent="0.25">
      <c r="A382" s="126" t="s">
        <v>173</v>
      </c>
      <c r="B382" t="s">
        <v>1181</v>
      </c>
      <c r="C382" s="179" t="s">
        <v>1183</v>
      </c>
      <c r="D382" s="193"/>
      <c r="E382" s="179"/>
      <c r="F382" s="179"/>
      <c r="G382" s="188"/>
      <c r="H382" s="194"/>
      <c r="I382" s="188"/>
      <c r="J382" s="188"/>
      <c r="K382" s="188"/>
      <c r="L382" s="188"/>
      <c r="M382" s="188"/>
      <c r="N382" s="188"/>
      <c r="O382" s="167"/>
      <c r="P382" s="167"/>
      <c r="Q382" s="167"/>
      <c r="R382" s="167"/>
      <c r="S382" s="167"/>
      <c r="T382" s="167"/>
      <c r="U382" s="167"/>
      <c r="V382" s="167"/>
      <c r="W382" s="182"/>
      <c r="X382" s="167"/>
      <c r="Y382" s="167"/>
      <c r="Z382" s="167"/>
      <c r="AA382" s="167"/>
      <c r="AB382" s="167"/>
      <c r="AC382" s="167"/>
      <c r="AD382" s="167"/>
      <c r="AE382" s="167"/>
      <c r="AF382" s="167"/>
      <c r="AG382" s="167"/>
      <c r="AH382" s="167"/>
      <c r="AI382" s="167"/>
      <c r="AJ382" s="167"/>
      <c r="AK382" s="167"/>
      <c r="AL382" s="6"/>
      <c r="AM382" s="6"/>
      <c r="AN382" s="6"/>
      <c r="AO382" s="6"/>
      <c r="AP382" s="6"/>
      <c r="AQ382" s="6"/>
    </row>
    <row r="383" spans="1:43" x14ac:dyDescent="0.25">
      <c r="A383" s="195" t="s">
        <v>124</v>
      </c>
      <c r="B383" s="218" t="s">
        <v>1242</v>
      </c>
      <c r="C383" s="218"/>
      <c r="D383" s="218"/>
      <c r="E383" s="219"/>
      <c r="F383" s="210"/>
      <c r="G383" s="209"/>
      <c r="H383" s="209"/>
      <c r="I383" s="209"/>
      <c r="J383" s="209"/>
      <c r="K383" s="209"/>
      <c r="L383" s="209"/>
      <c r="M383" s="211"/>
      <c r="N383" s="211"/>
      <c r="O383" s="211"/>
      <c r="P383" s="211"/>
      <c r="Q383" s="211"/>
      <c r="R383" s="211"/>
      <c r="S383" s="211"/>
      <c r="T383" s="211"/>
      <c r="U383" s="212"/>
      <c r="V383" s="211"/>
      <c r="W383" s="211"/>
      <c r="X383" s="211"/>
      <c r="Y383" s="211"/>
      <c r="Z383" s="211"/>
      <c r="AA383" s="211"/>
      <c r="AB383" s="211"/>
      <c r="AC383" s="211"/>
      <c r="AD383" s="167"/>
      <c r="AE383" s="167"/>
      <c r="AF383" s="167"/>
      <c r="AG383" s="167"/>
      <c r="AH383" s="167"/>
      <c r="AI383" s="167"/>
      <c r="AJ383" s="6"/>
      <c r="AK383" s="6"/>
      <c r="AL383" s="6"/>
      <c r="AM383" s="6"/>
      <c r="AN383" s="6"/>
      <c r="AO383" s="6"/>
    </row>
    <row r="384" spans="1:43" x14ac:dyDescent="0.25">
      <c r="A384" s="323" t="s">
        <v>306</v>
      </c>
      <c r="B384" s="704" t="s">
        <v>1568</v>
      </c>
      <c r="C384" s="705"/>
      <c r="D384" s="705"/>
      <c r="E384" s="705"/>
      <c r="F384" s="705"/>
      <c r="G384" s="705"/>
      <c r="H384" s="705"/>
      <c r="I384" s="705"/>
      <c r="J384" s="705"/>
      <c r="K384" s="705"/>
      <c r="L384" s="705"/>
      <c r="M384" s="705"/>
      <c r="N384" s="705"/>
      <c r="O384" s="705"/>
      <c r="P384" s="705"/>
      <c r="Q384" s="705"/>
      <c r="R384" s="705"/>
      <c r="S384" s="705"/>
      <c r="T384" s="705"/>
      <c r="U384" s="705"/>
      <c r="V384" s="705"/>
      <c r="W384" s="705"/>
      <c r="X384" s="705"/>
      <c r="Y384" s="705"/>
      <c r="Z384" s="705"/>
      <c r="AA384" s="705"/>
      <c r="AB384" s="708"/>
      <c r="AC384" s="695" t="s">
        <v>1126</v>
      </c>
      <c r="AD384" s="695" t="s">
        <v>1107</v>
      </c>
      <c r="AE384" s="695" t="s">
        <v>1108</v>
      </c>
      <c r="AF384" s="695" t="s">
        <v>1127</v>
      </c>
      <c r="AG384" s="167"/>
      <c r="AH384" s="167"/>
      <c r="AI384" s="167"/>
      <c r="AJ384" s="6"/>
      <c r="AK384" s="6"/>
      <c r="AL384" s="6"/>
      <c r="AM384" s="6"/>
      <c r="AN384" s="6"/>
      <c r="AO384" s="6"/>
    </row>
    <row r="385" spans="1:43" x14ac:dyDescent="0.25">
      <c r="A385" s="323"/>
      <c r="B385" s="592" t="s">
        <v>1145</v>
      </c>
      <c r="C385" s="213" t="s">
        <v>1146</v>
      </c>
      <c r="D385" s="213" t="s">
        <v>1147</v>
      </c>
      <c r="E385" s="214" t="s">
        <v>1148</v>
      </c>
      <c r="F385" s="214" t="s">
        <v>1149</v>
      </c>
      <c r="G385" s="214" t="s">
        <v>1150</v>
      </c>
      <c r="H385" s="214" t="s">
        <v>1151</v>
      </c>
      <c r="I385" s="214" t="s">
        <v>1152</v>
      </c>
      <c r="J385" s="214" t="s">
        <v>1153</v>
      </c>
      <c r="K385" s="214" t="s">
        <v>1154</v>
      </c>
      <c r="L385" s="214" t="s">
        <v>1133</v>
      </c>
      <c r="M385" s="214" t="s">
        <v>1134</v>
      </c>
      <c r="N385" s="214" t="s">
        <v>1115</v>
      </c>
      <c r="O385" s="214" t="s">
        <v>1240</v>
      </c>
      <c r="P385" s="214" t="s">
        <v>1117</v>
      </c>
      <c r="Q385" s="214" t="s">
        <v>1156</v>
      </c>
      <c r="R385" s="214" t="s">
        <v>1157</v>
      </c>
      <c r="S385" s="214" t="s">
        <v>1158</v>
      </c>
      <c r="T385" s="214" t="s">
        <v>1159</v>
      </c>
      <c r="U385" s="214" t="s">
        <v>1160</v>
      </c>
      <c r="V385" s="214" t="s">
        <v>1161</v>
      </c>
      <c r="W385" s="214" t="s">
        <v>1162</v>
      </c>
      <c r="X385" s="214" t="s">
        <v>1164</v>
      </c>
      <c r="Y385" s="214" t="s">
        <v>1241</v>
      </c>
      <c r="Z385" s="214" t="s">
        <v>1116</v>
      </c>
      <c r="AA385" s="214" t="s">
        <v>1167</v>
      </c>
      <c r="AB385" s="214" t="s">
        <v>1168</v>
      </c>
      <c r="AC385" s="696"/>
      <c r="AD385" s="696"/>
      <c r="AE385" s="696"/>
      <c r="AF385" s="696"/>
      <c r="AG385" s="167"/>
      <c r="AH385" s="167"/>
      <c r="AI385" s="167"/>
      <c r="AJ385" s="6"/>
      <c r="AK385" s="6"/>
      <c r="AL385" s="6"/>
      <c r="AM385" s="6"/>
      <c r="AN385" s="6"/>
      <c r="AO385" s="6"/>
    </row>
    <row r="386" spans="1:43" x14ac:dyDescent="0.25">
      <c r="A386" s="323"/>
      <c r="B386" s="592">
        <f>G2</f>
        <v>2</v>
      </c>
      <c r="C386" s="213">
        <v>1</v>
      </c>
      <c r="D386" s="213" t="s">
        <v>1173</v>
      </c>
      <c r="E386" s="214">
        <f>$B$2</f>
        <v>20180326</v>
      </c>
      <c r="F386" s="215">
        <v>0.7289930555555556</v>
      </c>
      <c r="G386" s="214"/>
      <c r="H386" s="214"/>
      <c r="I386" s="214"/>
      <c r="J386" s="214" t="s">
        <v>1243</v>
      </c>
      <c r="K386" s="214">
        <v>1</v>
      </c>
      <c r="L386" s="214">
        <f>$B$2</f>
        <v>20180326</v>
      </c>
      <c r="M386" s="216" t="str">
        <f>M381</f>
        <v>9999</v>
      </c>
      <c r="N386" s="217">
        <f>N381</f>
        <v>99990201</v>
      </c>
      <c r="O386" s="217"/>
      <c r="P386" s="217" t="str">
        <f>P381</f>
        <v>CZCE</v>
      </c>
      <c r="Q386" s="217"/>
      <c r="R386" s="217">
        <v>1</v>
      </c>
      <c r="S386" s="217">
        <v>1</v>
      </c>
      <c r="T386" s="217">
        <v>1</v>
      </c>
      <c r="U386" s="216">
        <v>1</v>
      </c>
      <c r="V386" s="216">
        <f>V381</f>
        <v>5000</v>
      </c>
      <c r="W386" s="217" t="s">
        <v>1163</v>
      </c>
      <c r="X386" s="217">
        <v>1</v>
      </c>
      <c r="Y386" s="217">
        <v>0</v>
      </c>
      <c r="Z386" s="217" t="str">
        <f>Z381</f>
        <v>CNY</v>
      </c>
      <c r="AA386" s="217"/>
      <c r="AB386" s="217"/>
      <c r="AC386" s="214" t="s">
        <v>1128</v>
      </c>
      <c r="AD386" s="111"/>
      <c r="AE386" s="111"/>
      <c r="AF386" s="111">
        <v>0</v>
      </c>
      <c r="AG386" s="167"/>
      <c r="AH386" s="167"/>
      <c r="AI386" s="167"/>
      <c r="AJ386" s="6"/>
      <c r="AK386" s="6"/>
      <c r="AL386" s="6"/>
      <c r="AM386" s="6"/>
      <c r="AN386" s="6"/>
      <c r="AO386" s="6"/>
    </row>
    <row r="387" spans="1:43" x14ac:dyDescent="0.25">
      <c r="A387" s="126" t="s">
        <v>173</v>
      </c>
      <c r="B387" s="323" t="s">
        <v>1881</v>
      </c>
      <c r="C387" s="193"/>
      <c r="D387" s="323"/>
      <c r="E387" s="323"/>
      <c r="F387" s="188"/>
      <c r="G387" s="194"/>
      <c r="H387" s="188"/>
      <c r="I387" s="188"/>
      <c r="J387" s="188"/>
      <c r="K387" s="188"/>
      <c r="L387" s="188"/>
      <c r="M387" s="188"/>
      <c r="N387" s="167"/>
      <c r="O387" s="167"/>
      <c r="P387" s="167"/>
      <c r="Q387" s="167"/>
      <c r="R387" s="167"/>
      <c r="S387" s="167"/>
      <c r="T387" s="167"/>
      <c r="U387" s="167"/>
      <c r="V387" s="182"/>
      <c r="W387" s="167"/>
      <c r="X387" s="167"/>
      <c r="Y387" s="167"/>
      <c r="Z387" s="167"/>
      <c r="AA387" s="167"/>
      <c r="AB387" s="167"/>
      <c r="AC387" s="167"/>
      <c r="AD387" s="167"/>
      <c r="AE387" s="167"/>
      <c r="AF387" s="167"/>
      <c r="AG387" s="167"/>
      <c r="AH387" s="167"/>
      <c r="AI387" s="167"/>
      <c r="AJ387" s="167"/>
      <c r="AK387" s="6"/>
      <c r="AL387" s="6"/>
      <c r="AM387" s="6"/>
      <c r="AN387" s="6"/>
      <c r="AO387" s="6"/>
      <c r="AP387" s="6"/>
    </row>
    <row r="388" spans="1:43" x14ac:dyDescent="0.25">
      <c r="A388" s="195" t="s">
        <v>124</v>
      </c>
      <c r="B388" s="263" t="s">
        <v>1239</v>
      </c>
      <c r="C388" s="263"/>
      <c r="D388" s="263"/>
      <c r="E388" s="209"/>
      <c r="F388" s="210"/>
      <c r="G388" s="209"/>
      <c r="H388" s="209"/>
      <c r="I388" s="209"/>
      <c r="J388" s="209"/>
      <c r="K388" s="209"/>
      <c r="L388" s="209"/>
      <c r="M388" s="211"/>
      <c r="N388" s="211"/>
      <c r="O388" s="211"/>
      <c r="P388" s="211"/>
      <c r="Q388" s="211"/>
      <c r="R388" s="211"/>
      <c r="S388" s="211"/>
      <c r="T388" s="211"/>
      <c r="U388" s="212"/>
      <c r="V388" s="211"/>
      <c r="W388" s="211"/>
      <c r="X388" s="211"/>
      <c r="Y388" s="211"/>
      <c r="Z388" s="211"/>
      <c r="AA388" s="211"/>
      <c r="AB388" s="211"/>
      <c r="AG388" s="167"/>
      <c r="AH388" s="167"/>
      <c r="AI388" s="167"/>
      <c r="AJ388" s="6"/>
      <c r="AK388" s="6"/>
      <c r="AL388" s="6"/>
      <c r="AM388" s="6"/>
      <c r="AN388" s="6"/>
      <c r="AO388" s="6"/>
    </row>
    <row r="389" spans="1:43" x14ac:dyDescent="0.25">
      <c r="A389" s="195" t="s">
        <v>306</v>
      </c>
      <c r="B389" s="704" t="s">
        <v>1568</v>
      </c>
      <c r="C389" s="705"/>
      <c r="D389" s="705"/>
      <c r="E389" s="705"/>
      <c r="F389" s="705"/>
      <c r="G389" s="705"/>
      <c r="H389" s="705"/>
      <c r="I389" s="705"/>
      <c r="J389" s="705"/>
      <c r="K389" s="705"/>
      <c r="L389" s="705"/>
      <c r="M389" s="705"/>
      <c r="N389" s="705"/>
      <c r="O389" s="705"/>
      <c r="P389" s="705"/>
      <c r="Q389" s="705"/>
      <c r="R389" s="705"/>
      <c r="S389" s="705"/>
      <c r="T389" s="705"/>
      <c r="U389" s="705"/>
      <c r="V389" s="705"/>
      <c r="W389" s="705"/>
      <c r="X389" s="705"/>
      <c r="Y389" s="705"/>
      <c r="Z389" s="705"/>
      <c r="AA389" s="705"/>
      <c r="AB389" s="708"/>
      <c r="AC389" s="695" t="s">
        <v>1126</v>
      </c>
      <c r="AD389" s="695" t="s">
        <v>1107</v>
      </c>
      <c r="AE389" s="695" t="s">
        <v>1108</v>
      </c>
      <c r="AF389" s="695" t="s">
        <v>1127</v>
      </c>
      <c r="AG389" s="167"/>
      <c r="AH389" s="167"/>
      <c r="AI389" s="167"/>
      <c r="AJ389" s="6"/>
      <c r="AK389" s="6"/>
      <c r="AL389" s="6"/>
      <c r="AM389" s="6"/>
      <c r="AN389" s="6"/>
      <c r="AO389" s="6"/>
    </row>
    <row r="390" spans="1:43" x14ac:dyDescent="0.25">
      <c r="B390" s="592" t="s">
        <v>1145</v>
      </c>
      <c r="C390" s="213" t="s">
        <v>1146</v>
      </c>
      <c r="D390" s="213" t="s">
        <v>1147</v>
      </c>
      <c r="E390" s="214" t="s">
        <v>1148</v>
      </c>
      <c r="F390" s="214" t="s">
        <v>1149</v>
      </c>
      <c r="G390" s="214" t="s">
        <v>1150</v>
      </c>
      <c r="H390" s="214" t="s">
        <v>1151</v>
      </c>
      <c r="I390" s="214" t="s">
        <v>1152</v>
      </c>
      <c r="J390" s="214" t="s">
        <v>1153</v>
      </c>
      <c r="K390" s="214" t="s">
        <v>1154</v>
      </c>
      <c r="L390" s="214" t="s">
        <v>1133</v>
      </c>
      <c r="M390" s="214" t="s">
        <v>1134</v>
      </c>
      <c r="N390" s="214" t="s">
        <v>1115</v>
      </c>
      <c r="O390" s="214" t="s">
        <v>1240</v>
      </c>
      <c r="P390" s="214" t="s">
        <v>1117</v>
      </c>
      <c r="Q390" s="214" t="s">
        <v>1156</v>
      </c>
      <c r="R390" s="214" t="s">
        <v>1157</v>
      </c>
      <c r="S390" s="214" t="s">
        <v>1158</v>
      </c>
      <c r="T390" s="214" t="s">
        <v>1159</v>
      </c>
      <c r="U390" s="214" t="s">
        <v>1160</v>
      </c>
      <c r="V390" s="214" t="s">
        <v>1161</v>
      </c>
      <c r="W390" s="214" t="s">
        <v>1162</v>
      </c>
      <c r="X390" s="214" t="s">
        <v>1164</v>
      </c>
      <c r="Y390" s="214" t="s">
        <v>1166</v>
      </c>
      <c r="Z390" s="214" t="s">
        <v>1116</v>
      </c>
      <c r="AA390" s="214" t="s">
        <v>1167</v>
      </c>
      <c r="AB390" s="214" t="s">
        <v>1168</v>
      </c>
      <c r="AC390" s="696"/>
      <c r="AD390" s="696"/>
      <c r="AE390" s="696"/>
      <c r="AF390" s="696"/>
      <c r="AG390" s="167"/>
      <c r="AH390" s="167"/>
      <c r="AI390" s="167"/>
      <c r="AJ390" s="6"/>
      <c r="AK390" s="6"/>
      <c r="AL390" s="6"/>
      <c r="AM390" s="6"/>
      <c r="AN390" s="6"/>
      <c r="AO390" s="6"/>
    </row>
    <row r="391" spans="1:43" x14ac:dyDescent="0.25">
      <c r="A391" s="323"/>
      <c r="B391" s="591"/>
      <c r="C391" s="417"/>
      <c r="D391" s="417"/>
      <c r="E391" s="189"/>
      <c r="F391" s="191"/>
      <c r="G391" s="189"/>
      <c r="H391" s="189"/>
      <c r="I391" s="189"/>
      <c r="J391" s="189"/>
      <c r="K391" s="189"/>
      <c r="L391" s="189">
        <f>$B$2</f>
        <v>20180326</v>
      </c>
      <c r="M391" s="113" t="str">
        <f>G372</f>
        <v>9999</v>
      </c>
      <c r="N391" s="111">
        <f>C372</f>
        <v>99990203</v>
      </c>
      <c r="O391" s="111"/>
      <c r="P391" s="111" t="str">
        <f>B372</f>
        <v>CZCE</v>
      </c>
      <c r="Q391" s="111"/>
      <c r="R391" s="111"/>
      <c r="S391" s="111">
        <v>1</v>
      </c>
      <c r="T391" s="111">
        <v>1</v>
      </c>
      <c r="U391" s="113">
        <v>1</v>
      </c>
      <c r="V391" s="113">
        <f>E372</f>
        <v>5000.5600000000004</v>
      </c>
      <c r="W391" s="111" t="s">
        <v>1874</v>
      </c>
      <c r="X391" s="111"/>
      <c r="Y391" s="111">
        <v>0</v>
      </c>
      <c r="Z391" s="111" t="str">
        <f>D372</f>
        <v>HKD</v>
      </c>
      <c r="AA391" s="111"/>
      <c r="AB391" s="111"/>
      <c r="AC391" s="189" t="s">
        <v>1128</v>
      </c>
      <c r="AD391" s="111"/>
      <c r="AE391" s="111"/>
      <c r="AF391" s="111">
        <v>0</v>
      </c>
      <c r="AG391" s="167"/>
      <c r="AH391" s="167"/>
      <c r="AI391" s="167"/>
      <c r="AJ391" s="6"/>
      <c r="AK391" s="6"/>
      <c r="AL391" s="6"/>
      <c r="AM391" s="6"/>
      <c r="AN391" s="6"/>
      <c r="AO391" s="6"/>
    </row>
    <row r="392" spans="1:43" x14ac:dyDescent="0.25">
      <c r="A392" s="126" t="s">
        <v>173</v>
      </c>
      <c r="B392" t="s">
        <v>173</v>
      </c>
      <c r="C392" s="323" t="s">
        <v>1882</v>
      </c>
      <c r="D392" s="193"/>
      <c r="E392" s="323"/>
      <c r="F392" s="323"/>
      <c r="G392" s="188"/>
      <c r="H392" s="194"/>
      <c r="I392" s="188"/>
      <c r="J392" s="188"/>
      <c r="K392" s="188"/>
      <c r="L392" s="188"/>
      <c r="M392" s="188"/>
      <c r="N392" s="188"/>
      <c r="O392" s="167"/>
      <c r="P392" s="167"/>
      <c r="Q392" s="167"/>
      <c r="R392" s="167"/>
      <c r="S392" s="167"/>
      <c r="T392" s="167"/>
      <c r="U392" s="167"/>
      <c r="V392" s="167"/>
      <c r="W392" s="182"/>
      <c r="X392" s="167"/>
      <c r="Y392" s="167"/>
      <c r="Z392" s="167"/>
      <c r="AA392" s="167"/>
      <c r="AB392" s="167"/>
      <c r="AC392" s="167"/>
      <c r="AD392" s="167"/>
      <c r="AE392" s="167"/>
      <c r="AF392" s="167"/>
      <c r="AG392" s="167"/>
      <c r="AH392" s="167"/>
      <c r="AI392" s="167"/>
      <c r="AJ392" s="167"/>
      <c r="AK392" s="167"/>
      <c r="AL392" s="6"/>
      <c r="AM392" s="6"/>
      <c r="AN392" s="6"/>
      <c r="AO392" s="6"/>
      <c r="AP392" s="6"/>
      <c r="AQ392" s="6"/>
    </row>
    <row r="393" spans="1:43" x14ac:dyDescent="0.25">
      <c r="A393" s="195" t="s">
        <v>124</v>
      </c>
      <c r="B393" s="218" t="s">
        <v>1242</v>
      </c>
      <c r="C393" s="218"/>
      <c r="D393" s="218"/>
      <c r="E393" s="219"/>
      <c r="F393" s="210"/>
      <c r="G393" s="209"/>
      <c r="H393" s="209"/>
      <c r="I393" s="209"/>
      <c r="J393" s="209"/>
      <c r="K393" s="209"/>
      <c r="L393" s="209"/>
      <c r="M393" s="211"/>
      <c r="N393" s="211"/>
      <c r="O393" s="211"/>
      <c r="P393" s="211"/>
      <c r="Q393" s="211"/>
      <c r="R393" s="211"/>
      <c r="S393" s="211"/>
      <c r="T393" s="211"/>
      <c r="U393" s="212"/>
      <c r="V393" s="211"/>
      <c r="W393" s="211"/>
      <c r="X393" s="211"/>
      <c r="Y393" s="211"/>
      <c r="Z393" s="211"/>
      <c r="AA393" s="211"/>
      <c r="AB393" s="211"/>
      <c r="AC393" s="211"/>
      <c r="AD393" s="167"/>
      <c r="AE393" s="167"/>
      <c r="AF393" s="167"/>
      <c r="AG393" s="167"/>
      <c r="AH393" s="167"/>
      <c r="AI393" s="167"/>
      <c r="AJ393" s="6"/>
      <c r="AK393" s="6"/>
      <c r="AL393" s="6"/>
      <c r="AM393" s="6"/>
      <c r="AN393" s="6"/>
      <c r="AO393" s="6"/>
    </row>
    <row r="394" spans="1:43" x14ac:dyDescent="0.25">
      <c r="A394" s="323" t="s">
        <v>306</v>
      </c>
      <c r="B394" s="704" t="s">
        <v>1568</v>
      </c>
      <c r="C394" s="705"/>
      <c r="D394" s="705"/>
      <c r="E394" s="705"/>
      <c r="F394" s="705"/>
      <c r="G394" s="705"/>
      <c r="H394" s="705"/>
      <c r="I394" s="705"/>
      <c r="J394" s="705"/>
      <c r="K394" s="705"/>
      <c r="L394" s="705"/>
      <c r="M394" s="705"/>
      <c r="N394" s="705"/>
      <c r="O394" s="705"/>
      <c r="P394" s="705"/>
      <c r="Q394" s="705"/>
      <c r="R394" s="705"/>
      <c r="S394" s="705"/>
      <c r="T394" s="705"/>
      <c r="U394" s="705"/>
      <c r="V394" s="705"/>
      <c r="W394" s="705"/>
      <c r="X394" s="705"/>
      <c r="Y394" s="705"/>
      <c r="Z394" s="705"/>
      <c r="AA394" s="705"/>
      <c r="AB394" s="708"/>
      <c r="AC394" s="695" t="s">
        <v>1126</v>
      </c>
      <c r="AD394" s="695" t="s">
        <v>1107</v>
      </c>
      <c r="AE394" s="695" t="s">
        <v>1108</v>
      </c>
      <c r="AF394" s="695" t="s">
        <v>1127</v>
      </c>
      <c r="AG394" s="167"/>
      <c r="AH394" s="167"/>
      <c r="AI394" s="167"/>
      <c r="AJ394" s="6"/>
      <c r="AK394" s="6"/>
      <c r="AL394" s="6"/>
      <c r="AM394" s="6"/>
      <c r="AN394" s="6"/>
      <c r="AO394" s="6"/>
    </row>
    <row r="395" spans="1:43" x14ac:dyDescent="0.25">
      <c r="A395" s="323"/>
      <c r="B395" s="592" t="s">
        <v>1145</v>
      </c>
      <c r="C395" s="213" t="s">
        <v>1146</v>
      </c>
      <c r="D395" s="213" t="s">
        <v>1147</v>
      </c>
      <c r="E395" s="214" t="s">
        <v>1148</v>
      </c>
      <c r="F395" s="214" t="s">
        <v>1149</v>
      </c>
      <c r="G395" s="214" t="s">
        <v>1150</v>
      </c>
      <c r="H395" s="214" t="s">
        <v>1151</v>
      </c>
      <c r="I395" s="214" t="s">
        <v>1152</v>
      </c>
      <c r="J395" s="214" t="s">
        <v>1153</v>
      </c>
      <c r="K395" s="214" t="s">
        <v>1154</v>
      </c>
      <c r="L395" s="214" t="s">
        <v>1133</v>
      </c>
      <c r="M395" s="214" t="s">
        <v>1134</v>
      </c>
      <c r="N395" s="214" t="s">
        <v>1115</v>
      </c>
      <c r="O395" s="214" t="s">
        <v>1240</v>
      </c>
      <c r="P395" s="214" t="s">
        <v>1117</v>
      </c>
      <c r="Q395" s="214" t="s">
        <v>1156</v>
      </c>
      <c r="R395" s="214" t="s">
        <v>1157</v>
      </c>
      <c r="S395" s="214" t="s">
        <v>1158</v>
      </c>
      <c r="T395" s="214" t="s">
        <v>1159</v>
      </c>
      <c r="U395" s="214" t="s">
        <v>1160</v>
      </c>
      <c r="V395" s="214" t="s">
        <v>1161</v>
      </c>
      <c r="W395" s="214" t="s">
        <v>1162</v>
      </c>
      <c r="X395" s="214" t="s">
        <v>1164</v>
      </c>
      <c r="Y395" s="214" t="s">
        <v>1166</v>
      </c>
      <c r="Z395" s="214" t="s">
        <v>1116</v>
      </c>
      <c r="AA395" s="214" t="s">
        <v>1167</v>
      </c>
      <c r="AB395" s="214" t="s">
        <v>1168</v>
      </c>
      <c r="AC395" s="696"/>
      <c r="AD395" s="696"/>
      <c r="AE395" s="696"/>
      <c r="AF395" s="696"/>
      <c r="AG395" s="167"/>
      <c r="AH395" s="167"/>
      <c r="AI395" s="167"/>
      <c r="AJ395" s="6"/>
      <c r="AK395" s="6"/>
      <c r="AL395" s="6"/>
      <c r="AM395" s="6"/>
      <c r="AN395" s="6"/>
      <c r="AO395" s="6"/>
    </row>
    <row r="396" spans="1:43" x14ac:dyDescent="0.25">
      <c r="A396" s="323"/>
      <c r="B396" s="592">
        <f>B386+1</f>
        <v>3</v>
      </c>
      <c r="C396" s="213">
        <v>1</v>
      </c>
      <c r="D396" s="213" t="s">
        <v>1173</v>
      </c>
      <c r="E396" s="214">
        <f>$B$2</f>
        <v>20180326</v>
      </c>
      <c r="F396" s="215">
        <v>0.7289930555555556</v>
      </c>
      <c r="G396" s="214"/>
      <c r="H396" s="214"/>
      <c r="I396" s="214"/>
      <c r="J396" s="214" t="s">
        <v>1883</v>
      </c>
      <c r="K396" s="214">
        <v>1</v>
      </c>
      <c r="L396" s="214">
        <f>$B$2</f>
        <v>20180326</v>
      </c>
      <c r="M396" s="216" t="str">
        <f>M391</f>
        <v>9999</v>
      </c>
      <c r="N396" s="217">
        <f>N391</f>
        <v>99990203</v>
      </c>
      <c r="O396" s="217"/>
      <c r="P396" s="217" t="str">
        <f>P391</f>
        <v>CZCE</v>
      </c>
      <c r="Q396" s="217"/>
      <c r="R396" s="217">
        <v>1</v>
      </c>
      <c r="S396" s="217">
        <v>1</v>
      </c>
      <c r="T396" s="217">
        <v>1</v>
      </c>
      <c r="U396" s="216">
        <v>1</v>
      </c>
      <c r="V396" s="216">
        <f>V391</f>
        <v>5000.5600000000004</v>
      </c>
      <c r="W396" s="217" t="s">
        <v>1874</v>
      </c>
      <c r="X396" s="217">
        <v>1</v>
      </c>
      <c r="Y396" s="217">
        <v>0</v>
      </c>
      <c r="Z396" s="217" t="str">
        <f>Z391</f>
        <v>HKD</v>
      </c>
      <c r="AA396" s="217"/>
      <c r="AB396" s="217"/>
      <c r="AC396" s="214" t="s">
        <v>1128</v>
      </c>
      <c r="AD396" s="111"/>
      <c r="AE396" s="111"/>
      <c r="AF396" s="111">
        <v>0</v>
      </c>
      <c r="AG396" s="167"/>
      <c r="AH396" s="167"/>
      <c r="AI396" s="167"/>
      <c r="AJ396" s="6"/>
      <c r="AK396" s="6"/>
      <c r="AL396" s="6"/>
      <c r="AM396" s="6"/>
      <c r="AN396" s="6"/>
      <c r="AO396" s="6"/>
    </row>
    <row r="397" spans="1:43" x14ac:dyDescent="0.25">
      <c r="A397" s="126" t="s">
        <v>1197</v>
      </c>
      <c r="B397" s="208" t="s">
        <v>1244</v>
      </c>
      <c r="C397" s="208"/>
      <c r="D397" s="208"/>
      <c r="E397" s="208"/>
      <c r="F397" s="209"/>
      <c r="G397" s="210"/>
      <c r="H397" s="209"/>
      <c r="I397" s="209"/>
      <c r="J397" s="209"/>
      <c r="K397" s="209"/>
      <c r="L397" s="209"/>
      <c r="M397" s="209"/>
      <c r="N397" s="211"/>
      <c r="O397" s="211"/>
      <c r="P397" s="211"/>
      <c r="Q397" s="211"/>
      <c r="R397" s="211"/>
      <c r="S397" s="211"/>
      <c r="T397" s="211"/>
      <c r="U397" s="211"/>
      <c r="V397" s="212"/>
      <c r="W397" s="211"/>
      <c r="X397" s="211"/>
      <c r="Y397" s="211"/>
      <c r="Z397" s="211"/>
      <c r="AA397" s="211"/>
      <c r="AB397" s="211"/>
      <c r="AC397" s="211"/>
      <c r="AD397" s="167"/>
      <c r="AE397" s="167"/>
      <c r="AF397" s="167"/>
      <c r="AG397" s="167"/>
      <c r="AH397" s="167"/>
      <c r="AI397" s="167"/>
      <c r="AJ397" s="167"/>
      <c r="AK397" s="6"/>
      <c r="AL397" s="6"/>
      <c r="AM397" s="6"/>
      <c r="AN397" s="6"/>
      <c r="AO397" s="6"/>
      <c r="AP397" s="6"/>
    </row>
    <row r="398" spans="1:43" x14ac:dyDescent="0.25">
      <c r="A398" s="195" t="s">
        <v>1238</v>
      </c>
      <c r="B398" s="218" t="s">
        <v>1843</v>
      </c>
      <c r="C398" s="218"/>
      <c r="D398" s="218"/>
      <c r="E398" s="219"/>
      <c r="F398" s="210"/>
      <c r="G398" s="209"/>
      <c r="H398" s="209"/>
      <c r="I398" s="209"/>
      <c r="J398" s="209"/>
      <c r="K398" s="209"/>
      <c r="L398" s="209"/>
      <c r="M398" s="211"/>
      <c r="N398" s="211"/>
      <c r="O398" s="211"/>
      <c r="P398" s="211"/>
      <c r="Q398" s="211"/>
      <c r="R398" s="211"/>
      <c r="S398" s="211"/>
      <c r="T398" s="211"/>
      <c r="U398" s="212"/>
      <c r="V398" s="211"/>
      <c r="W398" s="211"/>
      <c r="X398" s="211"/>
      <c r="Y398" s="211"/>
      <c r="Z398" s="211"/>
      <c r="AA398" s="211"/>
      <c r="AB398" s="211"/>
      <c r="AC398" s="43"/>
      <c r="AG398" s="167"/>
      <c r="AH398" s="167"/>
      <c r="AI398" s="167"/>
      <c r="AJ398" s="6"/>
      <c r="AK398" s="6"/>
      <c r="AL398" s="6"/>
      <c r="AM398" s="6"/>
      <c r="AN398" s="6"/>
      <c r="AO398" s="6"/>
    </row>
    <row r="399" spans="1:43" x14ac:dyDescent="0.25">
      <c r="A399" s="195" t="s">
        <v>1214</v>
      </c>
      <c r="B399" s="704" t="s">
        <v>1568</v>
      </c>
      <c r="C399" s="705"/>
      <c r="D399" s="705"/>
      <c r="E399" s="705"/>
      <c r="F399" s="705"/>
      <c r="G399" s="705"/>
      <c r="H399" s="705"/>
      <c r="I399" s="705"/>
      <c r="J399" s="705"/>
      <c r="K399" s="705"/>
      <c r="L399" s="705"/>
      <c r="M399" s="705"/>
      <c r="N399" s="705"/>
      <c r="O399" s="705"/>
      <c r="P399" s="705"/>
      <c r="Q399" s="705"/>
      <c r="R399" s="705"/>
      <c r="S399" s="705"/>
      <c r="T399" s="705"/>
      <c r="U399" s="705"/>
      <c r="V399" s="705"/>
      <c r="W399" s="705"/>
      <c r="X399" s="705"/>
      <c r="Y399" s="705"/>
      <c r="Z399" s="705"/>
      <c r="AA399" s="705"/>
      <c r="AB399" s="708"/>
      <c r="AC399" s="695" t="s">
        <v>1126</v>
      </c>
      <c r="AD399" s="695" t="s">
        <v>1107</v>
      </c>
      <c r="AE399" s="695" t="s">
        <v>1108</v>
      </c>
      <c r="AF399" s="695" t="s">
        <v>1127</v>
      </c>
      <c r="AG399" s="167"/>
      <c r="AH399" s="167"/>
      <c r="AI399" s="167"/>
      <c r="AJ399" s="6"/>
      <c r="AK399" s="6"/>
      <c r="AL399" s="6"/>
      <c r="AM399" s="6"/>
      <c r="AN399" s="6"/>
      <c r="AO399" s="6"/>
    </row>
    <row r="400" spans="1:43" x14ac:dyDescent="0.25">
      <c r="B400" s="592" t="s">
        <v>1145</v>
      </c>
      <c r="C400" s="213" t="s">
        <v>1146</v>
      </c>
      <c r="D400" s="213" t="s">
        <v>1147</v>
      </c>
      <c r="E400" s="214" t="s">
        <v>1148</v>
      </c>
      <c r="F400" s="214" t="s">
        <v>1149</v>
      </c>
      <c r="G400" s="214" t="s">
        <v>1150</v>
      </c>
      <c r="H400" s="214" t="s">
        <v>1151</v>
      </c>
      <c r="I400" s="214" t="s">
        <v>1152</v>
      </c>
      <c r="J400" s="214" t="s">
        <v>1153</v>
      </c>
      <c r="K400" s="214" t="s">
        <v>1154</v>
      </c>
      <c r="L400" s="214" t="s">
        <v>1133</v>
      </c>
      <c r="M400" s="214" t="s">
        <v>1134</v>
      </c>
      <c r="N400" s="214" t="s">
        <v>1115</v>
      </c>
      <c r="O400" s="214" t="s">
        <v>1240</v>
      </c>
      <c r="P400" s="214" t="s">
        <v>1117</v>
      </c>
      <c r="Q400" s="214" t="s">
        <v>1156</v>
      </c>
      <c r="R400" s="214" t="s">
        <v>1157</v>
      </c>
      <c r="S400" s="214" t="s">
        <v>1158</v>
      </c>
      <c r="T400" s="214" t="s">
        <v>1159</v>
      </c>
      <c r="U400" s="214" t="s">
        <v>1160</v>
      </c>
      <c r="V400" s="214" t="s">
        <v>1161</v>
      </c>
      <c r="W400" s="214" t="s">
        <v>1162</v>
      </c>
      <c r="X400" s="214" t="s">
        <v>1164</v>
      </c>
      <c r="Y400" s="214" t="s">
        <v>1241</v>
      </c>
      <c r="Z400" s="214" t="s">
        <v>1116</v>
      </c>
      <c r="AA400" s="214" t="s">
        <v>1167</v>
      </c>
      <c r="AB400" s="214" t="s">
        <v>1168</v>
      </c>
      <c r="AC400" s="696"/>
      <c r="AD400" s="696"/>
      <c r="AE400" s="696"/>
      <c r="AF400" s="696"/>
      <c r="AG400" s="167"/>
      <c r="AH400" s="167"/>
      <c r="AI400" s="167"/>
      <c r="AJ400" s="6"/>
      <c r="AK400" s="6"/>
      <c r="AL400" s="6"/>
      <c r="AM400" s="6"/>
      <c r="AN400" s="6"/>
      <c r="AO400" s="6"/>
    </row>
    <row r="401" spans="1:42" x14ac:dyDescent="0.25">
      <c r="A401" s="323"/>
      <c r="B401" s="592"/>
      <c r="C401" s="213"/>
      <c r="D401" s="213"/>
      <c r="E401" s="214"/>
      <c r="F401" s="215"/>
      <c r="G401" s="214"/>
      <c r="H401" s="214"/>
      <c r="I401" s="214"/>
      <c r="J401" s="214"/>
      <c r="K401" s="214"/>
      <c r="L401" s="214">
        <f>$B$2</f>
        <v>20180326</v>
      </c>
      <c r="M401" s="216" t="str">
        <f>M381</f>
        <v>9999</v>
      </c>
      <c r="N401" s="217">
        <f>C373</f>
        <v>99990202</v>
      </c>
      <c r="O401" s="217"/>
      <c r="P401" s="217" t="str">
        <f>P381</f>
        <v>CZCE</v>
      </c>
      <c r="Q401" s="217"/>
      <c r="R401" s="217"/>
      <c r="S401" s="217">
        <v>1</v>
      </c>
      <c r="T401" s="217">
        <v>1</v>
      </c>
      <c r="U401" s="216">
        <v>1</v>
      </c>
      <c r="V401" s="216">
        <f>E373</f>
        <v>5000.5600000000004</v>
      </c>
      <c r="W401" s="217" t="s">
        <v>1190</v>
      </c>
      <c r="X401" s="217"/>
      <c r="Y401" s="217">
        <v>0</v>
      </c>
      <c r="Z401" s="217" t="str">
        <f>D373</f>
        <v>USD</v>
      </c>
      <c r="AA401" s="217"/>
      <c r="AB401" s="217"/>
      <c r="AC401" s="214" t="s">
        <v>1128</v>
      </c>
      <c r="AD401" s="111"/>
      <c r="AE401" s="111"/>
      <c r="AF401" s="111">
        <v>0</v>
      </c>
      <c r="AG401" s="167"/>
      <c r="AH401" s="167"/>
      <c r="AI401" s="167"/>
      <c r="AJ401" s="6"/>
      <c r="AK401" s="6"/>
      <c r="AL401" s="6"/>
      <c r="AM401" s="6"/>
      <c r="AN401" s="6"/>
      <c r="AO401" s="6"/>
    </row>
    <row r="402" spans="1:42" x14ac:dyDescent="0.25">
      <c r="A402" s="126" t="s">
        <v>173</v>
      </c>
      <c r="B402" s="208" t="s">
        <v>1185</v>
      </c>
      <c r="C402" s="208"/>
      <c r="D402" s="208"/>
      <c r="E402" s="208"/>
      <c r="F402" s="209"/>
      <c r="G402" s="210"/>
      <c r="H402" s="209"/>
      <c r="I402" s="209"/>
      <c r="J402" s="209"/>
      <c r="K402" s="209"/>
      <c r="L402" s="209"/>
      <c r="M402" s="209"/>
      <c r="N402" s="211"/>
      <c r="O402" s="211"/>
      <c r="P402" s="211"/>
      <c r="Q402" s="211"/>
      <c r="R402" s="211"/>
      <c r="S402" s="211"/>
      <c r="T402" s="211"/>
      <c r="U402" s="211"/>
      <c r="V402" s="212"/>
      <c r="W402" s="211"/>
      <c r="X402" s="211"/>
      <c r="Y402" s="211"/>
      <c r="Z402" s="211"/>
      <c r="AA402" s="211"/>
      <c r="AB402" s="211"/>
      <c r="AC402" s="211"/>
      <c r="AD402" s="167"/>
      <c r="AE402" s="167"/>
      <c r="AF402" s="167"/>
      <c r="AG402" s="167"/>
      <c r="AH402" s="167"/>
      <c r="AI402" s="167"/>
      <c r="AJ402" s="167"/>
      <c r="AK402" s="6"/>
      <c r="AL402" s="6"/>
      <c r="AM402" s="6"/>
      <c r="AN402" s="6"/>
      <c r="AO402" s="6"/>
      <c r="AP402" s="6"/>
    </row>
    <row r="403" spans="1:42" x14ac:dyDescent="0.25">
      <c r="A403" s="195" t="s">
        <v>124</v>
      </c>
      <c r="B403" s="218" t="s">
        <v>1242</v>
      </c>
      <c r="C403" s="218"/>
      <c r="D403" s="218"/>
      <c r="E403" s="219"/>
      <c r="F403" s="210"/>
      <c r="G403" s="209"/>
      <c r="H403" s="209"/>
      <c r="I403" s="209"/>
      <c r="J403" s="209"/>
      <c r="K403" s="209"/>
      <c r="L403" s="209"/>
      <c r="M403" s="211"/>
      <c r="N403" s="211"/>
      <c r="O403" s="211"/>
      <c r="P403" s="211"/>
      <c r="Q403" s="211"/>
      <c r="R403" s="211"/>
      <c r="S403" s="211"/>
      <c r="T403" s="211"/>
      <c r="U403" s="212"/>
      <c r="V403" s="211"/>
      <c r="W403" s="211"/>
      <c r="X403" s="211"/>
      <c r="Y403" s="211"/>
      <c r="Z403" s="211"/>
      <c r="AA403" s="211"/>
      <c r="AB403" s="211"/>
      <c r="AC403" s="211"/>
      <c r="AD403" s="167"/>
      <c r="AE403" s="167"/>
      <c r="AF403" s="167"/>
      <c r="AG403" s="167"/>
      <c r="AH403" s="167"/>
      <c r="AI403" s="167"/>
      <c r="AJ403" s="6"/>
      <c r="AK403" s="6"/>
      <c r="AL403" s="6"/>
      <c r="AM403" s="6"/>
      <c r="AN403" s="6"/>
      <c r="AO403" s="6"/>
    </row>
    <row r="404" spans="1:42" x14ac:dyDescent="0.25">
      <c r="A404" s="323" t="s">
        <v>306</v>
      </c>
      <c r="B404" s="704" t="s">
        <v>1568</v>
      </c>
      <c r="C404" s="705"/>
      <c r="D404" s="705"/>
      <c r="E404" s="705"/>
      <c r="F404" s="705"/>
      <c r="G404" s="705"/>
      <c r="H404" s="705"/>
      <c r="I404" s="705"/>
      <c r="J404" s="705"/>
      <c r="K404" s="705"/>
      <c r="L404" s="705"/>
      <c r="M404" s="705"/>
      <c r="N404" s="705"/>
      <c r="O404" s="705"/>
      <c r="P404" s="705"/>
      <c r="Q404" s="705"/>
      <c r="R404" s="705"/>
      <c r="S404" s="705"/>
      <c r="T404" s="705"/>
      <c r="U404" s="705"/>
      <c r="V404" s="705"/>
      <c r="W404" s="705"/>
      <c r="X404" s="705"/>
      <c r="Y404" s="705"/>
      <c r="Z404" s="705"/>
      <c r="AA404" s="705"/>
      <c r="AB404" s="708"/>
      <c r="AC404" s="695" t="s">
        <v>1126</v>
      </c>
      <c r="AD404" s="695" t="s">
        <v>1107</v>
      </c>
      <c r="AE404" s="695" t="s">
        <v>1108</v>
      </c>
      <c r="AF404" s="695" t="s">
        <v>1127</v>
      </c>
      <c r="AG404" s="167"/>
      <c r="AH404" s="167"/>
      <c r="AI404" s="167"/>
      <c r="AJ404" s="6"/>
      <c r="AK404" s="6"/>
      <c r="AL404" s="6"/>
      <c r="AM404" s="6"/>
      <c r="AN404" s="6"/>
      <c r="AO404" s="6"/>
    </row>
    <row r="405" spans="1:42" x14ac:dyDescent="0.25">
      <c r="A405" s="323"/>
      <c r="B405" s="592" t="s">
        <v>1145</v>
      </c>
      <c r="C405" s="213" t="s">
        <v>1146</v>
      </c>
      <c r="D405" s="213" t="s">
        <v>1147</v>
      </c>
      <c r="E405" s="214" t="s">
        <v>1148</v>
      </c>
      <c r="F405" s="214" t="s">
        <v>1149</v>
      </c>
      <c r="G405" s="214" t="s">
        <v>1150</v>
      </c>
      <c r="H405" s="214" t="s">
        <v>1151</v>
      </c>
      <c r="I405" s="214" t="s">
        <v>1152</v>
      </c>
      <c r="J405" s="214" t="s">
        <v>1153</v>
      </c>
      <c r="K405" s="214" t="s">
        <v>1154</v>
      </c>
      <c r="L405" s="214" t="s">
        <v>1133</v>
      </c>
      <c r="M405" s="214" t="s">
        <v>1134</v>
      </c>
      <c r="N405" s="214" t="s">
        <v>1115</v>
      </c>
      <c r="O405" s="214" t="s">
        <v>1240</v>
      </c>
      <c r="P405" s="214" t="s">
        <v>1117</v>
      </c>
      <c r="Q405" s="214" t="s">
        <v>1156</v>
      </c>
      <c r="R405" s="214" t="s">
        <v>1157</v>
      </c>
      <c r="S405" s="214" t="s">
        <v>1158</v>
      </c>
      <c r="T405" s="214" t="s">
        <v>1159</v>
      </c>
      <c r="U405" s="214" t="s">
        <v>1160</v>
      </c>
      <c r="V405" s="214" t="s">
        <v>1161</v>
      </c>
      <c r="W405" s="214" t="s">
        <v>1162</v>
      </c>
      <c r="X405" s="214" t="s">
        <v>1164</v>
      </c>
      <c r="Y405" s="214" t="s">
        <v>1241</v>
      </c>
      <c r="Z405" s="214" t="s">
        <v>1116</v>
      </c>
      <c r="AA405" s="214" t="s">
        <v>1167</v>
      </c>
      <c r="AB405" s="214" t="s">
        <v>1168</v>
      </c>
      <c r="AC405" s="696"/>
      <c r="AD405" s="696"/>
      <c r="AE405" s="696"/>
      <c r="AF405" s="696"/>
      <c r="AG405" s="167"/>
      <c r="AH405" s="167"/>
      <c r="AI405" s="167"/>
      <c r="AJ405" s="6"/>
      <c r="AK405" s="6"/>
      <c r="AL405" s="6"/>
      <c r="AM405" s="6"/>
      <c r="AN405" s="6"/>
      <c r="AO405" s="6"/>
    </row>
    <row r="406" spans="1:42" x14ac:dyDescent="0.25">
      <c r="A406" s="323"/>
      <c r="B406" s="592">
        <f>B396+1</f>
        <v>4</v>
      </c>
      <c r="C406" s="213">
        <v>1</v>
      </c>
      <c r="D406" s="213" t="s">
        <v>1173</v>
      </c>
      <c r="E406" s="214">
        <f>$B$2</f>
        <v>20180326</v>
      </c>
      <c r="F406" s="215">
        <v>0.7289930555555556</v>
      </c>
      <c r="G406" s="214"/>
      <c r="H406" s="214"/>
      <c r="I406" s="214"/>
      <c r="J406" s="214" t="s">
        <v>1247</v>
      </c>
      <c r="K406" s="214">
        <v>1</v>
      </c>
      <c r="L406" s="214">
        <f>$B$2</f>
        <v>20180326</v>
      </c>
      <c r="M406" s="216" t="str">
        <f>M401</f>
        <v>9999</v>
      </c>
      <c r="N406" s="217">
        <f>N401</f>
        <v>99990202</v>
      </c>
      <c r="O406" s="217"/>
      <c r="P406" s="217" t="str">
        <f>P401</f>
        <v>CZCE</v>
      </c>
      <c r="Q406" s="217"/>
      <c r="R406" s="217">
        <v>1</v>
      </c>
      <c r="S406" s="217">
        <v>1</v>
      </c>
      <c r="T406" s="217">
        <v>1</v>
      </c>
      <c r="U406" s="216">
        <v>1</v>
      </c>
      <c r="V406" s="216">
        <f>V401</f>
        <v>5000.5600000000004</v>
      </c>
      <c r="W406" s="217" t="s">
        <v>1190</v>
      </c>
      <c r="X406" s="217">
        <v>1</v>
      </c>
      <c r="Y406" s="217">
        <v>0</v>
      </c>
      <c r="Z406" s="217" t="str">
        <f>Z401</f>
        <v>USD</v>
      </c>
      <c r="AA406" s="217"/>
      <c r="AB406" s="217"/>
      <c r="AC406" s="214" t="s">
        <v>1128</v>
      </c>
      <c r="AD406" s="111"/>
      <c r="AE406" s="111"/>
      <c r="AF406" s="111">
        <v>0</v>
      </c>
      <c r="AG406" s="167"/>
      <c r="AH406" s="167"/>
      <c r="AI406" s="167"/>
      <c r="AJ406" s="6"/>
      <c r="AK406" s="6"/>
      <c r="AL406" s="6"/>
      <c r="AM406" s="6"/>
      <c r="AN406" s="6"/>
      <c r="AO406" s="6"/>
    </row>
    <row r="407" spans="1:42" s="6" customFormat="1" x14ac:dyDescent="0.25">
      <c r="A407" s="167" t="s">
        <v>1197</v>
      </c>
      <c r="B407" s="208" t="s">
        <v>1186</v>
      </c>
      <c r="C407" s="208"/>
      <c r="D407" s="208"/>
      <c r="E407" s="208"/>
      <c r="F407" s="209"/>
      <c r="G407" s="210"/>
      <c r="H407" s="209"/>
      <c r="I407" s="209"/>
      <c r="J407" s="209"/>
      <c r="K407" s="209"/>
      <c r="L407" s="209"/>
      <c r="M407" s="209"/>
      <c r="N407" s="211"/>
      <c r="O407" s="211"/>
      <c r="P407" s="211"/>
      <c r="Q407" s="211"/>
      <c r="R407" s="211"/>
      <c r="S407" s="211"/>
      <c r="T407" s="211"/>
      <c r="U407" s="211"/>
      <c r="V407" s="212"/>
      <c r="W407" s="211"/>
      <c r="X407" s="211"/>
      <c r="Y407" s="211"/>
      <c r="Z407" s="211"/>
      <c r="AA407" s="211"/>
      <c r="AB407" s="211"/>
      <c r="AC407" s="211"/>
      <c r="AD407" s="167"/>
      <c r="AE407" s="167"/>
      <c r="AF407" s="167"/>
      <c r="AG407" s="167"/>
      <c r="AH407" s="167"/>
      <c r="AI407" s="167"/>
      <c r="AJ407" s="167"/>
    </row>
    <row r="408" spans="1:42" x14ac:dyDescent="0.25">
      <c r="A408" s="218" t="s">
        <v>1238</v>
      </c>
      <c r="B408" s="218" t="s">
        <v>1239</v>
      </c>
      <c r="C408" s="218"/>
      <c r="D408" s="218"/>
      <c r="E408" s="219"/>
      <c r="F408" s="210"/>
      <c r="G408" s="209"/>
      <c r="H408" s="209"/>
      <c r="I408" s="209"/>
      <c r="J408" s="209"/>
      <c r="K408" s="209"/>
      <c r="L408" s="209"/>
      <c r="M408" s="211"/>
      <c r="N408" s="211"/>
      <c r="O408" s="211"/>
      <c r="P408" s="211"/>
      <c r="Q408" s="211"/>
      <c r="R408" s="211"/>
      <c r="S408" s="211"/>
      <c r="T408" s="211"/>
      <c r="U408" s="212"/>
      <c r="V408" s="211"/>
      <c r="W408" s="211"/>
      <c r="X408" s="211"/>
      <c r="Y408" s="211"/>
      <c r="Z408" s="211"/>
      <c r="AA408" s="211"/>
      <c r="AB408" s="211"/>
      <c r="AG408" s="167"/>
      <c r="AH408" s="167"/>
      <c r="AI408" s="167"/>
      <c r="AJ408" s="6"/>
      <c r="AK408" s="6"/>
      <c r="AL408" s="6"/>
      <c r="AM408" s="6"/>
      <c r="AN408" s="6"/>
      <c r="AO408" s="6"/>
    </row>
    <row r="409" spans="1:42" x14ac:dyDescent="0.25">
      <c r="A409" s="218" t="s">
        <v>1214</v>
      </c>
      <c r="B409" s="704" t="s">
        <v>1568</v>
      </c>
      <c r="C409" s="705"/>
      <c r="D409" s="705"/>
      <c r="E409" s="705"/>
      <c r="F409" s="705"/>
      <c r="G409" s="705"/>
      <c r="H409" s="705"/>
      <c r="I409" s="705"/>
      <c r="J409" s="705"/>
      <c r="K409" s="705"/>
      <c r="L409" s="705"/>
      <c r="M409" s="705"/>
      <c r="N409" s="705"/>
      <c r="O409" s="705"/>
      <c r="P409" s="705"/>
      <c r="Q409" s="705"/>
      <c r="R409" s="705"/>
      <c r="S409" s="705"/>
      <c r="T409" s="705"/>
      <c r="U409" s="705"/>
      <c r="V409" s="705"/>
      <c r="W409" s="705"/>
      <c r="X409" s="705"/>
      <c r="Y409" s="705"/>
      <c r="Z409" s="705"/>
      <c r="AA409" s="705"/>
      <c r="AB409" s="708"/>
      <c r="AC409" s="695" t="s">
        <v>1126</v>
      </c>
      <c r="AD409" s="695" t="s">
        <v>1107</v>
      </c>
      <c r="AE409" s="695" t="s">
        <v>1108</v>
      </c>
      <c r="AF409" s="695" t="s">
        <v>1127</v>
      </c>
      <c r="AG409" s="167"/>
      <c r="AH409" s="167"/>
      <c r="AI409" s="167"/>
      <c r="AJ409" s="6"/>
      <c r="AK409" s="6"/>
      <c r="AL409" s="6"/>
      <c r="AM409" s="6"/>
      <c r="AN409" s="6"/>
      <c r="AO409" s="6"/>
    </row>
    <row r="410" spans="1:42" x14ac:dyDescent="0.25">
      <c r="A410" s="615"/>
      <c r="B410" s="592" t="s">
        <v>1145</v>
      </c>
      <c r="C410" s="213" t="s">
        <v>1146</v>
      </c>
      <c r="D410" s="213" t="s">
        <v>1147</v>
      </c>
      <c r="E410" s="214" t="s">
        <v>1148</v>
      </c>
      <c r="F410" s="214" t="s">
        <v>1149</v>
      </c>
      <c r="G410" s="214" t="s">
        <v>1150</v>
      </c>
      <c r="H410" s="214" t="s">
        <v>1151</v>
      </c>
      <c r="I410" s="214" t="s">
        <v>1152</v>
      </c>
      <c r="J410" s="214" t="s">
        <v>1153</v>
      </c>
      <c r="K410" s="214" t="s">
        <v>1154</v>
      </c>
      <c r="L410" s="214" t="s">
        <v>1133</v>
      </c>
      <c r="M410" s="214" t="s">
        <v>1134</v>
      </c>
      <c r="N410" s="214" t="s">
        <v>1115</v>
      </c>
      <c r="O410" s="214" t="s">
        <v>1240</v>
      </c>
      <c r="P410" s="214" t="s">
        <v>1117</v>
      </c>
      <c r="Q410" s="214" t="s">
        <v>1156</v>
      </c>
      <c r="R410" s="214" t="s">
        <v>1157</v>
      </c>
      <c r="S410" s="214" t="s">
        <v>1158</v>
      </c>
      <c r="T410" s="214" t="s">
        <v>1159</v>
      </c>
      <c r="U410" s="214" t="s">
        <v>1160</v>
      </c>
      <c r="V410" s="214" t="s">
        <v>1161</v>
      </c>
      <c r="W410" s="214" t="s">
        <v>1162</v>
      </c>
      <c r="X410" s="214" t="s">
        <v>1164</v>
      </c>
      <c r="Y410" s="214" t="s">
        <v>1241</v>
      </c>
      <c r="Z410" s="214" t="s">
        <v>1116</v>
      </c>
      <c r="AA410" s="214" t="s">
        <v>1167</v>
      </c>
      <c r="AB410" s="214" t="s">
        <v>1168</v>
      </c>
      <c r="AC410" s="696"/>
      <c r="AD410" s="696"/>
      <c r="AE410" s="696"/>
      <c r="AF410" s="696"/>
      <c r="AG410" s="167"/>
      <c r="AH410" s="167"/>
      <c r="AI410" s="167"/>
      <c r="AJ410" s="6"/>
      <c r="AK410" s="6"/>
      <c r="AL410" s="6"/>
      <c r="AM410" s="6"/>
      <c r="AN410" s="6"/>
      <c r="AO410" s="6"/>
    </row>
    <row r="411" spans="1:42" x14ac:dyDescent="0.25">
      <c r="A411" s="263"/>
      <c r="B411" s="592"/>
      <c r="C411" s="213"/>
      <c r="D411" s="213"/>
      <c r="E411" s="214"/>
      <c r="F411" s="215"/>
      <c r="G411" s="214"/>
      <c r="H411" s="214"/>
      <c r="I411" s="214"/>
      <c r="J411" s="214"/>
      <c r="K411" s="214"/>
      <c r="L411" s="214">
        <f>$B$2</f>
        <v>20180326</v>
      </c>
      <c r="M411" s="216" t="str">
        <f>M406</f>
        <v>9999</v>
      </c>
      <c r="N411" s="217">
        <f>C371</f>
        <v>99990201</v>
      </c>
      <c r="O411" s="217"/>
      <c r="P411" s="217" t="str">
        <f>P406</f>
        <v>CZCE</v>
      </c>
      <c r="Q411" s="217"/>
      <c r="R411" s="217"/>
      <c r="S411" s="217">
        <v>1</v>
      </c>
      <c r="T411" s="217">
        <v>2</v>
      </c>
      <c r="U411" s="216">
        <v>1</v>
      </c>
      <c r="V411" s="216">
        <f>E374</f>
        <v>1000</v>
      </c>
      <c r="W411" s="217" t="s">
        <v>1193</v>
      </c>
      <c r="X411" s="217"/>
      <c r="Y411" s="217">
        <v>0</v>
      </c>
      <c r="Z411" s="217" t="str">
        <f>D374</f>
        <v>CNY</v>
      </c>
      <c r="AA411" s="217"/>
      <c r="AB411" s="217"/>
      <c r="AC411" s="189" t="s">
        <v>1128</v>
      </c>
      <c r="AD411" s="111"/>
      <c r="AE411" s="111"/>
      <c r="AF411" s="111">
        <v>0</v>
      </c>
      <c r="AG411" s="167"/>
      <c r="AH411" s="167"/>
      <c r="AI411" s="167"/>
      <c r="AJ411" s="6"/>
      <c r="AK411" s="6"/>
      <c r="AL411" s="6"/>
      <c r="AM411" s="6"/>
      <c r="AN411" s="6"/>
      <c r="AO411" s="6"/>
    </row>
    <row r="412" spans="1:42" x14ac:dyDescent="0.25">
      <c r="A412" s="126" t="s">
        <v>173</v>
      </c>
      <c r="B412" s="208" t="s">
        <v>1245</v>
      </c>
      <c r="C412" s="208"/>
      <c r="D412" s="208"/>
      <c r="E412" s="208"/>
      <c r="F412" s="209"/>
      <c r="G412" s="210"/>
      <c r="H412" s="209"/>
      <c r="I412" s="209"/>
      <c r="J412" s="209"/>
      <c r="K412" s="209"/>
      <c r="L412" s="209"/>
      <c r="M412" s="209"/>
      <c r="N412" s="211"/>
      <c r="O412" s="211"/>
      <c r="P412" s="211"/>
      <c r="Q412" s="211"/>
      <c r="R412" s="211"/>
      <c r="S412" s="211"/>
      <c r="T412" s="211"/>
      <c r="U412" s="211"/>
      <c r="V412" s="212"/>
      <c r="W412" s="211"/>
      <c r="X412" s="211"/>
      <c r="Y412" s="211"/>
      <c r="Z412" s="211"/>
      <c r="AA412" s="211"/>
      <c r="AB412" s="211"/>
      <c r="AC412" s="211"/>
      <c r="AD412" s="167"/>
      <c r="AE412" s="167"/>
      <c r="AF412" s="167"/>
      <c r="AG412" s="167"/>
      <c r="AH412" s="167"/>
      <c r="AI412" s="167"/>
      <c r="AJ412" s="167"/>
      <c r="AK412" s="6"/>
      <c r="AL412" s="6"/>
      <c r="AM412" s="6"/>
      <c r="AN412" s="6"/>
      <c r="AO412" s="6"/>
      <c r="AP412" s="6"/>
    </row>
    <row r="413" spans="1:42" x14ac:dyDescent="0.25">
      <c r="A413" s="195" t="s">
        <v>124</v>
      </c>
      <c r="B413" s="218" t="s">
        <v>1242</v>
      </c>
      <c r="C413" s="218"/>
      <c r="D413" s="218"/>
      <c r="E413" s="219"/>
      <c r="F413" s="210"/>
      <c r="G413" s="209"/>
      <c r="H413" s="209"/>
      <c r="I413" s="209"/>
      <c r="J413" s="209"/>
      <c r="K413" s="209"/>
      <c r="L413" s="209"/>
      <c r="M413" s="211"/>
      <c r="N413" s="211"/>
      <c r="O413" s="211"/>
      <c r="P413" s="211"/>
      <c r="Q413" s="211"/>
      <c r="R413" s="211"/>
      <c r="S413" s="211"/>
      <c r="T413" s="211"/>
      <c r="U413" s="212"/>
      <c r="V413" s="211"/>
      <c r="W413" s="211"/>
      <c r="X413" s="211"/>
      <c r="Y413" s="211"/>
      <c r="Z413" s="211"/>
      <c r="AA413" s="211"/>
      <c r="AB413" s="211"/>
      <c r="AC413" s="167"/>
      <c r="AD413" s="167"/>
      <c r="AE413" s="167"/>
      <c r="AF413" s="167"/>
      <c r="AG413" s="167"/>
      <c r="AH413" s="167"/>
      <c r="AI413" s="167"/>
      <c r="AJ413" s="6"/>
      <c r="AK413" s="6"/>
      <c r="AL413" s="6"/>
      <c r="AM413" s="6"/>
      <c r="AN413" s="6"/>
      <c r="AO413" s="6"/>
    </row>
    <row r="414" spans="1:42" x14ac:dyDescent="0.25">
      <c r="A414" s="323" t="s">
        <v>306</v>
      </c>
      <c r="B414" s="704" t="s">
        <v>1580</v>
      </c>
      <c r="C414" s="705"/>
      <c r="D414" s="705"/>
      <c r="E414" s="705"/>
      <c r="F414" s="705"/>
      <c r="G414" s="705"/>
      <c r="H414" s="705"/>
      <c r="I414" s="705"/>
      <c r="J414" s="705"/>
      <c r="K414" s="705"/>
      <c r="L414" s="705"/>
      <c r="M414" s="705"/>
      <c r="N414" s="705"/>
      <c r="O414" s="705"/>
      <c r="P414" s="705"/>
      <c r="Q414" s="705"/>
      <c r="R414" s="705"/>
      <c r="S414" s="706"/>
      <c r="T414" s="706"/>
      <c r="U414" s="706"/>
      <c r="V414" s="706"/>
      <c r="W414" s="706"/>
      <c r="X414" s="706"/>
      <c r="Y414" s="706"/>
      <c r="Z414" s="706"/>
      <c r="AA414" s="706"/>
      <c r="AB414" s="707"/>
      <c r="AC414" s="695" t="s">
        <v>1126</v>
      </c>
      <c r="AD414" s="695" t="s">
        <v>1107</v>
      </c>
      <c r="AE414" s="695" t="s">
        <v>1108</v>
      </c>
      <c r="AF414" s="695" t="s">
        <v>1127</v>
      </c>
      <c r="AG414" s="167"/>
      <c r="AH414" s="167"/>
      <c r="AI414" s="167"/>
      <c r="AJ414" s="6"/>
      <c r="AK414" s="6"/>
      <c r="AL414" s="6"/>
      <c r="AM414" s="6"/>
      <c r="AN414" s="6"/>
      <c r="AO414" s="6"/>
    </row>
    <row r="415" spans="1:42" x14ac:dyDescent="0.25">
      <c r="A415" s="323"/>
      <c r="B415" s="592" t="s">
        <v>1145</v>
      </c>
      <c r="C415" s="213" t="s">
        <v>1146</v>
      </c>
      <c r="D415" s="213" t="s">
        <v>1147</v>
      </c>
      <c r="E415" s="214" t="s">
        <v>1148</v>
      </c>
      <c r="F415" s="214" t="s">
        <v>1149</v>
      </c>
      <c r="G415" s="214" t="s">
        <v>1150</v>
      </c>
      <c r="H415" s="214" t="s">
        <v>1151</v>
      </c>
      <c r="I415" s="214" t="s">
        <v>1152</v>
      </c>
      <c r="J415" s="214" t="s">
        <v>1153</v>
      </c>
      <c r="K415" s="214" t="s">
        <v>1154</v>
      </c>
      <c r="L415" s="214" t="s">
        <v>1133</v>
      </c>
      <c r="M415" s="214" t="s">
        <v>1134</v>
      </c>
      <c r="N415" s="214" t="s">
        <v>1115</v>
      </c>
      <c r="O415" s="214" t="s">
        <v>1240</v>
      </c>
      <c r="P415" s="214" t="s">
        <v>1117</v>
      </c>
      <c r="Q415" s="214" t="s">
        <v>1156</v>
      </c>
      <c r="R415" s="214" t="s">
        <v>1157</v>
      </c>
      <c r="S415" s="214" t="s">
        <v>1158</v>
      </c>
      <c r="T415" s="214" t="s">
        <v>1159</v>
      </c>
      <c r="U415" s="214" t="s">
        <v>1160</v>
      </c>
      <c r="V415" s="214" t="s">
        <v>1161</v>
      </c>
      <c r="W415" s="214" t="s">
        <v>1162</v>
      </c>
      <c r="X415" s="214" t="s">
        <v>1164</v>
      </c>
      <c r="Y415" s="214" t="s">
        <v>1241</v>
      </c>
      <c r="Z415" s="214" t="s">
        <v>1116</v>
      </c>
      <c r="AA415" s="214" t="s">
        <v>1167</v>
      </c>
      <c r="AB415" s="214" t="s">
        <v>1168</v>
      </c>
      <c r="AC415" s="696"/>
      <c r="AD415" s="696"/>
      <c r="AE415" s="696"/>
      <c r="AF415" s="696"/>
      <c r="AG415" s="167"/>
      <c r="AH415" s="167"/>
      <c r="AI415" s="167"/>
      <c r="AJ415" s="6"/>
      <c r="AK415" s="6"/>
      <c r="AL415" s="6"/>
      <c r="AM415" s="6"/>
      <c r="AN415" s="6"/>
      <c r="AO415" s="6"/>
    </row>
    <row r="416" spans="1:42" x14ac:dyDescent="0.25">
      <c r="A416" s="323"/>
      <c r="B416" s="592">
        <f>B406+1</f>
        <v>5</v>
      </c>
      <c r="C416" s="213">
        <v>1</v>
      </c>
      <c r="D416" s="213" t="s">
        <v>1173</v>
      </c>
      <c r="E416" s="214">
        <f>$B$2</f>
        <v>20180326</v>
      </c>
      <c r="F416" s="215">
        <v>0.7289930555555556</v>
      </c>
      <c r="G416" s="214"/>
      <c r="H416" s="214"/>
      <c r="I416" s="214"/>
      <c r="J416" s="214" t="s">
        <v>1247</v>
      </c>
      <c r="K416" s="214">
        <v>1</v>
      </c>
      <c r="L416" s="214">
        <f>$B$2</f>
        <v>20180326</v>
      </c>
      <c r="M416" s="216" t="str">
        <f>M411</f>
        <v>9999</v>
      </c>
      <c r="N416" s="217">
        <f>N411</f>
        <v>99990201</v>
      </c>
      <c r="O416" s="217"/>
      <c r="P416" s="217" t="str">
        <f>P411</f>
        <v>CZCE</v>
      </c>
      <c r="Q416" s="217"/>
      <c r="R416" s="217">
        <v>1</v>
      </c>
      <c r="S416" s="217">
        <v>1</v>
      </c>
      <c r="T416" s="217">
        <v>2</v>
      </c>
      <c r="U416" s="216">
        <v>1</v>
      </c>
      <c r="V416" s="216">
        <f>V411</f>
        <v>1000</v>
      </c>
      <c r="W416" s="217" t="s">
        <v>1194</v>
      </c>
      <c r="X416" s="217">
        <v>1</v>
      </c>
      <c r="Y416" s="217">
        <v>0</v>
      </c>
      <c r="Z416" s="217" t="str">
        <f>Z411</f>
        <v>CNY</v>
      </c>
      <c r="AA416" s="217"/>
      <c r="AB416" s="217"/>
      <c r="AC416" s="189" t="s">
        <v>1128</v>
      </c>
      <c r="AD416" s="111"/>
      <c r="AE416" s="111"/>
      <c r="AF416" s="111">
        <v>0</v>
      </c>
      <c r="AG416" s="167"/>
      <c r="AH416" s="167"/>
      <c r="AI416" s="167"/>
      <c r="AJ416" s="6"/>
      <c r="AK416" s="6"/>
      <c r="AL416" s="6"/>
      <c r="AM416" s="6"/>
      <c r="AN416" s="6"/>
      <c r="AO416" s="6"/>
    </row>
    <row r="417" spans="1:42" s="6" customFormat="1" x14ac:dyDescent="0.25">
      <c r="A417" s="167" t="s">
        <v>173</v>
      </c>
      <c r="B417" s="263" t="s">
        <v>1884</v>
      </c>
      <c r="C417" s="263"/>
      <c r="D417" s="263"/>
      <c r="E417" s="263"/>
      <c r="F417" s="209"/>
      <c r="G417" s="210"/>
      <c r="H417" s="209"/>
      <c r="I417" s="209"/>
      <c r="J417" s="209"/>
      <c r="K417" s="209"/>
      <c r="L417" s="209"/>
      <c r="M417" s="209"/>
      <c r="N417" s="211"/>
      <c r="O417" s="211"/>
      <c r="P417" s="211"/>
      <c r="Q417" s="211"/>
      <c r="R417" s="211"/>
      <c r="S417" s="211"/>
      <c r="T417" s="211"/>
      <c r="U417" s="211"/>
      <c r="V417" s="212"/>
      <c r="W417" s="211"/>
      <c r="X417" s="211"/>
      <c r="Y417" s="211"/>
      <c r="Z417" s="211"/>
      <c r="AA417" s="211"/>
      <c r="AB417" s="211"/>
      <c r="AC417" s="211"/>
      <c r="AD417" s="167"/>
      <c r="AE417" s="167"/>
      <c r="AF417" s="167"/>
      <c r="AG417" s="167"/>
      <c r="AH417" s="167"/>
      <c r="AI417" s="167"/>
      <c r="AJ417" s="167"/>
    </row>
    <row r="418" spans="1:42" x14ac:dyDescent="0.25">
      <c r="A418" s="218" t="s">
        <v>124</v>
      </c>
      <c r="B418" s="218" t="s">
        <v>1239</v>
      </c>
      <c r="C418" s="218"/>
      <c r="D418" s="218"/>
      <c r="E418" s="219"/>
      <c r="F418" s="210"/>
      <c r="G418" s="209"/>
      <c r="H418" s="209"/>
      <c r="I418" s="209"/>
      <c r="J418" s="209"/>
      <c r="K418" s="209"/>
      <c r="L418" s="209"/>
      <c r="M418" s="211"/>
      <c r="N418" s="211"/>
      <c r="O418" s="211"/>
      <c r="P418" s="211"/>
      <c r="Q418" s="211"/>
      <c r="R418" s="211"/>
      <c r="S418" s="211"/>
      <c r="T418" s="211"/>
      <c r="U418" s="212"/>
      <c r="V418" s="211"/>
      <c r="W418" s="211"/>
      <c r="X418" s="211"/>
      <c r="Y418" s="211"/>
      <c r="Z418" s="211"/>
      <c r="AA418" s="211"/>
      <c r="AB418" s="211"/>
      <c r="AG418" s="167"/>
      <c r="AH418" s="167"/>
      <c r="AI418" s="167"/>
      <c r="AJ418" s="6"/>
      <c r="AK418" s="6"/>
      <c r="AL418" s="6"/>
      <c r="AM418" s="6"/>
      <c r="AN418" s="6"/>
      <c r="AO418" s="6"/>
    </row>
    <row r="419" spans="1:42" x14ac:dyDescent="0.25">
      <c r="A419" s="218" t="s">
        <v>306</v>
      </c>
      <c r="B419" s="704" t="s">
        <v>1568</v>
      </c>
      <c r="C419" s="705"/>
      <c r="D419" s="705"/>
      <c r="E419" s="705"/>
      <c r="F419" s="705"/>
      <c r="G419" s="705"/>
      <c r="H419" s="705"/>
      <c r="I419" s="705"/>
      <c r="J419" s="705"/>
      <c r="K419" s="705"/>
      <c r="L419" s="705"/>
      <c r="M419" s="705"/>
      <c r="N419" s="705"/>
      <c r="O419" s="705"/>
      <c r="P419" s="705"/>
      <c r="Q419" s="705"/>
      <c r="R419" s="705"/>
      <c r="S419" s="705"/>
      <c r="T419" s="705"/>
      <c r="U419" s="705"/>
      <c r="V419" s="705"/>
      <c r="W419" s="705"/>
      <c r="X419" s="705"/>
      <c r="Y419" s="705"/>
      <c r="Z419" s="705"/>
      <c r="AA419" s="705"/>
      <c r="AB419" s="708"/>
      <c r="AC419" s="695" t="s">
        <v>1126</v>
      </c>
      <c r="AD419" s="695" t="s">
        <v>1107</v>
      </c>
      <c r="AE419" s="695" t="s">
        <v>1108</v>
      </c>
      <c r="AF419" s="695" t="s">
        <v>1127</v>
      </c>
      <c r="AG419" s="167"/>
      <c r="AH419" s="167"/>
      <c r="AI419" s="167"/>
      <c r="AJ419" s="6"/>
      <c r="AK419" s="6"/>
      <c r="AL419" s="6"/>
      <c r="AM419" s="6"/>
      <c r="AN419" s="6"/>
      <c r="AO419" s="6"/>
    </row>
    <row r="420" spans="1:42" x14ac:dyDescent="0.25">
      <c r="A420" s="615"/>
      <c r="B420" s="592" t="s">
        <v>1145</v>
      </c>
      <c r="C420" s="213" t="s">
        <v>1146</v>
      </c>
      <c r="D420" s="213" t="s">
        <v>1147</v>
      </c>
      <c r="E420" s="214" t="s">
        <v>1148</v>
      </c>
      <c r="F420" s="214" t="s">
        <v>1149</v>
      </c>
      <c r="G420" s="214" t="s">
        <v>1150</v>
      </c>
      <c r="H420" s="214" t="s">
        <v>1151</v>
      </c>
      <c r="I420" s="214" t="s">
        <v>1152</v>
      </c>
      <c r="J420" s="214" t="s">
        <v>1153</v>
      </c>
      <c r="K420" s="214" t="s">
        <v>1154</v>
      </c>
      <c r="L420" s="214" t="s">
        <v>1133</v>
      </c>
      <c r="M420" s="214" t="s">
        <v>1134</v>
      </c>
      <c r="N420" s="214" t="s">
        <v>1115</v>
      </c>
      <c r="O420" s="214" t="s">
        <v>1240</v>
      </c>
      <c r="P420" s="214" t="s">
        <v>1117</v>
      </c>
      <c r="Q420" s="214" t="s">
        <v>1156</v>
      </c>
      <c r="R420" s="214" t="s">
        <v>1157</v>
      </c>
      <c r="S420" s="214" t="s">
        <v>1158</v>
      </c>
      <c r="T420" s="214" t="s">
        <v>1159</v>
      </c>
      <c r="U420" s="214" t="s">
        <v>1160</v>
      </c>
      <c r="V420" s="214" t="s">
        <v>1161</v>
      </c>
      <c r="W420" s="214" t="s">
        <v>1162</v>
      </c>
      <c r="X420" s="214" t="s">
        <v>1164</v>
      </c>
      <c r="Y420" s="214" t="s">
        <v>1166</v>
      </c>
      <c r="Z420" s="214" t="s">
        <v>1116</v>
      </c>
      <c r="AA420" s="214" t="s">
        <v>1167</v>
      </c>
      <c r="AB420" s="214" t="s">
        <v>1168</v>
      </c>
      <c r="AC420" s="696"/>
      <c r="AD420" s="696"/>
      <c r="AE420" s="696"/>
      <c r="AF420" s="696"/>
      <c r="AG420" s="167"/>
      <c r="AH420" s="167"/>
      <c r="AI420" s="167"/>
      <c r="AJ420" s="6"/>
      <c r="AK420" s="6"/>
      <c r="AL420" s="6"/>
      <c r="AM420" s="6"/>
      <c r="AN420" s="6"/>
      <c r="AO420" s="6"/>
    </row>
    <row r="421" spans="1:42" x14ac:dyDescent="0.25">
      <c r="A421" s="263"/>
      <c r="B421" s="592"/>
      <c r="C421" s="213"/>
      <c r="D421" s="213"/>
      <c r="E421" s="214"/>
      <c r="F421" s="215"/>
      <c r="G421" s="214"/>
      <c r="H421" s="214"/>
      <c r="I421" s="214"/>
      <c r="J421" s="214"/>
      <c r="K421" s="214"/>
      <c r="L421" s="214">
        <f>$B$2</f>
        <v>20180326</v>
      </c>
      <c r="M421" s="216" t="str">
        <f>M416</f>
        <v>9999</v>
      </c>
      <c r="N421" s="217">
        <f>C372</f>
        <v>99990203</v>
      </c>
      <c r="O421" s="217"/>
      <c r="P421" s="217" t="str">
        <f>P416</f>
        <v>CZCE</v>
      </c>
      <c r="Q421" s="217"/>
      <c r="R421" s="217"/>
      <c r="S421" s="217">
        <v>1</v>
      </c>
      <c r="T421" s="217">
        <v>2</v>
      </c>
      <c r="U421" s="216">
        <v>1</v>
      </c>
      <c r="V421" s="216">
        <f>E375</f>
        <v>1000</v>
      </c>
      <c r="W421" s="217" t="s">
        <v>1878</v>
      </c>
      <c r="X421" s="217"/>
      <c r="Y421" s="217">
        <v>0</v>
      </c>
      <c r="Z421" s="217" t="str">
        <f>D375</f>
        <v>HKD</v>
      </c>
      <c r="AA421" s="217"/>
      <c r="AB421" s="217"/>
      <c r="AC421" s="189" t="s">
        <v>1128</v>
      </c>
      <c r="AD421" s="111"/>
      <c r="AE421" s="111"/>
      <c r="AF421" s="111">
        <v>0</v>
      </c>
      <c r="AG421" s="167"/>
      <c r="AH421" s="167"/>
      <c r="AI421" s="167"/>
      <c r="AJ421" s="6"/>
      <c r="AK421" s="6"/>
      <c r="AL421" s="6"/>
      <c r="AM421" s="6"/>
      <c r="AN421" s="6"/>
      <c r="AO421" s="6"/>
    </row>
    <row r="422" spans="1:42" x14ac:dyDescent="0.25">
      <c r="A422" s="126" t="s">
        <v>173</v>
      </c>
      <c r="B422" s="263" t="s">
        <v>1885</v>
      </c>
      <c r="C422" s="263"/>
      <c r="D422" s="263"/>
      <c r="E422" s="263"/>
      <c r="F422" s="209"/>
      <c r="G422" s="210"/>
      <c r="H422" s="209"/>
      <c r="I422" s="209"/>
      <c r="J422" s="209"/>
      <c r="K422" s="209"/>
      <c r="L422" s="209"/>
      <c r="M422" s="209"/>
      <c r="N422" s="211"/>
      <c r="O422" s="211"/>
      <c r="P422" s="211"/>
      <c r="Q422" s="211"/>
      <c r="R422" s="211"/>
      <c r="S422" s="211"/>
      <c r="T422" s="211"/>
      <c r="U422" s="211"/>
      <c r="V422" s="212"/>
      <c r="W422" s="211"/>
      <c r="X422" s="211"/>
      <c r="Y422" s="211"/>
      <c r="Z422" s="211"/>
      <c r="AA422" s="211"/>
      <c r="AB422" s="211"/>
      <c r="AC422" s="211"/>
      <c r="AD422" s="167"/>
      <c r="AE422" s="167"/>
      <c r="AF422" s="167"/>
      <c r="AG422" s="167"/>
      <c r="AH422" s="167"/>
      <c r="AI422" s="167"/>
      <c r="AJ422" s="167"/>
      <c r="AK422" s="6"/>
      <c r="AL422" s="6"/>
      <c r="AM422" s="6"/>
      <c r="AN422" s="6"/>
      <c r="AO422" s="6"/>
      <c r="AP422" s="6"/>
    </row>
    <row r="423" spans="1:42" x14ac:dyDescent="0.25">
      <c r="A423" s="195" t="s">
        <v>124</v>
      </c>
      <c r="B423" s="218" t="s">
        <v>1242</v>
      </c>
      <c r="C423" s="218"/>
      <c r="D423" s="218"/>
      <c r="E423" s="219"/>
      <c r="F423" s="210"/>
      <c r="G423" s="209"/>
      <c r="H423" s="209"/>
      <c r="I423" s="209"/>
      <c r="J423" s="209"/>
      <c r="K423" s="209"/>
      <c r="L423" s="209"/>
      <c r="M423" s="211"/>
      <c r="N423" s="211"/>
      <c r="O423" s="211"/>
      <c r="P423" s="211"/>
      <c r="Q423" s="211"/>
      <c r="R423" s="211"/>
      <c r="S423" s="211"/>
      <c r="T423" s="211"/>
      <c r="U423" s="212"/>
      <c r="V423" s="211"/>
      <c r="W423" s="211"/>
      <c r="X423" s="211"/>
      <c r="Y423" s="211"/>
      <c r="Z423" s="211"/>
      <c r="AA423" s="211"/>
      <c r="AB423" s="211"/>
      <c r="AC423" s="167"/>
      <c r="AD423" s="167"/>
      <c r="AE423" s="167"/>
      <c r="AF423" s="167"/>
      <c r="AG423" s="167"/>
      <c r="AH423" s="167"/>
      <c r="AI423" s="167"/>
      <c r="AJ423" s="6"/>
      <c r="AK423" s="6"/>
      <c r="AL423" s="6"/>
      <c r="AM423" s="6"/>
      <c r="AN423" s="6"/>
      <c r="AO423" s="6"/>
    </row>
    <row r="424" spans="1:42" x14ac:dyDescent="0.25">
      <c r="A424" s="323" t="s">
        <v>306</v>
      </c>
      <c r="B424" s="704" t="s">
        <v>1580</v>
      </c>
      <c r="C424" s="705"/>
      <c r="D424" s="705"/>
      <c r="E424" s="705"/>
      <c r="F424" s="705"/>
      <c r="G424" s="705"/>
      <c r="H424" s="705"/>
      <c r="I424" s="705"/>
      <c r="J424" s="705"/>
      <c r="K424" s="705"/>
      <c r="L424" s="705"/>
      <c r="M424" s="705"/>
      <c r="N424" s="705"/>
      <c r="O424" s="705"/>
      <c r="P424" s="705"/>
      <c r="Q424" s="705"/>
      <c r="R424" s="705"/>
      <c r="S424" s="706"/>
      <c r="T424" s="706"/>
      <c r="U424" s="706"/>
      <c r="V424" s="706"/>
      <c r="W424" s="706"/>
      <c r="X424" s="706"/>
      <c r="Y424" s="706"/>
      <c r="Z424" s="706"/>
      <c r="AA424" s="706"/>
      <c r="AB424" s="707"/>
      <c r="AC424" s="695" t="s">
        <v>1126</v>
      </c>
      <c r="AD424" s="695" t="s">
        <v>1107</v>
      </c>
      <c r="AE424" s="695" t="s">
        <v>1108</v>
      </c>
      <c r="AF424" s="695" t="s">
        <v>1127</v>
      </c>
      <c r="AG424" s="167"/>
      <c r="AH424" s="167"/>
      <c r="AI424" s="167"/>
      <c r="AJ424" s="6"/>
      <c r="AK424" s="6"/>
      <c r="AL424" s="6"/>
      <c r="AM424" s="6"/>
      <c r="AN424" s="6"/>
      <c r="AO424" s="6"/>
    </row>
    <row r="425" spans="1:42" x14ac:dyDescent="0.25">
      <c r="A425" s="323"/>
      <c r="B425" s="592" t="s">
        <v>1145</v>
      </c>
      <c r="C425" s="213" t="s">
        <v>1146</v>
      </c>
      <c r="D425" s="213" t="s">
        <v>1147</v>
      </c>
      <c r="E425" s="214" t="s">
        <v>1148</v>
      </c>
      <c r="F425" s="214" t="s">
        <v>1149</v>
      </c>
      <c r="G425" s="214" t="s">
        <v>1150</v>
      </c>
      <c r="H425" s="214" t="s">
        <v>1151</v>
      </c>
      <c r="I425" s="214" t="s">
        <v>1152</v>
      </c>
      <c r="J425" s="214" t="s">
        <v>1153</v>
      </c>
      <c r="K425" s="214" t="s">
        <v>1154</v>
      </c>
      <c r="L425" s="214" t="s">
        <v>1133</v>
      </c>
      <c r="M425" s="214" t="s">
        <v>1134</v>
      </c>
      <c r="N425" s="214" t="s">
        <v>1115</v>
      </c>
      <c r="O425" s="214" t="s">
        <v>1240</v>
      </c>
      <c r="P425" s="214" t="s">
        <v>1117</v>
      </c>
      <c r="Q425" s="214" t="s">
        <v>1156</v>
      </c>
      <c r="R425" s="214" t="s">
        <v>1157</v>
      </c>
      <c r="S425" s="214" t="s">
        <v>1158</v>
      </c>
      <c r="T425" s="214" t="s">
        <v>1159</v>
      </c>
      <c r="U425" s="214" t="s">
        <v>1160</v>
      </c>
      <c r="V425" s="214" t="s">
        <v>1161</v>
      </c>
      <c r="W425" s="214" t="s">
        <v>1162</v>
      </c>
      <c r="X425" s="214" t="s">
        <v>1164</v>
      </c>
      <c r="Y425" s="214" t="s">
        <v>1166</v>
      </c>
      <c r="Z425" s="214" t="s">
        <v>1116</v>
      </c>
      <c r="AA425" s="214" t="s">
        <v>1167</v>
      </c>
      <c r="AB425" s="214" t="s">
        <v>1168</v>
      </c>
      <c r="AC425" s="696"/>
      <c r="AD425" s="696"/>
      <c r="AE425" s="696"/>
      <c r="AF425" s="696"/>
      <c r="AG425" s="167"/>
      <c r="AH425" s="167"/>
      <c r="AI425" s="167"/>
      <c r="AJ425" s="6"/>
      <c r="AK425" s="6"/>
      <c r="AL425" s="6"/>
      <c r="AM425" s="6"/>
      <c r="AN425" s="6"/>
      <c r="AO425" s="6"/>
    </row>
    <row r="426" spans="1:42" x14ac:dyDescent="0.25">
      <c r="A426" s="323"/>
      <c r="B426" s="592">
        <f>B416+1</f>
        <v>6</v>
      </c>
      <c r="C426" s="213">
        <v>1</v>
      </c>
      <c r="D426" s="213" t="s">
        <v>1173</v>
      </c>
      <c r="E426" s="214">
        <f>$B$2</f>
        <v>20180326</v>
      </c>
      <c r="F426" s="215">
        <v>0.7289930555555556</v>
      </c>
      <c r="G426" s="214"/>
      <c r="H426" s="214"/>
      <c r="I426" s="214"/>
      <c r="J426" s="214" t="s">
        <v>1247</v>
      </c>
      <c r="K426" s="214">
        <v>1</v>
      </c>
      <c r="L426" s="214">
        <f>$B$2</f>
        <v>20180326</v>
      </c>
      <c r="M426" s="216" t="str">
        <f>M421</f>
        <v>9999</v>
      </c>
      <c r="N426" s="217">
        <f>N421</f>
        <v>99990203</v>
      </c>
      <c r="O426" s="217"/>
      <c r="P426" s="217" t="str">
        <f>P421</f>
        <v>CZCE</v>
      </c>
      <c r="Q426" s="217"/>
      <c r="R426" s="217">
        <v>1</v>
      </c>
      <c r="S426" s="217">
        <v>1</v>
      </c>
      <c r="T426" s="217">
        <v>2</v>
      </c>
      <c r="U426" s="216">
        <v>1</v>
      </c>
      <c r="V426" s="216">
        <f>V421</f>
        <v>1000</v>
      </c>
      <c r="W426" s="217" t="s">
        <v>1878</v>
      </c>
      <c r="X426" s="217">
        <v>1</v>
      </c>
      <c r="Y426" s="217">
        <v>0</v>
      </c>
      <c r="Z426" s="217" t="str">
        <f>Z421</f>
        <v>HKD</v>
      </c>
      <c r="AA426" s="217"/>
      <c r="AB426" s="217"/>
      <c r="AC426" s="189" t="s">
        <v>1128</v>
      </c>
      <c r="AD426" s="111"/>
      <c r="AE426" s="111"/>
      <c r="AF426" s="111">
        <v>0</v>
      </c>
      <c r="AG426" s="167"/>
      <c r="AH426" s="167"/>
      <c r="AI426" s="167"/>
      <c r="AJ426" s="6"/>
      <c r="AK426" s="6"/>
      <c r="AL426" s="6"/>
      <c r="AM426" s="6"/>
      <c r="AN426" s="6"/>
      <c r="AO426" s="6"/>
    </row>
    <row r="427" spans="1:42" x14ac:dyDescent="0.25">
      <c r="A427" s="126" t="s">
        <v>1181</v>
      </c>
      <c r="B427" s="208" t="s">
        <v>1188</v>
      </c>
      <c r="C427" s="208"/>
      <c r="D427" s="208"/>
      <c r="E427" s="208"/>
      <c r="F427" s="209"/>
      <c r="G427" s="210"/>
      <c r="H427" s="209"/>
      <c r="I427" s="209"/>
      <c r="J427" s="209"/>
      <c r="K427" s="209"/>
      <c r="L427" s="209"/>
      <c r="M427" s="209"/>
      <c r="N427" s="211"/>
      <c r="O427" s="211"/>
      <c r="P427" s="211"/>
      <c r="Q427" s="211"/>
      <c r="R427" s="211"/>
      <c r="S427" s="211"/>
      <c r="T427" s="211"/>
      <c r="U427" s="211"/>
      <c r="V427" s="212"/>
      <c r="W427" s="211"/>
      <c r="X427" s="211"/>
      <c r="Y427" s="211"/>
      <c r="Z427" s="211"/>
      <c r="AA427" s="211"/>
      <c r="AB427" s="211"/>
      <c r="AC427" s="211"/>
      <c r="AD427" s="167"/>
      <c r="AE427" s="167"/>
      <c r="AF427" s="167"/>
      <c r="AG427" s="167"/>
      <c r="AH427" s="167"/>
      <c r="AI427" s="167"/>
      <c r="AJ427" s="167"/>
      <c r="AK427" s="6"/>
      <c r="AL427" s="6"/>
      <c r="AM427" s="6"/>
      <c r="AN427" s="6"/>
      <c r="AO427" s="6"/>
      <c r="AP427" s="6"/>
    </row>
    <row r="428" spans="1:42" x14ac:dyDescent="0.25">
      <c r="A428" s="218" t="s">
        <v>1238</v>
      </c>
      <c r="B428" s="218" t="s">
        <v>1239</v>
      </c>
      <c r="C428" s="218"/>
      <c r="D428" s="218"/>
      <c r="E428" s="219"/>
      <c r="F428" s="210"/>
      <c r="G428" s="209"/>
      <c r="H428" s="209"/>
      <c r="I428" s="209"/>
      <c r="J428" s="209"/>
      <c r="K428" s="209"/>
      <c r="L428" s="209"/>
      <c r="M428" s="211"/>
      <c r="N428" s="211"/>
      <c r="O428" s="211"/>
      <c r="P428" s="211"/>
      <c r="Q428" s="211"/>
      <c r="R428" s="211"/>
      <c r="S428" s="211"/>
      <c r="T428" s="211"/>
      <c r="U428" s="212"/>
      <c r="V428" s="211"/>
      <c r="W428" s="211"/>
      <c r="X428" s="211"/>
      <c r="Y428" s="211"/>
      <c r="Z428" s="211"/>
      <c r="AA428" s="211"/>
      <c r="AB428" s="211"/>
      <c r="AG428" s="167"/>
      <c r="AH428" s="167"/>
      <c r="AI428" s="167"/>
      <c r="AJ428" s="6"/>
      <c r="AK428" s="6"/>
      <c r="AL428" s="6"/>
      <c r="AM428" s="6"/>
      <c r="AN428" s="6"/>
      <c r="AO428" s="6"/>
    </row>
    <row r="429" spans="1:42" x14ac:dyDescent="0.25">
      <c r="A429" s="218" t="s">
        <v>1214</v>
      </c>
      <c r="B429" s="704" t="s">
        <v>1580</v>
      </c>
      <c r="C429" s="705"/>
      <c r="D429" s="705"/>
      <c r="E429" s="705"/>
      <c r="F429" s="705"/>
      <c r="G429" s="705"/>
      <c r="H429" s="705"/>
      <c r="I429" s="705"/>
      <c r="J429" s="705"/>
      <c r="K429" s="705"/>
      <c r="L429" s="705"/>
      <c r="M429" s="705"/>
      <c r="N429" s="705"/>
      <c r="O429" s="705"/>
      <c r="P429" s="705"/>
      <c r="Q429" s="705"/>
      <c r="R429" s="705"/>
      <c r="S429" s="706"/>
      <c r="T429" s="706"/>
      <c r="U429" s="706"/>
      <c r="V429" s="706"/>
      <c r="W429" s="706"/>
      <c r="X429" s="706"/>
      <c r="Y429" s="706"/>
      <c r="Z429" s="706"/>
      <c r="AA429" s="706"/>
      <c r="AB429" s="707"/>
      <c r="AC429" s="695" t="s">
        <v>1126</v>
      </c>
      <c r="AD429" s="695" t="s">
        <v>1107</v>
      </c>
      <c r="AE429" s="695" t="s">
        <v>1108</v>
      </c>
      <c r="AF429" s="695" t="s">
        <v>1127</v>
      </c>
      <c r="AG429" s="167"/>
      <c r="AH429" s="167"/>
      <c r="AI429" s="167"/>
      <c r="AJ429" s="6"/>
      <c r="AK429" s="6"/>
      <c r="AL429" s="6"/>
      <c r="AM429" s="6"/>
      <c r="AN429" s="6"/>
      <c r="AO429" s="6"/>
    </row>
    <row r="430" spans="1:42" x14ac:dyDescent="0.25">
      <c r="A430" s="615"/>
      <c r="B430" s="592" t="s">
        <v>1145</v>
      </c>
      <c r="C430" s="213" t="s">
        <v>1146</v>
      </c>
      <c r="D430" s="213" t="s">
        <v>1147</v>
      </c>
      <c r="E430" s="214" t="s">
        <v>1148</v>
      </c>
      <c r="F430" s="214" t="s">
        <v>1149</v>
      </c>
      <c r="G430" s="214" t="s">
        <v>1150</v>
      </c>
      <c r="H430" s="214" t="s">
        <v>1151</v>
      </c>
      <c r="I430" s="214" t="s">
        <v>1152</v>
      </c>
      <c r="J430" s="214" t="s">
        <v>1153</v>
      </c>
      <c r="K430" s="214" t="s">
        <v>1154</v>
      </c>
      <c r="L430" s="214" t="s">
        <v>1133</v>
      </c>
      <c r="M430" s="214" t="s">
        <v>1134</v>
      </c>
      <c r="N430" s="214" t="s">
        <v>1115</v>
      </c>
      <c r="O430" s="214" t="s">
        <v>1240</v>
      </c>
      <c r="P430" s="214" t="s">
        <v>1117</v>
      </c>
      <c r="Q430" s="214" t="s">
        <v>1156</v>
      </c>
      <c r="R430" s="214" t="s">
        <v>1157</v>
      </c>
      <c r="S430" s="214" t="s">
        <v>1158</v>
      </c>
      <c r="T430" s="214" t="s">
        <v>1159</v>
      </c>
      <c r="U430" s="214" t="s">
        <v>1160</v>
      </c>
      <c r="V430" s="214" t="s">
        <v>1161</v>
      </c>
      <c r="W430" s="214" t="s">
        <v>1162</v>
      </c>
      <c r="X430" s="214" t="s">
        <v>1164</v>
      </c>
      <c r="Y430" s="214" t="s">
        <v>1241</v>
      </c>
      <c r="Z430" s="214" t="s">
        <v>1116</v>
      </c>
      <c r="AA430" s="214" t="s">
        <v>1167</v>
      </c>
      <c r="AB430" s="214" t="s">
        <v>1168</v>
      </c>
      <c r="AC430" s="696"/>
      <c r="AD430" s="696"/>
      <c r="AE430" s="696"/>
      <c r="AF430" s="696"/>
      <c r="AG430" s="167"/>
      <c r="AH430" s="167"/>
      <c r="AI430" s="167"/>
      <c r="AJ430" s="6"/>
      <c r="AK430" s="6"/>
      <c r="AL430" s="6"/>
      <c r="AM430" s="6"/>
      <c r="AN430" s="6"/>
      <c r="AO430" s="6"/>
    </row>
    <row r="431" spans="1:42" x14ac:dyDescent="0.25">
      <c r="A431" s="263"/>
      <c r="B431" s="592"/>
      <c r="C431" s="213"/>
      <c r="D431" s="213"/>
      <c r="E431" s="214"/>
      <c r="F431" s="215"/>
      <c r="G431" s="214"/>
      <c r="H431" s="214"/>
      <c r="I431" s="214"/>
      <c r="J431" s="214"/>
      <c r="K431" s="214"/>
      <c r="L431" s="214">
        <f>$B$2</f>
        <v>20180326</v>
      </c>
      <c r="M431" s="216" t="str">
        <f>M411</f>
        <v>9999</v>
      </c>
      <c r="N431" s="217">
        <f>C376</f>
        <v>99990202</v>
      </c>
      <c r="O431" s="217"/>
      <c r="P431" s="217" t="str">
        <f>P411</f>
        <v>CZCE</v>
      </c>
      <c r="Q431" s="217"/>
      <c r="R431" s="217"/>
      <c r="S431" s="217">
        <v>1</v>
      </c>
      <c r="T431" s="217">
        <v>2</v>
      </c>
      <c r="U431" s="216">
        <v>1</v>
      </c>
      <c r="V431" s="216">
        <f>E376</f>
        <v>1000</v>
      </c>
      <c r="W431" s="217" t="s">
        <v>1248</v>
      </c>
      <c r="X431" s="217"/>
      <c r="Y431" s="217">
        <v>0</v>
      </c>
      <c r="Z431" s="217" t="str">
        <f>D376</f>
        <v>USD</v>
      </c>
      <c r="AA431" s="217"/>
      <c r="AB431" s="217"/>
      <c r="AC431" s="189" t="s">
        <v>1128</v>
      </c>
      <c r="AD431" s="111"/>
      <c r="AE431" s="111"/>
      <c r="AF431" s="111">
        <v>0</v>
      </c>
      <c r="AG431" s="167"/>
      <c r="AH431" s="167"/>
      <c r="AI431" s="167"/>
      <c r="AJ431" s="6"/>
      <c r="AK431" s="6"/>
      <c r="AL431" s="6"/>
      <c r="AM431" s="6"/>
      <c r="AN431" s="6"/>
      <c r="AO431" s="6"/>
    </row>
    <row r="432" spans="1:42" x14ac:dyDescent="0.25">
      <c r="A432" s="126" t="s">
        <v>173</v>
      </c>
      <c r="B432" s="208" t="s">
        <v>1246</v>
      </c>
      <c r="C432" s="208"/>
      <c r="D432" s="208"/>
      <c r="E432" s="208"/>
      <c r="F432" s="209"/>
      <c r="G432" s="210"/>
      <c r="H432" s="209"/>
      <c r="I432" s="209"/>
      <c r="J432" s="209"/>
      <c r="K432" s="209"/>
      <c r="L432" s="209"/>
      <c r="M432" s="209"/>
      <c r="N432" s="211"/>
      <c r="O432" s="211"/>
      <c r="P432" s="211"/>
      <c r="Q432" s="211"/>
      <c r="R432" s="211"/>
      <c r="S432" s="211"/>
      <c r="T432" s="211"/>
      <c r="U432" s="211"/>
      <c r="V432" s="212"/>
      <c r="W432" s="211"/>
      <c r="X432" s="211"/>
      <c r="Y432" s="211"/>
      <c r="Z432" s="211"/>
      <c r="AA432" s="211"/>
      <c r="AB432" s="211"/>
      <c r="AC432" s="211"/>
      <c r="AD432" s="167"/>
      <c r="AE432" s="167"/>
      <c r="AF432" s="167"/>
      <c r="AG432" s="167"/>
      <c r="AH432" s="167"/>
      <c r="AI432" s="167"/>
      <c r="AJ432" s="167"/>
      <c r="AK432" s="6"/>
      <c r="AL432" s="6"/>
      <c r="AM432" s="6"/>
      <c r="AN432" s="6"/>
      <c r="AO432" s="6"/>
      <c r="AP432" s="6"/>
    </row>
    <row r="433" spans="1:105" x14ac:dyDescent="0.25">
      <c r="A433" s="195" t="s">
        <v>124</v>
      </c>
      <c r="B433" s="218" t="s">
        <v>1242</v>
      </c>
      <c r="C433" s="218"/>
      <c r="D433" s="218"/>
      <c r="E433" s="219"/>
      <c r="F433" s="210"/>
      <c r="G433" s="209"/>
      <c r="H433" s="209"/>
      <c r="I433" s="209"/>
      <c r="J433" s="209"/>
      <c r="K433" s="209"/>
      <c r="L433" s="209"/>
      <c r="M433" s="211"/>
      <c r="N433" s="211"/>
      <c r="O433" s="211"/>
      <c r="P433" s="211"/>
      <c r="Q433" s="211"/>
      <c r="R433" s="211"/>
      <c r="S433" s="211"/>
      <c r="T433" s="211"/>
      <c r="U433" s="212"/>
      <c r="V433" s="211"/>
      <c r="W433" s="211"/>
      <c r="X433" s="211"/>
      <c r="Y433" s="211"/>
      <c r="Z433" s="211"/>
      <c r="AA433" s="211"/>
      <c r="AB433" s="211"/>
      <c r="AC433" s="167"/>
      <c r="AD433" s="167"/>
      <c r="AE433" s="167"/>
      <c r="AF433" s="167"/>
      <c r="AG433" s="167"/>
      <c r="AH433" s="167"/>
      <c r="AI433" s="167"/>
      <c r="AJ433" s="6"/>
      <c r="AK433" s="6"/>
      <c r="AL433" s="6"/>
      <c r="AM433" s="6"/>
      <c r="AN433" s="6"/>
      <c r="AO433" s="6"/>
    </row>
    <row r="434" spans="1:105" x14ac:dyDescent="0.25">
      <c r="A434" s="323" t="s">
        <v>306</v>
      </c>
      <c r="B434" s="704" t="s">
        <v>1580</v>
      </c>
      <c r="C434" s="705"/>
      <c r="D434" s="705"/>
      <c r="E434" s="705"/>
      <c r="F434" s="705"/>
      <c r="G434" s="705"/>
      <c r="H434" s="705"/>
      <c r="I434" s="705"/>
      <c r="J434" s="705"/>
      <c r="K434" s="705"/>
      <c r="L434" s="705"/>
      <c r="M434" s="705"/>
      <c r="N434" s="705"/>
      <c r="O434" s="705"/>
      <c r="P434" s="705"/>
      <c r="Q434" s="705"/>
      <c r="R434" s="705"/>
      <c r="S434" s="706"/>
      <c r="T434" s="706"/>
      <c r="U434" s="706"/>
      <c r="V434" s="706"/>
      <c r="W434" s="706"/>
      <c r="X434" s="706"/>
      <c r="Y434" s="706"/>
      <c r="Z434" s="706"/>
      <c r="AA434" s="706"/>
      <c r="AB434" s="707"/>
      <c r="AC434" s="712" t="s">
        <v>1126</v>
      </c>
      <c r="AD434" s="715" t="s">
        <v>1107</v>
      </c>
      <c r="AE434" s="715" t="s">
        <v>1108</v>
      </c>
      <c r="AF434" s="712" t="s">
        <v>1127</v>
      </c>
      <c r="AG434" s="167"/>
      <c r="AH434" s="167"/>
      <c r="AI434" s="167"/>
      <c r="AJ434" s="6"/>
      <c r="AK434" s="6"/>
      <c r="AL434" s="6"/>
      <c r="AM434" s="6"/>
      <c r="AN434" s="6"/>
      <c r="AO434" s="6"/>
    </row>
    <row r="435" spans="1:105" x14ac:dyDescent="0.25">
      <c r="A435" s="323"/>
      <c r="B435" s="592" t="s">
        <v>1145</v>
      </c>
      <c r="C435" s="213" t="s">
        <v>1146</v>
      </c>
      <c r="D435" s="213" t="s">
        <v>1147</v>
      </c>
      <c r="E435" s="214" t="s">
        <v>1148</v>
      </c>
      <c r="F435" s="214" t="s">
        <v>1149</v>
      </c>
      <c r="G435" s="214" t="s">
        <v>1150</v>
      </c>
      <c r="H435" s="214" t="s">
        <v>1151</v>
      </c>
      <c r="I435" s="214" t="s">
        <v>1152</v>
      </c>
      <c r="J435" s="214" t="s">
        <v>1153</v>
      </c>
      <c r="K435" s="214" t="s">
        <v>1154</v>
      </c>
      <c r="L435" s="214" t="s">
        <v>1133</v>
      </c>
      <c r="M435" s="214" t="s">
        <v>1134</v>
      </c>
      <c r="N435" s="214" t="s">
        <v>1115</v>
      </c>
      <c r="O435" s="214" t="s">
        <v>1240</v>
      </c>
      <c r="P435" s="214" t="s">
        <v>1117</v>
      </c>
      <c r="Q435" s="214" t="s">
        <v>1156</v>
      </c>
      <c r="R435" s="214" t="s">
        <v>1157</v>
      </c>
      <c r="S435" s="214" t="s">
        <v>1158</v>
      </c>
      <c r="T435" s="214" t="s">
        <v>1159</v>
      </c>
      <c r="U435" s="214" t="s">
        <v>1160</v>
      </c>
      <c r="V435" s="214" t="s">
        <v>1161</v>
      </c>
      <c r="W435" s="214" t="s">
        <v>1162</v>
      </c>
      <c r="X435" s="214" t="s">
        <v>1164</v>
      </c>
      <c r="Y435" s="214" t="s">
        <v>1241</v>
      </c>
      <c r="Z435" s="214" t="s">
        <v>1116</v>
      </c>
      <c r="AA435" s="214" t="s">
        <v>1167</v>
      </c>
      <c r="AB435" s="214" t="s">
        <v>1168</v>
      </c>
      <c r="AC435" s="713"/>
      <c r="AD435" s="716"/>
      <c r="AE435" s="716"/>
      <c r="AF435" s="713"/>
      <c r="AG435" s="167"/>
      <c r="AH435" s="167"/>
      <c r="AI435" s="167"/>
      <c r="AJ435" s="6"/>
      <c r="AK435" s="6"/>
      <c r="AL435" s="6"/>
      <c r="AM435" s="6"/>
      <c r="AN435" s="6"/>
      <c r="AO435" s="6"/>
    </row>
    <row r="436" spans="1:105" x14ac:dyDescent="0.25">
      <c r="A436" s="323"/>
      <c r="B436" s="592">
        <f>B426+1</f>
        <v>7</v>
      </c>
      <c r="C436" s="213">
        <v>1</v>
      </c>
      <c r="D436" s="213" t="s">
        <v>1173</v>
      </c>
      <c r="E436" s="214">
        <f>$B$2</f>
        <v>20180326</v>
      </c>
      <c r="F436" s="215">
        <v>0.7289930555555556</v>
      </c>
      <c r="G436" s="214"/>
      <c r="H436" s="214"/>
      <c r="I436" s="214"/>
      <c r="J436" s="214" t="s">
        <v>1247</v>
      </c>
      <c r="K436" s="214">
        <v>1</v>
      </c>
      <c r="L436" s="214">
        <f>$B$2</f>
        <v>20180326</v>
      </c>
      <c r="M436" s="216" t="str">
        <f>M431</f>
        <v>9999</v>
      </c>
      <c r="N436" s="217">
        <f>N431</f>
        <v>99990202</v>
      </c>
      <c r="O436" s="217"/>
      <c r="P436" s="217" t="str">
        <f>P431</f>
        <v>CZCE</v>
      </c>
      <c r="Q436" s="217"/>
      <c r="R436" s="217">
        <v>1</v>
      </c>
      <c r="S436" s="217">
        <v>1</v>
      </c>
      <c r="T436" s="217">
        <v>2</v>
      </c>
      <c r="U436" s="216">
        <v>1</v>
      </c>
      <c r="V436" s="216">
        <f>V431</f>
        <v>1000</v>
      </c>
      <c r="W436" s="217" t="s">
        <v>1195</v>
      </c>
      <c r="X436" s="217">
        <v>1</v>
      </c>
      <c r="Y436" s="217">
        <v>0</v>
      </c>
      <c r="Z436" s="217" t="str">
        <f>Z431</f>
        <v>USD</v>
      </c>
      <c r="AA436" s="217"/>
      <c r="AB436" s="217"/>
      <c r="AC436" s="189" t="s">
        <v>1128</v>
      </c>
      <c r="AD436" s="111"/>
      <c r="AE436" s="111"/>
      <c r="AF436" s="111">
        <v>0</v>
      </c>
      <c r="AG436" s="167"/>
      <c r="AH436" s="167"/>
      <c r="AI436" s="167"/>
      <c r="AJ436" s="6"/>
      <c r="AK436" s="6"/>
      <c r="AL436" s="6"/>
      <c r="AM436" s="6"/>
      <c r="AN436" s="6"/>
      <c r="AO436" s="6"/>
    </row>
    <row r="437" spans="1:105" x14ac:dyDescent="0.25">
      <c r="A437" s="218" t="s">
        <v>359</v>
      </c>
      <c r="B437" s="579" t="s">
        <v>1620</v>
      </c>
      <c r="C437" s="213"/>
      <c r="D437" s="213"/>
      <c r="E437" s="214"/>
      <c r="F437" s="210"/>
      <c r="G437" s="209"/>
      <c r="H437" s="209"/>
      <c r="I437" s="209"/>
      <c r="J437" s="209"/>
      <c r="K437" s="209"/>
      <c r="L437" s="209"/>
      <c r="M437" s="212"/>
      <c r="N437" s="211"/>
      <c r="O437" s="211"/>
      <c r="P437" s="211"/>
      <c r="Q437" s="211"/>
      <c r="R437" s="211"/>
      <c r="S437" s="211"/>
      <c r="T437" s="211"/>
      <c r="U437" s="212"/>
      <c r="V437" s="212"/>
      <c r="W437" s="211"/>
      <c r="X437" s="211"/>
      <c r="Y437" s="211"/>
      <c r="Z437" s="211"/>
      <c r="AA437" s="211"/>
      <c r="AB437" s="211"/>
      <c r="AC437" s="188"/>
      <c r="AD437" s="167"/>
      <c r="AE437" s="167"/>
      <c r="AF437" s="167"/>
      <c r="AG437" s="167"/>
      <c r="AH437" s="167"/>
      <c r="AI437" s="167"/>
      <c r="AJ437" s="6"/>
      <c r="AK437" s="6"/>
      <c r="AL437" s="6"/>
      <c r="AM437" s="6"/>
      <c r="AN437" s="6"/>
      <c r="AO437" s="6"/>
    </row>
    <row r="438" spans="1:105" x14ac:dyDescent="0.25">
      <c r="A438" s="566" t="s">
        <v>970</v>
      </c>
      <c r="B438" s="572" t="s">
        <v>1621</v>
      </c>
      <c r="C438" s="213"/>
      <c r="D438" s="213"/>
      <c r="E438" s="214"/>
      <c r="F438" s="210"/>
      <c r="G438" s="209"/>
      <c r="H438" s="209"/>
      <c r="I438" s="209"/>
      <c r="J438" s="209"/>
      <c r="K438" s="209"/>
      <c r="L438" s="209"/>
      <c r="M438" s="212"/>
      <c r="N438" s="211"/>
      <c r="O438" s="211"/>
      <c r="P438" s="211"/>
      <c r="Q438" s="211"/>
      <c r="R438" s="211"/>
      <c r="S438" s="211"/>
      <c r="T438" s="211"/>
      <c r="U438" s="212"/>
      <c r="V438" s="212"/>
      <c r="W438" s="211"/>
      <c r="X438" s="211"/>
      <c r="Y438" s="211"/>
      <c r="Z438" s="211"/>
      <c r="AA438" s="211"/>
      <c r="AB438" s="211"/>
      <c r="AC438" s="188"/>
      <c r="AD438" s="167"/>
      <c r="AE438" s="167"/>
      <c r="AF438" s="167"/>
      <c r="AG438" s="167"/>
      <c r="AH438" s="167"/>
      <c r="AI438" s="167"/>
      <c r="AJ438" s="6"/>
      <c r="AK438" s="6"/>
      <c r="AL438" s="6"/>
      <c r="AM438" s="6"/>
      <c r="AN438" s="6"/>
      <c r="AO438" s="6"/>
    </row>
    <row r="439" spans="1:105" x14ac:dyDescent="0.25">
      <c r="A439" s="566" t="s">
        <v>1095</v>
      </c>
      <c r="B439" s="573" t="s">
        <v>1622</v>
      </c>
      <c r="C439" s="213"/>
      <c r="D439" s="213"/>
      <c r="E439" s="214"/>
      <c r="F439" s="210"/>
      <c r="G439" s="209"/>
      <c r="H439" s="209"/>
      <c r="I439" s="209"/>
      <c r="J439" s="209"/>
      <c r="K439" s="209"/>
      <c r="L439" s="209"/>
      <c r="M439" s="212"/>
      <c r="N439" s="211"/>
      <c r="O439" s="211"/>
      <c r="P439" s="211"/>
      <c r="Q439" s="211"/>
      <c r="R439" s="211"/>
      <c r="S439" s="211"/>
      <c r="T439" s="211"/>
      <c r="U439" s="212"/>
      <c r="V439" s="212"/>
      <c r="W439" s="211"/>
      <c r="X439" s="211"/>
      <c r="Y439" s="211"/>
      <c r="Z439" s="211"/>
      <c r="AA439" s="211"/>
      <c r="AB439" s="211"/>
      <c r="AC439" s="188"/>
      <c r="AD439" s="167"/>
      <c r="AE439" s="167"/>
      <c r="AF439" s="167"/>
      <c r="AG439" s="167"/>
      <c r="AH439" s="167"/>
      <c r="AI439" s="167"/>
      <c r="AJ439" s="6"/>
      <c r="AK439" s="6"/>
      <c r="AL439" s="6"/>
      <c r="AM439" s="6"/>
      <c r="AN439" s="6"/>
      <c r="AO439" s="6"/>
    </row>
    <row r="440" spans="1:105" x14ac:dyDescent="0.25">
      <c r="A440" s="566"/>
      <c r="B440" s="574" t="s">
        <v>1623</v>
      </c>
      <c r="C440" s="213"/>
      <c r="D440" s="213"/>
      <c r="E440" s="214"/>
      <c r="F440" s="210"/>
      <c r="G440" s="209"/>
      <c r="H440" s="209"/>
      <c r="I440" s="209"/>
      <c r="J440" s="209"/>
      <c r="K440" s="209"/>
      <c r="L440" s="209"/>
      <c r="M440" s="212"/>
      <c r="N440" s="211"/>
      <c r="O440" s="211"/>
      <c r="P440" s="211"/>
      <c r="Q440" s="211"/>
      <c r="R440" s="211"/>
      <c r="S440" s="211"/>
      <c r="T440" s="211"/>
      <c r="U440" s="212"/>
      <c r="V440" s="212"/>
      <c r="W440" s="211"/>
      <c r="X440" s="211"/>
      <c r="Y440" s="211"/>
      <c r="Z440" s="211"/>
      <c r="AA440" s="211"/>
      <c r="AB440" s="211"/>
      <c r="AC440" s="188"/>
      <c r="AD440" s="167"/>
      <c r="AE440" s="167"/>
      <c r="AF440" s="167"/>
      <c r="AG440" s="167"/>
      <c r="AH440" s="167"/>
      <c r="AI440" s="167"/>
      <c r="AJ440" s="6"/>
      <c r="AK440" s="6"/>
      <c r="AL440" s="6"/>
      <c r="AM440" s="6"/>
      <c r="AN440" s="6"/>
      <c r="AO440" s="6"/>
    </row>
    <row r="441" spans="1:105" x14ac:dyDescent="0.25">
      <c r="A441" s="263"/>
      <c r="B441" s="592"/>
      <c r="C441" s="213"/>
      <c r="D441" s="213"/>
      <c r="E441" s="214"/>
      <c r="F441" s="210"/>
      <c r="G441" s="209"/>
      <c r="H441" s="209"/>
      <c r="I441" s="209"/>
      <c r="J441" s="209"/>
      <c r="K441" s="209"/>
      <c r="L441" s="209"/>
      <c r="M441" s="212"/>
      <c r="N441" s="211"/>
      <c r="O441" s="211"/>
      <c r="P441" s="211"/>
      <c r="Q441" s="211"/>
      <c r="R441" s="211"/>
      <c r="S441" s="211"/>
      <c r="T441" s="211"/>
      <c r="U441" s="212"/>
      <c r="V441" s="212"/>
      <c r="W441" s="211"/>
      <c r="X441" s="211"/>
      <c r="Y441" s="211"/>
      <c r="Z441" s="211"/>
      <c r="AA441" s="211"/>
      <c r="AB441" s="211"/>
      <c r="AC441" s="188"/>
      <c r="AD441" s="167"/>
      <c r="AE441" s="167"/>
      <c r="AF441" s="167"/>
      <c r="AG441" s="167"/>
      <c r="AH441" s="167"/>
      <c r="AI441" s="167"/>
      <c r="AJ441" s="6"/>
      <c r="AK441" s="6"/>
      <c r="AL441" s="6"/>
      <c r="AM441" s="6"/>
      <c r="AN441" s="6"/>
      <c r="AO441" s="6"/>
    </row>
    <row r="442" spans="1:105" x14ac:dyDescent="0.25">
      <c r="A442" s="126" t="s">
        <v>1619</v>
      </c>
      <c r="B442" s="714" t="s">
        <v>1616</v>
      </c>
      <c r="C442" s="714"/>
      <c r="D442" s="714"/>
      <c r="E442" s="714"/>
      <c r="F442" s="210"/>
      <c r="G442" s="209"/>
      <c r="H442" s="209"/>
      <c r="I442" s="209"/>
      <c r="J442" s="209"/>
      <c r="K442" s="209"/>
      <c r="L442" s="209"/>
      <c r="M442" s="212"/>
      <c r="N442" s="211"/>
      <c r="O442" s="211"/>
      <c r="P442" s="211"/>
      <c r="Q442" s="211"/>
      <c r="R442" s="211"/>
      <c r="S442" s="211"/>
      <c r="T442" s="211"/>
      <c r="U442" s="212"/>
      <c r="V442" s="212"/>
      <c r="W442" s="211"/>
      <c r="X442" s="211"/>
      <c r="Y442" s="211"/>
      <c r="Z442" s="211"/>
      <c r="AA442" s="211"/>
      <c r="AB442" s="211"/>
      <c r="AC442" s="188"/>
      <c r="AD442" s="167"/>
      <c r="AE442" s="167"/>
      <c r="AF442" s="167"/>
      <c r="AG442" s="167"/>
      <c r="AH442" s="167"/>
      <c r="AI442" s="167"/>
      <c r="AJ442" s="6"/>
      <c r="AK442" s="6"/>
      <c r="AL442" s="6"/>
      <c r="AM442" s="6"/>
      <c r="AN442" s="6"/>
      <c r="AO442" s="6"/>
    </row>
    <row r="443" spans="1:105" x14ac:dyDescent="0.25">
      <c r="A443" s="614" t="s">
        <v>1502</v>
      </c>
      <c r="B443" s="572" t="s">
        <v>1603</v>
      </c>
      <c r="C443" s="347"/>
      <c r="D443" s="92"/>
      <c r="E443" s="92"/>
      <c r="F443" s="210"/>
      <c r="G443" s="209"/>
      <c r="H443" s="209"/>
      <c r="I443" s="209"/>
      <c r="J443" s="209"/>
      <c r="K443" s="209"/>
      <c r="L443" s="209"/>
      <c r="M443" s="212"/>
      <c r="N443" s="211"/>
      <c r="O443" s="211"/>
      <c r="P443" s="211"/>
      <c r="Q443" s="211"/>
      <c r="R443" s="211"/>
      <c r="S443" s="211"/>
      <c r="T443" s="211"/>
      <c r="U443" s="212"/>
      <c r="V443" s="212"/>
      <c r="W443" s="211"/>
      <c r="X443" s="211"/>
      <c r="Y443" s="211"/>
      <c r="Z443" s="211"/>
      <c r="AA443" s="211"/>
      <c r="AB443" s="211"/>
      <c r="AC443" s="188"/>
      <c r="AD443" s="167"/>
      <c r="AE443" s="167"/>
      <c r="AF443" s="167"/>
      <c r="AG443" s="167"/>
      <c r="AH443" s="167"/>
      <c r="AI443" s="167"/>
      <c r="AJ443" s="6"/>
      <c r="AK443" s="6"/>
      <c r="AL443" s="6"/>
      <c r="AM443" s="6"/>
      <c r="AN443" s="6"/>
      <c r="AO443" s="6"/>
    </row>
    <row r="444" spans="1:105" x14ac:dyDescent="0.25">
      <c r="A444" s="614" t="s">
        <v>1503</v>
      </c>
      <c r="B444" s="585" t="s">
        <v>1504</v>
      </c>
      <c r="C444" s="172" t="s">
        <v>1604</v>
      </c>
      <c r="D444" s="172" t="s">
        <v>1605</v>
      </c>
      <c r="E444" s="172" t="s">
        <v>1606</v>
      </c>
      <c r="F444" s="172" t="s">
        <v>1615</v>
      </c>
      <c r="G444" s="209"/>
      <c r="H444" s="209"/>
      <c r="I444" s="209"/>
      <c r="J444" s="209"/>
      <c r="K444" s="209"/>
      <c r="L444" s="209"/>
      <c r="M444" s="212"/>
      <c r="N444" s="211"/>
      <c r="O444" s="211"/>
      <c r="P444" s="211"/>
      <c r="Q444" s="211"/>
      <c r="R444" s="211"/>
      <c r="S444" s="211"/>
      <c r="T444" s="211"/>
      <c r="U444" s="212"/>
      <c r="V444" s="212"/>
      <c r="W444" s="211"/>
      <c r="X444" s="211"/>
      <c r="Y444" s="211"/>
      <c r="Z444" s="211"/>
      <c r="AA444" s="211"/>
      <c r="AB444" s="211"/>
      <c r="AC444" s="188"/>
      <c r="AD444" s="167"/>
      <c r="AE444" s="167"/>
      <c r="AF444" s="167"/>
      <c r="AG444" s="167"/>
      <c r="AH444" s="167"/>
      <c r="AI444" s="167"/>
      <c r="AJ444" s="6"/>
      <c r="AK444" s="6"/>
      <c r="AL444" s="6"/>
      <c r="AM444" s="6"/>
      <c r="AN444" s="6"/>
      <c r="AO444" s="6"/>
    </row>
    <row r="445" spans="1:105" x14ac:dyDescent="0.25">
      <c r="A445" s="614"/>
      <c r="B445" s="525" t="s">
        <v>2042</v>
      </c>
      <c r="C445" s="213">
        <f>$B$2</f>
        <v>20180326</v>
      </c>
      <c r="D445" s="213" t="str">
        <f>$F$8</f>
        <v>9999</v>
      </c>
      <c r="E445" s="213" t="str">
        <f>$B$17</f>
        <v>CZCE</v>
      </c>
      <c r="F445" s="350">
        <v>1</v>
      </c>
      <c r="G445" s="209"/>
      <c r="H445" s="209"/>
      <c r="I445" s="209"/>
      <c r="J445" s="209"/>
      <c r="K445" s="209"/>
      <c r="L445" s="209"/>
      <c r="M445" s="212"/>
      <c r="N445" s="211"/>
      <c r="O445" s="211"/>
      <c r="P445" s="211"/>
      <c r="Q445" s="211"/>
      <c r="R445" s="211"/>
      <c r="S445" s="211"/>
      <c r="T445" s="211"/>
      <c r="U445" s="212"/>
      <c r="V445" s="212"/>
      <c r="W445" s="211"/>
      <c r="X445" s="211"/>
      <c r="Y445" s="211"/>
      <c r="Z445" s="211"/>
      <c r="AA445" s="211"/>
      <c r="AB445" s="211"/>
      <c r="AC445" s="188"/>
      <c r="AD445" s="167"/>
      <c r="AE445" s="167"/>
      <c r="AF445" s="167"/>
      <c r="AG445" s="167"/>
      <c r="AH445" s="167"/>
      <c r="AI445" s="167"/>
      <c r="AJ445" s="6"/>
      <c r="AK445" s="6"/>
      <c r="AL445" s="6"/>
      <c r="AM445" s="6"/>
      <c r="AN445" s="6"/>
      <c r="AO445" s="6"/>
    </row>
    <row r="446" spans="1:105" x14ac:dyDescent="0.25">
      <c r="A446" s="323" t="s">
        <v>173</v>
      </c>
      <c r="B446" s="401"/>
      <c r="C446" s="263"/>
      <c r="D446" s="263"/>
      <c r="E446" s="263"/>
      <c r="F446" s="349"/>
      <c r="G446" s="209"/>
      <c r="H446" s="209"/>
      <c r="I446" s="209"/>
      <c r="J446" s="209"/>
      <c r="K446" s="209"/>
      <c r="L446" s="209"/>
      <c r="M446" s="212"/>
      <c r="N446" s="211"/>
      <c r="O446" s="211"/>
      <c r="P446" s="211"/>
      <c r="Q446" s="211"/>
      <c r="R446" s="211"/>
      <c r="S446" s="211"/>
      <c r="T446" s="211"/>
      <c r="U446" s="212"/>
      <c r="V446" s="212"/>
      <c r="W446" s="211"/>
      <c r="X446" s="211"/>
      <c r="Y446" s="211"/>
      <c r="Z446" s="211"/>
      <c r="AA446" s="211"/>
      <c r="AB446" s="211"/>
      <c r="AC446" s="188"/>
      <c r="AD446" s="167"/>
      <c r="AE446" s="167"/>
      <c r="AF446" s="167"/>
      <c r="AG446" s="167"/>
      <c r="AH446" s="167"/>
      <c r="AI446" s="167"/>
      <c r="AJ446" s="6"/>
      <c r="AK446" s="6"/>
      <c r="AL446" s="6"/>
      <c r="AM446" s="6"/>
      <c r="AN446" s="6"/>
      <c r="AO446" s="6"/>
    </row>
    <row r="447" spans="1:105" x14ac:dyDescent="0.25">
      <c r="A447" s="323" t="s">
        <v>1997</v>
      </c>
      <c r="B447" s="4" t="s">
        <v>1996</v>
      </c>
      <c r="C447" s="197" t="s">
        <v>1832</v>
      </c>
      <c r="D447" s="126"/>
      <c r="E447" s="126"/>
      <c r="F447" s="126"/>
      <c r="G447" s="160"/>
      <c r="H447" s="160"/>
      <c r="I447" s="160"/>
      <c r="J447" s="160"/>
      <c r="K447" s="160"/>
      <c r="L447" s="160"/>
      <c r="M447" s="160"/>
      <c r="N447" s="160"/>
      <c r="O447" s="160"/>
      <c r="P447" s="160"/>
      <c r="Q447" s="372"/>
      <c r="R447" s="126"/>
      <c r="S447" s="373"/>
      <c r="T447" s="398"/>
      <c r="U447" s="398"/>
      <c r="V447" s="398"/>
      <c r="W447" s="242"/>
      <c r="X447" s="242"/>
      <c r="Y447" s="242"/>
      <c r="Z447" s="242"/>
      <c r="AA447" s="242"/>
      <c r="AB447" s="242"/>
      <c r="AC447" s="242"/>
      <c r="AD447" s="242"/>
      <c r="AE447" s="242"/>
      <c r="AF447" s="242"/>
      <c r="AG447" s="242"/>
      <c r="AH447" s="242"/>
      <c r="AI447" s="242"/>
      <c r="AJ447" s="242"/>
      <c r="AK447" s="242"/>
      <c r="AL447" s="242"/>
      <c r="AM447" s="242"/>
      <c r="AN447" s="242"/>
      <c r="AO447" s="242"/>
      <c r="AP447" s="242"/>
      <c r="AQ447" s="242"/>
      <c r="AR447" s="242"/>
      <c r="AS447" s="242"/>
      <c r="AT447" s="242"/>
      <c r="AU447" s="242"/>
      <c r="AV447" s="242"/>
      <c r="AW447" s="242"/>
      <c r="AX447" s="242"/>
      <c r="AY447" s="242"/>
      <c r="AZ447" s="242"/>
      <c r="BA447" s="242"/>
      <c r="BB447" s="242"/>
      <c r="BC447" s="242"/>
      <c r="BD447" s="242"/>
      <c r="BE447" s="242"/>
      <c r="BF447" s="242"/>
      <c r="BG447" s="242"/>
      <c r="BH447" s="242"/>
      <c r="BI447" s="242"/>
      <c r="BJ447" s="242"/>
      <c r="BK447" s="242"/>
      <c r="BL447" s="242"/>
      <c r="BM447" s="242"/>
      <c r="BN447" s="242"/>
      <c r="BO447" s="242"/>
      <c r="BP447" s="242"/>
      <c r="BQ447" s="242"/>
      <c r="BR447" s="242"/>
      <c r="BS447" s="242"/>
      <c r="BT447" s="242"/>
      <c r="BU447" s="242"/>
      <c r="BV447" s="242"/>
      <c r="BW447" s="242"/>
      <c r="BX447" s="242"/>
      <c r="BY447" s="242"/>
      <c r="BZ447" s="242"/>
      <c r="CA447" s="242"/>
      <c r="CB447" s="242"/>
      <c r="CC447" s="242"/>
      <c r="CD447" s="242"/>
      <c r="CE447" s="242"/>
      <c r="CF447" s="242"/>
      <c r="CG447" s="242"/>
      <c r="CH447" s="242"/>
      <c r="CI447" s="242"/>
      <c r="CJ447" s="242"/>
      <c r="CK447" s="242"/>
      <c r="CL447" s="242"/>
      <c r="CM447" s="242"/>
      <c r="CN447" s="242"/>
      <c r="CO447" s="242"/>
      <c r="CP447" s="242"/>
      <c r="CQ447" s="242"/>
      <c r="CR447" s="242"/>
      <c r="CS447" s="242"/>
      <c r="CT447" s="242"/>
      <c r="CU447" s="242"/>
      <c r="CV447" s="242"/>
      <c r="CW447" s="242"/>
      <c r="CX447" s="242"/>
      <c r="CY447" s="242"/>
      <c r="CZ447" s="242"/>
      <c r="DA447" s="242"/>
    </row>
    <row r="448" spans="1:105" x14ac:dyDescent="0.25">
      <c r="A448" s="323" t="s">
        <v>1997</v>
      </c>
      <c r="B448" s="4" t="s">
        <v>124</v>
      </c>
      <c r="C448" s="197" t="s">
        <v>1835</v>
      </c>
      <c r="D448" s="126"/>
      <c r="E448" s="126"/>
      <c r="F448" s="126"/>
      <c r="G448" s="160"/>
      <c r="H448" s="160"/>
      <c r="I448" s="160"/>
      <c r="J448" s="160"/>
      <c r="K448" s="160"/>
      <c r="L448" s="160"/>
      <c r="M448" s="160"/>
      <c r="N448" s="160"/>
      <c r="O448" s="160"/>
      <c r="P448" s="160"/>
      <c r="Q448" s="372"/>
      <c r="R448" s="126"/>
      <c r="S448" s="373"/>
      <c r="T448" s="398"/>
      <c r="U448" s="398"/>
      <c r="V448" s="398"/>
      <c r="W448" s="242"/>
      <c r="X448" s="242"/>
      <c r="Y448" s="242"/>
      <c r="Z448" s="242"/>
      <c r="AA448" s="242"/>
      <c r="AB448" s="242"/>
      <c r="AC448" s="242"/>
      <c r="AD448" s="242"/>
      <c r="AE448" s="242"/>
      <c r="AF448" s="242"/>
      <c r="AG448" s="242"/>
      <c r="AH448" s="242"/>
      <c r="AI448" s="242"/>
      <c r="AJ448" s="242"/>
      <c r="AK448" s="242"/>
      <c r="AL448" s="242"/>
      <c r="AM448" s="242"/>
      <c r="AN448" s="242"/>
      <c r="AO448" s="242"/>
      <c r="AP448" s="242"/>
      <c r="AQ448" s="242"/>
      <c r="AR448" s="242"/>
      <c r="AS448" s="242"/>
      <c r="AT448" s="242"/>
      <c r="AU448" s="242"/>
      <c r="AV448" s="242"/>
      <c r="AW448" s="242"/>
      <c r="AX448" s="242"/>
      <c r="AY448" s="242"/>
      <c r="AZ448" s="242"/>
      <c r="BA448" s="242"/>
      <c r="BB448" s="242"/>
      <c r="BC448" s="242"/>
      <c r="BD448" s="242"/>
      <c r="BE448" s="242"/>
      <c r="BF448" s="242"/>
      <c r="BG448" s="242"/>
      <c r="BH448" s="242"/>
      <c r="BI448" s="242"/>
      <c r="BJ448" s="242"/>
      <c r="BK448" s="242"/>
      <c r="BL448" s="242"/>
      <c r="BM448" s="242"/>
      <c r="BN448" s="242"/>
      <c r="BO448" s="242"/>
      <c r="BP448" s="242"/>
      <c r="BQ448" s="242"/>
      <c r="BR448" s="242"/>
      <c r="BS448" s="242"/>
      <c r="BT448" s="242"/>
      <c r="BU448" s="242"/>
      <c r="BV448" s="242"/>
      <c r="BW448" s="242"/>
      <c r="BX448" s="242"/>
      <c r="BY448" s="242"/>
      <c r="BZ448" s="242"/>
      <c r="CA448" s="242"/>
      <c r="CB448" s="242"/>
      <c r="CC448" s="242"/>
      <c r="CD448" s="242"/>
      <c r="CE448" s="242"/>
      <c r="CF448" s="242"/>
      <c r="CG448" s="242"/>
      <c r="CH448" s="242"/>
      <c r="CI448" s="242"/>
      <c r="CJ448" s="242"/>
      <c r="CK448" s="242"/>
      <c r="CL448" s="242"/>
      <c r="CM448" s="242"/>
      <c r="CN448" s="242"/>
      <c r="CO448" s="242"/>
      <c r="CP448" s="242"/>
      <c r="CQ448" s="242"/>
      <c r="CR448" s="242"/>
      <c r="CS448" s="242"/>
      <c r="CT448" s="242"/>
      <c r="CU448" s="242"/>
      <c r="CV448" s="242"/>
      <c r="CW448" s="242"/>
      <c r="CX448" s="242"/>
      <c r="CY448" s="242"/>
      <c r="CZ448" s="242"/>
      <c r="DA448" s="242"/>
    </row>
    <row r="449" spans="1:105" x14ac:dyDescent="0.25">
      <c r="A449" s="323" t="s">
        <v>1997</v>
      </c>
      <c r="B449" t="s">
        <v>306</v>
      </c>
      <c r="C449" s="400" t="s">
        <v>1718</v>
      </c>
      <c r="D449" s="400" t="s">
        <v>1826</v>
      </c>
      <c r="E449" s="109" t="s">
        <v>1827</v>
      </c>
      <c r="F449" s="109" t="s">
        <v>1828</v>
      </c>
      <c r="G449" s="109" t="s">
        <v>1254</v>
      </c>
      <c r="H449" s="109" t="s">
        <v>1829</v>
      </c>
      <c r="I449" s="160"/>
      <c r="J449" s="160"/>
      <c r="K449" s="160"/>
      <c r="L449" s="160"/>
      <c r="M449" s="160"/>
      <c r="N449" s="160"/>
      <c r="O449" s="372"/>
      <c r="P449" s="126"/>
      <c r="Q449" s="373"/>
      <c r="R449" s="398"/>
      <c r="S449" s="398"/>
      <c r="T449" s="398"/>
      <c r="U449" s="242"/>
      <c r="V449" s="242"/>
      <c r="W449" s="242"/>
      <c r="X449" s="242"/>
      <c r="Y449" s="242"/>
      <c r="Z449" s="242"/>
      <c r="AA449" s="242"/>
      <c r="AB449" s="242"/>
      <c r="AC449" s="242"/>
      <c r="AD449" s="242"/>
      <c r="AE449" s="242"/>
      <c r="AF449" s="242"/>
      <c r="AG449" s="242"/>
      <c r="AH449" s="242"/>
      <c r="AI449" s="242"/>
      <c r="AJ449" s="242"/>
      <c r="AK449" s="242"/>
      <c r="AL449" s="242"/>
      <c r="AM449" s="242"/>
      <c r="AN449" s="242"/>
      <c r="AO449" s="242"/>
      <c r="AP449" s="242"/>
      <c r="AQ449" s="242"/>
      <c r="AR449" s="242"/>
      <c r="AS449" s="242"/>
      <c r="AT449" s="242"/>
      <c r="AU449" s="242"/>
      <c r="AV449" s="242"/>
      <c r="AW449" s="242"/>
      <c r="AX449" s="242"/>
      <c r="AY449" s="242"/>
      <c r="AZ449" s="242"/>
      <c r="BA449" s="242"/>
      <c r="BB449" s="242"/>
      <c r="BC449" s="242"/>
      <c r="BD449" s="242"/>
      <c r="BE449" s="242"/>
      <c r="BF449" s="242"/>
      <c r="BG449" s="242"/>
      <c r="BH449" s="242"/>
      <c r="BI449" s="242"/>
      <c r="BJ449" s="242"/>
      <c r="BK449" s="242"/>
      <c r="BL449" s="242"/>
      <c r="BM449" s="242"/>
      <c r="BN449" s="242"/>
      <c r="BO449" s="242"/>
      <c r="BP449" s="242"/>
      <c r="BQ449" s="242"/>
      <c r="BR449" s="242"/>
      <c r="BS449" s="242"/>
      <c r="BT449" s="242"/>
      <c r="BU449" s="242"/>
      <c r="BV449" s="242"/>
      <c r="BW449" s="242"/>
      <c r="BX449" s="242"/>
      <c r="BY449" s="242"/>
      <c r="BZ449" s="242"/>
      <c r="CA449" s="242"/>
      <c r="CB449" s="242"/>
      <c r="CC449" s="242"/>
      <c r="CD449" s="242"/>
      <c r="CE449" s="242"/>
      <c r="CF449" s="242"/>
      <c r="CG449" s="242"/>
      <c r="CH449" s="242"/>
      <c r="CI449" s="242"/>
      <c r="CJ449" s="242"/>
      <c r="CK449" s="242"/>
      <c r="CL449" s="242"/>
      <c r="CM449" s="242"/>
      <c r="CN449" s="242"/>
      <c r="CO449" s="242"/>
      <c r="CP449" s="242"/>
      <c r="CQ449" s="242"/>
      <c r="CR449" s="242"/>
      <c r="CS449" s="242"/>
      <c r="CT449" s="242"/>
      <c r="CU449" s="242"/>
      <c r="CV449" s="242"/>
      <c r="CW449" s="242"/>
      <c r="CX449" s="242"/>
      <c r="CY449" s="242"/>
    </row>
    <row r="450" spans="1:105" x14ac:dyDescent="0.25">
      <c r="A450" s="323" t="s">
        <v>1997</v>
      </c>
      <c r="C450" s="92">
        <f>$B$2</f>
        <v>20180326</v>
      </c>
      <c r="D450" s="92">
        <v>9999</v>
      </c>
      <c r="E450" s="109" t="s">
        <v>1128</v>
      </c>
      <c r="F450" s="109"/>
      <c r="G450" s="109"/>
      <c r="H450" s="109">
        <v>0</v>
      </c>
      <c r="I450" s="160"/>
      <c r="J450" s="160"/>
      <c r="K450" s="160"/>
      <c r="L450" s="160"/>
      <c r="M450" s="160"/>
      <c r="N450" s="160"/>
      <c r="O450" s="372"/>
      <c r="P450" s="126"/>
      <c r="Q450" s="373"/>
      <c r="R450" s="398"/>
      <c r="S450" s="398"/>
      <c r="T450" s="398"/>
      <c r="U450" s="242"/>
      <c r="V450" s="242"/>
      <c r="W450" s="242"/>
      <c r="X450" s="242"/>
      <c r="Y450" s="242"/>
      <c r="Z450" s="242"/>
      <c r="AA450" s="242"/>
      <c r="AB450" s="242"/>
      <c r="AC450" s="242"/>
      <c r="AD450" s="242"/>
      <c r="AE450" s="242"/>
      <c r="AF450" s="242"/>
      <c r="AG450" s="242"/>
      <c r="AH450" s="242"/>
      <c r="AI450" s="242"/>
      <c r="AJ450" s="242"/>
      <c r="AK450" s="242"/>
      <c r="AL450" s="242"/>
      <c r="AM450" s="242"/>
      <c r="AN450" s="242"/>
      <c r="AO450" s="242"/>
      <c r="AP450" s="242"/>
      <c r="AQ450" s="242"/>
      <c r="AR450" s="242"/>
      <c r="AS450" s="242"/>
      <c r="AT450" s="242"/>
      <c r="AU450" s="242"/>
      <c r="AV450" s="242"/>
      <c r="AW450" s="242"/>
      <c r="AX450" s="242"/>
      <c r="AY450" s="242"/>
      <c r="AZ450" s="242"/>
      <c r="BA450" s="242"/>
      <c r="BB450" s="242"/>
      <c r="BC450" s="242"/>
      <c r="BD450" s="242"/>
      <c r="BE450" s="242"/>
      <c r="BF450" s="242"/>
      <c r="BG450" s="242"/>
      <c r="BH450" s="242"/>
      <c r="BI450" s="242"/>
      <c r="BJ450" s="242"/>
      <c r="BK450" s="242"/>
      <c r="BL450" s="242"/>
      <c r="BM450" s="242"/>
      <c r="BN450" s="242"/>
      <c r="BO450" s="242"/>
      <c r="BP450" s="242"/>
      <c r="BQ450" s="242"/>
      <c r="BR450" s="242"/>
      <c r="BS450" s="242"/>
      <c r="BT450" s="242"/>
      <c r="BU450" s="242"/>
      <c r="BV450" s="242"/>
      <c r="BW450" s="242"/>
      <c r="BX450" s="242"/>
      <c r="BY450" s="242"/>
      <c r="BZ450" s="242"/>
      <c r="CA450" s="242"/>
      <c r="CB450" s="242"/>
      <c r="CC450" s="242"/>
      <c r="CD450" s="242"/>
      <c r="CE450" s="242"/>
      <c r="CF450" s="242"/>
      <c r="CG450" s="242"/>
      <c r="CH450" s="242"/>
      <c r="CI450" s="242"/>
      <c r="CJ450" s="242"/>
      <c r="CK450" s="242"/>
      <c r="CL450" s="242"/>
      <c r="CM450" s="242"/>
      <c r="CN450" s="242"/>
      <c r="CO450" s="242"/>
      <c r="CP450" s="242"/>
      <c r="CQ450" s="242"/>
      <c r="CR450" s="242"/>
      <c r="CS450" s="242"/>
      <c r="CT450" s="242"/>
      <c r="CU450" s="242"/>
      <c r="CV450" s="242"/>
      <c r="CW450" s="242"/>
      <c r="CX450" s="242"/>
      <c r="CY450" s="242"/>
    </row>
    <row r="451" spans="1:105" x14ac:dyDescent="0.25">
      <c r="A451" s="323" t="s">
        <v>1997</v>
      </c>
      <c r="B451" s="4" t="s">
        <v>174</v>
      </c>
      <c r="C451" s="197" t="s">
        <v>1833</v>
      </c>
      <c r="D451" s="126"/>
      <c r="E451" s="126"/>
      <c r="F451" s="126"/>
      <c r="G451" s="160"/>
      <c r="H451" s="160"/>
      <c r="I451" s="160"/>
      <c r="J451" s="160"/>
      <c r="K451" s="160"/>
      <c r="L451" s="160"/>
      <c r="M451" s="160"/>
      <c r="N451" s="160"/>
      <c r="O451" s="160"/>
      <c r="P451" s="160"/>
      <c r="Q451" s="372"/>
      <c r="R451" s="126"/>
      <c r="S451" s="373"/>
      <c r="T451" s="398"/>
      <c r="U451" s="398"/>
      <c r="V451" s="398"/>
      <c r="W451" s="242"/>
      <c r="X451" s="242"/>
      <c r="Y451" s="242"/>
      <c r="Z451" s="242"/>
      <c r="AA451" s="242"/>
      <c r="AB451" s="242"/>
      <c r="AC451" s="242"/>
      <c r="AD451" s="242"/>
      <c r="AE451" s="242"/>
      <c r="AF451" s="242"/>
      <c r="AG451" s="242"/>
      <c r="AH451" s="242"/>
      <c r="AI451" s="242"/>
      <c r="AJ451" s="242"/>
      <c r="AK451" s="242"/>
      <c r="AL451" s="242"/>
      <c r="AM451" s="242"/>
      <c r="AN451" s="242"/>
      <c r="AO451" s="242"/>
      <c r="AP451" s="242"/>
      <c r="AQ451" s="242"/>
      <c r="AR451" s="242"/>
      <c r="AS451" s="242"/>
      <c r="AT451" s="242"/>
      <c r="AU451" s="242"/>
      <c r="AV451" s="242"/>
      <c r="AW451" s="242"/>
      <c r="AX451" s="242"/>
      <c r="AY451" s="242"/>
      <c r="AZ451" s="242"/>
      <c r="BA451" s="242"/>
      <c r="BB451" s="242"/>
      <c r="BC451" s="242"/>
      <c r="BD451" s="242"/>
      <c r="BE451" s="242"/>
      <c r="BF451" s="242"/>
      <c r="BG451" s="242"/>
      <c r="BH451" s="242"/>
      <c r="BI451" s="242"/>
      <c r="BJ451" s="242"/>
      <c r="BK451" s="242"/>
      <c r="BL451" s="242"/>
      <c r="BM451" s="242"/>
      <c r="BN451" s="242"/>
      <c r="BO451" s="242"/>
      <c r="BP451" s="242"/>
      <c r="BQ451" s="242"/>
      <c r="BR451" s="242"/>
      <c r="BS451" s="242"/>
      <c r="BT451" s="242"/>
      <c r="BU451" s="242"/>
      <c r="BV451" s="242"/>
      <c r="BW451" s="242"/>
      <c r="BX451" s="242"/>
      <c r="BY451" s="242"/>
      <c r="BZ451" s="242"/>
      <c r="CA451" s="242"/>
      <c r="CB451" s="242"/>
      <c r="CC451" s="242"/>
      <c r="CD451" s="242"/>
      <c r="CE451" s="242"/>
      <c r="CF451" s="242"/>
      <c r="CG451" s="242"/>
      <c r="CH451" s="242"/>
      <c r="CI451" s="242"/>
      <c r="CJ451" s="242"/>
      <c r="CK451" s="242"/>
      <c r="CL451" s="242"/>
      <c r="CM451" s="242"/>
      <c r="CN451" s="242"/>
      <c r="CO451" s="242"/>
      <c r="CP451" s="242"/>
      <c r="CQ451" s="242"/>
      <c r="CR451" s="242"/>
      <c r="CS451" s="242"/>
      <c r="CT451" s="242"/>
      <c r="CU451" s="242"/>
      <c r="CV451" s="242"/>
      <c r="CW451" s="242"/>
      <c r="CX451" s="242"/>
      <c r="CY451" s="242"/>
      <c r="CZ451" s="242"/>
      <c r="DA451" s="242"/>
    </row>
    <row r="452" spans="1:105" x14ac:dyDescent="0.25">
      <c r="A452" s="323" t="s">
        <v>1997</v>
      </c>
      <c r="B452" s="4" t="s">
        <v>124</v>
      </c>
      <c r="C452" s="197" t="s">
        <v>1830</v>
      </c>
      <c r="D452" s="126"/>
      <c r="E452" s="126"/>
      <c r="F452" s="126"/>
      <c r="G452" s="160"/>
      <c r="H452" s="160"/>
      <c r="I452" s="160"/>
      <c r="J452" s="160"/>
      <c r="K452" s="160"/>
      <c r="L452" s="160"/>
      <c r="M452" s="160"/>
      <c r="N452" s="160"/>
      <c r="O452" s="160"/>
      <c r="P452" s="160"/>
      <c r="Q452" s="372"/>
      <c r="R452" s="126"/>
      <c r="S452" s="373"/>
      <c r="T452" s="398"/>
      <c r="U452" s="398"/>
      <c r="V452" s="398"/>
      <c r="W452" s="242"/>
      <c r="X452" s="242"/>
      <c r="Y452" s="242"/>
      <c r="Z452" s="242"/>
      <c r="AA452" s="242"/>
      <c r="AB452" s="242"/>
      <c r="AC452" s="242"/>
      <c r="AD452" s="242"/>
      <c r="AE452" s="242"/>
      <c r="AF452" s="242"/>
      <c r="AG452" s="242"/>
      <c r="AH452" s="242"/>
      <c r="AI452" s="242"/>
      <c r="AJ452" s="242"/>
      <c r="AK452" s="242"/>
      <c r="AL452" s="242"/>
      <c r="AM452" s="242"/>
      <c r="AN452" s="242"/>
      <c r="AO452" s="242"/>
      <c r="AP452" s="242"/>
      <c r="AQ452" s="242"/>
      <c r="AR452" s="242"/>
      <c r="AS452" s="242"/>
      <c r="AT452" s="242"/>
      <c r="AU452" s="242"/>
      <c r="AV452" s="242"/>
      <c r="AW452" s="242"/>
      <c r="AX452" s="242"/>
      <c r="AY452" s="242"/>
      <c r="AZ452" s="242"/>
      <c r="BA452" s="242"/>
      <c r="BB452" s="242"/>
      <c r="BC452" s="242"/>
      <c r="BD452" s="242"/>
      <c r="BE452" s="242"/>
      <c r="BF452" s="242"/>
      <c r="BG452" s="242"/>
      <c r="BH452" s="242"/>
      <c r="BI452" s="242"/>
      <c r="BJ452" s="242"/>
      <c r="BK452" s="242"/>
      <c r="BL452" s="242"/>
      <c r="BM452" s="242"/>
      <c r="BN452" s="242"/>
      <c r="BO452" s="242"/>
      <c r="BP452" s="242"/>
      <c r="BQ452" s="242"/>
      <c r="BR452" s="242"/>
      <c r="BS452" s="242"/>
      <c r="BT452" s="242"/>
      <c r="BU452" s="242"/>
      <c r="BV452" s="242"/>
      <c r="BW452" s="242"/>
      <c r="BX452" s="242"/>
      <c r="BY452" s="242"/>
      <c r="BZ452" s="242"/>
      <c r="CA452" s="242"/>
      <c r="CB452" s="242"/>
      <c r="CC452" s="242"/>
      <c r="CD452" s="242"/>
      <c r="CE452" s="242"/>
      <c r="CF452" s="242"/>
      <c r="CG452" s="242"/>
      <c r="CH452" s="242"/>
      <c r="CI452" s="242"/>
      <c r="CJ452" s="242"/>
      <c r="CK452" s="242"/>
      <c r="CL452" s="242"/>
      <c r="CM452" s="242"/>
      <c r="CN452" s="242"/>
      <c r="CO452" s="242"/>
      <c r="CP452" s="242"/>
      <c r="CQ452" s="242"/>
      <c r="CR452" s="242"/>
      <c r="CS452" s="242"/>
      <c r="CT452" s="242"/>
      <c r="CU452" s="242"/>
      <c r="CV452" s="242"/>
      <c r="CW452" s="242"/>
      <c r="CX452" s="242"/>
      <c r="CY452" s="242"/>
      <c r="CZ452" s="242"/>
      <c r="DA452" s="242"/>
    </row>
    <row r="453" spans="1:105" x14ac:dyDescent="0.25">
      <c r="A453" s="323" t="s">
        <v>1997</v>
      </c>
      <c r="B453" t="s">
        <v>306</v>
      </c>
      <c r="C453" s="400" t="s">
        <v>1718</v>
      </c>
      <c r="D453" s="400" t="s">
        <v>1831</v>
      </c>
      <c r="E453" s="400" t="s">
        <v>1826</v>
      </c>
      <c r="F453" s="109" t="s">
        <v>1827</v>
      </c>
      <c r="G453" s="109" t="s">
        <v>1828</v>
      </c>
      <c r="H453" s="109" t="s">
        <v>1254</v>
      </c>
      <c r="I453" s="109" t="s">
        <v>1829</v>
      </c>
      <c r="J453" s="160"/>
      <c r="K453" s="160"/>
      <c r="L453" s="160"/>
      <c r="M453" s="160"/>
      <c r="N453" s="160"/>
      <c r="O453" s="160"/>
      <c r="P453" s="160"/>
      <c r="Q453" s="372"/>
      <c r="R453" s="126"/>
      <c r="S453" s="373"/>
      <c r="T453" s="398"/>
      <c r="U453" s="398"/>
      <c r="V453" s="398"/>
      <c r="W453" s="242"/>
      <c r="X453" s="242"/>
      <c r="Y453" s="242"/>
      <c r="Z453" s="242"/>
      <c r="AA453" s="242"/>
      <c r="AB453" s="242"/>
      <c r="AC453" s="242"/>
      <c r="AD453" s="242"/>
      <c r="AE453" s="242"/>
      <c r="AF453" s="242"/>
      <c r="AG453" s="242"/>
      <c r="AH453" s="242"/>
      <c r="AI453" s="242"/>
      <c r="AJ453" s="242"/>
      <c r="AK453" s="242"/>
      <c r="AL453" s="242"/>
      <c r="AM453" s="242"/>
      <c r="AN453" s="242"/>
      <c r="AO453" s="242"/>
      <c r="AP453" s="242"/>
      <c r="AQ453" s="242"/>
      <c r="AR453" s="242"/>
      <c r="AS453" s="242"/>
      <c r="AT453" s="242"/>
      <c r="AU453" s="242"/>
      <c r="AV453" s="242"/>
      <c r="AW453" s="242"/>
      <c r="AX453" s="242"/>
      <c r="AY453" s="242"/>
      <c r="AZ453" s="242"/>
      <c r="BA453" s="242"/>
      <c r="BB453" s="242"/>
      <c r="BC453" s="242"/>
      <c r="BD453" s="242"/>
      <c r="BE453" s="242"/>
      <c r="BF453" s="242"/>
      <c r="BG453" s="242"/>
      <c r="BH453" s="242"/>
      <c r="BI453" s="242"/>
      <c r="BJ453" s="242"/>
      <c r="BK453" s="242"/>
      <c r="BL453" s="242"/>
      <c r="BM453" s="242"/>
      <c r="BN453" s="242"/>
      <c r="BO453" s="242"/>
      <c r="BP453" s="242"/>
      <c r="BQ453" s="242"/>
      <c r="BR453" s="242"/>
      <c r="BS453" s="242"/>
      <c r="BT453" s="242"/>
      <c r="BU453" s="242"/>
      <c r="BV453" s="242"/>
      <c r="BW453" s="242"/>
      <c r="BX453" s="242"/>
      <c r="BY453" s="242"/>
      <c r="BZ453" s="242"/>
      <c r="CA453" s="242"/>
      <c r="CB453" s="242"/>
      <c r="CC453" s="242"/>
      <c r="CD453" s="242"/>
      <c r="CE453" s="242"/>
      <c r="CF453" s="242"/>
      <c r="CG453" s="242"/>
      <c r="CH453" s="242"/>
      <c r="CI453" s="242"/>
      <c r="CJ453" s="242"/>
      <c r="CK453" s="242"/>
      <c r="CL453" s="242"/>
      <c r="CM453" s="242"/>
      <c r="CN453" s="242"/>
      <c r="CO453" s="242"/>
      <c r="CP453" s="242"/>
      <c r="CQ453" s="242"/>
      <c r="CR453" s="242"/>
      <c r="CS453" s="242"/>
      <c r="CT453" s="242"/>
      <c r="CU453" s="242"/>
      <c r="CV453" s="242"/>
      <c r="CW453" s="242"/>
      <c r="CX453" s="242"/>
      <c r="CY453" s="242"/>
      <c r="CZ453" s="242"/>
      <c r="DA453" s="242"/>
    </row>
    <row r="454" spans="1:105" x14ac:dyDescent="0.25">
      <c r="A454" s="323" t="s">
        <v>1997</v>
      </c>
      <c r="B454" s="98">
        <f>$B$2</f>
        <v>20180326</v>
      </c>
      <c r="C454" s="92">
        <v>0</v>
      </c>
      <c r="D454" s="92">
        <v>9999</v>
      </c>
      <c r="E454" s="109" t="s">
        <v>1128</v>
      </c>
      <c r="F454" s="109"/>
      <c r="G454" s="109"/>
      <c r="H454" s="109">
        <v>0</v>
      </c>
      <c r="I454" s="160"/>
      <c r="J454" s="160"/>
      <c r="K454" s="160"/>
      <c r="L454" s="160"/>
      <c r="M454" s="160"/>
      <c r="N454" s="160"/>
      <c r="O454" s="160"/>
      <c r="P454" s="372"/>
      <c r="Q454" s="126"/>
      <c r="R454" s="373"/>
      <c r="S454" s="398"/>
      <c r="T454" s="398"/>
      <c r="U454" s="398"/>
      <c r="V454" s="242"/>
      <c r="W454" s="242"/>
      <c r="X454" s="242"/>
      <c r="Y454" s="242"/>
      <c r="Z454" s="242"/>
      <c r="AA454" s="242"/>
      <c r="AB454" s="242"/>
      <c r="AC454" s="242"/>
      <c r="AD454" s="242"/>
      <c r="AE454" s="242"/>
      <c r="AF454" s="242"/>
      <c r="AG454" s="242"/>
      <c r="AH454" s="242"/>
      <c r="AI454" s="242"/>
      <c r="AJ454" s="242"/>
      <c r="AK454" s="242"/>
      <c r="AL454" s="242"/>
      <c r="AM454" s="242"/>
      <c r="AN454" s="242"/>
      <c r="AO454" s="242"/>
      <c r="AP454" s="242"/>
      <c r="AQ454" s="242"/>
      <c r="AR454" s="242"/>
      <c r="AS454" s="242"/>
      <c r="AT454" s="242"/>
      <c r="AU454" s="242"/>
      <c r="AV454" s="242"/>
      <c r="AW454" s="242"/>
      <c r="AX454" s="242"/>
      <c r="AY454" s="242"/>
      <c r="AZ454" s="242"/>
      <c r="BA454" s="242"/>
      <c r="BB454" s="242"/>
      <c r="BC454" s="242"/>
      <c r="BD454" s="242"/>
      <c r="BE454" s="242"/>
      <c r="BF454" s="242"/>
      <c r="BG454" s="242"/>
      <c r="BH454" s="242"/>
      <c r="BI454" s="242"/>
      <c r="BJ454" s="242"/>
      <c r="BK454" s="242"/>
      <c r="BL454" s="242"/>
      <c r="BM454" s="242"/>
      <c r="BN454" s="242"/>
      <c r="BO454" s="242"/>
      <c r="BP454" s="242"/>
      <c r="BQ454" s="242"/>
      <c r="BR454" s="242"/>
      <c r="BS454" s="242"/>
      <c r="BT454" s="242"/>
      <c r="BU454" s="242"/>
      <c r="BV454" s="242"/>
      <c r="BW454" s="242"/>
      <c r="BX454" s="242"/>
      <c r="BY454" s="242"/>
      <c r="BZ454" s="242"/>
      <c r="CA454" s="242"/>
      <c r="CB454" s="242"/>
      <c r="CC454" s="242"/>
      <c r="CD454" s="242"/>
      <c r="CE454" s="242"/>
      <c r="CF454" s="242"/>
      <c r="CG454" s="242"/>
      <c r="CH454" s="242"/>
      <c r="CI454" s="242"/>
      <c r="CJ454" s="242"/>
      <c r="CK454" s="242"/>
      <c r="CL454" s="242"/>
      <c r="CM454" s="242"/>
      <c r="CN454" s="242"/>
      <c r="CO454" s="242"/>
      <c r="CP454" s="242"/>
      <c r="CQ454" s="242"/>
      <c r="CR454" s="242"/>
      <c r="CS454" s="242"/>
      <c r="CT454" s="242"/>
      <c r="CU454" s="242"/>
      <c r="CV454" s="242"/>
      <c r="CW454" s="242"/>
      <c r="CX454" s="242"/>
      <c r="CY454" s="242"/>
      <c r="CZ454" s="242"/>
    </row>
    <row r="455" spans="1:105" x14ac:dyDescent="0.25">
      <c r="A455" s="263"/>
      <c r="B455" s="263"/>
      <c r="C455" s="263"/>
      <c r="D455" s="263"/>
      <c r="E455" s="209"/>
      <c r="F455" s="210"/>
      <c r="G455" s="209"/>
      <c r="H455" s="209"/>
      <c r="I455" s="209"/>
      <c r="J455" s="209"/>
      <c r="K455" s="209"/>
      <c r="L455" s="209"/>
      <c r="M455" s="212"/>
      <c r="N455" s="211"/>
      <c r="O455" s="211"/>
      <c r="P455" s="211"/>
      <c r="Q455" s="211"/>
      <c r="R455" s="211"/>
      <c r="S455" s="211"/>
      <c r="T455" s="211"/>
      <c r="U455" s="212"/>
      <c r="V455" s="212"/>
      <c r="W455" s="211"/>
      <c r="X455" s="211"/>
      <c r="Y455" s="211"/>
      <c r="Z455" s="211"/>
      <c r="AA455" s="211"/>
      <c r="AB455" s="211"/>
      <c r="AC455" s="188"/>
      <c r="AD455" s="167"/>
      <c r="AE455" s="167"/>
      <c r="AF455" s="167"/>
      <c r="AG455" s="167"/>
      <c r="AH455" s="167"/>
      <c r="AI455" s="167"/>
      <c r="AJ455" s="6"/>
      <c r="AK455" s="6"/>
      <c r="AL455" s="6"/>
      <c r="AM455" s="6"/>
      <c r="AN455" s="6"/>
      <c r="AO455" s="6"/>
    </row>
    <row r="456" spans="1:105" s="342" customFormat="1" ht="13.95" customHeight="1" x14ac:dyDescent="0.25">
      <c r="A456" s="345" t="s">
        <v>1673</v>
      </c>
      <c r="B456" s="343" t="s">
        <v>1624</v>
      </c>
      <c r="C456" s="343"/>
      <c r="D456" s="343"/>
      <c r="E456" s="343"/>
      <c r="F456" s="344"/>
      <c r="G456" s="344"/>
      <c r="H456" s="344"/>
      <c r="I456" s="344"/>
      <c r="J456" s="344"/>
      <c r="K456" s="344"/>
      <c r="L456" s="344"/>
      <c r="M456" s="344"/>
      <c r="N456" s="345"/>
      <c r="O456" s="345"/>
      <c r="P456" s="345"/>
      <c r="Q456" s="345"/>
      <c r="R456" s="345"/>
      <c r="S456" s="345"/>
      <c r="T456" s="345"/>
      <c r="U456" s="345"/>
      <c r="V456" s="346"/>
      <c r="W456" s="345"/>
      <c r="X456" s="345"/>
      <c r="Y456" s="345"/>
      <c r="Z456" s="345"/>
      <c r="AA456" s="345"/>
      <c r="AB456" s="345"/>
      <c r="AC456" s="345"/>
      <c r="AD456" s="345"/>
      <c r="AE456" s="345"/>
      <c r="AF456" s="345"/>
      <c r="AG456" s="345"/>
      <c r="AH456" s="345"/>
      <c r="AI456" s="345"/>
      <c r="AJ456" s="345"/>
    </row>
    <row r="457" spans="1:105" x14ac:dyDescent="0.25">
      <c r="A457" s="126" t="s">
        <v>1674</v>
      </c>
      <c r="B457" s="323" t="s">
        <v>1236</v>
      </c>
      <c r="C457" s="323"/>
      <c r="D457" s="323"/>
      <c r="E457" s="323"/>
      <c r="F457" s="188"/>
      <c r="G457" s="188"/>
      <c r="H457" s="188"/>
      <c r="I457" s="188"/>
      <c r="J457" s="188"/>
      <c r="K457" s="188"/>
      <c r="L457" s="188"/>
      <c r="M457" s="188"/>
      <c r="N457" s="188"/>
      <c r="O457" s="188"/>
      <c r="P457" s="167"/>
      <c r="Q457" s="167"/>
      <c r="R457" s="338"/>
      <c r="S457" s="338"/>
      <c r="T457" s="167"/>
      <c r="U457" s="167"/>
      <c r="V457" s="167"/>
      <c r="W457" s="182"/>
      <c r="X457" s="167"/>
      <c r="Y457" s="167"/>
      <c r="Z457" s="167"/>
      <c r="AA457" s="167"/>
      <c r="AB457" s="167"/>
      <c r="AC457" s="167"/>
      <c r="AD457" s="167"/>
      <c r="AE457" s="167"/>
      <c r="AF457" s="167"/>
      <c r="AG457" s="167"/>
      <c r="AH457" s="167"/>
      <c r="AI457" s="167"/>
      <c r="AJ457" s="167"/>
      <c r="AK457" s="167"/>
      <c r="AL457" s="6"/>
      <c r="AM457" s="6"/>
      <c r="AN457" s="6"/>
      <c r="AO457" s="6"/>
      <c r="AP457" s="6"/>
      <c r="AQ457" s="6"/>
    </row>
    <row r="458" spans="1:105" ht="13.95" customHeight="1" x14ac:dyDescent="0.25">
      <c r="A458" s="197" t="s">
        <v>124</v>
      </c>
      <c r="B458" s="593" t="s">
        <v>1251</v>
      </c>
      <c r="C458" s="204"/>
      <c r="D458" s="204"/>
      <c r="E458" s="204"/>
      <c r="F458" s="188"/>
      <c r="G458" s="188"/>
      <c r="H458" s="188"/>
      <c r="I458" s="188"/>
      <c r="J458" s="188"/>
      <c r="K458" s="188"/>
      <c r="L458" s="188"/>
      <c r="M458" s="188"/>
      <c r="N458" s="167"/>
      <c r="O458" s="167"/>
      <c r="P458" s="167"/>
      <c r="Q458" s="167"/>
      <c r="R458" s="167"/>
      <c r="S458" s="167"/>
      <c r="T458" s="167"/>
      <c r="U458" s="167"/>
      <c r="V458" s="182"/>
      <c r="W458" s="167"/>
      <c r="X458" s="167"/>
      <c r="Y458" s="167"/>
      <c r="Z458" s="167"/>
      <c r="AA458" s="167"/>
      <c r="AB458" s="167"/>
      <c r="AC458" s="167"/>
      <c r="AD458" s="167"/>
      <c r="AE458" s="167"/>
      <c r="AF458" s="167"/>
      <c r="AG458" s="167"/>
      <c r="AH458" s="167"/>
      <c r="AI458" s="167"/>
      <c r="AJ458" s="167"/>
      <c r="AK458" s="6"/>
      <c r="AL458" s="6"/>
      <c r="AM458" s="6"/>
      <c r="AN458" s="6"/>
      <c r="AO458" s="6"/>
      <c r="AP458" s="6"/>
    </row>
    <row r="459" spans="1:105" ht="13.95" customHeight="1" x14ac:dyDescent="0.25">
      <c r="A459" s="197" t="s">
        <v>306</v>
      </c>
      <c r="B459" s="704" t="s">
        <v>1583</v>
      </c>
      <c r="C459" s="705"/>
      <c r="D459" s="705"/>
      <c r="E459" s="705"/>
      <c r="F459" s="705"/>
      <c r="G459" s="705"/>
      <c r="H459" s="705"/>
      <c r="I459" s="705"/>
      <c r="J459" s="705"/>
      <c r="K459" s="705"/>
      <c r="L459" s="705"/>
      <c r="M459" s="705"/>
      <c r="N459" s="705"/>
      <c r="O459" s="705"/>
      <c r="P459" s="705"/>
      <c r="Q459" s="705"/>
      <c r="R459" s="708"/>
      <c r="S459" s="712" t="s">
        <v>1126</v>
      </c>
      <c r="T459" s="712" t="s">
        <v>1107</v>
      </c>
      <c r="U459" s="712" t="s">
        <v>1108</v>
      </c>
      <c r="V459" s="167"/>
      <c r="W459" s="182"/>
      <c r="X459" s="167"/>
      <c r="Y459" s="167"/>
      <c r="Z459" s="167"/>
      <c r="AA459" s="167"/>
      <c r="AB459" s="167"/>
      <c r="AC459" s="167"/>
      <c r="AD459" s="167"/>
      <c r="AE459" s="167"/>
      <c r="AF459" s="167"/>
      <c r="AG459" s="167"/>
      <c r="AH459" s="167"/>
      <c r="AI459" s="167"/>
      <c r="AJ459" s="167"/>
      <c r="AK459" s="167"/>
      <c r="AL459" s="6"/>
      <c r="AM459" s="6"/>
      <c r="AN459" s="6"/>
      <c r="AO459" s="6"/>
      <c r="AP459" s="6"/>
      <c r="AQ459" s="6"/>
    </row>
    <row r="460" spans="1:105" ht="13.95" customHeight="1" x14ac:dyDescent="0.25">
      <c r="B460" s="589" t="s">
        <v>1111</v>
      </c>
      <c r="C460" s="358" t="s">
        <v>1217</v>
      </c>
      <c r="D460" s="358" t="s">
        <v>1134</v>
      </c>
      <c r="E460" s="358" t="s">
        <v>1117</v>
      </c>
      <c r="F460" s="189" t="s">
        <v>1218</v>
      </c>
      <c r="G460" s="189" t="s">
        <v>1219</v>
      </c>
      <c r="H460" s="189" t="s">
        <v>1220</v>
      </c>
      <c r="I460" s="189" t="s">
        <v>1221</v>
      </c>
      <c r="J460" s="189" t="s">
        <v>1222</v>
      </c>
      <c r="K460" s="189" t="s">
        <v>1759</v>
      </c>
      <c r="L460" s="189" t="s">
        <v>1223</v>
      </c>
      <c r="M460" s="189" t="s">
        <v>1224</v>
      </c>
      <c r="N460" s="189" t="s">
        <v>1225</v>
      </c>
      <c r="O460" s="189" t="s">
        <v>1226</v>
      </c>
      <c r="P460" s="189" t="s">
        <v>1147</v>
      </c>
      <c r="Q460" s="189" t="s">
        <v>1227</v>
      </c>
      <c r="R460" s="189" t="s">
        <v>1228</v>
      </c>
      <c r="S460" s="713"/>
      <c r="T460" s="713"/>
      <c r="U460" s="713"/>
      <c r="V460" s="167"/>
      <c r="W460" s="182"/>
      <c r="X460" s="167"/>
      <c r="Y460" s="167"/>
      <c r="Z460" s="167"/>
      <c r="AA460" s="167"/>
      <c r="AB460" s="167"/>
      <c r="AC460" s="167"/>
      <c r="AD460" s="167"/>
      <c r="AE460" s="167"/>
      <c r="AF460" s="167"/>
      <c r="AG460" s="167"/>
      <c r="AH460" s="167"/>
      <c r="AI460" s="167"/>
      <c r="AJ460" s="167"/>
      <c r="AK460" s="167"/>
      <c r="AL460" s="6"/>
      <c r="AM460" s="6"/>
      <c r="AN460" s="6"/>
      <c r="AO460" s="6"/>
      <c r="AP460" s="6"/>
      <c r="AQ460" s="6"/>
    </row>
    <row r="461" spans="1:105" ht="13.95" customHeight="1" x14ac:dyDescent="0.25">
      <c r="B461" s="589">
        <f>$B$2</f>
        <v>20180326</v>
      </c>
      <c r="C461" s="358">
        <f>$B$2</f>
        <v>20180326</v>
      </c>
      <c r="D461" s="358" t="str">
        <f>$F$8</f>
        <v>9999</v>
      </c>
      <c r="E461" s="358" t="str">
        <f>$B$22</f>
        <v>CZCE</v>
      </c>
      <c r="F461" s="189">
        <v>0</v>
      </c>
      <c r="G461" s="189">
        <v>0</v>
      </c>
      <c r="H461" s="189">
        <v>0</v>
      </c>
      <c r="I461" s="189">
        <v>0</v>
      </c>
      <c r="J461" s="189">
        <f>$B$2-1</f>
        <v>20180325</v>
      </c>
      <c r="K461" s="189">
        <v>7</v>
      </c>
      <c r="L461" s="189">
        <v>2</v>
      </c>
      <c r="M461" s="189">
        <v>2</v>
      </c>
      <c r="N461" s="189">
        <v>2</v>
      </c>
      <c r="O461" s="189">
        <v>1</v>
      </c>
      <c r="P461" s="111" t="s">
        <v>1128</v>
      </c>
      <c r="Q461" s="111">
        <f>$B$2</f>
        <v>20180326</v>
      </c>
      <c r="R461" s="205">
        <v>0.53385416666666663</v>
      </c>
      <c r="S461" s="205" t="s">
        <v>1128</v>
      </c>
      <c r="T461" s="111"/>
      <c r="U461" s="111"/>
      <c r="V461" s="167"/>
      <c r="W461" s="182"/>
      <c r="X461" s="167"/>
      <c r="Y461" s="167"/>
      <c r="Z461" s="167"/>
      <c r="AA461" s="167"/>
      <c r="AB461" s="167"/>
      <c r="AC461" s="167"/>
      <c r="AD461" s="167"/>
      <c r="AE461" s="167"/>
      <c r="AF461" s="167"/>
      <c r="AG461" s="167"/>
      <c r="AH461" s="167"/>
      <c r="AI461" s="167"/>
      <c r="AJ461" s="167"/>
      <c r="AK461" s="167"/>
      <c r="AL461" s="6"/>
      <c r="AM461" s="6"/>
      <c r="AN461" s="6"/>
      <c r="AO461" s="6"/>
      <c r="AP461" s="6"/>
      <c r="AQ461" s="6"/>
    </row>
    <row r="462" spans="1:105" s="9" customFormat="1" ht="13.95" customHeight="1" x14ac:dyDescent="0.25">
      <c r="A462" s="616" t="s">
        <v>359</v>
      </c>
      <c r="B462" s="361" t="s">
        <v>1627</v>
      </c>
      <c r="C462" s="361"/>
      <c r="D462" s="361"/>
      <c r="E462" s="361"/>
    </row>
    <row r="463" spans="1:105" s="9" customFormat="1" ht="13.95" customHeight="1" x14ac:dyDescent="0.25">
      <c r="A463" s="617" t="s">
        <v>970</v>
      </c>
      <c r="B463" s="369" t="s">
        <v>1670</v>
      </c>
      <c r="C463" s="369"/>
      <c r="D463" s="361"/>
      <c r="E463" s="361"/>
    </row>
    <row r="464" spans="1:105" s="364" customFormat="1" ht="13.95" customHeight="1" x14ac:dyDescent="0.15">
      <c r="A464" s="616" t="s">
        <v>1628</v>
      </c>
      <c r="B464" s="722" t="s">
        <v>1582</v>
      </c>
      <c r="C464" s="723"/>
      <c r="D464" s="723"/>
      <c r="E464" s="723"/>
      <c r="F464" s="723"/>
      <c r="G464" s="723"/>
      <c r="H464" s="723"/>
      <c r="I464" s="723"/>
      <c r="J464" s="723"/>
      <c r="K464" s="723"/>
      <c r="L464" s="723"/>
      <c r="M464" s="723"/>
      <c r="N464" s="723"/>
      <c r="O464" s="723"/>
      <c r="P464" s="723"/>
      <c r="Q464" s="723"/>
      <c r="R464" s="724"/>
      <c r="S464" s="740" t="s">
        <v>1779</v>
      </c>
      <c r="T464" s="717" t="s">
        <v>1629</v>
      </c>
      <c r="U464" s="717" t="s">
        <v>1630</v>
      </c>
      <c r="V464" s="717" t="s">
        <v>1631</v>
      </c>
      <c r="W464" s="362"/>
      <c r="X464" s="107"/>
      <c r="Y464" s="362"/>
      <c r="Z464" s="362"/>
      <c r="AA464" s="362"/>
      <c r="AB464" s="362"/>
      <c r="AC464" s="362"/>
      <c r="AD464" s="362"/>
      <c r="AE464" s="362"/>
      <c r="AF464" s="362"/>
      <c r="AG464" s="362"/>
      <c r="AH464" s="362"/>
      <c r="AI464" s="362"/>
      <c r="AJ464" s="362"/>
      <c r="AK464" s="362"/>
      <c r="AL464" s="362"/>
      <c r="AM464" s="363"/>
      <c r="AN464" s="363"/>
      <c r="AO464" s="363"/>
      <c r="AP464" s="363"/>
      <c r="AQ464" s="363"/>
      <c r="AR464" s="363"/>
    </row>
    <row r="465" spans="1:44" s="364" customFormat="1" ht="13.95" customHeight="1" x14ac:dyDescent="0.25">
      <c r="A465" s="618"/>
      <c r="B465" s="594" t="s">
        <v>1632</v>
      </c>
      <c r="C465" s="365" t="s">
        <v>1633</v>
      </c>
      <c r="D465" s="365" t="s">
        <v>1634</v>
      </c>
      <c r="E465" s="365" t="s">
        <v>1635</v>
      </c>
      <c r="F465" s="366" t="s">
        <v>1636</v>
      </c>
      <c r="G465" s="366" t="s">
        <v>1637</v>
      </c>
      <c r="H465" s="366" t="s">
        <v>1638</v>
      </c>
      <c r="I465" s="366" t="s">
        <v>1639</v>
      </c>
      <c r="J465" s="366" t="s">
        <v>1640</v>
      </c>
      <c r="K465" s="366" t="s">
        <v>1641</v>
      </c>
      <c r="L465" s="366" t="s">
        <v>1642</v>
      </c>
      <c r="M465" s="366" t="s">
        <v>1643</v>
      </c>
      <c r="N465" s="366" t="s">
        <v>1644</v>
      </c>
      <c r="O465" s="366" t="s">
        <v>1645</v>
      </c>
      <c r="P465" s="366" t="s">
        <v>1646</v>
      </c>
      <c r="Q465" s="366" t="s">
        <v>1647</v>
      </c>
      <c r="R465" s="366" t="s">
        <v>1648</v>
      </c>
      <c r="S465" s="741"/>
      <c r="T465" s="718"/>
      <c r="U465" s="718"/>
      <c r="V465" s="718"/>
      <c r="W465" s="362"/>
      <c r="X465" s="107"/>
      <c r="Y465" s="362"/>
      <c r="Z465" s="362"/>
      <c r="AA465" s="362"/>
      <c r="AB465" s="362"/>
      <c r="AC465" s="362"/>
      <c r="AD465" s="362"/>
      <c r="AE465" s="362"/>
      <c r="AF465" s="362"/>
      <c r="AG465" s="362"/>
      <c r="AH465" s="362"/>
      <c r="AI465" s="362"/>
      <c r="AJ465" s="362"/>
      <c r="AK465" s="362"/>
      <c r="AL465" s="362"/>
      <c r="AM465" s="363"/>
      <c r="AN465" s="363"/>
      <c r="AO465" s="363"/>
      <c r="AP465" s="363"/>
      <c r="AQ465" s="363"/>
      <c r="AR465" s="363"/>
    </row>
    <row r="466" spans="1:44" s="364" customFormat="1" ht="13.95" customHeight="1" x14ac:dyDescent="0.25">
      <c r="A466" s="618"/>
      <c r="B466" s="594">
        <f>$B$2</f>
        <v>20180326</v>
      </c>
      <c r="C466" s="365">
        <f>$B$2</f>
        <v>20180326</v>
      </c>
      <c r="D466" s="365" t="str">
        <f>$F$8</f>
        <v>9999</v>
      </c>
      <c r="E466" s="365" t="str">
        <f>$B$22</f>
        <v>CZCE</v>
      </c>
      <c r="F466" s="366">
        <v>0</v>
      </c>
      <c r="G466" s="366">
        <v>0</v>
      </c>
      <c r="H466" s="366">
        <v>0</v>
      </c>
      <c r="I466" s="366">
        <v>0</v>
      </c>
      <c r="J466" s="366">
        <f>$B$2-1</f>
        <v>20180325</v>
      </c>
      <c r="K466" s="366">
        <v>7</v>
      </c>
      <c r="L466" s="366">
        <v>2</v>
      </c>
      <c r="M466" s="366">
        <v>2</v>
      </c>
      <c r="N466" s="366">
        <v>2</v>
      </c>
      <c r="O466" s="366">
        <v>1</v>
      </c>
      <c r="P466" s="367" t="s">
        <v>1649</v>
      </c>
      <c r="Q466" s="367">
        <f>$B$2</f>
        <v>20180326</v>
      </c>
      <c r="R466" s="368">
        <v>0.53385416666666663</v>
      </c>
      <c r="S466" s="387">
        <v>1</v>
      </c>
      <c r="T466" s="368" t="s">
        <v>1649</v>
      </c>
      <c r="U466" s="367"/>
      <c r="V466" s="367"/>
      <c r="W466" s="362"/>
      <c r="X466" s="107"/>
      <c r="Y466" s="362"/>
      <c r="Z466" s="362"/>
      <c r="AA466" s="362"/>
      <c r="AB466" s="362"/>
      <c r="AC466" s="362"/>
      <c r="AD466" s="362"/>
      <c r="AE466" s="362"/>
      <c r="AF466" s="362"/>
      <c r="AG466" s="362"/>
      <c r="AH466" s="362"/>
      <c r="AI466" s="362"/>
      <c r="AJ466" s="362"/>
      <c r="AK466" s="362"/>
      <c r="AL466" s="362"/>
      <c r="AM466" s="363"/>
      <c r="AN466" s="363"/>
      <c r="AO466" s="363"/>
      <c r="AP466" s="363"/>
      <c r="AQ466" s="363"/>
      <c r="AR466" s="363"/>
    </row>
    <row r="467" spans="1:44" s="9" customFormat="1" ht="13.95" customHeight="1" x14ac:dyDescent="0.25">
      <c r="A467" s="616" t="s">
        <v>359</v>
      </c>
      <c r="B467" s="361" t="s">
        <v>1764</v>
      </c>
    </row>
    <row r="468" spans="1:44" s="9" customFormat="1" ht="13.95" customHeight="1" x14ac:dyDescent="0.25">
      <c r="A468" s="617" t="s">
        <v>970</v>
      </c>
      <c r="B468" s="369" t="s">
        <v>1671</v>
      </c>
      <c r="C468" s="44"/>
    </row>
    <row r="469" spans="1:44" s="364" customFormat="1" x14ac:dyDescent="0.15">
      <c r="A469" s="616" t="s">
        <v>1628</v>
      </c>
      <c r="B469" s="704" t="s">
        <v>1672</v>
      </c>
      <c r="C469" s="705"/>
      <c r="D469" s="705"/>
      <c r="E469" s="705"/>
      <c r="F469" s="705"/>
      <c r="G469" s="705"/>
      <c r="H469" s="705"/>
      <c r="I469" s="705"/>
      <c r="J469" s="705"/>
      <c r="K469" s="705"/>
      <c r="L469" s="705"/>
      <c r="M469" s="705"/>
      <c r="N469" s="705"/>
      <c r="O469" s="705"/>
      <c r="P469" s="705"/>
      <c r="Q469" s="705"/>
      <c r="R469" s="708"/>
      <c r="S469" s="717" t="s">
        <v>1650</v>
      </c>
      <c r="T469" s="717" t="s">
        <v>1651</v>
      </c>
      <c r="U469" s="717" t="s">
        <v>1652</v>
      </c>
      <c r="V469" s="362"/>
      <c r="W469" s="107"/>
      <c r="X469" s="362"/>
      <c r="Y469" s="362"/>
      <c r="Z469" s="362"/>
      <c r="AA469" s="362"/>
      <c r="AB469" s="362"/>
      <c r="AC469" s="362"/>
      <c r="AD469" s="362"/>
      <c r="AE469" s="362"/>
      <c r="AF469" s="362"/>
      <c r="AG469" s="362"/>
      <c r="AH469" s="362"/>
      <c r="AI469" s="362"/>
      <c r="AJ469" s="362"/>
      <c r="AK469" s="362"/>
      <c r="AL469" s="363"/>
      <c r="AM469" s="363"/>
      <c r="AN469" s="363"/>
      <c r="AO469" s="363"/>
      <c r="AP469" s="363"/>
      <c r="AQ469" s="363"/>
    </row>
    <row r="470" spans="1:44" s="364" customFormat="1" ht="12" x14ac:dyDescent="0.25">
      <c r="A470" s="618"/>
      <c r="B470" s="594" t="s">
        <v>1653</v>
      </c>
      <c r="C470" s="365" t="s">
        <v>1654</v>
      </c>
      <c r="D470" s="365" t="s">
        <v>1655</v>
      </c>
      <c r="E470" s="365" t="s">
        <v>1656</v>
      </c>
      <c r="F470" s="366" t="s">
        <v>1657</v>
      </c>
      <c r="G470" s="366" t="s">
        <v>1658</v>
      </c>
      <c r="H470" s="366" t="s">
        <v>1659</v>
      </c>
      <c r="I470" s="366" t="s">
        <v>1660</v>
      </c>
      <c r="J470" s="366" t="s">
        <v>1661</v>
      </c>
      <c r="K470" s="366" t="s">
        <v>1662</v>
      </c>
      <c r="L470" s="366" t="s">
        <v>1663</v>
      </c>
      <c r="M470" s="366" t="s">
        <v>1664</v>
      </c>
      <c r="N470" s="366" t="s">
        <v>1665</v>
      </c>
      <c r="O470" s="366" t="s">
        <v>1666</v>
      </c>
      <c r="P470" s="366" t="s">
        <v>1667</v>
      </c>
      <c r="Q470" s="366" t="s">
        <v>1668</v>
      </c>
      <c r="R470" s="366" t="s">
        <v>1669</v>
      </c>
      <c r="S470" s="718"/>
      <c r="T470" s="718"/>
      <c r="U470" s="718"/>
      <c r="V470" s="362"/>
      <c r="W470" s="107"/>
      <c r="X470" s="362"/>
      <c r="Y470" s="362"/>
      <c r="Z470" s="362"/>
      <c r="AA470" s="362"/>
      <c r="AB470" s="362"/>
      <c r="AC470" s="362"/>
      <c r="AD470" s="362"/>
      <c r="AE470" s="362"/>
      <c r="AF470" s="362"/>
      <c r="AG470" s="362"/>
      <c r="AH470" s="362"/>
      <c r="AI470" s="362"/>
      <c r="AJ470" s="362"/>
      <c r="AK470" s="362"/>
      <c r="AL470" s="363"/>
      <c r="AM470" s="363"/>
      <c r="AN470" s="363"/>
      <c r="AO470" s="363"/>
      <c r="AP470" s="363"/>
      <c r="AQ470" s="363"/>
    </row>
    <row r="471" spans="1:44" s="364" customFormat="1" ht="12" x14ac:dyDescent="0.25">
      <c r="A471" s="618"/>
      <c r="B471" s="594">
        <f>$B$2</f>
        <v>20180326</v>
      </c>
      <c r="C471" s="365">
        <f>$B$2</f>
        <v>20180326</v>
      </c>
      <c r="D471" s="365" t="str">
        <f>$F$8</f>
        <v>9999</v>
      </c>
      <c r="E471" s="365" t="str">
        <f>$B$22</f>
        <v>CZCE</v>
      </c>
      <c r="F471" s="366">
        <v>0</v>
      </c>
      <c r="G471" s="366">
        <v>0</v>
      </c>
      <c r="H471" s="366">
        <v>0</v>
      </c>
      <c r="I471" s="366">
        <v>0</v>
      </c>
      <c r="J471" s="366">
        <f>J466</f>
        <v>20180325</v>
      </c>
      <c r="K471" s="366">
        <v>7</v>
      </c>
      <c r="L471" s="366">
        <v>2</v>
      </c>
      <c r="M471" s="366">
        <v>2</v>
      </c>
      <c r="N471" s="366">
        <v>2</v>
      </c>
      <c r="O471" s="366">
        <v>1</v>
      </c>
      <c r="P471" s="367" t="s">
        <v>1128</v>
      </c>
      <c r="Q471" s="367">
        <f>$B$2</f>
        <v>20180326</v>
      </c>
      <c r="R471" s="368">
        <v>0.53385416666666663</v>
      </c>
      <c r="S471" s="368" t="s">
        <v>1128</v>
      </c>
      <c r="T471" s="367"/>
      <c r="U471" s="367"/>
      <c r="V471" s="362"/>
      <c r="W471" s="107"/>
      <c r="X471" s="362"/>
      <c r="Y471" s="362"/>
      <c r="Z471" s="362"/>
      <c r="AA471" s="362"/>
      <c r="AB471" s="362"/>
      <c r="AC471" s="362"/>
      <c r="AD471" s="362"/>
      <c r="AE471" s="362"/>
      <c r="AF471" s="362"/>
      <c r="AG471" s="362"/>
      <c r="AH471" s="362"/>
      <c r="AI471" s="362"/>
      <c r="AJ471" s="362"/>
      <c r="AK471" s="362"/>
      <c r="AL471" s="363"/>
      <c r="AM471" s="363"/>
      <c r="AN471" s="363"/>
      <c r="AO471" s="363"/>
      <c r="AP471" s="363"/>
      <c r="AQ471" s="363"/>
    </row>
    <row r="472" spans="1:44" s="9" customFormat="1" ht="13.95" customHeight="1" x14ac:dyDescent="0.25">
      <c r="A472" s="616" t="s">
        <v>359</v>
      </c>
      <c r="B472" s="361" t="s">
        <v>1627</v>
      </c>
    </row>
    <row r="473" spans="1:44" s="9" customFormat="1" ht="13.95" customHeight="1" x14ac:dyDescent="0.25">
      <c r="A473" s="617" t="s">
        <v>970</v>
      </c>
      <c r="B473" s="369" t="s">
        <v>1762</v>
      </c>
      <c r="C473" s="44"/>
    </row>
    <row r="474" spans="1:44" s="364" customFormat="1" x14ac:dyDescent="0.15">
      <c r="A474" s="616" t="s">
        <v>306</v>
      </c>
      <c r="B474" s="704" t="s">
        <v>1763</v>
      </c>
      <c r="C474" s="705"/>
      <c r="D474" s="705"/>
      <c r="E474" s="705"/>
      <c r="F474" s="705"/>
      <c r="G474" s="705"/>
      <c r="H474" s="705"/>
      <c r="I474" s="705"/>
      <c r="J474" s="705"/>
      <c r="K474" s="705"/>
      <c r="L474" s="705"/>
      <c r="M474" s="705"/>
      <c r="N474" s="705"/>
      <c r="O474" s="705"/>
      <c r="P474" s="705"/>
      <c r="Q474" s="705"/>
      <c r="R474" s="708"/>
      <c r="S474" s="717" t="s">
        <v>1629</v>
      </c>
      <c r="T474" s="717" t="s">
        <v>1107</v>
      </c>
      <c r="U474" s="717" t="s">
        <v>1254</v>
      </c>
      <c r="V474" s="362"/>
      <c r="W474" s="107"/>
      <c r="X474" s="362"/>
      <c r="Y474" s="362"/>
      <c r="Z474" s="362"/>
      <c r="AA474" s="362"/>
      <c r="AB474" s="362"/>
      <c r="AC474" s="362"/>
      <c r="AD474" s="362"/>
      <c r="AE474" s="362"/>
      <c r="AF474" s="362"/>
      <c r="AG474" s="362"/>
      <c r="AH474" s="362"/>
      <c r="AI474" s="362"/>
      <c r="AJ474" s="362"/>
      <c r="AK474" s="362"/>
      <c r="AL474" s="363"/>
      <c r="AM474" s="363"/>
      <c r="AN474" s="363"/>
      <c r="AO474" s="363"/>
      <c r="AP474" s="363"/>
      <c r="AQ474" s="363"/>
    </row>
    <row r="475" spans="1:44" s="364" customFormat="1" ht="12" x14ac:dyDescent="0.25">
      <c r="A475" s="618"/>
      <c r="B475" s="594" t="s">
        <v>1653</v>
      </c>
      <c r="C475" s="365" t="s">
        <v>1654</v>
      </c>
      <c r="D475" s="365" t="s">
        <v>1655</v>
      </c>
      <c r="E475" s="365" t="s">
        <v>1656</v>
      </c>
      <c r="F475" s="366" t="s">
        <v>1657</v>
      </c>
      <c r="G475" s="366" t="s">
        <v>1658</v>
      </c>
      <c r="H475" s="366" t="s">
        <v>1659</v>
      </c>
      <c r="I475" s="366" t="s">
        <v>1660</v>
      </c>
      <c r="J475" s="366" t="s">
        <v>1640</v>
      </c>
      <c r="K475" s="366" t="s">
        <v>1641</v>
      </c>
      <c r="L475" s="366" t="s">
        <v>1663</v>
      </c>
      <c r="M475" s="366" t="s">
        <v>1664</v>
      </c>
      <c r="N475" s="366" t="s">
        <v>1665</v>
      </c>
      <c r="O475" s="366" t="s">
        <v>1666</v>
      </c>
      <c r="P475" s="366" t="s">
        <v>1147</v>
      </c>
      <c r="Q475" s="366" t="s">
        <v>1227</v>
      </c>
      <c r="R475" s="366" t="s">
        <v>1648</v>
      </c>
      <c r="S475" s="718"/>
      <c r="T475" s="718"/>
      <c r="U475" s="718"/>
      <c r="V475" s="362"/>
      <c r="W475" s="107"/>
      <c r="X475" s="362"/>
      <c r="Y475" s="362"/>
      <c r="Z475" s="362"/>
      <c r="AA475" s="362"/>
      <c r="AB475" s="362"/>
      <c r="AC475" s="362"/>
      <c r="AD475" s="362"/>
      <c r="AE475" s="362"/>
      <c r="AF475" s="362"/>
      <c r="AG475" s="362"/>
      <c r="AH475" s="362"/>
      <c r="AI475" s="362"/>
      <c r="AJ475" s="362"/>
      <c r="AK475" s="362"/>
      <c r="AL475" s="363"/>
      <c r="AM475" s="363"/>
      <c r="AN475" s="363"/>
      <c r="AO475" s="363"/>
      <c r="AP475" s="363"/>
      <c r="AQ475" s="363"/>
    </row>
    <row r="476" spans="1:44" s="364" customFormat="1" ht="12" x14ac:dyDescent="0.25">
      <c r="A476" s="618"/>
      <c r="B476" s="594">
        <f>$B$2</f>
        <v>20180326</v>
      </c>
      <c r="C476" s="365">
        <f>$B$2</f>
        <v>20180326</v>
      </c>
      <c r="D476" s="365" t="str">
        <f>$F$8</f>
        <v>9999</v>
      </c>
      <c r="E476" s="365" t="str">
        <f>$B$22</f>
        <v>CZCE</v>
      </c>
      <c r="F476" s="366">
        <v>0</v>
      </c>
      <c r="G476" s="366">
        <v>0</v>
      </c>
      <c r="H476" s="366">
        <v>0</v>
      </c>
      <c r="I476" s="366">
        <v>0</v>
      </c>
      <c r="J476" s="366">
        <f>$B$2-1</f>
        <v>20180325</v>
      </c>
      <c r="K476" s="366">
        <v>7</v>
      </c>
      <c r="L476" s="366">
        <v>2</v>
      </c>
      <c r="M476" s="366">
        <v>2</v>
      </c>
      <c r="N476" s="366">
        <v>2</v>
      </c>
      <c r="O476" s="366">
        <v>1</v>
      </c>
      <c r="P476" s="367" t="s">
        <v>1128</v>
      </c>
      <c r="Q476" s="367">
        <f>$B$2</f>
        <v>20180326</v>
      </c>
      <c r="R476" s="368">
        <v>0.53385416666666663</v>
      </c>
      <c r="S476" s="368" t="s">
        <v>1128</v>
      </c>
      <c r="T476" s="367"/>
      <c r="U476" s="367"/>
      <c r="V476" s="362"/>
      <c r="W476" s="107"/>
      <c r="X476" s="362"/>
      <c r="Y476" s="362"/>
      <c r="Z476" s="362"/>
      <c r="AA476" s="362"/>
      <c r="AB476" s="362"/>
      <c r="AC476" s="362"/>
      <c r="AD476" s="362"/>
      <c r="AE476" s="362"/>
      <c r="AF476" s="362"/>
      <c r="AG476" s="362"/>
      <c r="AH476" s="362"/>
      <c r="AI476" s="362"/>
      <c r="AJ476" s="362"/>
      <c r="AK476" s="362"/>
      <c r="AL476" s="363"/>
      <c r="AM476" s="363"/>
      <c r="AN476" s="363"/>
      <c r="AO476" s="363"/>
      <c r="AP476" s="363"/>
      <c r="AQ476" s="363"/>
    </row>
    <row r="477" spans="1:44" x14ac:dyDescent="0.25">
      <c r="B477" s="323"/>
      <c r="C477" s="323"/>
      <c r="D477" s="323"/>
      <c r="E477" s="323"/>
      <c r="F477" s="188"/>
      <c r="G477" s="188"/>
      <c r="H477" s="188"/>
      <c r="I477" s="188"/>
      <c r="J477" s="188"/>
      <c r="K477" s="188"/>
      <c r="L477" s="188"/>
      <c r="M477" s="188"/>
      <c r="N477" s="188"/>
      <c r="O477" s="188"/>
      <c r="P477" s="167"/>
      <c r="Q477" s="167"/>
      <c r="R477" s="338"/>
      <c r="S477" s="338"/>
      <c r="T477" s="167"/>
      <c r="U477" s="167"/>
      <c r="V477" s="167"/>
      <c r="W477" s="182"/>
      <c r="X477" s="167"/>
      <c r="Y477" s="167"/>
      <c r="Z477" s="167"/>
      <c r="AA477" s="167"/>
      <c r="AB477" s="167"/>
      <c r="AC477" s="167"/>
      <c r="AD477" s="167"/>
      <c r="AE477" s="167"/>
      <c r="AF477" s="167"/>
      <c r="AG477" s="167"/>
      <c r="AH477" s="167"/>
      <c r="AI477" s="167"/>
      <c r="AJ477" s="167"/>
      <c r="AK477" s="167"/>
      <c r="AL477" s="6"/>
      <c r="AM477" s="6"/>
      <c r="AN477" s="6"/>
      <c r="AO477" s="6"/>
      <c r="AP477" s="6"/>
      <c r="AQ477" s="6"/>
    </row>
    <row r="478" spans="1:44" x14ac:dyDescent="0.25">
      <c r="A478" s="126" t="s">
        <v>359</v>
      </c>
      <c r="B478" t="s">
        <v>358</v>
      </c>
    </row>
    <row r="479" spans="1:44" x14ac:dyDescent="0.25">
      <c r="A479" s="126" t="s">
        <v>373</v>
      </c>
      <c r="B479" t="s">
        <v>1379</v>
      </c>
    </row>
    <row r="480" spans="1:44" x14ac:dyDescent="0.25">
      <c r="A480" s="126" t="s">
        <v>173</v>
      </c>
      <c r="B480" t="s">
        <v>1375</v>
      </c>
      <c r="H480" t="b">
        <f>H512="99999999"</f>
        <v>0</v>
      </c>
    </row>
    <row r="481" spans="1:43" x14ac:dyDescent="0.25">
      <c r="A481" s="126" t="s">
        <v>173</v>
      </c>
      <c r="B481" s="4" t="s">
        <v>1589</v>
      </c>
      <c r="C481" s="4"/>
      <c r="Y481">
        <v>142.30000000000001</v>
      </c>
      <c r="Z481" s="142">
        <f>Y501-Y481</f>
        <v>71.150000000000006</v>
      </c>
    </row>
    <row r="482" spans="1:43" x14ac:dyDescent="0.25">
      <c r="A482" s="168" t="s">
        <v>970</v>
      </c>
      <c r="B482" s="595" t="s">
        <v>971</v>
      </c>
    </row>
    <row r="483" spans="1:43" x14ac:dyDescent="0.25">
      <c r="A483" s="126" t="s">
        <v>975</v>
      </c>
      <c r="B483" s="732" t="s">
        <v>1081</v>
      </c>
      <c r="C483" s="732"/>
      <c r="D483" s="732"/>
      <c r="E483" s="732"/>
      <c r="F483" s="732"/>
      <c r="G483" s="732"/>
      <c r="H483" s="732"/>
      <c r="I483" s="732"/>
      <c r="J483" s="732"/>
      <c r="K483" s="732"/>
      <c r="L483" s="732"/>
      <c r="M483" s="732"/>
      <c r="N483" s="732"/>
      <c r="O483" s="732"/>
      <c r="P483" s="732"/>
      <c r="Q483" s="732"/>
      <c r="R483" s="732"/>
      <c r="S483" s="732"/>
      <c r="T483" s="732"/>
      <c r="U483" s="732"/>
      <c r="V483" s="732"/>
      <c r="W483" s="732"/>
      <c r="X483" s="732"/>
      <c r="Y483" s="732"/>
      <c r="Z483" s="732"/>
      <c r="AA483" s="732"/>
      <c r="AB483" s="732"/>
      <c r="AC483" s="732"/>
      <c r="AD483" s="732"/>
      <c r="AE483" s="732"/>
      <c r="AF483" s="732"/>
      <c r="AG483" s="732"/>
      <c r="AH483" s="732"/>
      <c r="AI483" s="732"/>
      <c r="AJ483" s="732"/>
      <c r="AK483" s="732"/>
      <c r="AL483" s="732"/>
      <c r="AM483" s="732"/>
      <c r="AN483" s="732"/>
      <c r="AO483" s="732"/>
      <c r="AP483" s="732"/>
      <c r="AQ483" s="732"/>
    </row>
    <row r="484" spans="1:43" x14ac:dyDescent="0.25">
      <c r="A484" s="126" t="s">
        <v>359</v>
      </c>
      <c r="B484" s="582" t="s">
        <v>369</v>
      </c>
      <c r="C484" s="7" t="s">
        <v>289</v>
      </c>
      <c r="D484" s="7" t="s">
        <v>308</v>
      </c>
      <c r="E484" s="7" t="s">
        <v>286</v>
      </c>
      <c r="F484" s="7" t="s">
        <v>287</v>
      </c>
      <c r="G484" s="7" t="s">
        <v>288</v>
      </c>
      <c r="H484" s="7" t="s">
        <v>309</v>
      </c>
      <c r="I484" s="29" t="s">
        <v>365</v>
      </c>
      <c r="J484" s="7" t="s">
        <v>326</v>
      </c>
      <c r="K484" s="12" t="s">
        <v>290</v>
      </c>
      <c r="L484" s="7" t="s">
        <v>291</v>
      </c>
      <c r="M484" s="7" t="s">
        <v>292</v>
      </c>
      <c r="N484" s="7" t="s">
        <v>293</v>
      </c>
      <c r="O484" s="12" t="s">
        <v>294</v>
      </c>
      <c r="P484" s="7" t="s">
        <v>9</v>
      </c>
      <c r="Q484" s="100" t="s">
        <v>295</v>
      </c>
      <c r="R484" s="7" t="s">
        <v>336</v>
      </c>
      <c r="S484" s="100" t="s">
        <v>296</v>
      </c>
      <c r="T484" s="7" t="s">
        <v>310</v>
      </c>
      <c r="U484" s="7" t="s">
        <v>1016</v>
      </c>
      <c r="V484" s="7" t="s">
        <v>1015</v>
      </c>
      <c r="W484" s="7" t="s">
        <v>341</v>
      </c>
      <c r="X484" s="7" t="s">
        <v>1014</v>
      </c>
      <c r="Y484" s="7" t="s">
        <v>297</v>
      </c>
      <c r="Z484" s="7" t="s">
        <v>298</v>
      </c>
      <c r="AA484" s="7" t="s">
        <v>316</v>
      </c>
      <c r="AB484" s="7" t="s">
        <v>315</v>
      </c>
      <c r="AC484" s="7" t="s">
        <v>318</v>
      </c>
      <c r="AD484" s="7" t="s">
        <v>319</v>
      </c>
      <c r="AE484" s="7" t="s">
        <v>343</v>
      </c>
      <c r="AF484" s="7" t="s">
        <v>314</v>
      </c>
      <c r="AG484" s="7" t="s">
        <v>313</v>
      </c>
      <c r="AH484" s="7" t="s">
        <v>320</v>
      </c>
      <c r="AI484" s="7" t="s">
        <v>347</v>
      </c>
      <c r="AJ484" s="7" t="s">
        <v>351</v>
      </c>
      <c r="AK484" s="7" t="s">
        <v>352</v>
      </c>
      <c r="AL484" s="7" t="s">
        <v>1017</v>
      </c>
      <c r="AM484" s="7" t="s">
        <v>1013</v>
      </c>
      <c r="AN484" s="7" t="s">
        <v>361</v>
      </c>
      <c r="AO484" s="123" t="s">
        <v>1090</v>
      </c>
      <c r="AP484" s="123" t="s">
        <v>1091</v>
      </c>
      <c r="AQ484" s="123" t="s">
        <v>1092</v>
      </c>
    </row>
    <row r="485" spans="1:43" x14ac:dyDescent="0.25">
      <c r="B485" s="582" t="s">
        <v>370</v>
      </c>
      <c r="C485" s="7" t="s">
        <v>324</v>
      </c>
      <c r="D485" s="7" t="s">
        <v>308</v>
      </c>
      <c r="E485" s="7" t="s">
        <v>321</v>
      </c>
      <c r="F485" s="7" t="s">
        <v>322</v>
      </c>
      <c r="G485" s="7" t="s">
        <v>323</v>
      </c>
      <c r="H485" s="7" t="s">
        <v>309</v>
      </c>
      <c r="I485" s="29" t="s">
        <v>325</v>
      </c>
      <c r="J485" s="7" t="s">
        <v>326</v>
      </c>
      <c r="K485" s="12" t="s">
        <v>327</v>
      </c>
      <c r="L485" s="7" t="s">
        <v>328</v>
      </c>
      <c r="M485" s="7" t="s">
        <v>329</v>
      </c>
      <c r="N485" s="7" t="s">
        <v>330</v>
      </c>
      <c r="O485" s="12" t="s">
        <v>331</v>
      </c>
      <c r="P485" s="7" t="s">
        <v>332</v>
      </c>
      <c r="Q485" s="100" t="s">
        <v>333</v>
      </c>
      <c r="R485" s="7" t="s">
        <v>335</v>
      </c>
      <c r="S485" s="100" t="s">
        <v>334</v>
      </c>
      <c r="T485" s="7" t="s">
        <v>310</v>
      </c>
      <c r="U485" s="7" t="s">
        <v>339</v>
      </c>
      <c r="V485" s="7" t="s">
        <v>340</v>
      </c>
      <c r="W485" s="7" t="s">
        <v>341</v>
      </c>
      <c r="X485" s="7" t="s">
        <v>342</v>
      </c>
      <c r="Y485" s="7" t="s">
        <v>337</v>
      </c>
      <c r="Z485" s="7" t="s">
        <v>338</v>
      </c>
      <c r="AA485" s="7" t="s">
        <v>316</v>
      </c>
      <c r="AB485" s="7" t="s">
        <v>315</v>
      </c>
      <c r="AC485" s="7" t="s">
        <v>318</v>
      </c>
      <c r="AD485" s="7" t="s">
        <v>319</v>
      </c>
      <c r="AE485" s="7" t="s">
        <v>343</v>
      </c>
      <c r="AF485" s="7" t="s">
        <v>344</v>
      </c>
      <c r="AG485" s="7" t="s">
        <v>313</v>
      </c>
      <c r="AH485" s="7" t="s">
        <v>346</v>
      </c>
      <c r="AI485" s="7" t="s">
        <v>345</v>
      </c>
      <c r="AJ485" s="7" t="s">
        <v>353</v>
      </c>
      <c r="AK485" s="7" t="s">
        <v>354</v>
      </c>
      <c r="AL485" s="7" t="s">
        <v>355</v>
      </c>
      <c r="AM485" s="7" t="s">
        <v>1012</v>
      </c>
      <c r="AN485" s="7" t="s">
        <v>362</v>
      </c>
      <c r="AO485" s="123" t="s">
        <v>1090</v>
      </c>
      <c r="AP485" s="123" t="s">
        <v>1091</v>
      </c>
      <c r="AQ485" s="123" t="s">
        <v>1092</v>
      </c>
    </row>
    <row r="486" spans="1:43" x14ac:dyDescent="0.25">
      <c r="A486" s="126" t="str">
        <f>IF(Q486=0,"comment","")</f>
        <v/>
      </c>
      <c r="B486" s="98" t="str">
        <f t="shared" ref="B486:B502" si="27">IF(AND(D486&lt;&gt;"",Q486&lt;&gt;0),CONCATENATE(C486,D486),"")</f>
        <v/>
      </c>
      <c r="C486" s="101" t="str">
        <f>IF(H486=99999999,CONCATENATE(H486,I486),CONCATENATE(I486,H486))</f>
        <v>2018032610000010</v>
      </c>
      <c r="D486" s="108"/>
      <c r="E486" s="92" t="str">
        <f>$B$8</f>
        <v>6001</v>
      </c>
      <c r="F486" s="92" t="str">
        <f>VLOOKUP(E486,$B$8:$C$8,2)</f>
        <v>B00101</v>
      </c>
      <c r="G486" s="92" t="str">
        <f>VLOOKUP(F486,$C$8:$D$9,2)</f>
        <v>6001</v>
      </c>
      <c r="H486" s="92">
        <v>10000010</v>
      </c>
      <c r="I486" s="104">
        <f>$B$2</f>
        <v>20180326</v>
      </c>
      <c r="J486" s="109">
        <f>I486</f>
        <v>20180326</v>
      </c>
      <c r="K486" s="92" t="str">
        <f>$B$22</f>
        <v>CZCE</v>
      </c>
      <c r="L486" s="92" t="str">
        <f>$C$22</f>
        <v>SR807</v>
      </c>
      <c r="M486" s="92">
        <f>VLOOKUP(L486,$C$22:$E$34,3,FALSE)</f>
        <v>10</v>
      </c>
      <c r="N486" s="92">
        <v>0</v>
      </c>
      <c r="O486" s="92">
        <v>1</v>
      </c>
      <c r="P486" s="92">
        <v>3</v>
      </c>
      <c r="Q486" s="92">
        <v>4</v>
      </c>
      <c r="R486" s="92">
        <f t="shared" ref="R486:R525" si="28">IF(N486=0,S486,VLOOKUP(D486,$C$486:$S$561,16,FALSE))</f>
        <v>6100</v>
      </c>
      <c r="S486" s="92">
        <v>6100</v>
      </c>
      <c r="T486" s="92">
        <f t="shared" ref="T486:T527" si="29">VLOOKUP(L486,$C$237:$D$249,2,FALSE)</f>
        <v>6150</v>
      </c>
      <c r="U486" s="12">
        <f>VLOOKUP(AF486,$G$78:$K$117,2,FALSE)</f>
        <v>5.0000000000000001E-4</v>
      </c>
      <c r="V486" s="92">
        <f>VLOOKUP(AF486,$G$78:$K$117,3,FALSE)</f>
        <v>5</v>
      </c>
      <c r="W486" s="92">
        <f>VLOOKUP(AF486,$G$78:$K$117,4,FALSE)</f>
        <v>5.0000000000000001E-4</v>
      </c>
      <c r="X486" s="92">
        <f>VLOOKUP(AF486,$G$78:$K$117,5,FALSE)</f>
        <v>5</v>
      </c>
      <c r="Y486" s="12">
        <f>M486*Q486*S486*U486+Q486*V486</f>
        <v>142</v>
      </c>
      <c r="Z486" s="12">
        <f>M486*Q486*S486*W486+Q486*X486</f>
        <v>142</v>
      </c>
      <c r="AA486" s="110">
        <f>ROUND(Y486,3)</f>
        <v>142</v>
      </c>
      <c r="AB486" s="110">
        <f>ROUND(Z486,3)</f>
        <v>142</v>
      </c>
      <c r="AC486" s="12">
        <f>IF(N486=0,0,IF(I486=J486,IF(O486=1,M486*Q486*(S486-R486),-M486*Q486*(S486-R486)),IF(O486=1,M486*Q486*(T486-S486),-M486*Q486*(T486-S486))))</f>
        <v>0</v>
      </c>
      <c r="AD486" s="12">
        <f>IF(N486=0,0,(IF(O486=1,M486*Q486*(S486-R486),-M486*Q486*(S486-R486))))</f>
        <v>0</v>
      </c>
      <c r="AE486" s="92">
        <f>M486*Q486*S486</f>
        <v>244000</v>
      </c>
      <c r="AF486" s="101" t="str">
        <f t="shared" ref="AF486:AF514" si="30">L486&amp;INT(P486)&amp;INT(N486)</f>
        <v>SR80730</v>
      </c>
      <c r="AG486" s="12" t="s">
        <v>311</v>
      </c>
      <c r="AH486" s="92" t="str">
        <f>$F$8</f>
        <v>9999</v>
      </c>
      <c r="AI486" s="92" t="str">
        <f t="shared" ref="AI486:AI500" si="31">VLOOKUP(F486,$C$8:$G$9,5,FALSE)</f>
        <v>50010001</v>
      </c>
      <c r="AJ486" s="92">
        <f>IF(AM486=0,0,IF(O486=1,M486*Q486*S486,0))</f>
        <v>0</v>
      </c>
      <c r="AK486" s="92">
        <f>IF(AM486=0,0,IF(O486=0,M486*Q486*S486,0))</f>
        <v>0</v>
      </c>
      <c r="AL486" s="92">
        <f xml:space="preserve"> VLOOKUP(L486,$C$22:$K$34,9,FALSE)</f>
        <v>0</v>
      </c>
      <c r="AM486" s="92">
        <f>VLOOKUP(L486,$C$22:$L$34,10,FALSE)</f>
        <v>0</v>
      </c>
      <c r="AN486" s="92" t="str">
        <f>$D$12</f>
        <v>CNY</v>
      </c>
      <c r="AO486">
        <f t="shared" ref="AO486:AO525" si="32">VLOOKUP(AF486,$G$78:$M$117,6,FALSE)</f>
        <v>2.0000000000000001E-4</v>
      </c>
      <c r="AP486">
        <f>VLOOKUP(AF486,$G$78:$M$117,7,FALSE)</f>
        <v>2</v>
      </c>
      <c r="AQ486">
        <f>ROUND(M486*Q486*S486*AO486+Q486*AP486,2)</f>
        <v>56.8</v>
      </c>
    </row>
    <row r="487" spans="1:43" x14ac:dyDescent="0.25">
      <c r="A487" s="126" t="str">
        <f t="shared" ref="A487:A552" si="33">IF(Q487=0,"comment","")</f>
        <v/>
      </c>
      <c r="B487" s="98" t="str">
        <f t="shared" si="27"/>
        <v/>
      </c>
      <c r="C487" s="101" t="str">
        <f t="shared" ref="C487:C552" si="34">IF(H487=99999999,CONCATENATE(H487,I487),CONCATENATE(I487,H487))</f>
        <v>2018032610000011</v>
      </c>
      <c r="D487" s="92"/>
      <c r="E487" s="92" t="str">
        <f t="shared" ref="E487:E499" si="35">$B$8</f>
        <v>6001</v>
      </c>
      <c r="F487" s="92" t="str">
        <f t="shared" ref="F487:F496" si="36">VLOOKUP(E487,$B$8:$C$8,2)</f>
        <v>B00101</v>
      </c>
      <c r="G487" s="92" t="str">
        <f t="shared" ref="G487:G496" si="37">VLOOKUP(F487,$C$8:$D$9,2)</f>
        <v>6001</v>
      </c>
      <c r="H487" s="92">
        <v>10000011</v>
      </c>
      <c r="I487" s="104">
        <f t="shared" ref="I487:I553" si="38">$B$2</f>
        <v>20180326</v>
      </c>
      <c r="J487" s="109">
        <f t="shared" ref="J487:J550" si="39">I487</f>
        <v>20180326</v>
      </c>
      <c r="K487" s="92" t="str">
        <f t="shared" ref="K487:K553" si="40">$B$22</f>
        <v>CZCE</v>
      </c>
      <c r="L487" s="92" t="str">
        <f>$C$22</f>
        <v>SR807</v>
      </c>
      <c r="M487" s="92">
        <f t="shared" ref="M487:M550" si="41">VLOOKUP(L487,$C$22:$E$34,3,FALSE)</f>
        <v>10</v>
      </c>
      <c r="N487" s="92">
        <v>0</v>
      </c>
      <c r="O487" s="92">
        <v>1</v>
      </c>
      <c r="P487" s="92">
        <v>3</v>
      </c>
      <c r="Q487" s="92">
        <v>5</v>
      </c>
      <c r="R487" s="92">
        <f t="shared" si="28"/>
        <v>6101</v>
      </c>
      <c r="S487" s="92">
        <v>6101</v>
      </c>
      <c r="T487" s="92">
        <f t="shared" si="29"/>
        <v>6150</v>
      </c>
      <c r="U487" s="12">
        <f t="shared" ref="U487:U525" si="42">VLOOKUP(AF487,$G$78:$K$117,2,FALSE)</f>
        <v>5.0000000000000001E-4</v>
      </c>
      <c r="V487" s="92">
        <f t="shared" ref="V487:V525" si="43">VLOOKUP(AF487,$G$78:$K$117,3,FALSE)</f>
        <v>5</v>
      </c>
      <c r="W487" s="92">
        <f t="shared" ref="W487:W525" si="44">VLOOKUP(AF487,$G$78:$K$117,4,FALSE)</f>
        <v>5.0000000000000001E-4</v>
      </c>
      <c r="X487" s="92">
        <f t="shared" ref="X487:X525" si="45">VLOOKUP(AF487,$G$78:$K$117,5,FALSE)</f>
        <v>5</v>
      </c>
      <c r="Y487" s="12">
        <f t="shared" ref="Y487:Y502" si="46">M487*Q487*S487*U487+Q487*V487</f>
        <v>177.52500000000001</v>
      </c>
      <c r="Z487" s="12">
        <f t="shared" ref="Z487:Z551" si="47">M487*Q487*S487*W487+Q487*X487</f>
        <v>177.52500000000001</v>
      </c>
      <c r="AA487" s="110">
        <f t="shared" ref="AA487:AA527" si="48">ROUND(Y487,3)</f>
        <v>177.52500000000001</v>
      </c>
      <c r="AB487" s="110">
        <f t="shared" ref="AB487:AB551" si="49">ROUND(Z487,3)</f>
        <v>177.52500000000001</v>
      </c>
      <c r="AC487" s="12">
        <f t="shared" ref="AC487:AC525" si="50">IF(N487=0,0,IF(I487=J487,IF(O487=1,M487*Q487*(S487-R487),-M487*Q487*(S487-R487)),IF(O487=1,M487*Q487*(T487-S487),-M487*Q487*(T487-S487))))</f>
        <v>0</v>
      </c>
      <c r="AD487" s="12">
        <f t="shared" ref="AD487:AD525" si="51">IF(N487=0,0,(IF(O487=1,M487*Q487*(S487-R487),-M487*Q487*(S487-R487))))</f>
        <v>0</v>
      </c>
      <c r="AE487" s="92">
        <f t="shared" ref="AE487:AE553" si="52">M487*Q487*S487</f>
        <v>305050</v>
      </c>
      <c r="AF487" s="101" t="str">
        <f t="shared" si="30"/>
        <v>SR80730</v>
      </c>
      <c r="AG487" s="12" t="s">
        <v>311</v>
      </c>
      <c r="AH487" s="92" t="str">
        <f t="shared" ref="AH487:AH527" si="53">$F$8</f>
        <v>9999</v>
      </c>
      <c r="AI487" s="92" t="str">
        <f t="shared" si="31"/>
        <v>50010001</v>
      </c>
      <c r="AJ487" s="92">
        <f t="shared" ref="AJ487:AJ551" si="54">IF(AM487=0,0,IF(O487=1,M487*Q487*S487,0))</f>
        <v>0</v>
      </c>
      <c r="AK487" s="92">
        <f t="shared" ref="AK487:AK551" si="55">IF(AM487=0,0,IF(O487=0,M487*Q487*S487,0))</f>
        <v>0</v>
      </c>
      <c r="AL487" s="92">
        <f t="shared" ref="AL487:AL550" si="56" xml:space="preserve"> VLOOKUP(L487,$C$22:$K$34,9,FALSE)</f>
        <v>0</v>
      </c>
      <c r="AM487" s="92">
        <f t="shared" ref="AM487:AM550" si="57">VLOOKUP(L487,$C$22:$L$34,10,FALSE)</f>
        <v>0</v>
      </c>
      <c r="AN487" s="92" t="str">
        <f t="shared" ref="AN487:AN527" si="58">$D$12</f>
        <v>CNY</v>
      </c>
      <c r="AO487">
        <f t="shared" si="32"/>
        <v>2.0000000000000001E-4</v>
      </c>
      <c r="AP487">
        <f t="shared" ref="AP487:AP525" si="59">VLOOKUP(AF487,$G$78:$M$117,7,FALSE)</f>
        <v>2</v>
      </c>
      <c r="AQ487">
        <f t="shared" ref="AQ487:AQ551" si="60">ROUND(M487*Q487*S487*AO487+Q487*AP487,2)</f>
        <v>71.010000000000005</v>
      </c>
    </row>
    <row r="488" spans="1:43" s="6" customFormat="1" x14ac:dyDescent="0.25">
      <c r="A488" s="126" t="str">
        <f t="shared" si="33"/>
        <v/>
      </c>
      <c r="B488" s="571" t="str">
        <f t="shared" si="27"/>
        <v/>
      </c>
      <c r="C488" s="101" t="str">
        <f t="shared" si="34"/>
        <v>2018032610000012</v>
      </c>
      <c r="D488" s="111"/>
      <c r="E488" s="111" t="str">
        <f t="shared" si="35"/>
        <v>6001</v>
      </c>
      <c r="F488" s="111" t="str">
        <f t="shared" si="36"/>
        <v>B00101</v>
      </c>
      <c r="G488" s="111" t="str">
        <f t="shared" si="37"/>
        <v>6001</v>
      </c>
      <c r="H488" s="111">
        <v>10000012</v>
      </c>
      <c r="I488" s="104">
        <f t="shared" si="38"/>
        <v>20180326</v>
      </c>
      <c r="J488" s="113">
        <f t="shared" si="39"/>
        <v>20180326</v>
      </c>
      <c r="K488" s="111" t="str">
        <f t="shared" si="40"/>
        <v>CZCE</v>
      </c>
      <c r="L488" s="111" t="str">
        <f t="shared" ref="L488:L499" si="61">$C$22</f>
        <v>SR807</v>
      </c>
      <c r="M488" s="92">
        <f t="shared" si="41"/>
        <v>10</v>
      </c>
      <c r="N488" s="111">
        <v>0</v>
      </c>
      <c r="O488" s="111">
        <v>1</v>
      </c>
      <c r="P488" s="111">
        <v>1</v>
      </c>
      <c r="Q488" s="111">
        <v>6</v>
      </c>
      <c r="R488" s="92">
        <f t="shared" si="28"/>
        <v>6102</v>
      </c>
      <c r="S488" s="111">
        <v>6102</v>
      </c>
      <c r="T488" s="92">
        <f t="shared" si="29"/>
        <v>6150</v>
      </c>
      <c r="U488" s="12">
        <f t="shared" si="42"/>
        <v>5.0000000000000001E-4</v>
      </c>
      <c r="V488" s="92">
        <f t="shared" si="43"/>
        <v>5</v>
      </c>
      <c r="W488" s="92">
        <f t="shared" si="44"/>
        <v>4.0000000000000002E-4</v>
      </c>
      <c r="X488" s="92">
        <f t="shared" si="45"/>
        <v>4</v>
      </c>
      <c r="Y488" s="12">
        <f t="shared" si="46"/>
        <v>213.06</v>
      </c>
      <c r="Z488" s="12">
        <f t="shared" si="47"/>
        <v>170.44800000000001</v>
      </c>
      <c r="AA488" s="110">
        <f t="shared" si="48"/>
        <v>213.06</v>
      </c>
      <c r="AB488" s="110">
        <f t="shared" si="49"/>
        <v>170.44800000000001</v>
      </c>
      <c r="AC488" s="12">
        <f t="shared" si="50"/>
        <v>0</v>
      </c>
      <c r="AD488" s="12">
        <f t="shared" si="51"/>
        <v>0</v>
      </c>
      <c r="AE488" s="92">
        <f t="shared" si="52"/>
        <v>366120</v>
      </c>
      <c r="AF488" s="101" t="str">
        <f t="shared" si="30"/>
        <v>SR80710</v>
      </c>
      <c r="AG488" s="12" t="s">
        <v>311</v>
      </c>
      <c r="AH488" s="111" t="str">
        <f t="shared" si="53"/>
        <v>9999</v>
      </c>
      <c r="AI488" s="111" t="str">
        <f t="shared" si="31"/>
        <v>50010001</v>
      </c>
      <c r="AJ488" s="92">
        <f t="shared" si="54"/>
        <v>0</v>
      </c>
      <c r="AK488" s="92">
        <f t="shared" si="55"/>
        <v>0</v>
      </c>
      <c r="AL488" s="92">
        <f t="shared" si="56"/>
        <v>0</v>
      </c>
      <c r="AM488" s="92">
        <f t="shared" si="57"/>
        <v>0</v>
      </c>
      <c r="AN488" s="111" t="str">
        <f t="shared" si="58"/>
        <v>CNY</v>
      </c>
      <c r="AO488">
        <f t="shared" si="32"/>
        <v>2.0000000000000001E-4</v>
      </c>
      <c r="AP488">
        <f t="shared" si="59"/>
        <v>2</v>
      </c>
      <c r="AQ488">
        <f t="shared" si="60"/>
        <v>85.22</v>
      </c>
    </row>
    <row r="489" spans="1:43" s="6" customFormat="1" x14ac:dyDescent="0.25">
      <c r="A489" s="126" t="str">
        <f t="shared" si="33"/>
        <v/>
      </c>
      <c r="B489" s="571" t="str">
        <f t="shared" si="27"/>
        <v/>
      </c>
      <c r="C489" s="101" t="str">
        <f t="shared" si="34"/>
        <v>2018032610000013</v>
      </c>
      <c r="D489" s="111"/>
      <c r="E489" s="111" t="str">
        <f t="shared" si="35"/>
        <v>6001</v>
      </c>
      <c r="F489" s="111" t="str">
        <f t="shared" si="36"/>
        <v>B00101</v>
      </c>
      <c r="G489" s="111" t="str">
        <f t="shared" si="37"/>
        <v>6001</v>
      </c>
      <c r="H489" s="111">
        <v>10000013</v>
      </c>
      <c r="I489" s="104">
        <f t="shared" si="38"/>
        <v>20180326</v>
      </c>
      <c r="J489" s="113">
        <f t="shared" si="39"/>
        <v>20180326</v>
      </c>
      <c r="K489" s="111" t="str">
        <f t="shared" si="40"/>
        <v>CZCE</v>
      </c>
      <c r="L489" s="111" t="str">
        <f t="shared" si="61"/>
        <v>SR807</v>
      </c>
      <c r="M489" s="92">
        <f t="shared" si="41"/>
        <v>10</v>
      </c>
      <c r="N489" s="111">
        <v>0</v>
      </c>
      <c r="O489" s="111">
        <v>1</v>
      </c>
      <c r="P489" s="111">
        <v>1</v>
      </c>
      <c r="Q489" s="111">
        <v>7</v>
      </c>
      <c r="R489" s="92">
        <f t="shared" si="28"/>
        <v>6103</v>
      </c>
      <c r="S489" s="111">
        <v>6103</v>
      </c>
      <c r="T489" s="92">
        <f t="shared" si="29"/>
        <v>6150</v>
      </c>
      <c r="U489" s="12">
        <f t="shared" si="42"/>
        <v>5.0000000000000001E-4</v>
      </c>
      <c r="V489" s="92">
        <f t="shared" si="43"/>
        <v>5</v>
      </c>
      <c r="W489" s="92">
        <f t="shared" si="44"/>
        <v>4.0000000000000002E-4</v>
      </c>
      <c r="X489" s="92">
        <f t="shared" si="45"/>
        <v>4</v>
      </c>
      <c r="Y489" s="12">
        <f t="shared" si="46"/>
        <v>248.60500000000002</v>
      </c>
      <c r="Z489" s="12">
        <f t="shared" si="47"/>
        <v>198.88400000000001</v>
      </c>
      <c r="AA489" s="110">
        <f t="shared" si="48"/>
        <v>248.60499999999999</v>
      </c>
      <c r="AB489" s="110">
        <f t="shared" si="49"/>
        <v>198.88399999999999</v>
      </c>
      <c r="AC489" s="12">
        <f t="shared" si="50"/>
        <v>0</v>
      </c>
      <c r="AD489" s="12">
        <f t="shared" si="51"/>
        <v>0</v>
      </c>
      <c r="AE489" s="92">
        <f t="shared" si="52"/>
        <v>427210</v>
      </c>
      <c r="AF489" s="101" t="str">
        <f t="shared" si="30"/>
        <v>SR80710</v>
      </c>
      <c r="AG489" s="12" t="s">
        <v>311</v>
      </c>
      <c r="AH489" s="111" t="str">
        <f t="shared" si="53"/>
        <v>9999</v>
      </c>
      <c r="AI489" s="111" t="str">
        <f t="shared" si="31"/>
        <v>50010001</v>
      </c>
      <c r="AJ489" s="92">
        <f t="shared" si="54"/>
        <v>0</v>
      </c>
      <c r="AK489" s="92">
        <f t="shared" si="55"/>
        <v>0</v>
      </c>
      <c r="AL489" s="92">
        <f t="shared" si="56"/>
        <v>0</v>
      </c>
      <c r="AM489" s="92">
        <f t="shared" si="57"/>
        <v>0</v>
      </c>
      <c r="AN489" s="111" t="str">
        <f t="shared" si="58"/>
        <v>CNY</v>
      </c>
      <c r="AO489">
        <f t="shared" si="32"/>
        <v>2.0000000000000001E-4</v>
      </c>
      <c r="AP489">
        <f t="shared" si="59"/>
        <v>2</v>
      </c>
      <c r="AQ489">
        <f t="shared" si="60"/>
        <v>99.44</v>
      </c>
    </row>
    <row r="490" spans="1:43" s="6" customFormat="1" x14ac:dyDescent="0.25">
      <c r="A490" s="126" t="str">
        <f t="shared" si="33"/>
        <v/>
      </c>
      <c r="B490" s="571" t="str">
        <f t="shared" si="27"/>
        <v>20180326100000142018032610000012</v>
      </c>
      <c r="C490" s="101" t="str">
        <f t="shared" si="34"/>
        <v>2018032610000014</v>
      </c>
      <c r="D490" s="153" t="str">
        <f>C488</f>
        <v>2018032610000012</v>
      </c>
      <c r="E490" s="111" t="str">
        <f t="shared" si="35"/>
        <v>6001</v>
      </c>
      <c r="F490" s="111" t="str">
        <f t="shared" si="36"/>
        <v>B00101</v>
      </c>
      <c r="G490" s="111" t="str">
        <f t="shared" si="37"/>
        <v>6001</v>
      </c>
      <c r="H490" s="111">
        <v>10000014</v>
      </c>
      <c r="I490" s="104">
        <f t="shared" si="38"/>
        <v>20180326</v>
      </c>
      <c r="J490" s="113">
        <f t="shared" si="39"/>
        <v>20180326</v>
      </c>
      <c r="K490" s="111" t="str">
        <f t="shared" si="40"/>
        <v>CZCE</v>
      </c>
      <c r="L490" s="111" t="str">
        <f t="shared" si="61"/>
        <v>SR807</v>
      </c>
      <c r="M490" s="92">
        <f t="shared" si="41"/>
        <v>10</v>
      </c>
      <c r="N490" s="111">
        <v>3</v>
      </c>
      <c r="O490" s="111">
        <v>0</v>
      </c>
      <c r="P490" s="111">
        <v>1</v>
      </c>
      <c r="Q490" s="111">
        <v>3</v>
      </c>
      <c r="R490" s="92">
        <f t="shared" si="28"/>
        <v>6102</v>
      </c>
      <c r="S490" s="111">
        <v>6104</v>
      </c>
      <c r="T490" s="92">
        <f t="shared" si="29"/>
        <v>6150</v>
      </c>
      <c r="U490" s="12">
        <f t="shared" si="42"/>
        <v>2.0000000000000001E-4</v>
      </c>
      <c r="V490" s="92">
        <f t="shared" si="43"/>
        <v>2</v>
      </c>
      <c r="W490" s="92">
        <f t="shared" si="44"/>
        <v>1E-4</v>
      </c>
      <c r="X490" s="92">
        <f t="shared" si="45"/>
        <v>1</v>
      </c>
      <c r="Y490" s="12">
        <f t="shared" si="46"/>
        <v>42.624000000000002</v>
      </c>
      <c r="Z490" s="12">
        <f t="shared" si="47"/>
        <v>21.312000000000001</v>
      </c>
      <c r="AA490" s="110">
        <f t="shared" si="48"/>
        <v>42.624000000000002</v>
      </c>
      <c r="AB490" s="110">
        <f t="shared" si="49"/>
        <v>21.312000000000001</v>
      </c>
      <c r="AC490" s="12">
        <f t="shared" si="50"/>
        <v>-60</v>
      </c>
      <c r="AD490" s="12">
        <f t="shared" si="51"/>
        <v>-60</v>
      </c>
      <c r="AE490" s="92">
        <f t="shared" si="52"/>
        <v>183120</v>
      </c>
      <c r="AF490" s="101" t="str">
        <f t="shared" si="30"/>
        <v>SR80713</v>
      </c>
      <c r="AG490" s="12" t="s">
        <v>311</v>
      </c>
      <c r="AH490" s="111" t="str">
        <f t="shared" si="53"/>
        <v>9999</v>
      </c>
      <c r="AI490" s="111" t="str">
        <f t="shared" si="31"/>
        <v>50010001</v>
      </c>
      <c r="AJ490" s="92">
        <f t="shared" si="54"/>
        <v>0</v>
      </c>
      <c r="AK490" s="92">
        <f t="shared" si="55"/>
        <v>0</v>
      </c>
      <c r="AL490" s="92">
        <f t="shared" si="56"/>
        <v>0</v>
      </c>
      <c r="AM490" s="92">
        <f t="shared" si="57"/>
        <v>0</v>
      </c>
      <c r="AN490" s="111" t="str">
        <f t="shared" si="58"/>
        <v>CNY</v>
      </c>
      <c r="AO490">
        <f t="shared" si="32"/>
        <v>2.0000000000000001E-4</v>
      </c>
      <c r="AP490">
        <f t="shared" si="59"/>
        <v>2</v>
      </c>
      <c r="AQ490">
        <f t="shared" si="60"/>
        <v>42.62</v>
      </c>
    </row>
    <row r="491" spans="1:43" s="6" customFormat="1" x14ac:dyDescent="0.25">
      <c r="A491" s="126" t="str">
        <f t="shared" si="33"/>
        <v>comment</v>
      </c>
      <c r="B491" s="571" t="str">
        <f t="shared" si="27"/>
        <v/>
      </c>
      <c r="C491" s="101" t="str">
        <f t="shared" si="34"/>
        <v>2018032610000015</v>
      </c>
      <c r="D491" s="153" t="str">
        <f>C489</f>
        <v>2018032610000013</v>
      </c>
      <c r="E491" s="111" t="str">
        <f t="shared" si="35"/>
        <v>6001</v>
      </c>
      <c r="F491" s="111" t="str">
        <f t="shared" si="36"/>
        <v>B00101</v>
      </c>
      <c r="G491" s="111" t="str">
        <f t="shared" si="37"/>
        <v>6001</v>
      </c>
      <c r="H491" s="111">
        <v>10000015</v>
      </c>
      <c r="I491" s="104">
        <f t="shared" si="38"/>
        <v>20180326</v>
      </c>
      <c r="J491" s="113">
        <f t="shared" si="39"/>
        <v>20180326</v>
      </c>
      <c r="K491" s="111" t="str">
        <f t="shared" si="40"/>
        <v>CZCE</v>
      </c>
      <c r="L491" s="111" t="str">
        <f t="shared" si="61"/>
        <v>SR807</v>
      </c>
      <c r="M491" s="92">
        <f t="shared" si="41"/>
        <v>10</v>
      </c>
      <c r="N491" s="111">
        <v>3</v>
      </c>
      <c r="O491" s="111">
        <v>0</v>
      </c>
      <c r="P491" s="111">
        <v>1</v>
      </c>
      <c r="Q491" s="111">
        <v>0</v>
      </c>
      <c r="R491" s="92">
        <f t="shared" si="28"/>
        <v>6103</v>
      </c>
      <c r="S491" s="111">
        <v>6105</v>
      </c>
      <c r="T491" s="92">
        <f t="shared" si="29"/>
        <v>6150</v>
      </c>
      <c r="U491" s="12">
        <f t="shared" si="42"/>
        <v>2.0000000000000001E-4</v>
      </c>
      <c r="V491" s="92">
        <f t="shared" si="43"/>
        <v>2</v>
      </c>
      <c r="W491" s="92">
        <f t="shared" si="44"/>
        <v>1E-4</v>
      </c>
      <c r="X491" s="92">
        <f t="shared" si="45"/>
        <v>1</v>
      </c>
      <c r="Y491" s="12">
        <f t="shared" si="46"/>
        <v>0</v>
      </c>
      <c r="Z491" s="12">
        <f t="shared" si="47"/>
        <v>0</v>
      </c>
      <c r="AA491" s="110">
        <f t="shared" si="48"/>
        <v>0</v>
      </c>
      <c r="AB491" s="110">
        <f t="shared" si="49"/>
        <v>0</v>
      </c>
      <c r="AC491" s="12">
        <f t="shared" si="50"/>
        <v>0</v>
      </c>
      <c r="AD491" s="12">
        <f t="shared" si="51"/>
        <v>0</v>
      </c>
      <c r="AE491" s="92">
        <f t="shared" si="52"/>
        <v>0</v>
      </c>
      <c r="AF491" s="101" t="str">
        <f t="shared" si="30"/>
        <v>SR80713</v>
      </c>
      <c r="AG491" s="12" t="s">
        <v>311</v>
      </c>
      <c r="AH491" s="111" t="str">
        <f t="shared" si="53"/>
        <v>9999</v>
      </c>
      <c r="AI491" s="111" t="str">
        <f t="shared" si="31"/>
        <v>50010001</v>
      </c>
      <c r="AJ491" s="92">
        <f t="shared" si="54"/>
        <v>0</v>
      </c>
      <c r="AK491" s="92">
        <f t="shared" si="55"/>
        <v>0</v>
      </c>
      <c r="AL491" s="92">
        <f t="shared" si="56"/>
        <v>0</v>
      </c>
      <c r="AM491" s="92">
        <f t="shared" si="57"/>
        <v>0</v>
      </c>
      <c r="AN491" s="111" t="str">
        <f t="shared" si="58"/>
        <v>CNY</v>
      </c>
      <c r="AO491">
        <f t="shared" si="32"/>
        <v>2.0000000000000001E-4</v>
      </c>
      <c r="AP491">
        <f t="shared" si="59"/>
        <v>2</v>
      </c>
      <c r="AQ491">
        <f t="shared" si="60"/>
        <v>0</v>
      </c>
    </row>
    <row r="492" spans="1:43" s="6" customFormat="1" x14ac:dyDescent="0.25">
      <c r="A492" s="126" t="str">
        <f t="shared" si="33"/>
        <v>comment</v>
      </c>
      <c r="B492" s="571" t="str">
        <f t="shared" si="27"/>
        <v/>
      </c>
      <c r="C492" s="101" t="str">
        <f t="shared" si="34"/>
        <v>2018032610000016</v>
      </c>
      <c r="D492" s="153" t="str">
        <f>C486</f>
        <v>2018032610000010</v>
      </c>
      <c r="E492" s="111" t="str">
        <f t="shared" si="35"/>
        <v>6001</v>
      </c>
      <c r="F492" s="111" t="str">
        <f t="shared" si="36"/>
        <v>B00101</v>
      </c>
      <c r="G492" s="111" t="str">
        <f t="shared" si="37"/>
        <v>6001</v>
      </c>
      <c r="H492" s="111">
        <v>10000016</v>
      </c>
      <c r="I492" s="104">
        <f t="shared" si="38"/>
        <v>20180326</v>
      </c>
      <c r="J492" s="113">
        <f t="shared" si="39"/>
        <v>20180326</v>
      </c>
      <c r="K492" s="111" t="str">
        <f t="shared" si="40"/>
        <v>CZCE</v>
      </c>
      <c r="L492" s="111" t="str">
        <f t="shared" si="61"/>
        <v>SR807</v>
      </c>
      <c r="M492" s="92">
        <f t="shared" si="41"/>
        <v>10</v>
      </c>
      <c r="N492" s="111">
        <v>3</v>
      </c>
      <c r="O492" s="111">
        <v>0</v>
      </c>
      <c r="P492" s="111">
        <v>3</v>
      </c>
      <c r="Q492" s="111">
        <v>0</v>
      </c>
      <c r="R492" s="92">
        <f t="shared" si="28"/>
        <v>6100</v>
      </c>
      <c r="S492" s="111">
        <v>6106</v>
      </c>
      <c r="T492" s="92">
        <f t="shared" si="29"/>
        <v>6150</v>
      </c>
      <c r="U492" s="12">
        <f t="shared" si="42"/>
        <v>2.0000000000000001E-4</v>
      </c>
      <c r="V492" s="92">
        <f t="shared" si="43"/>
        <v>2</v>
      </c>
      <c r="W492" s="92">
        <f t="shared" si="44"/>
        <v>2.0000000000000001E-4</v>
      </c>
      <c r="X492" s="92">
        <f t="shared" si="45"/>
        <v>2</v>
      </c>
      <c r="Y492" s="12">
        <f t="shared" si="46"/>
        <v>0</v>
      </c>
      <c r="Z492" s="12">
        <f t="shared" si="47"/>
        <v>0</v>
      </c>
      <c r="AA492" s="110">
        <f t="shared" si="48"/>
        <v>0</v>
      </c>
      <c r="AB492" s="110">
        <f t="shared" si="49"/>
        <v>0</v>
      </c>
      <c r="AC492" s="12">
        <f t="shared" si="50"/>
        <v>0</v>
      </c>
      <c r="AD492" s="12">
        <f t="shared" si="51"/>
        <v>0</v>
      </c>
      <c r="AE492" s="92">
        <f t="shared" si="52"/>
        <v>0</v>
      </c>
      <c r="AF492" s="101" t="str">
        <f t="shared" si="30"/>
        <v>SR80733</v>
      </c>
      <c r="AG492" s="12" t="s">
        <v>311</v>
      </c>
      <c r="AH492" s="111" t="str">
        <f t="shared" si="53"/>
        <v>9999</v>
      </c>
      <c r="AI492" s="111" t="str">
        <f t="shared" si="31"/>
        <v>50010001</v>
      </c>
      <c r="AJ492" s="92">
        <f t="shared" si="54"/>
        <v>0</v>
      </c>
      <c r="AK492" s="92">
        <f t="shared" si="55"/>
        <v>0</v>
      </c>
      <c r="AL492" s="92">
        <f t="shared" si="56"/>
        <v>0</v>
      </c>
      <c r="AM492" s="92">
        <f t="shared" si="57"/>
        <v>0</v>
      </c>
      <c r="AN492" s="111" t="str">
        <f t="shared" si="58"/>
        <v>CNY</v>
      </c>
      <c r="AO492">
        <f t="shared" si="32"/>
        <v>2.0000000000000001E-4</v>
      </c>
      <c r="AP492">
        <f t="shared" si="59"/>
        <v>2</v>
      </c>
      <c r="AQ492">
        <f t="shared" si="60"/>
        <v>0</v>
      </c>
    </row>
    <row r="493" spans="1:43" s="6" customFormat="1" x14ac:dyDescent="0.25">
      <c r="A493" s="126" t="str">
        <f t="shared" si="33"/>
        <v>comment</v>
      </c>
      <c r="B493" s="571" t="str">
        <f t="shared" si="27"/>
        <v/>
      </c>
      <c r="C493" s="101" t="str">
        <f t="shared" si="34"/>
        <v>2018032610000017</v>
      </c>
      <c r="D493" s="153" t="str">
        <f>C487</f>
        <v>2018032610000011</v>
      </c>
      <c r="E493" s="111" t="str">
        <f t="shared" si="35"/>
        <v>6001</v>
      </c>
      <c r="F493" s="111" t="str">
        <f>VLOOKUP(E493,$B$8:$C$8,2)</f>
        <v>B00101</v>
      </c>
      <c r="G493" s="111" t="str">
        <f t="shared" si="37"/>
        <v>6001</v>
      </c>
      <c r="H493" s="111">
        <v>10000017</v>
      </c>
      <c r="I493" s="104">
        <f t="shared" si="38"/>
        <v>20180326</v>
      </c>
      <c r="J493" s="113">
        <f t="shared" si="39"/>
        <v>20180326</v>
      </c>
      <c r="K493" s="111" t="str">
        <f t="shared" si="40"/>
        <v>CZCE</v>
      </c>
      <c r="L493" s="111" t="str">
        <f t="shared" si="61"/>
        <v>SR807</v>
      </c>
      <c r="M493" s="92">
        <f t="shared" si="41"/>
        <v>10</v>
      </c>
      <c r="N493" s="111">
        <v>3</v>
      </c>
      <c r="O493" s="111">
        <v>0</v>
      </c>
      <c r="P493" s="111">
        <v>3</v>
      </c>
      <c r="Q493" s="111">
        <v>0</v>
      </c>
      <c r="R493" s="92">
        <f t="shared" si="28"/>
        <v>6101</v>
      </c>
      <c r="S493" s="111">
        <v>6107</v>
      </c>
      <c r="T493" s="92">
        <f t="shared" si="29"/>
        <v>6150</v>
      </c>
      <c r="U493" s="12">
        <f t="shared" si="42"/>
        <v>2.0000000000000001E-4</v>
      </c>
      <c r="V493" s="92">
        <f t="shared" si="43"/>
        <v>2</v>
      </c>
      <c r="W493" s="92">
        <f t="shared" si="44"/>
        <v>2.0000000000000001E-4</v>
      </c>
      <c r="X493" s="92">
        <f t="shared" si="45"/>
        <v>2</v>
      </c>
      <c r="Y493" s="12">
        <f t="shared" si="46"/>
        <v>0</v>
      </c>
      <c r="Z493" s="12">
        <f t="shared" si="47"/>
        <v>0</v>
      </c>
      <c r="AA493" s="110">
        <f t="shared" si="48"/>
        <v>0</v>
      </c>
      <c r="AB493" s="110">
        <f t="shared" si="49"/>
        <v>0</v>
      </c>
      <c r="AC493" s="12">
        <f t="shared" si="50"/>
        <v>0</v>
      </c>
      <c r="AD493" s="12">
        <f t="shared" si="51"/>
        <v>0</v>
      </c>
      <c r="AE493" s="92">
        <f t="shared" si="52"/>
        <v>0</v>
      </c>
      <c r="AF493" s="101" t="str">
        <f t="shared" si="30"/>
        <v>SR80733</v>
      </c>
      <c r="AG493" s="12" t="s">
        <v>311</v>
      </c>
      <c r="AH493" s="111" t="str">
        <f t="shared" si="53"/>
        <v>9999</v>
      </c>
      <c r="AI493" s="111" t="str">
        <f t="shared" si="31"/>
        <v>50010001</v>
      </c>
      <c r="AJ493" s="92">
        <f t="shared" si="54"/>
        <v>0</v>
      </c>
      <c r="AK493" s="92">
        <f t="shared" si="55"/>
        <v>0</v>
      </c>
      <c r="AL493" s="92">
        <f t="shared" si="56"/>
        <v>0</v>
      </c>
      <c r="AM493" s="92">
        <f t="shared" si="57"/>
        <v>0</v>
      </c>
      <c r="AN493" s="111" t="str">
        <f t="shared" si="58"/>
        <v>CNY</v>
      </c>
      <c r="AO493">
        <f t="shared" si="32"/>
        <v>2.0000000000000001E-4</v>
      </c>
      <c r="AP493">
        <f t="shared" si="59"/>
        <v>2</v>
      </c>
      <c r="AQ493">
        <f t="shared" si="60"/>
        <v>0</v>
      </c>
    </row>
    <row r="494" spans="1:43" s="6" customFormat="1" x14ac:dyDescent="0.25">
      <c r="A494" s="126" t="str">
        <f t="shared" si="33"/>
        <v/>
      </c>
      <c r="B494" s="571" t="str">
        <f t="shared" si="27"/>
        <v/>
      </c>
      <c r="C494" s="101" t="str">
        <f t="shared" si="34"/>
        <v>2018032610000018</v>
      </c>
      <c r="D494" s="111"/>
      <c r="E494" s="111" t="str">
        <f t="shared" si="35"/>
        <v>6001</v>
      </c>
      <c r="F494" s="111" t="str">
        <f t="shared" si="36"/>
        <v>B00101</v>
      </c>
      <c r="G494" s="111" t="str">
        <f t="shared" si="37"/>
        <v>6001</v>
      </c>
      <c r="H494" s="111">
        <v>10000018</v>
      </c>
      <c r="I494" s="104">
        <f t="shared" si="38"/>
        <v>20180326</v>
      </c>
      <c r="J494" s="113">
        <f t="shared" si="39"/>
        <v>20180326</v>
      </c>
      <c r="K494" s="111" t="str">
        <f t="shared" si="40"/>
        <v>CZCE</v>
      </c>
      <c r="L494" s="111" t="str">
        <f t="shared" si="61"/>
        <v>SR807</v>
      </c>
      <c r="M494" s="92">
        <f t="shared" si="41"/>
        <v>10</v>
      </c>
      <c r="N494" s="111">
        <v>0</v>
      </c>
      <c r="O494" s="111">
        <v>0</v>
      </c>
      <c r="P494" s="111">
        <v>3</v>
      </c>
      <c r="Q494" s="111">
        <v>5</v>
      </c>
      <c r="R494" s="92">
        <f t="shared" si="28"/>
        <v>6108</v>
      </c>
      <c r="S494" s="111">
        <v>6108</v>
      </c>
      <c r="T494" s="92">
        <f t="shared" si="29"/>
        <v>6150</v>
      </c>
      <c r="U494" s="12">
        <f t="shared" si="42"/>
        <v>5.0000000000000001E-4</v>
      </c>
      <c r="V494" s="92">
        <f t="shared" si="43"/>
        <v>5</v>
      </c>
      <c r="W494" s="92">
        <f t="shared" si="44"/>
        <v>5.0000000000000001E-4</v>
      </c>
      <c r="X494" s="92">
        <f t="shared" si="45"/>
        <v>5</v>
      </c>
      <c r="Y494" s="12">
        <f t="shared" si="46"/>
        <v>177.70000000000002</v>
      </c>
      <c r="Z494" s="12">
        <f t="shared" si="47"/>
        <v>177.70000000000002</v>
      </c>
      <c r="AA494" s="110">
        <f t="shared" si="48"/>
        <v>177.7</v>
      </c>
      <c r="AB494" s="110">
        <f t="shared" si="49"/>
        <v>177.7</v>
      </c>
      <c r="AC494" s="12">
        <f t="shared" si="50"/>
        <v>0</v>
      </c>
      <c r="AD494" s="12">
        <f t="shared" si="51"/>
        <v>0</v>
      </c>
      <c r="AE494" s="92">
        <f t="shared" si="52"/>
        <v>305400</v>
      </c>
      <c r="AF494" s="101" t="str">
        <f t="shared" si="30"/>
        <v>SR80730</v>
      </c>
      <c r="AG494" s="12" t="s">
        <v>311</v>
      </c>
      <c r="AH494" s="111" t="str">
        <f t="shared" si="53"/>
        <v>9999</v>
      </c>
      <c r="AI494" s="111" t="str">
        <f t="shared" si="31"/>
        <v>50010001</v>
      </c>
      <c r="AJ494" s="92">
        <f t="shared" si="54"/>
        <v>0</v>
      </c>
      <c r="AK494" s="92">
        <f t="shared" si="55"/>
        <v>0</v>
      </c>
      <c r="AL494" s="92">
        <f t="shared" si="56"/>
        <v>0</v>
      </c>
      <c r="AM494" s="92">
        <f t="shared" si="57"/>
        <v>0</v>
      </c>
      <c r="AN494" s="111" t="str">
        <f t="shared" si="58"/>
        <v>CNY</v>
      </c>
      <c r="AO494">
        <f t="shared" si="32"/>
        <v>2.0000000000000001E-4</v>
      </c>
      <c r="AP494">
        <f t="shared" si="59"/>
        <v>2</v>
      </c>
      <c r="AQ494">
        <f t="shared" si="60"/>
        <v>71.08</v>
      </c>
    </row>
    <row r="495" spans="1:43" s="6" customFormat="1" x14ac:dyDescent="0.25">
      <c r="A495" s="126" t="str">
        <f t="shared" si="33"/>
        <v/>
      </c>
      <c r="B495" s="571" t="str">
        <f t="shared" si="27"/>
        <v/>
      </c>
      <c r="C495" s="101" t="str">
        <f t="shared" si="34"/>
        <v>2018032610000019</v>
      </c>
      <c r="D495" s="111"/>
      <c r="E495" s="111" t="str">
        <f t="shared" si="35"/>
        <v>6001</v>
      </c>
      <c r="F495" s="111" t="str">
        <f t="shared" si="36"/>
        <v>B00101</v>
      </c>
      <c r="G495" s="111" t="str">
        <f t="shared" si="37"/>
        <v>6001</v>
      </c>
      <c r="H495" s="111">
        <v>10000019</v>
      </c>
      <c r="I495" s="104">
        <f t="shared" si="38"/>
        <v>20180326</v>
      </c>
      <c r="J495" s="113">
        <f t="shared" si="39"/>
        <v>20180326</v>
      </c>
      <c r="K495" s="111" t="str">
        <f t="shared" si="40"/>
        <v>CZCE</v>
      </c>
      <c r="L495" s="111" t="str">
        <f t="shared" si="61"/>
        <v>SR807</v>
      </c>
      <c r="M495" s="92">
        <f t="shared" si="41"/>
        <v>10</v>
      </c>
      <c r="N495" s="111">
        <v>0</v>
      </c>
      <c r="O495" s="111">
        <v>0</v>
      </c>
      <c r="P495" s="111">
        <v>1</v>
      </c>
      <c r="Q495" s="111">
        <v>1</v>
      </c>
      <c r="R495" s="92">
        <f t="shared" si="28"/>
        <v>6109</v>
      </c>
      <c r="S495" s="111">
        <v>6109</v>
      </c>
      <c r="T495" s="92">
        <f t="shared" si="29"/>
        <v>6150</v>
      </c>
      <c r="U495" s="12">
        <f t="shared" si="42"/>
        <v>5.0000000000000001E-4</v>
      </c>
      <c r="V495" s="92">
        <f t="shared" si="43"/>
        <v>5</v>
      </c>
      <c r="W495" s="92">
        <f t="shared" si="44"/>
        <v>4.0000000000000002E-4</v>
      </c>
      <c r="X495" s="92">
        <f t="shared" si="45"/>
        <v>4</v>
      </c>
      <c r="Y495" s="12">
        <f t="shared" si="46"/>
        <v>35.545000000000002</v>
      </c>
      <c r="Z495" s="12">
        <f t="shared" si="47"/>
        <v>28.436</v>
      </c>
      <c r="AA495" s="110">
        <f t="shared" si="48"/>
        <v>35.545000000000002</v>
      </c>
      <c r="AB495" s="110">
        <f t="shared" si="49"/>
        <v>28.436</v>
      </c>
      <c r="AC495" s="12">
        <f t="shared" si="50"/>
        <v>0</v>
      </c>
      <c r="AD495" s="12">
        <f t="shared" si="51"/>
        <v>0</v>
      </c>
      <c r="AE495" s="92">
        <f t="shared" si="52"/>
        <v>61090</v>
      </c>
      <c r="AF495" s="101" t="str">
        <f t="shared" si="30"/>
        <v>SR80710</v>
      </c>
      <c r="AG495" s="12" t="s">
        <v>311</v>
      </c>
      <c r="AH495" s="111" t="str">
        <f t="shared" si="53"/>
        <v>9999</v>
      </c>
      <c r="AI495" s="111" t="str">
        <f t="shared" si="31"/>
        <v>50010001</v>
      </c>
      <c r="AJ495" s="92">
        <f t="shared" si="54"/>
        <v>0</v>
      </c>
      <c r="AK495" s="92">
        <f t="shared" si="55"/>
        <v>0</v>
      </c>
      <c r="AL495" s="92">
        <f t="shared" si="56"/>
        <v>0</v>
      </c>
      <c r="AM495" s="92">
        <f t="shared" si="57"/>
        <v>0</v>
      </c>
      <c r="AN495" s="111" t="str">
        <f t="shared" si="58"/>
        <v>CNY</v>
      </c>
      <c r="AO495">
        <f t="shared" si="32"/>
        <v>2.0000000000000001E-4</v>
      </c>
      <c r="AP495">
        <f t="shared" si="59"/>
        <v>2</v>
      </c>
      <c r="AQ495">
        <f t="shared" si="60"/>
        <v>14.22</v>
      </c>
    </row>
    <row r="496" spans="1:43" s="6" customFormat="1" x14ac:dyDescent="0.25">
      <c r="A496" s="126" t="str">
        <f t="shared" si="33"/>
        <v/>
      </c>
      <c r="B496" s="571" t="str">
        <f t="shared" si="27"/>
        <v/>
      </c>
      <c r="C496" s="101" t="str">
        <f t="shared" si="34"/>
        <v>2018032610000020</v>
      </c>
      <c r="D496" s="111"/>
      <c r="E496" s="111" t="str">
        <f t="shared" si="35"/>
        <v>6001</v>
      </c>
      <c r="F496" s="111" t="str">
        <f t="shared" si="36"/>
        <v>B00101</v>
      </c>
      <c r="G496" s="111" t="str">
        <f t="shared" si="37"/>
        <v>6001</v>
      </c>
      <c r="H496" s="111">
        <v>10000020</v>
      </c>
      <c r="I496" s="104">
        <f t="shared" si="38"/>
        <v>20180326</v>
      </c>
      <c r="J496" s="113">
        <f t="shared" si="39"/>
        <v>20180326</v>
      </c>
      <c r="K496" s="111" t="str">
        <f t="shared" si="40"/>
        <v>CZCE</v>
      </c>
      <c r="L496" s="111" t="str">
        <f t="shared" si="61"/>
        <v>SR807</v>
      </c>
      <c r="M496" s="92">
        <f t="shared" si="41"/>
        <v>10</v>
      </c>
      <c r="N496" s="111">
        <v>0</v>
      </c>
      <c r="O496" s="111">
        <v>0</v>
      </c>
      <c r="P496" s="111">
        <v>1</v>
      </c>
      <c r="Q496" s="111">
        <v>10</v>
      </c>
      <c r="R496" s="92">
        <f t="shared" si="28"/>
        <v>6110</v>
      </c>
      <c r="S496" s="111">
        <v>6110</v>
      </c>
      <c r="T496" s="92">
        <f t="shared" si="29"/>
        <v>6150</v>
      </c>
      <c r="U496" s="12">
        <f t="shared" si="42"/>
        <v>5.0000000000000001E-4</v>
      </c>
      <c r="V496" s="92">
        <f t="shared" si="43"/>
        <v>5</v>
      </c>
      <c r="W496" s="92">
        <f t="shared" si="44"/>
        <v>4.0000000000000002E-4</v>
      </c>
      <c r="X496" s="92">
        <f t="shared" si="45"/>
        <v>4</v>
      </c>
      <c r="Y496" s="12">
        <f t="shared" si="46"/>
        <v>355.5</v>
      </c>
      <c r="Z496" s="12">
        <f t="shared" si="47"/>
        <v>284.39999999999998</v>
      </c>
      <c r="AA496" s="110">
        <f t="shared" si="48"/>
        <v>355.5</v>
      </c>
      <c r="AB496" s="110">
        <f t="shared" si="49"/>
        <v>284.39999999999998</v>
      </c>
      <c r="AC496" s="12">
        <f t="shared" si="50"/>
        <v>0</v>
      </c>
      <c r="AD496" s="12">
        <f t="shared" si="51"/>
        <v>0</v>
      </c>
      <c r="AE496" s="92">
        <f t="shared" si="52"/>
        <v>611000</v>
      </c>
      <c r="AF496" s="101" t="str">
        <f t="shared" si="30"/>
        <v>SR80710</v>
      </c>
      <c r="AG496" s="12" t="s">
        <v>311</v>
      </c>
      <c r="AH496" s="111" t="str">
        <f t="shared" si="53"/>
        <v>9999</v>
      </c>
      <c r="AI496" s="111" t="str">
        <f t="shared" si="31"/>
        <v>50010001</v>
      </c>
      <c r="AJ496" s="92">
        <f t="shared" si="54"/>
        <v>0</v>
      </c>
      <c r="AK496" s="92">
        <f t="shared" si="55"/>
        <v>0</v>
      </c>
      <c r="AL496" s="92">
        <f t="shared" si="56"/>
        <v>0</v>
      </c>
      <c r="AM496" s="92">
        <f t="shared" si="57"/>
        <v>0</v>
      </c>
      <c r="AN496" s="111" t="str">
        <f t="shared" si="58"/>
        <v>CNY</v>
      </c>
      <c r="AO496">
        <f t="shared" si="32"/>
        <v>2.0000000000000001E-4</v>
      </c>
      <c r="AP496">
        <f t="shared" si="59"/>
        <v>2</v>
      </c>
      <c r="AQ496">
        <f t="shared" si="60"/>
        <v>142.19999999999999</v>
      </c>
    </row>
    <row r="497" spans="1:220" s="6" customFormat="1" x14ac:dyDescent="0.25">
      <c r="A497" s="126" t="str">
        <f t="shared" si="33"/>
        <v/>
      </c>
      <c r="B497" s="571" t="str">
        <f t="shared" si="27"/>
        <v>20180326100000212018032610000019</v>
      </c>
      <c r="C497" s="101" t="str">
        <f t="shared" si="34"/>
        <v>2018032610000021</v>
      </c>
      <c r="D497" s="153" t="str">
        <f>C495</f>
        <v>2018032610000019</v>
      </c>
      <c r="E497" s="111" t="str">
        <f t="shared" si="35"/>
        <v>6001</v>
      </c>
      <c r="F497" s="111" t="str">
        <f t="shared" ref="F497:F499" si="62">VLOOKUP(E497,$B$8:$C$8,2)</f>
        <v>B00101</v>
      </c>
      <c r="G497" s="111" t="str">
        <f t="shared" ref="G497:G499" si="63">VLOOKUP(F497,$C$8:$D$9,2)</f>
        <v>6001</v>
      </c>
      <c r="H497" s="111">
        <v>10000021</v>
      </c>
      <c r="I497" s="104">
        <f t="shared" si="38"/>
        <v>20180326</v>
      </c>
      <c r="J497" s="113">
        <f t="shared" si="39"/>
        <v>20180326</v>
      </c>
      <c r="K497" s="111" t="str">
        <f t="shared" si="40"/>
        <v>CZCE</v>
      </c>
      <c r="L497" s="111" t="str">
        <f t="shared" si="61"/>
        <v>SR807</v>
      </c>
      <c r="M497" s="92">
        <f t="shared" si="41"/>
        <v>10</v>
      </c>
      <c r="N497" s="111">
        <v>3</v>
      </c>
      <c r="O497" s="111">
        <v>1</v>
      </c>
      <c r="P497" s="111">
        <v>1</v>
      </c>
      <c r="Q497" s="111">
        <v>1</v>
      </c>
      <c r="R497" s="92">
        <f t="shared" si="28"/>
        <v>6109</v>
      </c>
      <c r="S497" s="111">
        <v>6111</v>
      </c>
      <c r="T497" s="92">
        <f t="shared" si="29"/>
        <v>6150</v>
      </c>
      <c r="U497" s="12">
        <f t="shared" si="42"/>
        <v>2.0000000000000001E-4</v>
      </c>
      <c r="V497" s="92">
        <f t="shared" si="43"/>
        <v>2</v>
      </c>
      <c r="W497" s="92">
        <f t="shared" si="44"/>
        <v>1E-4</v>
      </c>
      <c r="X497" s="92">
        <f t="shared" si="45"/>
        <v>1</v>
      </c>
      <c r="Y497" s="12">
        <f t="shared" si="46"/>
        <v>14.222000000000001</v>
      </c>
      <c r="Z497" s="12">
        <f t="shared" si="47"/>
        <v>7.1110000000000007</v>
      </c>
      <c r="AA497" s="110">
        <f t="shared" si="48"/>
        <v>14.222</v>
      </c>
      <c r="AB497" s="110">
        <f t="shared" si="49"/>
        <v>7.1109999999999998</v>
      </c>
      <c r="AC497" s="12">
        <f t="shared" si="50"/>
        <v>20</v>
      </c>
      <c r="AD497" s="12">
        <f t="shared" si="51"/>
        <v>20</v>
      </c>
      <c r="AE497" s="92">
        <f t="shared" si="52"/>
        <v>61110</v>
      </c>
      <c r="AF497" s="101" t="str">
        <f t="shared" si="30"/>
        <v>SR80713</v>
      </c>
      <c r="AG497" s="12" t="s">
        <v>311</v>
      </c>
      <c r="AH497" s="111" t="str">
        <f t="shared" si="53"/>
        <v>9999</v>
      </c>
      <c r="AI497" s="111" t="str">
        <f t="shared" si="31"/>
        <v>50010001</v>
      </c>
      <c r="AJ497" s="92">
        <f t="shared" si="54"/>
        <v>0</v>
      </c>
      <c r="AK497" s="92">
        <f t="shared" si="55"/>
        <v>0</v>
      </c>
      <c r="AL497" s="92">
        <f t="shared" si="56"/>
        <v>0</v>
      </c>
      <c r="AM497" s="92">
        <f t="shared" si="57"/>
        <v>0</v>
      </c>
      <c r="AN497" s="111" t="str">
        <f t="shared" si="58"/>
        <v>CNY</v>
      </c>
      <c r="AO497">
        <f t="shared" si="32"/>
        <v>2.0000000000000001E-4</v>
      </c>
      <c r="AP497">
        <f t="shared" si="59"/>
        <v>2</v>
      </c>
      <c r="AQ497">
        <f t="shared" si="60"/>
        <v>14.22</v>
      </c>
    </row>
    <row r="498" spans="1:220" s="6" customFormat="1" x14ac:dyDescent="0.25">
      <c r="A498" s="126" t="str">
        <f t="shared" si="33"/>
        <v/>
      </c>
      <c r="B498" s="571" t="str">
        <f t="shared" si="27"/>
        <v>20180326100000222018032610000020</v>
      </c>
      <c r="C498" s="101" t="str">
        <f t="shared" si="34"/>
        <v>2018032610000022</v>
      </c>
      <c r="D498" s="153" t="str">
        <f>C496</f>
        <v>2018032610000020</v>
      </c>
      <c r="E498" s="111" t="str">
        <f t="shared" si="35"/>
        <v>6001</v>
      </c>
      <c r="F498" s="111" t="str">
        <f t="shared" si="62"/>
        <v>B00101</v>
      </c>
      <c r="G498" s="111" t="str">
        <f t="shared" si="63"/>
        <v>6001</v>
      </c>
      <c r="H498" s="111">
        <v>10000022</v>
      </c>
      <c r="I498" s="104">
        <f t="shared" si="38"/>
        <v>20180326</v>
      </c>
      <c r="J498" s="113">
        <f t="shared" si="39"/>
        <v>20180326</v>
      </c>
      <c r="K498" s="111" t="str">
        <f t="shared" si="40"/>
        <v>CZCE</v>
      </c>
      <c r="L498" s="111" t="str">
        <f t="shared" si="61"/>
        <v>SR807</v>
      </c>
      <c r="M498" s="92">
        <f t="shared" si="41"/>
        <v>10</v>
      </c>
      <c r="N498" s="111">
        <v>3</v>
      </c>
      <c r="O498" s="111">
        <v>1</v>
      </c>
      <c r="P498" s="111">
        <v>1</v>
      </c>
      <c r="Q498" s="111">
        <v>2</v>
      </c>
      <c r="R498" s="92">
        <f t="shared" si="28"/>
        <v>6110</v>
      </c>
      <c r="S498" s="111">
        <v>6112</v>
      </c>
      <c r="T498" s="92">
        <f t="shared" si="29"/>
        <v>6150</v>
      </c>
      <c r="U498" s="12">
        <f t="shared" si="42"/>
        <v>2.0000000000000001E-4</v>
      </c>
      <c r="V498" s="92">
        <f t="shared" si="43"/>
        <v>2</v>
      </c>
      <c r="W498" s="92">
        <f t="shared" si="44"/>
        <v>1E-4</v>
      </c>
      <c r="X498" s="92">
        <f t="shared" si="45"/>
        <v>1</v>
      </c>
      <c r="Y498" s="12">
        <f t="shared" si="46"/>
        <v>28.448</v>
      </c>
      <c r="Z498" s="12">
        <f t="shared" si="47"/>
        <v>14.224</v>
      </c>
      <c r="AA498" s="110">
        <f t="shared" si="48"/>
        <v>28.448</v>
      </c>
      <c r="AB498" s="110">
        <f t="shared" si="49"/>
        <v>14.224</v>
      </c>
      <c r="AC498" s="12">
        <f t="shared" si="50"/>
        <v>40</v>
      </c>
      <c r="AD498" s="12">
        <f t="shared" si="51"/>
        <v>40</v>
      </c>
      <c r="AE498" s="92">
        <f t="shared" si="52"/>
        <v>122240</v>
      </c>
      <c r="AF498" s="101" t="str">
        <f t="shared" si="30"/>
        <v>SR80713</v>
      </c>
      <c r="AG498" s="12" t="s">
        <v>311</v>
      </c>
      <c r="AH498" s="111" t="str">
        <f t="shared" si="53"/>
        <v>9999</v>
      </c>
      <c r="AI498" s="111" t="str">
        <f t="shared" si="31"/>
        <v>50010001</v>
      </c>
      <c r="AJ498" s="92">
        <f t="shared" si="54"/>
        <v>0</v>
      </c>
      <c r="AK498" s="92">
        <f t="shared" si="55"/>
        <v>0</v>
      </c>
      <c r="AL498" s="92">
        <f t="shared" si="56"/>
        <v>0</v>
      </c>
      <c r="AM498" s="92">
        <f t="shared" si="57"/>
        <v>0</v>
      </c>
      <c r="AN498" s="111" t="str">
        <f t="shared" si="58"/>
        <v>CNY</v>
      </c>
      <c r="AO498">
        <f t="shared" si="32"/>
        <v>2.0000000000000001E-4</v>
      </c>
      <c r="AP498">
        <f t="shared" si="59"/>
        <v>2</v>
      </c>
      <c r="AQ498">
        <f t="shared" si="60"/>
        <v>28.45</v>
      </c>
    </row>
    <row r="499" spans="1:220" s="6" customFormat="1" x14ac:dyDescent="0.25">
      <c r="A499" s="126" t="str">
        <f t="shared" si="33"/>
        <v>comment</v>
      </c>
      <c r="B499" s="571" t="str">
        <f t="shared" si="27"/>
        <v/>
      </c>
      <c r="C499" s="101" t="str">
        <f t="shared" si="34"/>
        <v>2018032610000023</v>
      </c>
      <c r="D499" s="153" t="str">
        <f>C494</f>
        <v>2018032610000018</v>
      </c>
      <c r="E499" s="111" t="str">
        <f t="shared" si="35"/>
        <v>6001</v>
      </c>
      <c r="F499" s="111" t="str">
        <f t="shared" si="62"/>
        <v>B00101</v>
      </c>
      <c r="G499" s="111" t="str">
        <f t="shared" si="63"/>
        <v>6001</v>
      </c>
      <c r="H499" s="111">
        <v>10000023</v>
      </c>
      <c r="I499" s="104">
        <f t="shared" si="38"/>
        <v>20180326</v>
      </c>
      <c r="J499" s="113">
        <f t="shared" si="39"/>
        <v>20180326</v>
      </c>
      <c r="K499" s="111" t="str">
        <f t="shared" si="40"/>
        <v>CZCE</v>
      </c>
      <c r="L499" s="111" t="str">
        <f t="shared" si="61"/>
        <v>SR807</v>
      </c>
      <c r="M499" s="92">
        <f t="shared" si="41"/>
        <v>10</v>
      </c>
      <c r="N499" s="111">
        <v>3</v>
      </c>
      <c r="O499" s="111">
        <v>1</v>
      </c>
      <c r="P499" s="111">
        <v>3</v>
      </c>
      <c r="Q499" s="111">
        <v>0</v>
      </c>
      <c r="R499" s="92">
        <f t="shared" si="28"/>
        <v>6108</v>
      </c>
      <c r="S499" s="111">
        <v>6113</v>
      </c>
      <c r="T499" s="92">
        <f t="shared" si="29"/>
        <v>6150</v>
      </c>
      <c r="U499" s="12">
        <f t="shared" si="42"/>
        <v>2.0000000000000001E-4</v>
      </c>
      <c r="V499" s="92">
        <f t="shared" si="43"/>
        <v>2</v>
      </c>
      <c r="W499" s="92">
        <f t="shared" si="44"/>
        <v>2.0000000000000001E-4</v>
      </c>
      <c r="X499" s="92">
        <f t="shared" si="45"/>
        <v>2</v>
      </c>
      <c r="Y499" s="12">
        <f t="shared" si="46"/>
        <v>0</v>
      </c>
      <c r="Z499" s="12">
        <f t="shared" si="47"/>
        <v>0</v>
      </c>
      <c r="AA499" s="110">
        <f t="shared" si="48"/>
        <v>0</v>
      </c>
      <c r="AB499" s="110">
        <f t="shared" si="49"/>
        <v>0</v>
      </c>
      <c r="AC499" s="12">
        <f t="shared" si="50"/>
        <v>0</v>
      </c>
      <c r="AD499" s="12">
        <f t="shared" si="51"/>
        <v>0</v>
      </c>
      <c r="AE499" s="92">
        <f t="shared" si="52"/>
        <v>0</v>
      </c>
      <c r="AF499" s="101" t="str">
        <f t="shared" si="30"/>
        <v>SR80733</v>
      </c>
      <c r="AG499" s="12" t="s">
        <v>311</v>
      </c>
      <c r="AH499" s="111" t="str">
        <f t="shared" si="53"/>
        <v>9999</v>
      </c>
      <c r="AI499" s="111" t="str">
        <f t="shared" si="31"/>
        <v>50010001</v>
      </c>
      <c r="AJ499" s="92">
        <f t="shared" si="54"/>
        <v>0</v>
      </c>
      <c r="AK499" s="92">
        <f t="shared" si="55"/>
        <v>0</v>
      </c>
      <c r="AL499" s="92">
        <f t="shared" si="56"/>
        <v>0</v>
      </c>
      <c r="AM499" s="92">
        <f t="shared" si="57"/>
        <v>0</v>
      </c>
      <c r="AN499" s="111" t="str">
        <f t="shared" si="58"/>
        <v>CNY</v>
      </c>
      <c r="AO499">
        <f t="shared" si="32"/>
        <v>2.0000000000000001E-4</v>
      </c>
      <c r="AP499">
        <f t="shared" si="59"/>
        <v>2</v>
      </c>
      <c r="AQ499">
        <f t="shared" si="60"/>
        <v>0</v>
      </c>
    </row>
    <row r="500" spans="1:220" s="156" customFormat="1" x14ac:dyDescent="0.25">
      <c r="A500" s="126" t="str">
        <f t="shared" si="33"/>
        <v/>
      </c>
      <c r="B500" s="571" t="str">
        <f t="shared" si="27"/>
        <v/>
      </c>
      <c r="C500" s="101" t="str">
        <f t="shared" si="34"/>
        <v>2018032610000024</v>
      </c>
      <c r="D500" s="112"/>
      <c r="E500" s="112" t="str">
        <f t="shared" ref="E500:E527" si="64">$B$8</f>
        <v>6001</v>
      </c>
      <c r="F500" s="112" t="str">
        <f t="shared" ref="F500:F521" si="65">VLOOKUP(E500,$B$8:$C$8,2)</f>
        <v>B00101</v>
      </c>
      <c r="G500" s="112" t="str">
        <f t="shared" ref="G500:G521" si="66">VLOOKUP(F500,$C$8:$D$9,2)</f>
        <v>6001</v>
      </c>
      <c r="H500" s="112">
        <v>10000024</v>
      </c>
      <c r="I500" s="104">
        <f t="shared" si="38"/>
        <v>20180326</v>
      </c>
      <c r="J500" s="155">
        <f t="shared" si="39"/>
        <v>20180326</v>
      </c>
      <c r="K500" s="111" t="str">
        <f t="shared" si="40"/>
        <v>CZCE</v>
      </c>
      <c r="L500" s="112" t="str">
        <f>$C$23</f>
        <v>SR809</v>
      </c>
      <c r="M500" s="92">
        <f t="shared" si="41"/>
        <v>10</v>
      </c>
      <c r="N500" s="112">
        <v>0</v>
      </c>
      <c r="O500" s="112">
        <v>1</v>
      </c>
      <c r="P500" s="112">
        <v>1</v>
      </c>
      <c r="Q500" s="112">
        <v>2</v>
      </c>
      <c r="R500" s="92">
        <f t="shared" si="28"/>
        <v>6114</v>
      </c>
      <c r="S500" s="111">
        <v>6114</v>
      </c>
      <c r="T500" s="92">
        <f t="shared" si="29"/>
        <v>6155</v>
      </c>
      <c r="U500" s="12">
        <f t="shared" si="42"/>
        <v>5.0000000000000001E-4</v>
      </c>
      <c r="V500" s="92">
        <f t="shared" si="43"/>
        <v>5</v>
      </c>
      <c r="W500" s="92">
        <f t="shared" si="44"/>
        <v>4.0000000000000002E-4</v>
      </c>
      <c r="X500" s="92">
        <f t="shared" si="45"/>
        <v>4</v>
      </c>
      <c r="Y500" s="12">
        <f t="shared" si="46"/>
        <v>71.14</v>
      </c>
      <c r="Z500" s="12">
        <f t="shared" si="47"/>
        <v>56.911999999999999</v>
      </c>
      <c r="AA500" s="110">
        <f t="shared" si="48"/>
        <v>71.14</v>
      </c>
      <c r="AB500" s="110">
        <f t="shared" si="49"/>
        <v>56.911999999999999</v>
      </c>
      <c r="AC500" s="12">
        <f t="shared" si="50"/>
        <v>0</v>
      </c>
      <c r="AD500" s="12">
        <f t="shared" si="51"/>
        <v>0</v>
      </c>
      <c r="AE500" s="92">
        <f t="shared" si="52"/>
        <v>122280</v>
      </c>
      <c r="AF500" s="101" t="str">
        <f t="shared" si="30"/>
        <v>SR80910</v>
      </c>
      <c r="AG500" s="12" t="s">
        <v>311</v>
      </c>
      <c r="AH500" s="111" t="str">
        <f t="shared" si="53"/>
        <v>9999</v>
      </c>
      <c r="AI500" s="111" t="str">
        <f t="shared" si="31"/>
        <v>50010001</v>
      </c>
      <c r="AJ500" s="92">
        <f t="shared" si="54"/>
        <v>0</v>
      </c>
      <c r="AK500" s="92">
        <f t="shared" si="55"/>
        <v>0</v>
      </c>
      <c r="AL500" s="92">
        <f t="shared" si="56"/>
        <v>0</v>
      </c>
      <c r="AM500" s="92">
        <f t="shared" si="57"/>
        <v>0</v>
      </c>
      <c r="AN500" s="111" t="str">
        <f t="shared" si="58"/>
        <v>CNY</v>
      </c>
      <c r="AO500">
        <f t="shared" si="32"/>
        <v>2.0000000000000001E-4</v>
      </c>
      <c r="AP500">
        <f t="shared" si="59"/>
        <v>2</v>
      </c>
      <c r="AQ500">
        <f t="shared" si="60"/>
        <v>28.46</v>
      </c>
    </row>
    <row r="501" spans="1:220" s="483" customFormat="1" x14ac:dyDescent="0.25">
      <c r="A501" s="470" t="str">
        <f t="shared" si="33"/>
        <v/>
      </c>
      <c r="B501" s="575" t="str">
        <f t="shared" si="27"/>
        <v/>
      </c>
      <c r="C501" s="132" t="str">
        <f t="shared" si="34"/>
        <v>2018032610000025</v>
      </c>
      <c r="D501" s="481"/>
      <c r="E501" s="481" t="str">
        <f t="shared" si="64"/>
        <v>6001</v>
      </c>
      <c r="F501" s="481" t="str">
        <f t="shared" ref="F501" si="67">VLOOKUP(E501,$B$8:$C$8,2)</f>
        <v>B00101</v>
      </c>
      <c r="G501" s="481" t="str">
        <f t="shared" ref="G501" si="68">VLOOKUP(F501,$C$8:$D$9,2)</f>
        <v>6001</v>
      </c>
      <c r="H501" s="481">
        <v>10000025</v>
      </c>
      <c r="I501" s="133">
        <f t="shared" si="38"/>
        <v>20180326</v>
      </c>
      <c r="J501" s="482">
        <f t="shared" si="39"/>
        <v>20180326</v>
      </c>
      <c r="K501" s="131" t="str">
        <f t="shared" si="40"/>
        <v>CZCE</v>
      </c>
      <c r="L501" s="481" t="str">
        <f>$C$23</f>
        <v>SR809</v>
      </c>
      <c r="M501" s="131">
        <f t="shared" si="41"/>
        <v>10</v>
      </c>
      <c r="N501" s="481">
        <v>0</v>
      </c>
      <c r="O501" s="481">
        <v>0</v>
      </c>
      <c r="P501" s="481">
        <v>1</v>
      </c>
      <c r="Q501" s="481">
        <v>6</v>
      </c>
      <c r="R501" s="131">
        <f t="shared" si="28"/>
        <v>6115</v>
      </c>
      <c r="S501" s="131">
        <v>6115</v>
      </c>
      <c r="T501" s="131">
        <f t="shared" si="29"/>
        <v>6155</v>
      </c>
      <c r="U501" s="100">
        <f t="shared" si="42"/>
        <v>5.0000000000000001E-4</v>
      </c>
      <c r="V501" s="131">
        <f t="shared" si="43"/>
        <v>5</v>
      </c>
      <c r="W501" s="131">
        <f t="shared" si="44"/>
        <v>4.0000000000000002E-4</v>
      </c>
      <c r="X501" s="131">
        <f t="shared" si="45"/>
        <v>4</v>
      </c>
      <c r="Y501" s="12">
        <f t="shared" si="46"/>
        <v>213.45000000000002</v>
      </c>
      <c r="Z501" s="100">
        <f t="shared" si="47"/>
        <v>170.76000000000002</v>
      </c>
      <c r="AA501" s="314">
        <f t="shared" si="48"/>
        <v>213.45</v>
      </c>
      <c r="AB501" s="314">
        <f t="shared" si="49"/>
        <v>170.76</v>
      </c>
      <c r="AC501" s="100">
        <f t="shared" si="50"/>
        <v>0</v>
      </c>
      <c r="AD501" s="100">
        <f t="shared" si="51"/>
        <v>0</v>
      </c>
      <c r="AE501" s="131">
        <f t="shared" si="52"/>
        <v>366900</v>
      </c>
      <c r="AF501" s="132" t="str">
        <f t="shared" si="30"/>
        <v>SR80910</v>
      </c>
      <c r="AG501" s="100" t="s">
        <v>311</v>
      </c>
      <c r="AH501" s="131" t="str">
        <f t="shared" si="53"/>
        <v>9999</v>
      </c>
      <c r="AI501" s="131" t="str">
        <f t="shared" ref="AI501:AI503" si="69">VLOOKUP(F501,$C$8:$G$9,5,FALSE)</f>
        <v>50010001</v>
      </c>
      <c r="AJ501" s="131">
        <f t="shared" si="54"/>
        <v>0</v>
      </c>
      <c r="AK501" s="131">
        <f t="shared" si="55"/>
        <v>0</v>
      </c>
      <c r="AL501" s="131">
        <f t="shared" si="56"/>
        <v>0</v>
      </c>
      <c r="AM501" s="131">
        <f t="shared" si="57"/>
        <v>0</v>
      </c>
      <c r="AN501" s="131" t="str">
        <f t="shared" si="58"/>
        <v>CNY</v>
      </c>
      <c r="AO501" s="13">
        <f t="shared" si="32"/>
        <v>2.0000000000000001E-4</v>
      </c>
      <c r="AP501" s="13">
        <f t="shared" si="59"/>
        <v>2</v>
      </c>
      <c r="AQ501" s="13">
        <f t="shared" si="60"/>
        <v>85.38</v>
      </c>
    </row>
    <row r="502" spans="1:220" s="156" customFormat="1" x14ac:dyDescent="0.25">
      <c r="A502" s="126" t="str">
        <f t="shared" si="33"/>
        <v/>
      </c>
      <c r="B502" s="571" t="str">
        <f t="shared" si="27"/>
        <v/>
      </c>
      <c r="C502" s="101" t="str">
        <f t="shared" si="34"/>
        <v>2018032610000026</v>
      </c>
      <c r="D502" s="112"/>
      <c r="E502" s="112" t="str">
        <f t="shared" si="64"/>
        <v>6001</v>
      </c>
      <c r="F502" s="112" t="str">
        <f t="shared" si="65"/>
        <v>B00101</v>
      </c>
      <c r="G502" s="112" t="str">
        <f t="shared" si="66"/>
        <v>6001</v>
      </c>
      <c r="H502" s="112">
        <v>10000026</v>
      </c>
      <c r="I502" s="104">
        <f t="shared" si="38"/>
        <v>20180326</v>
      </c>
      <c r="J502" s="155">
        <f t="shared" si="39"/>
        <v>20180326</v>
      </c>
      <c r="K502" s="111" t="str">
        <f t="shared" si="40"/>
        <v>CZCE</v>
      </c>
      <c r="L502" s="112" t="str">
        <f>$C$24</f>
        <v>OI811</v>
      </c>
      <c r="M502" s="92">
        <f t="shared" si="41"/>
        <v>10</v>
      </c>
      <c r="N502" s="112">
        <v>0</v>
      </c>
      <c r="O502" s="112">
        <v>1</v>
      </c>
      <c r="P502" s="112">
        <v>1</v>
      </c>
      <c r="Q502" s="112">
        <v>2</v>
      </c>
      <c r="R502" s="92">
        <f t="shared" si="28"/>
        <v>6116</v>
      </c>
      <c r="S502" s="111">
        <v>6116</v>
      </c>
      <c r="T502" s="92">
        <f t="shared" si="29"/>
        <v>6160</v>
      </c>
      <c r="U502" s="12">
        <f t="shared" si="42"/>
        <v>5.0000000000000001E-4</v>
      </c>
      <c r="V502" s="92">
        <f t="shared" si="43"/>
        <v>5</v>
      </c>
      <c r="W502" s="92">
        <f t="shared" si="44"/>
        <v>4.0000000000000002E-4</v>
      </c>
      <c r="X502" s="92">
        <f t="shared" si="45"/>
        <v>4</v>
      </c>
      <c r="Y502" s="12">
        <f t="shared" si="46"/>
        <v>71.16</v>
      </c>
      <c r="Z502" s="12">
        <f t="shared" si="47"/>
        <v>56.928000000000004</v>
      </c>
      <c r="AA502" s="110">
        <f t="shared" si="48"/>
        <v>71.16</v>
      </c>
      <c r="AB502" s="110">
        <f t="shared" si="49"/>
        <v>56.927999999999997</v>
      </c>
      <c r="AC502" s="12">
        <f t="shared" si="50"/>
        <v>0</v>
      </c>
      <c r="AD502" s="12">
        <f t="shared" si="51"/>
        <v>0</v>
      </c>
      <c r="AE502" s="92">
        <f t="shared" si="52"/>
        <v>122320</v>
      </c>
      <c r="AF502" s="101" t="str">
        <f t="shared" si="30"/>
        <v>OI81110</v>
      </c>
      <c r="AG502" s="12" t="s">
        <v>311</v>
      </c>
      <c r="AH502" s="111" t="str">
        <f t="shared" si="53"/>
        <v>9999</v>
      </c>
      <c r="AI502" s="111" t="str">
        <f t="shared" si="69"/>
        <v>50010001</v>
      </c>
      <c r="AJ502" s="92">
        <f t="shared" si="54"/>
        <v>0</v>
      </c>
      <c r="AK502" s="92">
        <f t="shared" si="55"/>
        <v>0</v>
      </c>
      <c r="AL502" s="92">
        <f t="shared" si="56"/>
        <v>0</v>
      </c>
      <c r="AM502" s="92">
        <f t="shared" si="57"/>
        <v>0</v>
      </c>
      <c r="AN502" s="111" t="str">
        <f t="shared" si="58"/>
        <v>CNY</v>
      </c>
      <c r="AO502">
        <f t="shared" si="32"/>
        <v>2.0000000000000001E-4</v>
      </c>
      <c r="AP502">
        <f t="shared" si="59"/>
        <v>2</v>
      </c>
      <c r="AQ502">
        <f t="shared" si="60"/>
        <v>28.46</v>
      </c>
    </row>
    <row r="503" spans="1:220" s="156" customFormat="1" x14ac:dyDescent="0.25">
      <c r="A503" s="126" t="str">
        <f t="shared" si="33"/>
        <v/>
      </c>
      <c r="B503" s="571"/>
      <c r="C503" s="101" t="str">
        <f t="shared" si="34"/>
        <v>2018032610000027</v>
      </c>
      <c r="D503" s="112"/>
      <c r="E503" s="112" t="str">
        <f t="shared" si="64"/>
        <v>6001</v>
      </c>
      <c r="F503" s="112" t="str">
        <f t="shared" ref="F503" si="70">VLOOKUP(E503,$B$8:$C$8,2)</f>
        <v>B00101</v>
      </c>
      <c r="G503" s="112" t="str">
        <f t="shared" ref="G503" si="71">VLOOKUP(F503,$C$8:$D$9,2)</f>
        <v>6001</v>
      </c>
      <c r="H503" s="112">
        <v>10000027</v>
      </c>
      <c r="I503" s="104">
        <f t="shared" si="38"/>
        <v>20180326</v>
      </c>
      <c r="J503" s="155">
        <f t="shared" si="39"/>
        <v>20180326</v>
      </c>
      <c r="K503" s="111" t="str">
        <f t="shared" si="40"/>
        <v>CZCE</v>
      </c>
      <c r="L503" s="112" t="str">
        <f>$C$24</f>
        <v>OI811</v>
      </c>
      <c r="M503" s="92">
        <f t="shared" si="41"/>
        <v>10</v>
      </c>
      <c r="N503" s="112">
        <v>0</v>
      </c>
      <c r="O503" s="112">
        <v>0</v>
      </c>
      <c r="P503" s="112">
        <v>1</v>
      </c>
      <c r="Q503" s="112">
        <v>2</v>
      </c>
      <c r="R503" s="92">
        <f t="shared" si="28"/>
        <v>6117</v>
      </c>
      <c r="S503" s="111">
        <v>6117</v>
      </c>
      <c r="T503" s="92">
        <f t="shared" si="29"/>
        <v>6160</v>
      </c>
      <c r="U503" s="12">
        <f t="shared" si="42"/>
        <v>5.0000000000000001E-4</v>
      </c>
      <c r="V503" s="92">
        <f t="shared" si="43"/>
        <v>5</v>
      </c>
      <c r="W503" s="92">
        <f t="shared" si="44"/>
        <v>4.0000000000000002E-4</v>
      </c>
      <c r="X503" s="92">
        <f t="shared" si="45"/>
        <v>4</v>
      </c>
      <c r="Y503" s="12">
        <f t="shared" ref="Y503:Y551" si="72">M503*Q503*S503*U503+Q503*V503</f>
        <v>71.17</v>
      </c>
      <c r="Z503" s="12">
        <f t="shared" si="47"/>
        <v>56.936</v>
      </c>
      <c r="AA503" s="110">
        <f t="shared" si="48"/>
        <v>71.17</v>
      </c>
      <c r="AB503" s="110">
        <f t="shared" si="49"/>
        <v>56.936</v>
      </c>
      <c r="AC503" s="12">
        <f t="shared" si="50"/>
        <v>0</v>
      </c>
      <c r="AD503" s="12">
        <f t="shared" si="51"/>
        <v>0</v>
      </c>
      <c r="AE503" s="92">
        <f t="shared" si="52"/>
        <v>122340</v>
      </c>
      <c r="AF503" s="101" t="str">
        <f t="shared" si="30"/>
        <v>OI81110</v>
      </c>
      <c r="AG503" s="12" t="s">
        <v>311</v>
      </c>
      <c r="AH503" s="111" t="str">
        <f t="shared" si="53"/>
        <v>9999</v>
      </c>
      <c r="AI503" s="111" t="str">
        <f t="shared" si="69"/>
        <v>50010001</v>
      </c>
      <c r="AJ503" s="92">
        <f t="shared" si="54"/>
        <v>0</v>
      </c>
      <c r="AK503" s="92">
        <f t="shared" si="55"/>
        <v>0</v>
      </c>
      <c r="AL503" s="92">
        <f t="shared" si="56"/>
        <v>0</v>
      </c>
      <c r="AM503" s="92">
        <f t="shared" si="57"/>
        <v>0</v>
      </c>
      <c r="AN503" s="111" t="str">
        <f t="shared" si="58"/>
        <v>CNY</v>
      </c>
      <c r="AO503">
        <f t="shared" si="32"/>
        <v>2.0000000000000001E-4</v>
      </c>
      <c r="AP503">
        <f t="shared" si="59"/>
        <v>2</v>
      </c>
      <c r="AQ503">
        <f t="shared" si="60"/>
        <v>28.47</v>
      </c>
    </row>
    <row r="504" spans="1:220" s="6" customFormat="1" x14ac:dyDescent="0.25">
      <c r="A504" s="126" t="str">
        <f t="shared" si="33"/>
        <v/>
      </c>
      <c r="B504" s="571" t="str">
        <f t="shared" ref="B504:B561" si="73">IF(AND(D504&lt;&gt;"",Q504&lt;&gt;0),CONCATENATE(C504,D504),"")</f>
        <v/>
      </c>
      <c r="C504" s="101" t="str">
        <f t="shared" si="34"/>
        <v>2018032610000028</v>
      </c>
      <c r="D504" s="111"/>
      <c r="E504" s="111" t="str">
        <f t="shared" si="64"/>
        <v>6001</v>
      </c>
      <c r="F504" s="111" t="str">
        <f>VLOOKUP(E504,$B$9:$C$9,2)</f>
        <v>B00102</v>
      </c>
      <c r="G504" s="111" t="str">
        <f>VLOOKUP(F504,$C$9:$D$9,2)</f>
        <v>6001</v>
      </c>
      <c r="H504" s="112">
        <v>10000028</v>
      </c>
      <c r="I504" s="104">
        <f t="shared" si="38"/>
        <v>20180326</v>
      </c>
      <c r="J504" s="113">
        <f t="shared" si="39"/>
        <v>20180326</v>
      </c>
      <c r="K504" s="111" t="str">
        <f t="shared" si="40"/>
        <v>CZCE</v>
      </c>
      <c r="L504" s="111" t="str">
        <f>$C$25</f>
        <v>PTA807</v>
      </c>
      <c r="M504" s="92">
        <f t="shared" si="41"/>
        <v>5</v>
      </c>
      <c r="N504" s="111">
        <v>0</v>
      </c>
      <c r="O504" s="111">
        <v>0</v>
      </c>
      <c r="P504" s="111">
        <v>3</v>
      </c>
      <c r="Q504" s="111">
        <v>6</v>
      </c>
      <c r="R504" s="92">
        <f t="shared" si="28"/>
        <v>6118</v>
      </c>
      <c r="S504" s="111">
        <v>6118</v>
      </c>
      <c r="T504" s="92">
        <f t="shared" si="29"/>
        <v>6165</v>
      </c>
      <c r="U504" s="12">
        <f t="shared" si="42"/>
        <v>5.0000000000000001E-4</v>
      </c>
      <c r="V504" s="92">
        <f t="shared" si="43"/>
        <v>5</v>
      </c>
      <c r="W504" s="92">
        <f t="shared" si="44"/>
        <v>5.0000000000000001E-4</v>
      </c>
      <c r="X504" s="92">
        <f t="shared" si="45"/>
        <v>5</v>
      </c>
      <c r="Y504" s="12">
        <f t="shared" si="72"/>
        <v>121.77</v>
      </c>
      <c r="Z504" s="12">
        <f t="shared" si="47"/>
        <v>121.77</v>
      </c>
      <c r="AA504" s="110">
        <f t="shared" si="48"/>
        <v>121.77</v>
      </c>
      <c r="AB504" s="110">
        <f t="shared" si="49"/>
        <v>121.77</v>
      </c>
      <c r="AC504" s="12">
        <f t="shared" si="50"/>
        <v>0</v>
      </c>
      <c r="AD504" s="12">
        <f t="shared" si="51"/>
        <v>0</v>
      </c>
      <c r="AE504" s="92">
        <f t="shared" si="52"/>
        <v>183540</v>
      </c>
      <c r="AF504" s="101" t="str">
        <f t="shared" si="30"/>
        <v>PTA80730</v>
      </c>
      <c r="AG504" s="12" t="s">
        <v>311</v>
      </c>
      <c r="AH504" s="111" t="str">
        <f t="shared" si="53"/>
        <v>9999</v>
      </c>
      <c r="AI504" s="111" t="str">
        <f t="shared" ref="AI504:AI525" si="74">VLOOKUP(F504,$C$8:$G$9,5,FALSE)</f>
        <v>50010002</v>
      </c>
      <c r="AJ504" s="92">
        <f t="shared" si="54"/>
        <v>0</v>
      </c>
      <c r="AK504" s="92">
        <f t="shared" si="55"/>
        <v>0</v>
      </c>
      <c r="AL504" s="92">
        <f t="shared" si="56"/>
        <v>1</v>
      </c>
      <c r="AM504" s="92">
        <f t="shared" si="57"/>
        <v>0</v>
      </c>
      <c r="AN504" s="111" t="str">
        <f t="shared" si="58"/>
        <v>CNY</v>
      </c>
      <c r="AO504">
        <f t="shared" si="32"/>
        <v>2.0000000000000001E-4</v>
      </c>
      <c r="AP504">
        <f t="shared" si="59"/>
        <v>2</v>
      </c>
      <c r="AQ504">
        <f t="shared" si="60"/>
        <v>48.71</v>
      </c>
    </row>
    <row r="505" spans="1:220" s="6" customFormat="1" x14ac:dyDescent="0.25">
      <c r="A505" s="126" t="str">
        <f t="shared" si="33"/>
        <v/>
      </c>
      <c r="B505" s="571" t="str">
        <f t="shared" si="73"/>
        <v/>
      </c>
      <c r="C505" s="101" t="str">
        <f t="shared" si="34"/>
        <v>2018032610000029</v>
      </c>
      <c r="D505" s="111"/>
      <c r="E505" s="111" t="str">
        <f t="shared" si="64"/>
        <v>6001</v>
      </c>
      <c r="F505" s="111" t="str">
        <f t="shared" ref="F505:F509" si="75">VLOOKUP(E505,$B$9:$C$9,2)</f>
        <v>B00102</v>
      </c>
      <c r="G505" s="111" t="str">
        <f t="shared" ref="G505:G509" si="76">VLOOKUP(F505,$C$9:$D$9,2)</f>
        <v>6001</v>
      </c>
      <c r="H505" s="112">
        <v>10000029</v>
      </c>
      <c r="I505" s="104">
        <f t="shared" si="38"/>
        <v>20180326</v>
      </c>
      <c r="J505" s="113">
        <f t="shared" si="39"/>
        <v>20180326</v>
      </c>
      <c r="K505" s="111" t="str">
        <f t="shared" si="40"/>
        <v>CZCE</v>
      </c>
      <c r="L505" s="111" t="str">
        <f t="shared" ref="L505:L506" si="77">$C$25</f>
        <v>PTA807</v>
      </c>
      <c r="M505" s="92">
        <f t="shared" si="41"/>
        <v>5</v>
      </c>
      <c r="N505" s="111">
        <v>0</v>
      </c>
      <c r="O505" s="111">
        <v>1</v>
      </c>
      <c r="P505" s="111">
        <v>3</v>
      </c>
      <c r="Q505" s="111">
        <v>6</v>
      </c>
      <c r="R505" s="92">
        <f t="shared" si="28"/>
        <v>6119</v>
      </c>
      <c r="S505" s="111">
        <v>6119</v>
      </c>
      <c r="T505" s="92">
        <f t="shared" si="29"/>
        <v>6165</v>
      </c>
      <c r="U505" s="12">
        <f t="shared" si="42"/>
        <v>5.0000000000000001E-4</v>
      </c>
      <c r="V505" s="92">
        <f t="shared" si="43"/>
        <v>5</v>
      </c>
      <c r="W505" s="92">
        <f t="shared" si="44"/>
        <v>5.0000000000000001E-4</v>
      </c>
      <c r="X505" s="92">
        <f t="shared" si="45"/>
        <v>5</v>
      </c>
      <c r="Y505" s="12">
        <f t="shared" si="72"/>
        <v>121.785</v>
      </c>
      <c r="Z505" s="12">
        <f t="shared" si="47"/>
        <v>121.785</v>
      </c>
      <c r="AA505" s="110">
        <f t="shared" si="48"/>
        <v>121.785</v>
      </c>
      <c r="AB505" s="110">
        <f t="shared" si="49"/>
        <v>121.785</v>
      </c>
      <c r="AC505" s="12">
        <f t="shared" si="50"/>
        <v>0</v>
      </c>
      <c r="AD505" s="12">
        <f t="shared" si="51"/>
        <v>0</v>
      </c>
      <c r="AE505" s="92">
        <f t="shared" si="52"/>
        <v>183570</v>
      </c>
      <c r="AF505" s="101" t="str">
        <f t="shared" si="30"/>
        <v>PTA80730</v>
      </c>
      <c r="AG505" s="12" t="s">
        <v>311</v>
      </c>
      <c r="AH505" s="111" t="str">
        <f t="shared" si="53"/>
        <v>9999</v>
      </c>
      <c r="AI505" s="111" t="str">
        <f t="shared" si="74"/>
        <v>50010002</v>
      </c>
      <c r="AJ505" s="92">
        <f t="shared" si="54"/>
        <v>0</v>
      </c>
      <c r="AK505" s="92">
        <f t="shared" si="55"/>
        <v>0</v>
      </c>
      <c r="AL505" s="92">
        <f t="shared" si="56"/>
        <v>1</v>
      </c>
      <c r="AM505" s="92">
        <f t="shared" si="57"/>
        <v>0</v>
      </c>
      <c r="AN505" s="111" t="str">
        <f t="shared" si="58"/>
        <v>CNY</v>
      </c>
      <c r="AO505">
        <f t="shared" si="32"/>
        <v>2.0000000000000001E-4</v>
      </c>
      <c r="AP505">
        <f t="shared" si="59"/>
        <v>2</v>
      </c>
      <c r="AQ505">
        <f t="shared" si="60"/>
        <v>48.71</v>
      </c>
    </row>
    <row r="506" spans="1:220" s="6" customFormat="1" x14ac:dyDescent="0.25">
      <c r="A506" s="167" t="str">
        <f t="shared" si="33"/>
        <v/>
      </c>
      <c r="B506" s="571" t="str">
        <f t="shared" si="73"/>
        <v/>
      </c>
      <c r="C506" s="101" t="str">
        <f t="shared" si="34"/>
        <v>2018032610000030</v>
      </c>
      <c r="D506" s="111"/>
      <c r="E506" s="111" t="str">
        <f t="shared" si="64"/>
        <v>6001</v>
      </c>
      <c r="F506" s="111" t="str">
        <f t="shared" si="75"/>
        <v>B00102</v>
      </c>
      <c r="G506" s="111" t="str">
        <f t="shared" si="76"/>
        <v>6001</v>
      </c>
      <c r="H506" s="112">
        <v>10000030</v>
      </c>
      <c r="I506" s="104">
        <f t="shared" si="38"/>
        <v>20180326</v>
      </c>
      <c r="J506" s="113">
        <f t="shared" si="39"/>
        <v>20180326</v>
      </c>
      <c r="K506" s="111" t="str">
        <f t="shared" si="40"/>
        <v>CZCE</v>
      </c>
      <c r="L506" s="111" t="str">
        <f t="shared" si="77"/>
        <v>PTA807</v>
      </c>
      <c r="M506" s="92">
        <f t="shared" si="41"/>
        <v>5</v>
      </c>
      <c r="N506" s="111">
        <v>0</v>
      </c>
      <c r="O506" s="111">
        <v>0</v>
      </c>
      <c r="P506" s="111">
        <v>1</v>
      </c>
      <c r="Q506" s="111">
        <v>11</v>
      </c>
      <c r="R506" s="111">
        <f t="shared" si="28"/>
        <v>6120</v>
      </c>
      <c r="S506" s="111">
        <v>6120</v>
      </c>
      <c r="T506" s="92">
        <f t="shared" si="29"/>
        <v>6165</v>
      </c>
      <c r="U506" s="12">
        <f t="shared" si="42"/>
        <v>5.0000000000000001E-4</v>
      </c>
      <c r="V506" s="111">
        <f t="shared" si="43"/>
        <v>5</v>
      </c>
      <c r="W506" s="111">
        <f t="shared" si="44"/>
        <v>4.0000000000000002E-4</v>
      </c>
      <c r="X506" s="111">
        <f t="shared" si="45"/>
        <v>4</v>
      </c>
      <c r="Y506" s="12">
        <f t="shared" si="72"/>
        <v>223.3</v>
      </c>
      <c r="Z506" s="12">
        <f t="shared" si="47"/>
        <v>178.64000000000001</v>
      </c>
      <c r="AA506" s="248">
        <f t="shared" si="48"/>
        <v>223.3</v>
      </c>
      <c r="AB506" s="248">
        <f t="shared" si="49"/>
        <v>178.64</v>
      </c>
      <c r="AC506" s="12">
        <f t="shared" si="50"/>
        <v>0</v>
      </c>
      <c r="AD506" s="12">
        <f t="shared" si="51"/>
        <v>0</v>
      </c>
      <c r="AE506" s="111">
        <f t="shared" si="52"/>
        <v>336600</v>
      </c>
      <c r="AF506" s="101" t="str">
        <f t="shared" si="30"/>
        <v>PTA80710</v>
      </c>
      <c r="AG506" s="12" t="s">
        <v>311</v>
      </c>
      <c r="AH506" s="111" t="str">
        <f t="shared" si="53"/>
        <v>9999</v>
      </c>
      <c r="AI506" s="111" t="str">
        <f t="shared" si="74"/>
        <v>50010002</v>
      </c>
      <c r="AJ506" s="111">
        <f t="shared" si="54"/>
        <v>0</v>
      </c>
      <c r="AK506" s="111">
        <f t="shared" si="55"/>
        <v>0</v>
      </c>
      <c r="AL506" s="92">
        <f t="shared" si="56"/>
        <v>1</v>
      </c>
      <c r="AM506" s="92">
        <f t="shared" si="57"/>
        <v>0</v>
      </c>
      <c r="AN506" s="111" t="str">
        <f t="shared" si="58"/>
        <v>CNY</v>
      </c>
      <c r="AO506" s="6">
        <f t="shared" si="32"/>
        <v>2.0000000000000001E-4</v>
      </c>
      <c r="AP506" s="6">
        <f t="shared" si="59"/>
        <v>2</v>
      </c>
      <c r="AQ506" s="6">
        <f t="shared" si="60"/>
        <v>89.32</v>
      </c>
    </row>
    <row r="507" spans="1:220" s="6" customFormat="1" x14ac:dyDescent="0.25">
      <c r="A507" s="167" t="str">
        <f t="shared" si="33"/>
        <v/>
      </c>
      <c r="B507" s="571" t="str">
        <f t="shared" si="73"/>
        <v/>
      </c>
      <c r="C507" s="101" t="str">
        <f t="shared" si="34"/>
        <v>2018032610000031</v>
      </c>
      <c r="D507" s="111"/>
      <c r="E507" s="111" t="str">
        <f t="shared" si="64"/>
        <v>6001</v>
      </c>
      <c r="F507" s="111" t="str">
        <f t="shared" si="75"/>
        <v>B00102</v>
      </c>
      <c r="G507" s="111" t="str">
        <f t="shared" si="76"/>
        <v>6001</v>
      </c>
      <c r="H507" s="112">
        <v>10000031</v>
      </c>
      <c r="I507" s="104">
        <f t="shared" si="38"/>
        <v>20180326</v>
      </c>
      <c r="J507" s="113">
        <f t="shared" si="39"/>
        <v>20180326</v>
      </c>
      <c r="K507" s="111" t="str">
        <f t="shared" si="40"/>
        <v>CZCE</v>
      </c>
      <c r="L507" s="111" t="str">
        <f>$C$25</f>
        <v>PTA807</v>
      </c>
      <c r="M507" s="92">
        <f t="shared" si="41"/>
        <v>5</v>
      </c>
      <c r="N507" s="111">
        <v>0</v>
      </c>
      <c r="O507" s="111">
        <v>1</v>
      </c>
      <c r="P507" s="111">
        <v>1</v>
      </c>
      <c r="Q507" s="111">
        <v>8</v>
      </c>
      <c r="R507" s="111">
        <f t="shared" si="28"/>
        <v>6121</v>
      </c>
      <c r="S507" s="111">
        <v>6121</v>
      </c>
      <c r="T507" s="92">
        <f t="shared" si="29"/>
        <v>6165</v>
      </c>
      <c r="U507" s="12">
        <f t="shared" si="42"/>
        <v>5.0000000000000001E-4</v>
      </c>
      <c r="V507" s="111">
        <f t="shared" si="43"/>
        <v>5</v>
      </c>
      <c r="W507" s="111">
        <f t="shared" si="44"/>
        <v>4.0000000000000002E-4</v>
      </c>
      <c r="X507" s="111">
        <f t="shared" si="45"/>
        <v>4</v>
      </c>
      <c r="Y507" s="12">
        <f t="shared" si="72"/>
        <v>162.42000000000002</v>
      </c>
      <c r="Z507" s="12">
        <f t="shared" si="47"/>
        <v>129.93600000000001</v>
      </c>
      <c r="AA507" s="248">
        <f t="shared" si="48"/>
        <v>162.41999999999999</v>
      </c>
      <c r="AB507" s="248">
        <f t="shared" si="49"/>
        <v>129.93600000000001</v>
      </c>
      <c r="AC507" s="12">
        <f t="shared" si="50"/>
        <v>0</v>
      </c>
      <c r="AD507" s="12">
        <f t="shared" si="51"/>
        <v>0</v>
      </c>
      <c r="AE507" s="111">
        <f t="shared" si="52"/>
        <v>244840</v>
      </c>
      <c r="AF507" s="101" t="str">
        <f t="shared" si="30"/>
        <v>PTA80710</v>
      </c>
      <c r="AG507" s="12" t="s">
        <v>311</v>
      </c>
      <c r="AH507" s="111" t="str">
        <f t="shared" si="53"/>
        <v>9999</v>
      </c>
      <c r="AI507" s="111" t="str">
        <f t="shared" si="74"/>
        <v>50010002</v>
      </c>
      <c r="AJ507" s="111">
        <f t="shared" si="54"/>
        <v>0</v>
      </c>
      <c r="AK507" s="111">
        <f t="shared" si="55"/>
        <v>0</v>
      </c>
      <c r="AL507" s="92">
        <f t="shared" si="56"/>
        <v>1</v>
      </c>
      <c r="AM507" s="92">
        <f t="shared" si="57"/>
        <v>0</v>
      </c>
      <c r="AN507" s="111" t="str">
        <f t="shared" si="58"/>
        <v>CNY</v>
      </c>
      <c r="AO507" s="6">
        <f t="shared" si="32"/>
        <v>2.0000000000000001E-4</v>
      </c>
      <c r="AP507" s="6">
        <f t="shared" si="59"/>
        <v>2</v>
      </c>
      <c r="AQ507" s="6">
        <f t="shared" si="60"/>
        <v>64.97</v>
      </c>
    </row>
    <row r="508" spans="1:220" s="13" customFormat="1" ht="15.6" customHeight="1" x14ac:dyDescent="0.25">
      <c r="A508" s="126" t="str">
        <f t="shared" si="33"/>
        <v/>
      </c>
      <c r="B508" s="571" t="str">
        <f t="shared" si="73"/>
        <v>20180326100000322018032610000030</v>
      </c>
      <c r="C508" s="101" t="str">
        <f t="shared" si="34"/>
        <v>2018032610000032</v>
      </c>
      <c r="D508" s="113" t="str">
        <f>C506</f>
        <v>2018032610000030</v>
      </c>
      <c r="E508" s="111" t="str">
        <f t="shared" si="64"/>
        <v>6001</v>
      </c>
      <c r="F508" s="111" t="str">
        <f t="shared" si="75"/>
        <v>B00102</v>
      </c>
      <c r="G508" s="111" t="str">
        <f t="shared" si="76"/>
        <v>6001</v>
      </c>
      <c r="H508" s="112">
        <v>10000032</v>
      </c>
      <c r="I508" s="104">
        <f t="shared" si="38"/>
        <v>20180326</v>
      </c>
      <c r="J508" s="113">
        <f t="shared" si="39"/>
        <v>20180326</v>
      </c>
      <c r="K508" s="111" t="str">
        <f t="shared" si="40"/>
        <v>CZCE</v>
      </c>
      <c r="L508" s="111" t="str">
        <f t="shared" ref="L508:L509" si="78">$C$25</f>
        <v>PTA807</v>
      </c>
      <c r="M508" s="92">
        <f t="shared" si="41"/>
        <v>5</v>
      </c>
      <c r="N508" s="111">
        <v>3</v>
      </c>
      <c r="O508" s="111">
        <v>1</v>
      </c>
      <c r="P508" s="111">
        <v>1</v>
      </c>
      <c r="Q508" s="111">
        <v>2</v>
      </c>
      <c r="R508" s="92">
        <f t="shared" si="28"/>
        <v>6120</v>
      </c>
      <c r="S508" s="111">
        <v>6122</v>
      </c>
      <c r="T508" s="92">
        <f t="shared" si="29"/>
        <v>6165</v>
      </c>
      <c r="U508" s="12">
        <f t="shared" si="42"/>
        <v>2.0000000000000001E-4</v>
      </c>
      <c r="V508" s="92">
        <f t="shared" si="43"/>
        <v>2</v>
      </c>
      <c r="W508" s="92">
        <f t="shared" si="44"/>
        <v>1E-4</v>
      </c>
      <c r="X508" s="92">
        <f t="shared" si="45"/>
        <v>1</v>
      </c>
      <c r="Y508" s="12">
        <f t="shared" si="72"/>
        <v>16.244</v>
      </c>
      <c r="Z508" s="12">
        <f t="shared" si="47"/>
        <v>8.1219999999999999</v>
      </c>
      <c r="AA508" s="110">
        <f t="shared" si="48"/>
        <v>16.244</v>
      </c>
      <c r="AB508" s="110">
        <f t="shared" si="49"/>
        <v>8.1219999999999999</v>
      </c>
      <c r="AC508" s="12">
        <f t="shared" si="50"/>
        <v>20</v>
      </c>
      <c r="AD508" s="12">
        <f t="shared" si="51"/>
        <v>20</v>
      </c>
      <c r="AE508" s="92">
        <f t="shared" si="52"/>
        <v>61220</v>
      </c>
      <c r="AF508" s="101" t="str">
        <f t="shared" si="30"/>
        <v>PTA80713</v>
      </c>
      <c r="AG508" s="12" t="s">
        <v>311</v>
      </c>
      <c r="AH508" s="111" t="str">
        <f t="shared" si="53"/>
        <v>9999</v>
      </c>
      <c r="AI508" s="111" t="str">
        <f t="shared" si="74"/>
        <v>50010002</v>
      </c>
      <c r="AJ508" s="92">
        <f t="shared" si="54"/>
        <v>0</v>
      </c>
      <c r="AK508" s="92">
        <f t="shared" si="55"/>
        <v>0</v>
      </c>
      <c r="AL508" s="92">
        <f t="shared" si="56"/>
        <v>1</v>
      </c>
      <c r="AM508" s="92">
        <f t="shared" si="57"/>
        <v>0</v>
      </c>
      <c r="AN508" s="111" t="str">
        <f t="shared" si="58"/>
        <v>CNY</v>
      </c>
      <c r="AO508">
        <f t="shared" si="32"/>
        <v>2.0000000000000001E-4</v>
      </c>
      <c r="AP508">
        <f t="shared" si="59"/>
        <v>2</v>
      </c>
      <c r="AQ508">
        <f t="shared" si="60"/>
        <v>16.239999999999998</v>
      </c>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6"/>
      <c r="EK508" s="6"/>
      <c r="EL508" s="6"/>
      <c r="EM508" s="6"/>
      <c r="EN508" s="6"/>
      <c r="EO508" s="6"/>
      <c r="EP508" s="6"/>
      <c r="EQ508" s="6"/>
      <c r="ER508" s="6"/>
      <c r="ES508" s="6"/>
      <c r="ET508" s="6"/>
      <c r="EU508" s="6"/>
      <c r="EV508" s="6"/>
      <c r="EW508" s="6"/>
      <c r="EX508" s="6"/>
      <c r="EY508" s="6"/>
      <c r="EZ508" s="6"/>
      <c r="FA508" s="6"/>
      <c r="FB508" s="6"/>
      <c r="FC508" s="6"/>
      <c r="FD508" s="6"/>
      <c r="FE508" s="6"/>
      <c r="FF508" s="6"/>
      <c r="FG508" s="6"/>
      <c r="FH508" s="6"/>
      <c r="FI508" s="6"/>
      <c r="FJ508" s="6"/>
      <c r="FK508" s="6"/>
      <c r="FL508" s="6"/>
      <c r="FM508" s="6"/>
      <c r="FN508" s="6"/>
      <c r="FO508" s="6"/>
      <c r="FP508" s="6"/>
      <c r="FQ508" s="6"/>
      <c r="FR508" s="6"/>
      <c r="FS508" s="6"/>
      <c r="FT508" s="6"/>
      <c r="FU508" s="6"/>
      <c r="FV508" s="6"/>
      <c r="FW508" s="6"/>
      <c r="FX508" s="6"/>
      <c r="FY508" s="6"/>
      <c r="FZ508" s="6"/>
      <c r="GA508" s="6"/>
      <c r="GB508" s="6"/>
      <c r="GC508" s="6"/>
      <c r="GD508" s="6"/>
      <c r="GE508" s="6"/>
      <c r="GF508" s="6"/>
      <c r="GG508" s="6"/>
      <c r="GH508" s="6"/>
      <c r="GI508" s="6"/>
      <c r="GJ508" s="6"/>
      <c r="GK508" s="6"/>
      <c r="GL508" s="6"/>
      <c r="GM508" s="6"/>
      <c r="GN508" s="6"/>
      <c r="GO508" s="6"/>
      <c r="GP508" s="6"/>
      <c r="GQ508" s="6"/>
      <c r="GR508" s="6"/>
      <c r="GS508" s="6"/>
      <c r="GT508" s="6"/>
      <c r="GU508" s="6"/>
      <c r="GV508" s="6"/>
      <c r="GW508" s="6"/>
      <c r="GX508" s="6"/>
      <c r="GY508" s="6"/>
      <c r="GZ508" s="6"/>
      <c r="HA508" s="6"/>
      <c r="HB508" s="6"/>
      <c r="HC508" s="6"/>
      <c r="HD508" s="6"/>
      <c r="HE508" s="6"/>
      <c r="HF508" s="6"/>
      <c r="HG508" s="6"/>
      <c r="HH508" s="6"/>
      <c r="HI508" s="6"/>
      <c r="HJ508" s="6"/>
      <c r="HK508" s="6"/>
      <c r="HL508" s="6"/>
    </row>
    <row r="509" spans="1:220" s="13" customFormat="1" x14ac:dyDescent="0.25">
      <c r="A509" s="126" t="str">
        <f t="shared" si="33"/>
        <v>comment</v>
      </c>
      <c r="B509" s="571" t="str">
        <f t="shared" si="73"/>
        <v/>
      </c>
      <c r="C509" s="101" t="str">
        <f t="shared" si="34"/>
        <v>2018032610000033</v>
      </c>
      <c r="D509" s="113" t="str">
        <f>C504</f>
        <v>2018032610000028</v>
      </c>
      <c r="E509" s="111" t="str">
        <f t="shared" si="64"/>
        <v>6001</v>
      </c>
      <c r="F509" s="111" t="str">
        <f t="shared" si="75"/>
        <v>B00102</v>
      </c>
      <c r="G509" s="111" t="str">
        <f t="shared" si="76"/>
        <v>6001</v>
      </c>
      <c r="H509" s="112">
        <v>10000033</v>
      </c>
      <c r="I509" s="104">
        <f t="shared" si="38"/>
        <v>20180326</v>
      </c>
      <c r="J509" s="113">
        <f t="shared" si="39"/>
        <v>20180326</v>
      </c>
      <c r="K509" s="111" t="str">
        <f t="shared" si="40"/>
        <v>CZCE</v>
      </c>
      <c r="L509" s="111" t="str">
        <f t="shared" si="78"/>
        <v>PTA807</v>
      </c>
      <c r="M509" s="92">
        <f t="shared" si="41"/>
        <v>5</v>
      </c>
      <c r="N509" s="111">
        <v>3</v>
      </c>
      <c r="O509" s="111">
        <v>1</v>
      </c>
      <c r="P509" s="111">
        <v>3</v>
      </c>
      <c r="Q509" s="111">
        <v>0</v>
      </c>
      <c r="R509" s="92">
        <f t="shared" si="28"/>
        <v>6118</v>
      </c>
      <c r="S509" s="111">
        <v>6123</v>
      </c>
      <c r="T509" s="92">
        <f t="shared" si="29"/>
        <v>6165</v>
      </c>
      <c r="U509" s="12">
        <f t="shared" si="42"/>
        <v>2.0000000000000001E-4</v>
      </c>
      <c r="V509" s="92">
        <f t="shared" si="43"/>
        <v>2</v>
      </c>
      <c r="W509" s="92">
        <f t="shared" si="44"/>
        <v>2.0000000000000001E-4</v>
      </c>
      <c r="X509" s="92">
        <f t="shared" si="45"/>
        <v>2</v>
      </c>
      <c r="Y509" s="12">
        <f t="shared" si="72"/>
        <v>0</v>
      </c>
      <c r="Z509" s="12">
        <f t="shared" si="47"/>
        <v>0</v>
      </c>
      <c r="AA509" s="110">
        <f t="shared" si="48"/>
        <v>0</v>
      </c>
      <c r="AB509" s="110">
        <f t="shared" si="49"/>
        <v>0</v>
      </c>
      <c r="AC509" s="12">
        <f t="shared" si="50"/>
        <v>0</v>
      </c>
      <c r="AD509" s="12">
        <f t="shared" si="51"/>
        <v>0</v>
      </c>
      <c r="AE509" s="92">
        <f t="shared" si="52"/>
        <v>0</v>
      </c>
      <c r="AF509" s="101" t="str">
        <f t="shared" si="30"/>
        <v>PTA80733</v>
      </c>
      <c r="AG509" s="12" t="s">
        <v>311</v>
      </c>
      <c r="AH509" s="111" t="str">
        <f t="shared" si="53"/>
        <v>9999</v>
      </c>
      <c r="AI509" s="111" t="str">
        <f t="shared" si="74"/>
        <v>50010002</v>
      </c>
      <c r="AJ509" s="92">
        <f t="shared" si="54"/>
        <v>0</v>
      </c>
      <c r="AK509" s="92">
        <f t="shared" si="55"/>
        <v>0</v>
      </c>
      <c r="AL509" s="92">
        <f t="shared" si="56"/>
        <v>1</v>
      </c>
      <c r="AM509" s="92">
        <f t="shared" si="57"/>
        <v>0</v>
      </c>
      <c r="AN509" s="111" t="str">
        <f t="shared" si="58"/>
        <v>CNY</v>
      </c>
      <c r="AO509">
        <f t="shared" si="32"/>
        <v>2.0000000000000001E-4</v>
      </c>
      <c r="AP509">
        <f t="shared" si="59"/>
        <v>2</v>
      </c>
      <c r="AQ509">
        <f t="shared" si="60"/>
        <v>0</v>
      </c>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6"/>
      <c r="EK509" s="6"/>
      <c r="EL509" s="6"/>
      <c r="EM509" s="6"/>
      <c r="EN509" s="6"/>
      <c r="EO509" s="6"/>
      <c r="EP509" s="6"/>
      <c r="EQ509" s="6"/>
      <c r="ER509" s="6"/>
      <c r="ES509" s="6"/>
      <c r="ET509" s="6"/>
      <c r="EU509" s="6"/>
      <c r="EV509" s="6"/>
      <c r="EW509" s="6"/>
      <c r="EX509" s="6"/>
      <c r="EY509" s="6"/>
      <c r="EZ509" s="6"/>
      <c r="FA509" s="6"/>
      <c r="FB509" s="6"/>
      <c r="FC509" s="6"/>
      <c r="FD509" s="6"/>
      <c r="FE509" s="6"/>
      <c r="FF509" s="6"/>
      <c r="FG509" s="6"/>
      <c r="FH509" s="6"/>
      <c r="FI509" s="6"/>
      <c r="FJ509" s="6"/>
      <c r="FK509" s="6"/>
      <c r="FL509" s="6"/>
      <c r="FM509" s="6"/>
      <c r="FN509" s="6"/>
      <c r="FO509" s="6"/>
      <c r="FP509" s="6"/>
      <c r="FQ509" s="6"/>
      <c r="FR509" s="6"/>
      <c r="FS509" s="6"/>
      <c r="FT509" s="6"/>
      <c r="FU509" s="6"/>
      <c r="FV509" s="6"/>
      <c r="FW509" s="6"/>
      <c r="FX509" s="6"/>
      <c r="FY509" s="6"/>
      <c r="FZ509" s="6"/>
      <c r="GA509" s="6"/>
      <c r="GB509" s="6"/>
      <c r="GC509" s="6"/>
      <c r="GD509" s="6"/>
      <c r="GE509" s="6"/>
      <c r="GF509" s="6"/>
      <c r="GG509" s="6"/>
      <c r="GH509" s="6"/>
      <c r="GI509" s="6"/>
      <c r="GJ509" s="6"/>
      <c r="GK509" s="6"/>
      <c r="GL509" s="6"/>
      <c r="GM509" s="6"/>
      <c r="GN509" s="6"/>
      <c r="GO509" s="6"/>
      <c r="GP509" s="6"/>
      <c r="GQ509" s="6"/>
      <c r="GR509" s="6"/>
      <c r="GS509" s="6"/>
      <c r="GT509" s="6"/>
      <c r="GU509" s="6"/>
      <c r="GV509" s="6"/>
      <c r="GW509" s="6"/>
      <c r="GX509" s="6"/>
      <c r="GY509" s="6"/>
      <c r="GZ509" s="6"/>
      <c r="HA509" s="6"/>
      <c r="HB509" s="6"/>
      <c r="HC509" s="6"/>
      <c r="HD509" s="6"/>
      <c r="HE509" s="6"/>
      <c r="HF509" s="6"/>
      <c r="HG509" s="6"/>
      <c r="HH509" s="6"/>
      <c r="HI509" s="6"/>
      <c r="HJ509" s="6"/>
      <c r="HK509" s="6"/>
      <c r="HL509" s="6"/>
    </row>
    <row r="510" spans="1:220" s="13" customFormat="1" x14ac:dyDescent="0.25">
      <c r="A510" s="126" t="str">
        <f t="shared" si="33"/>
        <v/>
      </c>
      <c r="B510" s="571"/>
      <c r="C510" s="101" t="str">
        <f t="shared" si="34"/>
        <v>2018032610000034</v>
      </c>
      <c r="D510" s="113"/>
      <c r="E510" s="111" t="str">
        <f t="shared" si="64"/>
        <v>6001</v>
      </c>
      <c r="F510" s="111" t="str">
        <f t="shared" ref="F510:F511" si="79">VLOOKUP(E510,$B$9:$C$9,2)</f>
        <v>B00102</v>
      </c>
      <c r="G510" s="111" t="str">
        <f t="shared" ref="G510:G511" si="80">VLOOKUP(F510,$C$9:$D$9,2)</f>
        <v>6001</v>
      </c>
      <c r="H510" s="112">
        <v>10000034</v>
      </c>
      <c r="I510" s="104">
        <f t="shared" si="38"/>
        <v>20180326</v>
      </c>
      <c r="J510" s="113">
        <f t="shared" si="39"/>
        <v>20180326</v>
      </c>
      <c r="K510" s="111" t="str">
        <f t="shared" si="40"/>
        <v>CZCE</v>
      </c>
      <c r="L510" s="111" t="str">
        <f>$C$26</f>
        <v>PTA809</v>
      </c>
      <c r="M510" s="92">
        <f t="shared" si="41"/>
        <v>5</v>
      </c>
      <c r="N510" s="111">
        <v>0</v>
      </c>
      <c r="O510" s="111">
        <v>0</v>
      </c>
      <c r="P510" s="111">
        <v>1</v>
      </c>
      <c r="Q510" s="111">
        <v>2</v>
      </c>
      <c r="R510" s="92">
        <f t="shared" si="28"/>
        <v>6124</v>
      </c>
      <c r="S510" s="111">
        <v>6124</v>
      </c>
      <c r="T510" s="92">
        <f t="shared" si="29"/>
        <v>6170</v>
      </c>
      <c r="U510" s="12">
        <f t="shared" ref="U510:U511" si="81">VLOOKUP(AF510,$G$78:$K$117,2,FALSE)</f>
        <v>5.0000000000000001E-4</v>
      </c>
      <c r="V510" s="92">
        <f t="shared" ref="V510:V511" si="82">VLOOKUP(AF510,$G$78:$K$117,3,FALSE)</f>
        <v>5</v>
      </c>
      <c r="W510" s="92">
        <f t="shared" ref="W510:W511" si="83">VLOOKUP(AF510,$G$78:$K$117,4,FALSE)</f>
        <v>4.0000000000000002E-4</v>
      </c>
      <c r="X510" s="92">
        <f t="shared" ref="X510:X511" si="84">VLOOKUP(AF510,$G$78:$K$117,5,FALSE)</f>
        <v>4</v>
      </c>
      <c r="Y510" s="12">
        <f t="shared" si="72"/>
        <v>40.620000000000005</v>
      </c>
      <c r="Z510" s="12">
        <f t="shared" si="47"/>
        <v>32.496000000000002</v>
      </c>
      <c r="AA510" s="110">
        <f t="shared" si="48"/>
        <v>40.619999999999997</v>
      </c>
      <c r="AB510" s="110">
        <f t="shared" ref="AB510:AB511" si="85">ROUND(Z510,3)</f>
        <v>32.496000000000002</v>
      </c>
      <c r="AC510" s="12">
        <f t="shared" ref="AC510:AC511" si="86">IF(N510=0,0,IF(I510=J510,IF(O510=1,M510*Q510*(S510-R510),-M510*Q510*(S510-R510)),IF(O510=1,M510*Q510*(T510-S510),-M510*Q510*(T510-S510))))</f>
        <v>0</v>
      </c>
      <c r="AD510" s="12">
        <f t="shared" ref="AD510:AD511" si="87">IF(N510=0,0,(IF(O510=1,M510*Q510*(S510-R510),-M510*Q510*(S510-R510))))</f>
        <v>0</v>
      </c>
      <c r="AE510" s="92">
        <f t="shared" ref="AE510:AE511" si="88">M510*Q510*S510</f>
        <v>61240</v>
      </c>
      <c r="AF510" s="101" t="str">
        <f t="shared" ref="AF510:AF511" si="89">L510&amp;INT(P510)&amp;INT(N510)</f>
        <v>PTA80910</v>
      </c>
      <c r="AG510" s="12" t="s">
        <v>311</v>
      </c>
      <c r="AH510" s="111" t="str">
        <f t="shared" si="53"/>
        <v>9999</v>
      </c>
      <c r="AI510" s="111" t="str">
        <f t="shared" ref="AI510:AI511" si="90">VLOOKUP(F510,$C$8:$G$9,5,FALSE)</f>
        <v>50010002</v>
      </c>
      <c r="AJ510" s="92">
        <f t="shared" ref="AJ510:AJ511" si="91">IF(AM510=0,0,IF(O510=1,M510*Q510*S510,0))</f>
        <v>0</v>
      </c>
      <c r="AK510" s="92">
        <f t="shared" ref="AK510:AK511" si="92">IF(AM510=0,0,IF(O510=0,M510*Q510*S510,0))</f>
        <v>0</v>
      </c>
      <c r="AL510" s="92">
        <f t="shared" si="56"/>
        <v>1</v>
      </c>
      <c r="AM510" s="92">
        <f t="shared" si="57"/>
        <v>0</v>
      </c>
      <c r="AN510" s="111" t="str">
        <f t="shared" si="58"/>
        <v>CNY</v>
      </c>
      <c r="AO510">
        <f t="shared" ref="AO510:AO511" si="93">VLOOKUP(AF510,$G$78:$M$117,6,FALSE)</f>
        <v>2.0000000000000001E-4</v>
      </c>
      <c r="AP510">
        <f t="shared" ref="AP510:AP511" si="94">VLOOKUP(AF510,$G$78:$M$117,7,FALSE)</f>
        <v>2</v>
      </c>
      <c r="AQ510">
        <f t="shared" si="60"/>
        <v>16.25</v>
      </c>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c r="DO510" s="6"/>
      <c r="DP510" s="6"/>
      <c r="DQ510" s="6"/>
      <c r="DR510" s="6"/>
      <c r="DS510" s="6"/>
      <c r="DT510" s="6"/>
      <c r="DU510" s="6"/>
      <c r="DV510" s="6"/>
      <c r="DW510" s="6"/>
      <c r="DX510" s="6"/>
      <c r="DY510" s="6"/>
      <c r="DZ510" s="6"/>
      <c r="EA510" s="6"/>
      <c r="EB510" s="6"/>
      <c r="EC510" s="6"/>
      <c r="ED510" s="6"/>
      <c r="EE510" s="6"/>
      <c r="EF510" s="6"/>
      <c r="EG510" s="6"/>
      <c r="EH510" s="6"/>
      <c r="EI510" s="6"/>
      <c r="EJ510" s="6"/>
      <c r="EK510" s="6"/>
      <c r="EL510" s="6"/>
      <c r="EM510" s="6"/>
      <c r="EN510" s="6"/>
      <c r="EO510" s="6"/>
      <c r="EP510" s="6"/>
      <c r="EQ510" s="6"/>
      <c r="ER510" s="6"/>
      <c r="ES510" s="6"/>
      <c r="ET510" s="6"/>
      <c r="EU510" s="6"/>
      <c r="EV510" s="6"/>
      <c r="EW510" s="6"/>
      <c r="EX510" s="6"/>
      <c r="EY510" s="6"/>
      <c r="EZ510" s="6"/>
      <c r="FA510" s="6"/>
      <c r="FB510" s="6"/>
      <c r="FC510" s="6"/>
      <c r="FD510" s="6"/>
      <c r="FE510" s="6"/>
      <c r="FF510" s="6"/>
      <c r="FG510" s="6"/>
      <c r="FH510" s="6"/>
      <c r="FI510" s="6"/>
      <c r="FJ510" s="6"/>
      <c r="FK510" s="6"/>
      <c r="FL510" s="6"/>
      <c r="FM510" s="6"/>
      <c r="FN510" s="6"/>
      <c r="FO510" s="6"/>
      <c r="FP510" s="6"/>
      <c r="FQ510" s="6"/>
      <c r="FR510" s="6"/>
      <c r="FS510" s="6"/>
      <c r="FT510" s="6"/>
      <c r="FU510" s="6"/>
      <c r="FV510" s="6"/>
      <c r="FW510" s="6"/>
      <c r="FX510" s="6"/>
      <c r="FY510" s="6"/>
      <c r="FZ510" s="6"/>
      <c r="GA510" s="6"/>
      <c r="GB510" s="6"/>
      <c r="GC510" s="6"/>
      <c r="GD510" s="6"/>
      <c r="GE510" s="6"/>
      <c r="GF510" s="6"/>
      <c r="GG510" s="6"/>
      <c r="GH510" s="6"/>
      <c r="GI510" s="6"/>
      <c r="GJ510" s="6"/>
      <c r="GK510" s="6"/>
      <c r="GL510" s="6"/>
      <c r="GM510" s="6"/>
      <c r="GN510" s="6"/>
      <c r="GO510" s="6"/>
      <c r="GP510" s="6"/>
      <c r="GQ510" s="6"/>
      <c r="GR510" s="6"/>
      <c r="GS510" s="6"/>
      <c r="GT510" s="6"/>
      <c r="GU510" s="6"/>
      <c r="GV510" s="6"/>
      <c r="GW510" s="6"/>
      <c r="GX510" s="6"/>
      <c r="GY510" s="6"/>
      <c r="GZ510" s="6"/>
      <c r="HA510" s="6"/>
      <c r="HB510" s="6"/>
      <c r="HC510" s="6"/>
      <c r="HD510" s="6"/>
      <c r="HE510" s="6"/>
      <c r="HF510" s="6"/>
      <c r="HG510" s="6"/>
      <c r="HH510" s="6"/>
      <c r="HI510" s="6"/>
      <c r="HJ510" s="6"/>
      <c r="HK510" s="6"/>
      <c r="HL510" s="6"/>
    </row>
    <row r="511" spans="1:220" s="645" customFormat="1" x14ac:dyDescent="0.25">
      <c r="A511" s="640" t="str">
        <f t="shared" si="33"/>
        <v/>
      </c>
      <c r="B511" s="641"/>
      <c r="C511" s="154" t="str">
        <f t="shared" si="34"/>
        <v>2018032610000035</v>
      </c>
      <c r="D511" s="155"/>
      <c r="E511" s="112" t="str">
        <f t="shared" si="64"/>
        <v>6001</v>
      </c>
      <c r="F511" s="112" t="str">
        <f t="shared" si="79"/>
        <v>B00102</v>
      </c>
      <c r="G511" s="112" t="str">
        <f t="shared" si="80"/>
        <v>6001</v>
      </c>
      <c r="H511" s="112">
        <v>10000035</v>
      </c>
      <c r="I511" s="642">
        <f t="shared" si="38"/>
        <v>20180326</v>
      </c>
      <c r="J511" s="155">
        <f t="shared" si="39"/>
        <v>20180326</v>
      </c>
      <c r="K511" s="112" t="str">
        <f t="shared" si="40"/>
        <v>CZCE</v>
      </c>
      <c r="L511" s="112" t="str">
        <f>$C$26</f>
        <v>PTA809</v>
      </c>
      <c r="M511" s="643">
        <f t="shared" si="41"/>
        <v>5</v>
      </c>
      <c r="N511" s="112">
        <v>0</v>
      </c>
      <c r="O511" s="112">
        <v>1</v>
      </c>
      <c r="P511" s="112">
        <v>1</v>
      </c>
      <c r="Q511" s="112">
        <v>2</v>
      </c>
      <c r="R511" s="643">
        <f t="shared" si="28"/>
        <v>6125</v>
      </c>
      <c r="S511" s="112">
        <v>6125</v>
      </c>
      <c r="T511" s="643">
        <f t="shared" si="29"/>
        <v>6170</v>
      </c>
      <c r="U511" s="324">
        <f t="shared" si="81"/>
        <v>5.0000000000000001E-4</v>
      </c>
      <c r="V511" s="643">
        <f t="shared" si="82"/>
        <v>5</v>
      </c>
      <c r="W511" s="643">
        <f t="shared" si="83"/>
        <v>4.0000000000000002E-4</v>
      </c>
      <c r="X511" s="643">
        <f t="shared" si="84"/>
        <v>4</v>
      </c>
      <c r="Y511" s="324">
        <f t="shared" si="72"/>
        <v>40.625</v>
      </c>
      <c r="Z511" s="324">
        <f t="shared" si="47"/>
        <v>32.5</v>
      </c>
      <c r="AA511" s="644">
        <f t="shared" si="48"/>
        <v>40.625</v>
      </c>
      <c r="AB511" s="644">
        <f t="shared" si="85"/>
        <v>32.5</v>
      </c>
      <c r="AC511" s="324">
        <f t="shared" si="86"/>
        <v>0</v>
      </c>
      <c r="AD511" s="324">
        <f t="shared" si="87"/>
        <v>0</v>
      </c>
      <c r="AE511" s="643">
        <f t="shared" si="88"/>
        <v>61250</v>
      </c>
      <c r="AF511" s="154" t="str">
        <f t="shared" si="89"/>
        <v>PTA80910</v>
      </c>
      <c r="AG511" s="324" t="s">
        <v>311</v>
      </c>
      <c r="AH511" s="112" t="str">
        <f t="shared" si="53"/>
        <v>9999</v>
      </c>
      <c r="AI511" s="112" t="str">
        <f t="shared" si="90"/>
        <v>50010002</v>
      </c>
      <c r="AJ511" s="643">
        <f t="shared" si="91"/>
        <v>0</v>
      </c>
      <c r="AK511" s="643">
        <f t="shared" si="92"/>
        <v>0</v>
      </c>
      <c r="AL511" s="643">
        <f t="shared" si="56"/>
        <v>1</v>
      </c>
      <c r="AM511" s="643">
        <f t="shared" si="57"/>
        <v>0</v>
      </c>
      <c r="AN511" s="112" t="str">
        <f t="shared" si="58"/>
        <v>CNY</v>
      </c>
      <c r="AO511" s="43">
        <f t="shared" si="93"/>
        <v>2.0000000000000001E-4</v>
      </c>
      <c r="AP511" s="43">
        <f t="shared" si="94"/>
        <v>2</v>
      </c>
      <c r="AQ511" s="43">
        <f t="shared" si="60"/>
        <v>16.25</v>
      </c>
      <c r="AR511" s="329"/>
      <c r="AS511" s="329"/>
      <c r="AT511" s="329"/>
      <c r="AU511" s="329"/>
      <c r="AV511" s="329"/>
      <c r="AW511" s="329"/>
      <c r="AX511" s="329"/>
      <c r="AY511" s="329"/>
      <c r="AZ511" s="329"/>
      <c r="BA511" s="329"/>
      <c r="BB511" s="329"/>
      <c r="BC511" s="329"/>
      <c r="BD511" s="329"/>
      <c r="BE511" s="329"/>
      <c r="BF511" s="329"/>
      <c r="BG511" s="329"/>
      <c r="BH511" s="329"/>
      <c r="BI511" s="329"/>
      <c r="BJ511" s="329"/>
      <c r="BK511" s="329"/>
      <c r="BL511" s="329"/>
      <c r="BM511" s="329"/>
      <c r="BN511" s="329"/>
      <c r="BO511" s="329"/>
      <c r="BP511" s="329"/>
      <c r="BQ511" s="329"/>
      <c r="BR511" s="329"/>
      <c r="BS511" s="329"/>
      <c r="BT511" s="329"/>
      <c r="BU511" s="329"/>
      <c r="BV511" s="329"/>
      <c r="BW511" s="329"/>
      <c r="BX511" s="329"/>
      <c r="BY511" s="329"/>
      <c r="BZ511" s="329"/>
      <c r="CA511" s="329"/>
      <c r="CB511" s="329"/>
      <c r="CC511" s="329"/>
      <c r="CD511" s="329"/>
      <c r="CE511" s="329"/>
      <c r="CF511" s="329"/>
      <c r="CG511" s="329"/>
      <c r="CH511" s="329"/>
      <c r="CI511" s="329"/>
      <c r="CJ511" s="329"/>
      <c r="CK511" s="329"/>
      <c r="CL511" s="329"/>
      <c r="CM511" s="329"/>
      <c r="CN511" s="329"/>
      <c r="CO511" s="329"/>
      <c r="CP511" s="329"/>
      <c r="CQ511" s="329"/>
      <c r="CR511" s="329"/>
      <c r="CS511" s="329"/>
      <c r="CT511" s="329"/>
      <c r="CU511" s="329"/>
      <c r="CV511" s="329"/>
      <c r="CW511" s="329"/>
      <c r="CX511" s="329"/>
      <c r="CY511" s="329"/>
      <c r="CZ511" s="329"/>
      <c r="DA511" s="329"/>
      <c r="DB511" s="329"/>
      <c r="DC511" s="329"/>
      <c r="DD511" s="329"/>
      <c r="DE511" s="329"/>
      <c r="DF511" s="329"/>
      <c r="DG511" s="329"/>
      <c r="DH511" s="329"/>
      <c r="DI511" s="329"/>
      <c r="DJ511" s="329"/>
      <c r="DK511" s="329"/>
      <c r="DL511" s="329"/>
      <c r="DM511" s="329"/>
      <c r="DN511" s="329"/>
      <c r="DO511" s="329"/>
      <c r="DP511" s="329"/>
      <c r="DQ511" s="329"/>
      <c r="DR511" s="329"/>
      <c r="DS511" s="329"/>
      <c r="DT511" s="329"/>
      <c r="DU511" s="329"/>
      <c r="DV511" s="329"/>
      <c r="DW511" s="329"/>
      <c r="DX511" s="329"/>
      <c r="DY511" s="329"/>
      <c r="DZ511" s="329"/>
      <c r="EA511" s="329"/>
      <c r="EB511" s="329"/>
      <c r="EC511" s="329"/>
      <c r="ED511" s="329"/>
      <c r="EE511" s="329"/>
      <c r="EF511" s="329"/>
      <c r="EG511" s="329"/>
      <c r="EH511" s="329"/>
      <c r="EI511" s="329"/>
      <c r="EJ511" s="329"/>
      <c r="EK511" s="329"/>
      <c r="EL511" s="329"/>
      <c r="EM511" s="329"/>
      <c r="EN511" s="329"/>
      <c r="EO511" s="329"/>
      <c r="EP511" s="329"/>
      <c r="EQ511" s="329"/>
      <c r="ER511" s="329"/>
      <c r="ES511" s="329"/>
      <c r="ET511" s="329"/>
      <c r="EU511" s="329"/>
      <c r="EV511" s="329"/>
      <c r="EW511" s="329"/>
      <c r="EX511" s="329"/>
      <c r="EY511" s="329"/>
      <c r="EZ511" s="329"/>
      <c r="FA511" s="329"/>
      <c r="FB511" s="329"/>
      <c r="FC511" s="329"/>
      <c r="FD511" s="329"/>
      <c r="FE511" s="329"/>
      <c r="FF511" s="329"/>
      <c r="FG511" s="329"/>
      <c r="FH511" s="329"/>
      <c r="FI511" s="329"/>
      <c r="FJ511" s="329"/>
      <c r="FK511" s="329"/>
      <c r="FL511" s="329"/>
      <c r="FM511" s="329"/>
      <c r="FN511" s="329"/>
      <c r="FO511" s="329"/>
      <c r="FP511" s="329"/>
      <c r="FQ511" s="329"/>
      <c r="FR511" s="329"/>
      <c r="FS511" s="329"/>
      <c r="FT511" s="329"/>
      <c r="FU511" s="329"/>
      <c r="FV511" s="329"/>
      <c r="FW511" s="329"/>
      <c r="FX511" s="329"/>
      <c r="FY511" s="329"/>
      <c r="FZ511" s="329"/>
      <c r="GA511" s="329"/>
      <c r="GB511" s="329"/>
      <c r="GC511" s="329"/>
      <c r="GD511" s="329"/>
      <c r="GE511" s="329"/>
      <c r="GF511" s="329"/>
      <c r="GG511" s="329"/>
      <c r="GH511" s="329"/>
      <c r="GI511" s="329"/>
      <c r="GJ511" s="329"/>
      <c r="GK511" s="329"/>
      <c r="GL511" s="329"/>
      <c r="GM511" s="329"/>
      <c r="GN511" s="329"/>
      <c r="GO511" s="329"/>
      <c r="GP511" s="329"/>
      <c r="GQ511" s="329"/>
      <c r="GR511" s="329"/>
      <c r="GS511" s="329"/>
      <c r="GT511" s="329"/>
      <c r="GU511" s="329"/>
      <c r="GV511" s="329"/>
      <c r="GW511" s="329"/>
      <c r="GX511" s="329"/>
      <c r="GY511" s="329"/>
      <c r="GZ511" s="329"/>
      <c r="HA511" s="329"/>
      <c r="HB511" s="329"/>
      <c r="HC511" s="329"/>
      <c r="HD511" s="329"/>
      <c r="HE511" s="329"/>
      <c r="HF511" s="329"/>
      <c r="HG511" s="329"/>
      <c r="HH511" s="329"/>
      <c r="HI511" s="329"/>
      <c r="HJ511" s="329"/>
      <c r="HK511" s="329"/>
      <c r="HL511" s="329"/>
    </row>
    <row r="512" spans="1:220" s="329" customFormat="1" ht="13.2" customHeight="1" x14ac:dyDescent="0.25">
      <c r="A512" s="211" t="str">
        <f t="shared" si="33"/>
        <v/>
      </c>
      <c r="B512" s="646" t="str">
        <f t="shared" si="73"/>
        <v>99999999201803262018032610000012</v>
      </c>
      <c r="C512" s="647" t="str">
        <f t="shared" si="34"/>
        <v>9999999920180326</v>
      </c>
      <c r="D512" s="216" t="str">
        <f>D490</f>
        <v>2018032610000012</v>
      </c>
      <c r="E512" s="217" t="str">
        <f t="shared" si="64"/>
        <v>6001</v>
      </c>
      <c r="F512" s="217" t="str">
        <f t="shared" si="65"/>
        <v>B00101</v>
      </c>
      <c r="G512" s="217" t="str">
        <f t="shared" si="66"/>
        <v>6001</v>
      </c>
      <c r="H512" s="217">
        <v>99999999</v>
      </c>
      <c r="I512" s="648">
        <f t="shared" si="38"/>
        <v>20180326</v>
      </c>
      <c r="J512" s="216">
        <f t="shared" si="39"/>
        <v>20180326</v>
      </c>
      <c r="K512" s="217" t="str">
        <f t="shared" si="40"/>
        <v>CZCE</v>
      </c>
      <c r="L512" s="217" t="str">
        <f>$C$22</f>
        <v>SR807</v>
      </c>
      <c r="M512" s="649">
        <f t="shared" si="41"/>
        <v>10</v>
      </c>
      <c r="N512" s="217">
        <v>3</v>
      </c>
      <c r="O512" s="217">
        <v>0</v>
      </c>
      <c r="P512" s="217">
        <v>1</v>
      </c>
      <c r="Q512" s="217">
        <v>2</v>
      </c>
      <c r="R512" s="217">
        <f t="shared" si="28"/>
        <v>6102</v>
      </c>
      <c r="S512" s="216">
        <f>M587</f>
        <v>6130</v>
      </c>
      <c r="T512" s="649">
        <f t="shared" si="29"/>
        <v>6150</v>
      </c>
      <c r="U512" s="330">
        <f t="shared" si="42"/>
        <v>2.0000000000000001E-4</v>
      </c>
      <c r="V512" s="217">
        <f t="shared" si="43"/>
        <v>2</v>
      </c>
      <c r="W512" s="217">
        <f t="shared" si="44"/>
        <v>1E-4</v>
      </c>
      <c r="X512" s="217">
        <f t="shared" si="45"/>
        <v>1</v>
      </c>
      <c r="Y512" s="330">
        <f t="shared" si="72"/>
        <v>28.52</v>
      </c>
      <c r="Z512" s="330">
        <f t="shared" si="47"/>
        <v>14.26</v>
      </c>
      <c r="AA512" s="650">
        <f t="shared" si="48"/>
        <v>28.52</v>
      </c>
      <c r="AB512" s="650">
        <f t="shared" si="49"/>
        <v>14.26</v>
      </c>
      <c r="AC512" s="330">
        <f t="shared" si="50"/>
        <v>-560</v>
      </c>
      <c r="AD512" s="330">
        <f t="shared" si="51"/>
        <v>-560</v>
      </c>
      <c r="AE512" s="217">
        <f t="shared" si="52"/>
        <v>122600</v>
      </c>
      <c r="AF512" s="647" t="str">
        <f t="shared" si="30"/>
        <v>SR80713</v>
      </c>
      <c r="AG512" s="330" t="s">
        <v>317</v>
      </c>
      <c r="AH512" s="217" t="str">
        <f t="shared" si="53"/>
        <v>9999</v>
      </c>
      <c r="AI512" s="217" t="str">
        <f t="shared" si="74"/>
        <v>50010001</v>
      </c>
      <c r="AJ512" s="217">
        <f t="shared" si="54"/>
        <v>0</v>
      </c>
      <c r="AK512" s="217">
        <f t="shared" si="55"/>
        <v>0</v>
      </c>
      <c r="AL512" s="649">
        <f t="shared" si="56"/>
        <v>0</v>
      </c>
      <c r="AM512" s="649">
        <f t="shared" si="57"/>
        <v>0</v>
      </c>
      <c r="AN512" s="217" t="str">
        <f t="shared" si="58"/>
        <v>CNY</v>
      </c>
      <c r="AO512" s="329">
        <f t="shared" si="32"/>
        <v>2.0000000000000001E-4</v>
      </c>
      <c r="AP512" s="329">
        <f t="shared" si="59"/>
        <v>2</v>
      </c>
      <c r="AQ512" s="329">
        <f t="shared" si="60"/>
        <v>28.52</v>
      </c>
    </row>
    <row r="513" spans="1:43" s="329" customFormat="1" x14ac:dyDescent="0.25">
      <c r="A513" s="211" t="str">
        <f t="shared" si="33"/>
        <v>comment</v>
      </c>
      <c r="B513" s="641" t="str">
        <f t="shared" si="73"/>
        <v/>
      </c>
      <c r="C513" s="154" t="str">
        <f t="shared" si="34"/>
        <v>9999999920180326</v>
      </c>
      <c r="D513" s="155" t="str">
        <f>D491</f>
        <v>2018032610000013</v>
      </c>
      <c r="E513" s="112" t="str">
        <f t="shared" si="64"/>
        <v>6001</v>
      </c>
      <c r="F513" s="112" t="str">
        <f t="shared" si="65"/>
        <v>B00101</v>
      </c>
      <c r="G513" s="112" t="str">
        <f t="shared" si="66"/>
        <v>6001</v>
      </c>
      <c r="H513" s="112">
        <v>99999999</v>
      </c>
      <c r="I513" s="642">
        <f t="shared" si="38"/>
        <v>20180326</v>
      </c>
      <c r="J513" s="155">
        <f t="shared" si="39"/>
        <v>20180326</v>
      </c>
      <c r="K513" s="112" t="str">
        <f t="shared" si="40"/>
        <v>CZCE</v>
      </c>
      <c r="L513" s="112" t="str">
        <f t="shared" ref="L513:L515" si="95">$C$22</f>
        <v>SR807</v>
      </c>
      <c r="M513" s="643">
        <f t="shared" si="41"/>
        <v>10</v>
      </c>
      <c r="N513" s="112">
        <v>3</v>
      </c>
      <c r="O513" s="112">
        <v>0</v>
      </c>
      <c r="P513" s="112">
        <v>1</v>
      </c>
      <c r="Q513" s="112">
        <v>0</v>
      </c>
      <c r="R513" s="643">
        <f t="shared" si="28"/>
        <v>6103</v>
      </c>
      <c r="S513" s="155">
        <f>S512</f>
        <v>6130</v>
      </c>
      <c r="T513" s="643">
        <f t="shared" si="29"/>
        <v>6150</v>
      </c>
      <c r="U513" s="324">
        <f t="shared" si="42"/>
        <v>2.0000000000000001E-4</v>
      </c>
      <c r="V513" s="112">
        <f t="shared" si="43"/>
        <v>2</v>
      </c>
      <c r="W513" s="112">
        <f t="shared" si="44"/>
        <v>1E-4</v>
      </c>
      <c r="X513" s="112">
        <f t="shared" si="45"/>
        <v>1</v>
      </c>
      <c r="Y513" s="324">
        <f t="shared" si="72"/>
        <v>0</v>
      </c>
      <c r="Z513" s="324">
        <f t="shared" si="47"/>
        <v>0</v>
      </c>
      <c r="AA513" s="644">
        <f t="shared" si="48"/>
        <v>0</v>
      </c>
      <c r="AB513" s="650">
        <f t="shared" si="49"/>
        <v>0</v>
      </c>
      <c r="AC513" s="324">
        <f t="shared" si="50"/>
        <v>0</v>
      </c>
      <c r="AD513" s="324">
        <f t="shared" si="51"/>
        <v>0</v>
      </c>
      <c r="AE513" s="112">
        <f t="shared" si="52"/>
        <v>0</v>
      </c>
      <c r="AF513" s="154" t="str">
        <f t="shared" si="30"/>
        <v>SR80713</v>
      </c>
      <c r="AG513" s="324" t="s">
        <v>317</v>
      </c>
      <c r="AH513" s="112" t="str">
        <f t="shared" si="53"/>
        <v>9999</v>
      </c>
      <c r="AI513" s="112" t="str">
        <f t="shared" si="74"/>
        <v>50010001</v>
      </c>
      <c r="AJ513" s="112">
        <f t="shared" si="54"/>
        <v>0</v>
      </c>
      <c r="AK513" s="112">
        <f t="shared" si="55"/>
        <v>0</v>
      </c>
      <c r="AL513" s="643">
        <f t="shared" si="56"/>
        <v>0</v>
      </c>
      <c r="AM513" s="643">
        <f t="shared" si="57"/>
        <v>0</v>
      </c>
      <c r="AN513" s="112" t="str">
        <f t="shared" si="58"/>
        <v>CNY</v>
      </c>
      <c r="AO513" s="329">
        <f t="shared" si="32"/>
        <v>2.0000000000000001E-4</v>
      </c>
      <c r="AP513" s="329">
        <f t="shared" si="59"/>
        <v>2</v>
      </c>
      <c r="AQ513" s="329">
        <f t="shared" si="60"/>
        <v>0</v>
      </c>
    </row>
    <row r="514" spans="1:43" s="329" customFormat="1" x14ac:dyDescent="0.25">
      <c r="A514" s="211" t="str">
        <f t="shared" si="33"/>
        <v>comment</v>
      </c>
      <c r="B514" s="641" t="str">
        <f t="shared" si="73"/>
        <v/>
      </c>
      <c r="C514" s="154" t="str">
        <f t="shared" si="34"/>
        <v>9999999920180326</v>
      </c>
      <c r="D514" s="155" t="str">
        <f>D492</f>
        <v>2018032610000010</v>
      </c>
      <c r="E514" s="112" t="str">
        <f t="shared" si="64"/>
        <v>6001</v>
      </c>
      <c r="F514" s="112" t="str">
        <f t="shared" si="65"/>
        <v>B00101</v>
      </c>
      <c r="G514" s="112" t="str">
        <f t="shared" si="66"/>
        <v>6001</v>
      </c>
      <c r="H514" s="112">
        <v>99999999</v>
      </c>
      <c r="I514" s="642">
        <f t="shared" si="38"/>
        <v>20180326</v>
      </c>
      <c r="J514" s="155">
        <f t="shared" si="39"/>
        <v>20180326</v>
      </c>
      <c r="K514" s="112" t="str">
        <f t="shared" si="40"/>
        <v>CZCE</v>
      </c>
      <c r="L514" s="112" t="str">
        <f t="shared" si="95"/>
        <v>SR807</v>
      </c>
      <c r="M514" s="643">
        <f t="shared" si="41"/>
        <v>10</v>
      </c>
      <c r="N514" s="112">
        <v>3</v>
      </c>
      <c r="O514" s="112">
        <v>0</v>
      </c>
      <c r="P514" s="112">
        <v>3</v>
      </c>
      <c r="Q514" s="112">
        <v>0</v>
      </c>
      <c r="R514" s="643">
        <f t="shared" si="28"/>
        <v>6100</v>
      </c>
      <c r="S514" s="155">
        <f>S512</f>
        <v>6130</v>
      </c>
      <c r="T514" s="643">
        <f t="shared" si="29"/>
        <v>6150</v>
      </c>
      <c r="U514" s="324">
        <f t="shared" si="42"/>
        <v>2.0000000000000001E-4</v>
      </c>
      <c r="V514" s="112">
        <f t="shared" si="43"/>
        <v>2</v>
      </c>
      <c r="W514" s="112">
        <f t="shared" si="44"/>
        <v>2.0000000000000001E-4</v>
      </c>
      <c r="X514" s="112">
        <f t="shared" si="45"/>
        <v>2</v>
      </c>
      <c r="Y514" s="324">
        <f t="shared" si="72"/>
        <v>0</v>
      </c>
      <c r="Z514" s="324">
        <f t="shared" si="47"/>
        <v>0</v>
      </c>
      <c r="AA514" s="644">
        <f t="shared" si="48"/>
        <v>0</v>
      </c>
      <c r="AB514" s="650">
        <f t="shared" si="49"/>
        <v>0</v>
      </c>
      <c r="AC514" s="324">
        <f t="shared" si="50"/>
        <v>0</v>
      </c>
      <c r="AD514" s="324">
        <f t="shared" si="51"/>
        <v>0</v>
      </c>
      <c r="AE514" s="112">
        <f t="shared" si="52"/>
        <v>0</v>
      </c>
      <c r="AF514" s="154" t="str">
        <f t="shared" si="30"/>
        <v>SR80733</v>
      </c>
      <c r="AG514" s="324" t="s">
        <v>317</v>
      </c>
      <c r="AH514" s="112" t="str">
        <f t="shared" si="53"/>
        <v>9999</v>
      </c>
      <c r="AI514" s="112" t="str">
        <f t="shared" si="74"/>
        <v>50010001</v>
      </c>
      <c r="AJ514" s="112">
        <f t="shared" si="54"/>
        <v>0</v>
      </c>
      <c r="AK514" s="112">
        <f t="shared" si="55"/>
        <v>0</v>
      </c>
      <c r="AL514" s="643">
        <f t="shared" si="56"/>
        <v>0</v>
      </c>
      <c r="AM514" s="643">
        <f t="shared" si="57"/>
        <v>0</v>
      </c>
      <c r="AN514" s="112" t="str">
        <f t="shared" si="58"/>
        <v>CNY</v>
      </c>
      <c r="AO514" s="329">
        <f t="shared" si="32"/>
        <v>2.0000000000000001E-4</v>
      </c>
      <c r="AP514" s="329">
        <f t="shared" si="59"/>
        <v>2</v>
      </c>
      <c r="AQ514" s="329">
        <f t="shared" si="60"/>
        <v>0</v>
      </c>
    </row>
    <row r="515" spans="1:43" s="329" customFormat="1" x14ac:dyDescent="0.25">
      <c r="A515" s="211" t="str">
        <f t="shared" si="33"/>
        <v>comment</v>
      </c>
      <c r="B515" s="641" t="str">
        <f t="shared" si="73"/>
        <v/>
      </c>
      <c r="C515" s="154" t="str">
        <f t="shared" si="34"/>
        <v>9999999920180326</v>
      </c>
      <c r="D515" s="155" t="str">
        <f>D493</f>
        <v>2018032610000011</v>
      </c>
      <c r="E515" s="112" t="str">
        <f t="shared" si="64"/>
        <v>6001</v>
      </c>
      <c r="F515" s="112" t="str">
        <f t="shared" ref="F515" si="96">VLOOKUP(E515,$B$8:$C$8,2)</f>
        <v>B00101</v>
      </c>
      <c r="G515" s="112" t="str">
        <f t="shared" ref="G515" si="97">VLOOKUP(F515,$C$8:$D$9,2)</f>
        <v>6001</v>
      </c>
      <c r="H515" s="112">
        <v>99999999</v>
      </c>
      <c r="I515" s="642">
        <f t="shared" si="38"/>
        <v>20180326</v>
      </c>
      <c r="J515" s="155">
        <f t="shared" si="39"/>
        <v>20180326</v>
      </c>
      <c r="K515" s="112" t="str">
        <f t="shared" si="40"/>
        <v>CZCE</v>
      </c>
      <c r="L515" s="112" t="str">
        <f t="shared" si="95"/>
        <v>SR807</v>
      </c>
      <c r="M515" s="643">
        <f t="shared" si="41"/>
        <v>10</v>
      </c>
      <c r="N515" s="112">
        <v>3</v>
      </c>
      <c r="O515" s="112">
        <v>0</v>
      </c>
      <c r="P515" s="112">
        <v>3</v>
      </c>
      <c r="Q515" s="112">
        <v>0</v>
      </c>
      <c r="R515" s="643">
        <f t="shared" si="28"/>
        <v>6101</v>
      </c>
      <c r="S515" s="155">
        <f>S512</f>
        <v>6130</v>
      </c>
      <c r="T515" s="643">
        <f t="shared" si="29"/>
        <v>6150</v>
      </c>
      <c r="U515" s="324">
        <f t="shared" si="42"/>
        <v>2.0000000000000001E-4</v>
      </c>
      <c r="V515" s="112">
        <f t="shared" si="43"/>
        <v>2</v>
      </c>
      <c r="W515" s="112">
        <f t="shared" si="44"/>
        <v>2.0000000000000001E-4</v>
      </c>
      <c r="X515" s="112">
        <f t="shared" si="45"/>
        <v>2</v>
      </c>
      <c r="Y515" s="324">
        <f t="shared" si="72"/>
        <v>0</v>
      </c>
      <c r="Z515" s="324">
        <f t="shared" si="47"/>
        <v>0</v>
      </c>
      <c r="AA515" s="644">
        <f t="shared" si="48"/>
        <v>0</v>
      </c>
      <c r="AB515" s="650">
        <f t="shared" si="49"/>
        <v>0</v>
      </c>
      <c r="AC515" s="324">
        <f t="shared" si="50"/>
        <v>0</v>
      </c>
      <c r="AD515" s="324">
        <f t="shared" si="51"/>
        <v>0</v>
      </c>
      <c r="AE515" s="112">
        <f t="shared" si="52"/>
        <v>0</v>
      </c>
      <c r="AF515" s="154" t="str">
        <f t="shared" ref="AF515" si="98">L515&amp;INT(P515)&amp;INT(N515)</f>
        <v>SR80733</v>
      </c>
      <c r="AG515" s="324" t="s">
        <v>317</v>
      </c>
      <c r="AH515" s="112" t="str">
        <f t="shared" si="53"/>
        <v>9999</v>
      </c>
      <c r="AI515" s="112" t="str">
        <f t="shared" si="74"/>
        <v>50010001</v>
      </c>
      <c r="AJ515" s="112">
        <f t="shared" si="54"/>
        <v>0</v>
      </c>
      <c r="AK515" s="112">
        <f t="shared" si="55"/>
        <v>0</v>
      </c>
      <c r="AL515" s="643">
        <f t="shared" si="56"/>
        <v>0</v>
      </c>
      <c r="AM515" s="643">
        <f t="shared" si="57"/>
        <v>0</v>
      </c>
      <c r="AN515" s="112" t="str">
        <f t="shared" si="58"/>
        <v>CNY</v>
      </c>
      <c r="AO515" s="329">
        <f t="shared" si="32"/>
        <v>2.0000000000000001E-4</v>
      </c>
      <c r="AP515" s="329">
        <f t="shared" si="59"/>
        <v>2</v>
      </c>
      <c r="AQ515" s="329">
        <f t="shared" si="60"/>
        <v>0</v>
      </c>
    </row>
    <row r="516" spans="1:43" s="329" customFormat="1" x14ac:dyDescent="0.25">
      <c r="A516" s="211" t="str">
        <f t="shared" si="33"/>
        <v/>
      </c>
      <c r="B516" s="646" t="str">
        <f t="shared" si="73"/>
        <v>99999999201803262018032610000030</v>
      </c>
      <c r="C516" s="647" t="str">
        <f t="shared" si="34"/>
        <v>9999999920180326</v>
      </c>
      <c r="D516" s="216" t="str">
        <f>D508</f>
        <v>2018032610000030</v>
      </c>
      <c r="E516" s="217" t="str">
        <f t="shared" si="64"/>
        <v>6001</v>
      </c>
      <c r="F516" s="217" t="str">
        <f>VLOOKUP(E516,$B$9:$C$9,2)</f>
        <v>B00102</v>
      </c>
      <c r="G516" s="217" t="str">
        <f t="shared" si="66"/>
        <v>6001</v>
      </c>
      <c r="H516" s="217">
        <v>99999999</v>
      </c>
      <c r="I516" s="648">
        <f t="shared" si="38"/>
        <v>20180326</v>
      </c>
      <c r="J516" s="216">
        <f t="shared" si="39"/>
        <v>20180326</v>
      </c>
      <c r="K516" s="217" t="str">
        <f t="shared" si="40"/>
        <v>CZCE</v>
      </c>
      <c r="L516" s="217" t="str">
        <f>$C$25</f>
        <v>PTA807</v>
      </c>
      <c r="M516" s="649">
        <f t="shared" si="41"/>
        <v>5</v>
      </c>
      <c r="N516" s="217">
        <v>3</v>
      </c>
      <c r="O516" s="217">
        <v>1</v>
      </c>
      <c r="P516" s="217">
        <v>1</v>
      </c>
      <c r="Q516" s="217">
        <v>5</v>
      </c>
      <c r="R516" s="649">
        <f t="shared" si="28"/>
        <v>6120</v>
      </c>
      <c r="S516" s="216">
        <f>M588</f>
        <v>6120</v>
      </c>
      <c r="T516" s="649">
        <f t="shared" si="29"/>
        <v>6165</v>
      </c>
      <c r="U516" s="330">
        <f t="shared" si="42"/>
        <v>2.0000000000000001E-4</v>
      </c>
      <c r="V516" s="217">
        <f t="shared" si="43"/>
        <v>2</v>
      </c>
      <c r="W516" s="217">
        <f t="shared" si="44"/>
        <v>1E-4</v>
      </c>
      <c r="X516" s="217">
        <f t="shared" si="45"/>
        <v>1</v>
      </c>
      <c r="Y516" s="330">
        <f t="shared" si="72"/>
        <v>40.6</v>
      </c>
      <c r="Z516" s="330">
        <f t="shared" si="47"/>
        <v>20.3</v>
      </c>
      <c r="AA516" s="651">
        <f t="shared" si="48"/>
        <v>40.6</v>
      </c>
      <c r="AB516" s="650">
        <f t="shared" si="49"/>
        <v>20.3</v>
      </c>
      <c r="AC516" s="330">
        <f t="shared" si="50"/>
        <v>0</v>
      </c>
      <c r="AD516" s="330">
        <f t="shared" si="51"/>
        <v>0</v>
      </c>
      <c r="AE516" s="217">
        <f t="shared" si="52"/>
        <v>153000</v>
      </c>
      <c r="AF516" s="647" t="str">
        <f t="shared" ref="AF516:AF521" si="99">L516&amp;INT(P516)&amp;INT(N516)</f>
        <v>PTA80713</v>
      </c>
      <c r="AG516" s="330" t="s">
        <v>317</v>
      </c>
      <c r="AH516" s="217" t="str">
        <f t="shared" si="53"/>
        <v>9999</v>
      </c>
      <c r="AI516" s="217" t="str">
        <f t="shared" si="74"/>
        <v>50010002</v>
      </c>
      <c r="AJ516" s="217">
        <f t="shared" si="54"/>
        <v>0</v>
      </c>
      <c r="AK516" s="217">
        <f t="shared" si="55"/>
        <v>0</v>
      </c>
      <c r="AL516" s="649">
        <f t="shared" si="56"/>
        <v>1</v>
      </c>
      <c r="AM516" s="649">
        <f t="shared" si="57"/>
        <v>0</v>
      </c>
      <c r="AN516" s="217" t="str">
        <f t="shared" si="58"/>
        <v>CNY</v>
      </c>
      <c r="AO516" s="329">
        <f t="shared" si="32"/>
        <v>2.0000000000000001E-4</v>
      </c>
      <c r="AP516" s="329">
        <f t="shared" si="59"/>
        <v>2</v>
      </c>
      <c r="AQ516" s="329">
        <f t="shared" si="60"/>
        <v>40.6</v>
      </c>
    </row>
    <row r="517" spans="1:43" s="329" customFormat="1" x14ac:dyDescent="0.25">
      <c r="A517" s="211" t="str">
        <f t="shared" si="33"/>
        <v/>
      </c>
      <c r="B517" s="646" t="str">
        <f t="shared" si="73"/>
        <v>99999999201803262018032610000028</v>
      </c>
      <c r="C517" s="647" t="str">
        <f t="shared" si="34"/>
        <v>9999999920180326</v>
      </c>
      <c r="D517" s="216" t="str">
        <f>D509</f>
        <v>2018032610000028</v>
      </c>
      <c r="E517" s="217" t="str">
        <f t="shared" si="64"/>
        <v>6001</v>
      </c>
      <c r="F517" s="217" t="str">
        <f>VLOOKUP(E517,$B$9:$C$9,2)</f>
        <v>B00102</v>
      </c>
      <c r="G517" s="217" t="str">
        <f t="shared" si="66"/>
        <v>6001</v>
      </c>
      <c r="H517" s="217">
        <v>99999999</v>
      </c>
      <c r="I517" s="648">
        <f t="shared" si="38"/>
        <v>20180326</v>
      </c>
      <c r="J517" s="216">
        <f t="shared" si="39"/>
        <v>20180326</v>
      </c>
      <c r="K517" s="217" t="str">
        <f t="shared" si="40"/>
        <v>CZCE</v>
      </c>
      <c r="L517" s="217" t="str">
        <f>$C$25</f>
        <v>PTA807</v>
      </c>
      <c r="M517" s="649">
        <f t="shared" si="41"/>
        <v>5</v>
      </c>
      <c r="N517" s="217">
        <v>3</v>
      </c>
      <c r="O517" s="217">
        <v>1</v>
      </c>
      <c r="P517" s="217">
        <v>3</v>
      </c>
      <c r="Q517" s="217">
        <v>4</v>
      </c>
      <c r="R517" s="649">
        <f t="shared" si="28"/>
        <v>6118</v>
      </c>
      <c r="S517" s="216">
        <f>S516</f>
        <v>6120</v>
      </c>
      <c r="T517" s="649">
        <f t="shared" si="29"/>
        <v>6165</v>
      </c>
      <c r="U517" s="330">
        <f t="shared" si="42"/>
        <v>2.0000000000000001E-4</v>
      </c>
      <c r="V517" s="217">
        <f t="shared" si="43"/>
        <v>2</v>
      </c>
      <c r="W517" s="217">
        <f t="shared" si="44"/>
        <v>2.0000000000000001E-4</v>
      </c>
      <c r="X517" s="217">
        <f t="shared" si="45"/>
        <v>2</v>
      </c>
      <c r="Y517" s="330">
        <f t="shared" si="72"/>
        <v>32.480000000000004</v>
      </c>
      <c r="Z517" s="330">
        <f t="shared" si="47"/>
        <v>32.480000000000004</v>
      </c>
      <c r="AA517" s="651">
        <f t="shared" si="48"/>
        <v>32.479999999999997</v>
      </c>
      <c r="AB517" s="650">
        <f t="shared" si="49"/>
        <v>32.479999999999997</v>
      </c>
      <c r="AC517" s="330">
        <f t="shared" si="50"/>
        <v>40</v>
      </c>
      <c r="AD517" s="330">
        <f t="shared" si="51"/>
        <v>40</v>
      </c>
      <c r="AE517" s="217">
        <f t="shared" si="52"/>
        <v>122400</v>
      </c>
      <c r="AF517" s="647" t="str">
        <f t="shared" si="99"/>
        <v>PTA80733</v>
      </c>
      <c r="AG517" s="330" t="s">
        <v>317</v>
      </c>
      <c r="AH517" s="217" t="str">
        <f t="shared" si="53"/>
        <v>9999</v>
      </c>
      <c r="AI517" s="217" t="str">
        <f t="shared" si="74"/>
        <v>50010002</v>
      </c>
      <c r="AJ517" s="217">
        <f t="shared" si="54"/>
        <v>0</v>
      </c>
      <c r="AK517" s="217">
        <f t="shared" si="55"/>
        <v>0</v>
      </c>
      <c r="AL517" s="649">
        <f t="shared" si="56"/>
        <v>1</v>
      </c>
      <c r="AM517" s="649">
        <f t="shared" si="57"/>
        <v>0</v>
      </c>
      <c r="AN517" s="217" t="str">
        <f t="shared" si="58"/>
        <v>CNY</v>
      </c>
      <c r="AO517" s="329">
        <f t="shared" si="32"/>
        <v>2.0000000000000001E-4</v>
      </c>
      <c r="AP517" s="329">
        <f t="shared" si="59"/>
        <v>2</v>
      </c>
      <c r="AQ517" s="329">
        <f t="shared" si="60"/>
        <v>32.479999999999997</v>
      </c>
    </row>
    <row r="518" spans="1:43" s="6" customFormat="1" x14ac:dyDescent="0.25">
      <c r="A518" s="126" t="str">
        <f t="shared" si="33"/>
        <v>comment</v>
      </c>
      <c r="B518" s="571" t="str">
        <f t="shared" si="73"/>
        <v/>
      </c>
      <c r="C518" s="101" t="str">
        <f t="shared" si="34"/>
        <v>2018032610000050</v>
      </c>
      <c r="D518" s="114"/>
      <c r="E518" s="111" t="str">
        <f t="shared" si="64"/>
        <v>6001</v>
      </c>
      <c r="F518" s="111" t="str">
        <f t="shared" si="65"/>
        <v>B00101</v>
      </c>
      <c r="G518" s="111" t="str">
        <f t="shared" si="66"/>
        <v>6001</v>
      </c>
      <c r="H518" s="111">
        <v>10000050</v>
      </c>
      <c r="I518" s="104">
        <f t="shared" si="38"/>
        <v>20180326</v>
      </c>
      <c r="J518" s="113">
        <f t="shared" si="39"/>
        <v>20180326</v>
      </c>
      <c r="K518" s="111" t="str">
        <f t="shared" si="40"/>
        <v>CZCE</v>
      </c>
      <c r="L518" s="111" t="str">
        <f>$C$22</f>
        <v>SR807</v>
      </c>
      <c r="M518" s="92">
        <f t="shared" si="41"/>
        <v>10</v>
      </c>
      <c r="N518" s="111">
        <v>0</v>
      </c>
      <c r="O518" s="111">
        <v>0</v>
      </c>
      <c r="P518" s="111">
        <v>1</v>
      </c>
      <c r="Q518" s="111">
        <f>SUMPRODUCT(($AC$626:$AC$641=L518)*($Z$626:$Z$641=O518)*($L$626:$L$641=P518)*($P$626:$P$641=S518)*($AA$626:$AA$641))</f>
        <v>0</v>
      </c>
      <c r="R518" s="92">
        <f t="shared" si="28"/>
        <v>6400</v>
      </c>
      <c r="S518" s="111">
        <f>J32</f>
        <v>6400</v>
      </c>
      <c r="T518" s="92">
        <f t="shared" si="29"/>
        <v>6150</v>
      </c>
      <c r="U518" s="12">
        <f t="shared" si="42"/>
        <v>5.0000000000000001E-4</v>
      </c>
      <c r="V518" s="92">
        <f t="shared" si="43"/>
        <v>5</v>
      </c>
      <c r="W518" s="92">
        <f t="shared" si="44"/>
        <v>4.0000000000000002E-4</v>
      </c>
      <c r="X518" s="92">
        <f t="shared" si="45"/>
        <v>4</v>
      </c>
      <c r="Y518" s="12">
        <f t="shared" si="72"/>
        <v>0</v>
      </c>
      <c r="Z518" s="12">
        <f t="shared" si="47"/>
        <v>0</v>
      </c>
      <c r="AA518" s="110">
        <f t="shared" si="48"/>
        <v>0</v>
      </c>
      <c r="AB518" s="110">
        <f t="shared" si="49"/>
        <v>0</v>
      </c>
      <c r="AC518" s="12">
        <f t="shared" si="50"/>
        <v>0</v>
      </c>
      <c r="AD518" s="12">
        <f t="shared" si="51"/>
        <v>0</v>
      </c>
      <c r="AE518" s="92">
        <f t="shared" si="52"/>
        <v>0</v>
      </c>
      <c r="AF518" s="101" t="str">
        <f t="shared" si="99"/>
        <v>SR80710</v>
      </c>
      <c r="AG518" s="111" t="s">
        <v>312</v>
      </c>
      <c r="AH518" s="111" t="str">
        <f t="shared" si="53"/>
        <v>9999</v>
      </c>
      <c r="AI518" s="111" t="str">
        <f t="shared" si="74"/>
        <v>50010001</v>
      </c>
      <c r="AJ518" s="92">
        <f t="shared" si="54"/>
        <v>0</v>
      </c>
      <c r="AK518" s="92">
        <f t="shared" si="55"/>
        <v>0</v>
      </c>
      <c r="AL518" s="92">
        <f t="shared" si="56"/>
        <v>0</v>
      </c>
      <c r="AM518" s="92">
        <f t="shared" si="57"/>
        <v>0</v>
      </c>
      <c r="AN518" s="111" t="str">
        <f t="shared" si="58"/>
        <v>CNY</v>
      </c>
      <c r="AO518">
        <f t="shared" si="32"/>
        <v>2.0000000000000001E-4</v>
      </c>
      <c r="AP518">
        <f t="shared" si="59"/>
        <v>2</v>
      </c>
      <c r="AQ518">
        <f t="shared" si="60"/>
        <v>0</v>
      </c>
    </row>
    <row r="519" spans="1:43" s="6" customFormat="1" x14ac:dyDescent="0.25">
      <c r="A519" s="126" t="str">
        <f t="shared" si="33"/>
        <v>comment</v>
      </c>
      <c r="B519" s="571" t="str">
        <f t="shared" si="73"/>
        <v/>
      </c>
      <c r="C519" s="101" t="str">
        <f t="shared" si="34"/>
        <v>2018032610000051</v>
      </c>
      <c r="D519" s="111"/>
      <c r="E519" s="111" t="str">
        <f t="shared" si="64"/>
        <v>6001</v>
      </c>
      <c r="F519" s="111" t="str">
        <f t="shared" si="65"/>
        <v>B00101</v>
      </c>
      <c r="G519" s="111" t="str">
        <f t="shared" si="66"/>
        <v>6001</v>
      </c>
      <c r="H519" s="111">
        <v>10000051</v>
      </c>
      <c r="I519" s="104">
        <f t="shared" si="38"/>
        <v>20180326</v>
      </c>
      <c r="J519" s="113">
        <f t="shared" si="39"/>
        <v>20180326</v>
      </c>
      <c r="K519" s="111" t="str">
        <f t="shared" si="40"/>
        <v>CZCE</v>
      </c>
      <c r="L519" s="111" t="str">
        <f t="shared" ref="L519:L524" si="100">$C$22</f>
        <v>SR807</v>
      </c>
      <c r="M519" s="92">
        <f t="shared" si="41"/>
        <v>10</v>
      </c>
      <c r="N519" s="111">
        <v>0</v>
      </c>
      <c r="O519" s="111">
        <v>0</v>
      </c>
      <c r="P519" s="111">
        <v>3</v>
      </c>
      <c r="Q519" s="111">
        <f>SUMPRODUCT(($AC$626:$AC$641=L519)*($Z$626:$Z$641=O519)*($L$626:$L$641=P519)*($P$626:$P$641=S519)*($AA$626:$AA$641))</f>
        <v>0</v>
      </c>
      <c r="R519" s="92">
        <f t="shared" si="28"/>
        <v>6400</v>
      </c>
      <c r="S519" s="111">
        <f>S518</f>
        <v>6400</v>
      </c>
      <c r="T519" s="92">
        <f t="shared" si="29"/>
        <v>6150</v>
      </c>
      <c r="U519" s="12">
        <f t="shared" si="42"/>
        <v>5.0000000000000001E-4</v>
      </c>
      <c r="V519" s="92">
        <f t="shared" si="43"/>
        <v>5</v>
      </c>
      <c r="W519" s="92">
        <f t="shared" si="44"/>
        <v>5.0000000000000001E-4</v>
      </c>
      <c r="X519" s="92">
        <f t="shared" si="45"/>
        <v>5</v>
      </c>
      <c r="Y519" s="12">
        <f t="shared" si="72"/>
        <v>0</v>
      </c>
      <c r="Z519" s="12">
        <f t="shared" si="47"/>
        <v>0</v>
      </c>
      <c r="AA519" s="110">
        <f t="shared" si="48"/>
        <v>0</v>
      </c>
      <c r="AB519" s="110">
        <f t="shared" si="49"/>
        <v>0</v>
      </c>
      <c r="AC519" s="12">
        <f t="shared" si="50"/>
        <v>0</v>
      </c>
      <c r="AD519" s="12">
        <f t="shared" si="51"/>
        <v>0</v>
      </c>
      <c r="AE519" s="92">
        <f t="shared" si="52"/>
        <v>0</v>
      </c>
      <c r="AF519" s="101" t="str">
        <f t="shared" si="99"/>
        <v>SR80730</v>
      </c>
      <c r="AG519" s="111" t="s">
        <v>312</v>
      </c>
      <c r="AH519" s="111" t="str">
        <f t="shared" si="53"/>
        <v>9999</v>
      </c>
      <c r="AI519" s="111" t="str">
        <f t="shared" si="74"/>
        <v>50010001</v>
      </c>
      <c r="AJ519" s="92">
        <f t="shared" si="54"/>
        <v>0</v>
      </c>
      <c r="AK519" s="92">
        <f t="shared" si="55"/>
        <v>0</v>
      </c>
      <c r="AL519" s="92">
        <f t="shared" si="56"/>
        <v>0</v>
      </c>
      <c r="AM519" s="92">
        <f t="shared" si="57"/>
        <v>0</v>
      </c>
      <c r="AN519" s="111" t="str">
        <f t="shared" si="58"/>
        <v>CNY</v>
      </c>
      <c r="AO519">
        <f t="shared" si="32"/>
        <v>2.0000000000000001E-4</v>
      </c>
      <c r="AP519">
        <f t="shared" si="59"/>
        <v>2</v>
      </c>
      <c r="AQ519">
        <f t="shared" si="60"/>
        <v>0</v>
      </c>
    </row>
    <row r="520" spans="1:43" s="6" customFormat="1" x14ac:dyDescent="0.25">
      <c r="A520" s="126" t="str">
        <f t="shared" si="33"/>
        <v>comment</v>
      </c>
      <c r="B520" s="571" t="str">
        <f t="shared" si="73"/>
        <v/>
      </c>
      <c r="C520" s="101" t="str">
        <f>IF(H520=99999999,CONCATENATE(H520,I520),CONCATENATE(I520,H520))</f>
        <v>2018032610000052</v>
      </c>
      <c r="D520" s="111"/>
      <c r="E520" s="111" t="str">
        <f t="shared" si="64"/>
        <v>6001</v>
      </c>
      <c r="F520" s="111" t="str">
        <f t="shared" si="65"/>
        <v>B00101</v>
      </c>
      <c r="G520" s="111" t="str">
        <f t="shared" si="66"/>
        <v>6001</v>
      </c>
      <c r="H520" s="111">
        <v>10000052</v>
      </c>
      <c r="I520" s="104">
        <f t="shared" si="38"/>
        <v>20180326</v>
      </c>
      <c r="J520" s="113">
        <f t="shared" si="39"/>
        <v>20180326</v>
      </c>
      <c r="K520" s="111" t="str">
        <f t="shared" si="40"/>
        <v>CZCE</v>
      </c>
      <c r="L520" s="111" t="str">
        <f t="shared" si="100"/>
        <v>SR807</v>
      </c>
      <c r="M520" s="92">
        <f t="shared" si="41"/>
        <v>10</v>
      </c>
      <c r="N520" s="111">
        <v>0</v>
      </c>
      <c r="O520" s="111">
        <v>1</v>
      </c>
      <c r="P520" s="111">
        <v>1</v>
      </c>
      <c r="Q520" s="111">
        <f>SUMPRODUCT(($AC$626:$AC$641=L520)*($Z$626:$Z$641=O520)*($L$626:$L$641=P520)*($P$626:$P$641=S520)*($AA$626:$AA$641))</f>
        <v>0</v>
      </c>
      <c r="R520" s="92">
        <f t="shared" si="28"/>
        <v>6400</v>
      </c>
      <c r="S520" s="111">
        <f>S518</f>
        <v>6400</v>
      </c>
      <c r="T520" s="92">
        <f t="shared" si="29"/>
        <v>6150</v>
      </c>
      <c r="U520" s="12">
        <f t="shared" si="42"/>
        <v>5.0000000000000001E-4</v>
      </c>
      <c r="V520" s="92">
        <f t="shared" si="43"/>
        <v>5</v>
      </c>
      <c r="W520" s="92">
        <f t="shared" si="44"/>
        <v>4.0000000000000002E-4</v>
      </c>
      <c r="X520" s="92">
        <f t="shared" si="45"/>
        <v>4</v>
      </c>
      <c r="Y520" s="12">
        <f t="shared" si="72"/>
        <v>0</v>
      </c>
      <c r="Z520" s="12">
        <f t="shared" si="47"/>
        <v>0</v>
      </c>
      <c r="AA520" s="110">
        <f t="shared" si="48"/>
        <v>0</v>
      </c>
      <c r="AB520" s="110">
        <f t="shared" si="49"/>
        <v>0</v>
      </c>
      <c r="AC520" s="12">
        <f t="shared" si="50"/>
        <v>0</v>
      </c>
      <c r="AD520" s="12">
        <f t="shared" si="51"/>
        <v>0</v>
      </c>
      <c r="AE520" s="92">
        <f t="shared" si="52"/>
        <v>0</v>
      </c>
      <c r="AF520" s="101" t="str">
        <f t="shared" si="99"/>
        <v>SR80710</v>
      </c>
      <c r="AG520" s="111" t="s">
        <v>312</v>
      </c>
      <c r="AH520" s="111" t="str">
        <f t="shared" si="53"/>
        <v>9999</v>
      </c>
      <c r="AI520" s="111" t="str">
        <f t="shared" si="74"/>
        <v>50010001</v>
      </c>
      <c r="AJ520" s="92">
        <f t="shared" si="54"/>
        <v>0</v>
      </c>
      <c r="AK520" s="92">
        <f t="shared" si="55"/>
        <v>0</v>
      </c>
      <c r="AL520" s="92">
        <f t="shared" si="56"/>
        <v>0</v>
      </c>
      <c r="AM520" s="92">
        <f t="shared" si="57"/>
        <v>0</v>
      </c>
      <c r="AN520" s="111" t="str">
        <f t="shared" si="58"/>
        <v>CNY</v>
      </c>
      <c r="AO520">
        <f t="shared" si="32"/>
        <v>2.0000000000000001E-4</v>
      </c>
      <c r="AP520">
        <f t="shared" si="59"/>
        <v>2</v>
      </c>
      <c r="AQ520">
        <f t="shared" si="60"/>
        <v>0</v>
      </c>
    </row>
    <row r="521" spans="1:43" s="6" customFormat="1" x14ac:dyDescent="0.25">
      <c r="A521" s="126" t="str">
        <f t="shared" si="33"/>
        <v>comment</v>
      </c>
      <c r="B521" s="571" t="str">
        <f t="shared" si="73"/>
        <v/>
      </c>
      <c r="C521" s="101" t="str">
        <f t="shared" si="34"/>
        <v>2018032610000053</v>
      </c>
      <c r="D521" s="111"/>
      <c r="E521" s="111" t="str">
        <f t="shared" si="64"/>
        <v>6001</v>
      </c>
      <c r="F521" s="111" t="str">
        <f t="shared" si="65"/>
        <v>B00101</v>
      </c>
      <c r="G521" s="111" t="str">
        <f t="shared" si="66"/>
        <v>6001</v>
      </c>
      <c r="H521" s="111">
        <v>10000053</v>
      </c>
      <c r="I521" s="104">
        <f t="shared" si="38"/>
        <v>20180326</v>
      </c>
      <c r="J521" s="113">
        <f t="shared" si="39"/>
        <v>20180326</v>
      </c>
      <c r="K521" s="111" t="str">
        <f t="shared" si="40"/>
        <v>CZCE</v>
      </c>
      <c r="L521" s="111" t="str">
        <f t="shared" si="100"/>
        <v>SR807</v>
      </c>
      <c r="M521" s="92">
        <f t="shared" si="41"/>
        <v>10</v>
      </c>
      <c r="N521" s="111">
        <v>0</v>
      </c>
      <c r="O521" s="111">
        <v>1</v>
      </c>
      <c r="P521" s="111">
        <v>3</v>
      </c>
      <c r="Q521" s="111">
        <f>SUMPRODUCT(($AC$626:$AC$641=L521)*($Z$626:$Z$641=O521)*($L$626:$L$641=P521)*($P$626:$P$641=S521)*($AA$626:$AA$641))</f>
        <v>0</v>
      </c>
      <c r="R521" s="92">
        <f t="shared" si="28"/>
        <v>6400</v>
      </c>
      <c r="S521" s="111">
        <f>S518</f>
        <v>6400</v>
      </c>
      <c r="T521" s="92">
        <f t="shared" si="29"/>
        <v>6150</v>
      </c>
      <c r="U521" s="12">
        <f t="shared" si="42"/>
        <v>5.0000000000000001E-4</v>
      </c>
      <c r="V521" s="92">
        <f t="shared" si="43"/>
        <v>5</v>
      </c>
      <c r="W521" s="92">
        <f t="shared" si="44"/>
        <v>5.0000000000000001E-4</v>
      </c>
      <c r="X521" s="92">
        <f t="shared" si="45"/>
        <v>5</v>
      </c>
      <c r="Y521" s="12">
        <f t="shared" si="72"/>
        <v>0</v>
      </c>
      <c r="Z521" s="12">
        <f t="shared" si="47"/>
        <v>0</v>
      </c>
      <c r="AA521" s="110">
        <f t="shared" si="48"/>
        <v>0</v>
      </c>
      <c r="AB521" s="110">
        <f t="shared" si="49"/>
        <v>0</v>
      </c>
      <c r="AC521" s="12">
        <f t="shared" si="50"/>
        <v>0</v>
      </c>
      <c r="AD521" s="12">
        <f t="shared" si="51"/>
        <v>0</v>
      </c>
      <c r="AE521" s="92">
        <f t="shared" si="52"/>
        <v>0</v>
      </c>
      <c r="AF521" s="101" t="str">
        <f t="shared" si="99"/>
        <v>SR80730</v>
      </c>
      <c r="AG521" s="111" t="s">
        <v>312</v>
      </c>
      <c r="AH521" s="111" t="str">
        <f t="shared" si="53"/>
        <v>9999</v>
      </c>
      <c r="AI521" s="111" t="str">
        <f t="shared" si="74"/>
        <v>50010001</v>
      </c>
      <c r="AJ521" s="92">
        <f t="shared" si="54"/>
        <v>0</v>
      </c>
      <c r="AK521" s="92">
        <f t="shared" si="55"/>
        <v>0</v>
      </c>
      <c r="AL521" s="92">
        <f t="shared" si="56"/>
        <v>0</v>
      </c>
      <c r="AM521" s="92">
        <f t="shared" si="57"/>
        <v>0</v>
      </c>
      <c r="AN521" s="111" t="str">
        <f t="shared" si="58"/>
        <v>CNY</v>
      </c>
      <c r="AO521">
        <f t="shared" si="32"/>
        <v>2.0000000000000001E-4</v>
      </c>
      <c r="AP521">
        <f t="shared" si="59"/>
        <v>2</v>
      </c>
      <c r="AQ521">
        <f t="shared" si="60"/>
        <v>0</v>
      </c>
    </row>
    <row r="522" spans="1:43" s="6" customFormat="1" x14ac:dyDescent="0.25">
      <c r="A522" s="126" t="str">
        <f t="shared" si="33"/>
        <v>comment</v>
      </c>
      <c r="B522" s="571" t="str">
        <f t="shared" si="73"/>
        <v/>
      </c>
      <c r="C522" s="101" t="str">
        <f t="shared" si="34"/>
        <v>2018032610000054</v>
      </c>
      <c r="D522" s="111"/>
      <c r="E522" s="111" t="str">
        <f t="shared" si="64"/>
        <v>6001</v>
      </c>
      <c r="F522" s="111" t="str">
        <f t="shared" ref="F522:F525" si="101">VLOOKUP(E522,$B$8:$C$8,2)</f>
        <v>B00101</v>
      </c>
      <c r="G522" s="111" t="str">
        <f t="shared" ref="G522:G526" si="102">VLOOKUP(F522,$C$8:$D$9,2)</f>
        <v>6001</v>
      </c>
      <c r="H522" s="111">
        <v>10000054</v>
      </c>
      <c r="I522" s="104">
        <f t="shared" si="38"/>
        <v>20180326</v>
      </c>
      <c r="J522" s="113">
        <f t="shared" si="39"/>
        <v>20180326</v>
      </c>
      <c r="K522" s="111" t="str">
        <f t="shared" si="40"/>
        <v>CZCE</v>
      </c>
      <c r="L522" s="111" t="str">
        <f t="shared" si="100"/>
        <v>SR807</v>
      </c>
      <c r="M522" s="92">
        <f t="shared" si="41"/>
        <v>10</v>
      </c>
      <c r="N522" s="111">
        <v>0</v>
      </c>
      <c r="O522" s="111">
        <v>0</v>
      </c>
      <c r="P522" s="111">
        <v>1</v>
      </c>
      <c r="Q522" s="111">
        <f>SUMPRODUCT(($AC$626:$AC$641=L522)*($Z$626:$Z$641=O522)*($L$626:$L$641=P522)*($P$626:$P$641=S522)*($AA$626:$AA$641))</f>
        <v>0</v>
      </c>
      <c r="R522" s="92">
        <f t="shared" si="28"/>
        <v>6500</v>
      </c>
      <c r="S522" s="111">
        <f>$J$31</f>
        <v>6500</v>
      </c>
      <c r="T522" s="92">
        <f t="shared" si="29"/>
        <v>6150</v>
      </c>
      <c r="U522" s="12">
        <f t="shared" si="42"/>
        <v>5.0000000000000001E-4</v>
      </c>
      <c r="V522" s="92">
        <f t="shared" si="43"/>
        <v>5</v>
      </c>
      <c r="W522" s="92">
        <f t="shared" si="44"/>
        <v>4.0000000000000002E-4</v>
      </c>
      <c r="X522" s="92">
        <f t="shared" si="45"/>
        <v>4</v>
      </c>
      <c r="Y522" s="12">
        <f t="shared" si="72"/>
        <v>0</v>
      </c>
      <c r="Z522" s="12">
        <f t="shared" si="47"/>
        <v>0</v>
      </c>
      <c r="AA522" s="110">
        <f t="shared" si="48"/>
        <v>0</v>
      </c>
      <c r="AB522" s="110">
        <f t="shared" si="49"/>
        <v>0</v>
      </c>
      <c r="AC522" s="12">
        <f t="shared" si="50"/>
        <v>0</v>
      </c>
      <c r="AD522" s="12">
        <f t="shared" si="51"/>
        <v>0</v>
      </c>
      <c r="AE522" s="92">
        <f t="shared" si="52"/>
        <v>0</v>
      </c>
      <c r="AF522" s="101" t="str">
        <f t="shared" ref="AF522:AF551" si="103">L522&amp;INT(P522)&amp;INT(N522)</f>
        <v>SR80710</v>
      </c>
      <c r="AG522" s="111" t="s">
        <v>312</v>
      </c>
      <c r="AH522" s="111" t="str">
        <f t="shared" si="53"/>
        <v>9999</v>
      </c>
      <c r="AI522" s="111" t="str">
        <f t="shared" si="74"/>
        <v>50010001</v>
      </c>
      <c r="AJ522" s="92">
        <f t="shared" si="54"/>
        <v>0</v>
      </c>
      <c r="AK522" s="92">
        <f t="shared" si="55"/>
        <v>0</v>
      </c>
      <c r="AL522" s="92">
        <f t="shared" si="56"/>
        <v>0</v>
      </c>
      <c r="AM522" s="92">
        <f t="shared" si="57"/>
        <v>0</v>
      </c>
      <c r="AN522" s="111" t="str">
        <f t="shared" si="58"/>
        <v>CNY</v>
      </c>
      <c r="AO522">
        <f t="shared" si="32"/>
        <v>2.0000000000000001E-4</v>
      </c>
      <c r="AP522">
        <f t="shared" si="59"/>
        <v>2</v>
      </c>
      <c r="AQ522">
        <f t="shared" si="60"/>
        <v>0</v>
      </c>
    </row>
    <row r="523" spans="1:43" s="6" customFormat="1" x14ac:dyDescent="0.25">
      <c r="A523" s="167" t="str">
        <f t="shared" si="33"/>
        <v/>
      </c>
      <c r="B523" s="571" t="str">
        <f t="shared" si="73"/>
        <v/>
      </c>
      <c r="C523" s="101" t="str">
        <f t="shared" si="34"/>
        <v>2018032610000055</v>
      </c>
      <c r="D523" s="111"/>
      <c r="E523" s="111" t="str">
        <f t="shared" si="64"/>
        <v>6001</v>
      </c>
      <c r="F523" s="111" t="str">
        <f t="shared" si="101"/>
        <v>B00101</v>
      </c>
      <c r="G523" s="111" t="str">
        <f t="shared" si="102"/>
        <v>6001</v>
      </c>
      <c r="H523" s="111">
        <v>10000055</v>
      </c>
      <c r="I523" s="104">
        <f t="shared" si="38"/>
        <v>20180326</v>
      </c>
      <c r="J523" s="113">
        <f t="shared" si="39"/>
        <v>20180326</v>
      </c>
      <c r="K523" s="111" t="str">
        <f t="shared" si="40"/>
        <v>CZCE</v>
      </c>
      <c r="L523" s="111" t="str">
        <f t="shared" si="100"/>
        <v>SR807</v>
      </c>
      <c r="M523" s="92">
        <f t="shared" si="41"/>
        <v>10</v>
      </c>
      <c r="N523" s="111">
        <v>0</v>
      </c>
      <c r="O523" s="111">
        <v>0</v>
      </c>
      <c r="P523" s="111">
        <v>3</v>
      </c>
      <c r="Q523" s="111">
        <f>SUMPRODUCT(($AC$626:$AC$649=L523)*($Z$626:$Z$649=O523)*($L$626:$L$649=P523)*($P$626:$P$649=S523)*($AA$626:$AA$649))</f>
        <v>4</v>
      </c>
      <c r="R523" s="111">
        <f t="shared" si="28"/>
        <v>6500</v>
      </c>
      <c r="S523" s="111">
        <f t="shared" ref="S523:S524" si="104">$J$31</f>
        <v>6500</v>
      </c>
      <c r="T523" s="92">
        <f t="shared" si="29"/>
        <v>6150</v>
      </c>
      <c r="U523" s="12">
        <f t="shared" si="42"/>
        <v>5.0000000000000001E-4</v>
      </c>
      <c r="V523" s="111">
        <f t="shared" si="43"/>
        <v>5</v>
      </c>
      <c r="W523" s="111">
        <f t="shared" si="44"/>
        <v>5.0000000000000001E-4</v>
      </c>
      <c r="X523" s="111">
        <f t="shared" si="45"/>
        <v>5</v>
      </c>
      <c r="Y523" s="12">
        <f t="shared" si="72"/>
        <v>150</v>
      </c>
      <c r="Z523" s="12">
        <f t="shared" si="47"/>
        <v>150</v>
      </c>
      <c r="AA523" s="248">
        <f t="shared" si="48"/>
        <v>150</v>
      </c>
      <c r="AB523" s="248">
        <f t="shared" si="49"/>
        <v>150</v>
      </c>
      <c r="AC523" s="12">
        <f t="shared" si="50"/>
        <v>0</v>
      </c>
      <c r="AD523" s="12">
        <f t="shared" si="51"/>
        <v>0</v>
      </c>
      <c r="AE523" s="111">
        <f t="shared" si="52"/>
        <v>260000</v>
      </c>
      <c r="AF523" s="101" t="str">
        <f t="shared" si="103"/>
        <v>SR80730</v>
      </c>
      <c r="AG523" s="111" t="s">
        <v>312</v>
      </c>
      <c r="AH523" s="111" t="str">
        <f t="shared" si="53"/>
        <v>9999</v>
      </c>
      <c r="AI523" s="111" t="str">
        <f t="shared" si="74"/>
        <v>50010001</v>
      </c>
      <c r="AJ523" s="111">
        <f t="shared" si="54"/>
        <v>0</v>
      </c>
      <c r="AK523" s="111">
        <f t="shared" si="55"/>
        <v>0</v>
      </c>
      <c r="AL523" s="92">
        <f t="shared" si="56"/>
        <v>0</v>
      </c>
      <c r="AM523" s="92">
        <f t="shared" si="57"/>
        <v>0</v>
      </c>
      <c r="AN523" s="111" t="str">
        <f t="shared" si="58"/>
        <v>CNY</v>
      </c>
      <c r="AO523" s="6">
        <f t="shared" si="32"/>
        <v>2.0000000000000001E-4</v>
      </c>
      <c r="AP523" s="6">
        <f t="shared" si="59"/>
        <v>2</v>
      </c>
      <c r="AQ523" s="6">
        <f t="shared" si="60"/>
        <v>60</v>
      </c>
    </row>
    <row r="524" spans="1:43" s="6" customFormat="1" x14ac:dyDescent="0.25">
      <c r="A524" s="167" t="str">
        <f t="shared" si="33"/>
        <v/>
      </c>
      <c r="B524" s="571" t="str">
        <f t="shared" si="73"/>
        <v/>
      </c>
      <c r="C524" s="101" t="str">
        <f t="shared" si="34"/>
        <v>2018032610000056</v>
      </c>
      <c r="D524" s="111"/>
      <c r="E524" s="111" t="str">
        <f t="shared" si="64"/>
        <v>6001</v>
      </c>
      <c r="F524" s="111" t="str">
        <f t="shared" si="101"/>
        <v>B00101</v>
      </c>
      <c r="G524" s="111" t="str">
        <f t="shared" si="102"/>
        <v>6001</v>
      </c>
      <c r="H524" s="111">
        <v>10000056</v>
      </c>
      <c r="I524" s="104">
        <f t="shared" si="38"/>
        <v>20180326</v>
      </c>
      <c r="J524" s="113">
        <f t="shared" si="39"/>
        <v>20180326</v>
      </c>
      <c r="K524" s="111" t="str">
        <f t="shared" si="40"/>
        <v>CZCE</v>
      </c>
      <c r="L524" s="111" t="str">
        <f t="shared" si="100"/>
        <v>SR807</v>
      </c>
      <c r="M524" s="92">
        <f t="shared" si="41"/>
        <v>10</v>
      </c>
      <c r="N524" s="111">
        <v>0</v>
      </c>
      <c r="O524" s="111">
        <v>1</v>
      </c>
      <c r="P524" s="111">
        <v>1</v>
      </c>
      <c r="Q524" s="111">
        <f>SUMPRODUCT(($AC$626:$AC$649=L524)*($Z$626:$Z$649=O524)*($L$626:$L$649=P524)*($P$626:$P$649=S524)*($AA$626:$AA$649))</f>
        <v>3</v>
      </c>
      <c r="R524" s="111">
        <f t="shared" si="28"/>
        <v>6500</v>
      </c>
      <c r="S524" s="111">
        <f t="shared" si="104"/>
        <v>6500</v>
      </c>
      <c r="T524" s="92">
        <f t="shared" si="29"/>
        <v>6150</v>
      </c>
      <c r="U524" s="12">
        <f t="shared" si="42"/>
        <v>5.0000000000000001E-4</v>
      </c>
      <c r="V524" s="111">
        <f t="shared" si="43"/>
        <v>5</v>
      </c>
      <c r="W524" s="111">
        <f t="shared" si="44"/>
        <v>4.0000000000000002E-4</v>
      </c>
      <c r="X524" s="111">
        <f t="shared" si="45"/>
        <v>4</v>
      </c>
      <c r="Y524" s="12">
        <f t="shared" si="72"/>
        <v>112.5</v>
      </c>
      <c r="Z524" s="12">
        <f t="shared" si="47"/>
        <v>90</v>
      </c>
      <c r="AA524" s="248">
        <f t="shared" si="48"/>
        <v>112.5</v>
      </c>
      <c r="AB524" s="248">
        <f t="shared" si="49"/>
        <v>90</v>
      </c>
      <c r="AC524" s="12">
        <f t="shared" si="50"/>
        <v>0</v>
      </c>
      <c r="AD524" s="12">
        <f t="shared" si="51"/>
        <v>0</v>
      </c>
      <c r="AE524" s="111">
        <f t="shared" si="52"/>
        <v>195000</v>
      </c>
      <c r="AF524" s="101" t="str">
        <f t="shared" si="103"/>
        <v>SR80710</v>
      </c>
      <c r="AG524" s="111" t="s">
        <v>312</v>
      </c>
      <c r="AH524" s="111" t="str">
        <f t="shared" si="53"/>
        <v>9999</v>
      </c>
      <c r="AI524" s="111" t="str">
        <f t="shared" si="74"/>
        <v>50010001</v>
      </c>
      <c r="AJ524" s="111">
        <f t="shared" si="54"/>
        <v>0</v>
      </c>
      <c r="AK524" s="111">
        <f t="shared" si="55"/>
        <v>0</v>
      </c>
      <c r="AL524" s="92">
        <f t="shared" si="56"/>
        <v>0</v>
      </c>
      <c r="AM524" s="92">
        <f t="shared" si="57"/>
        <v>0</v>
      </c>
      <c r="AN524" s="111" t="str">
        <f t="shared" si="58"/>
        <v>CNY</v>
      </c>
      <c r="AO524" s="6">
        <f t="shared" si="32"/>
        <v>2.0000000000000001E-4</v>
      </c>
      <c r="AP524" s="6">
        <f t="shared" si="59"/>
        <v>2</v>
      </c>
      <c r="AQ524" s="6">
        <f t="shared" si="60"/>
        <v>45</v>
      </c>
    </row>
    <row r="525" spans="1:43" s="6" customFormat="1" x14ac:dyDescent="0.25">
      <c r="A525" s="167" t="str">
        <f t="shared" si="33"/>
        <v/>
      </c>
      <c r="B525" s="571" t="str">
        <f t="shared" si="73"/>
        <v/>
      </c>
      <c r="C525" s="101" t="str">
        <f t="shared" si="34"/>
        <v>2018032610000057</v>
      </c>
      <c r="D525" s="111"/>
      <c r="E525" s="111" t="str">
        <f t="shared" si="64"/>
        <v>6001</v>
      </c>
      <c r="F525" s="111" t="str">
        <f t="shared" si="101"/>
        <v>B00101</v>
      </c>
      <c r="G525" s="111" t="str">
        <f t="shared" si="102"/>
        <v>6001</v>
      </c>
      <c r="H525" s="111">
        <v>10000057</v>
      </c>
      <c r="I525" s="104">
        <f t="shared" si="38"/>
        <v>20180326</v>
      </c>
      <c r="J525" s="113">
        <f t="shared" si="39"/>
        <v>20180326</v>
      </c>
      <c r="K525" s="111" t="str">
        <f t="shared" si="40"/>
        <v>CZCE</v>
      </c>
      <c r="L525" s="111" t="str">
        <f>$C$22</f>
        <v>SR807</v>
      </c>
      <c r="M525" s="92">
        <f t="shared" si="41"/>
        <v>10</v>
      </c>
      <c r="N525" s="111">
        <v>0</v>
      </c>
      <c r="O525" s="111">
        <v>1</v>
      </c>
      <c r="P525" s="111">
        <v>3</v>
      </c>
      <c r="Q525" s="111">
        <f>SUMPRODUCT(($AC$626:$AC$649=L525)*($Z$626:$Z$649=O525)*($L$626:$L$649=P525)*($P$626:$P$649=S525)*($AA$626:$AA$649))</f>
        <v>2</v>
      </c>
      <c r="R525" s="111">
        <f t="shared" si="28"/>
        <v>6500</v>
      </c>
      <c r="S525" s="111">
        <f>S522</f>
        <v>6500</v>
      </c>
      <c r="T525" s="92">
        <f t="shared" si="29"/>
        <v>6150</v>
      </c>
      <c r="U525" s="12">
        <f t="shared" si="42"/>
        <v>5.0000000000000001E-4</v>
      </c>
      <c r="V525" s="111">
        <f t="shared" si="43"/>
        <v>5</v>
      </c>
      <c r="W525" s="111">
        <f t="shared" si="44"/>
        <v>5.0000000000000001E-4</v>
      </c>
      <c r="X525" s="111">
        <f t="shared" si="45"/>
        <v>5</v>
      </c>
      <c r="Y525" s="12">
        <f t="shared" si="72"/>
        <v>75</v>
      </c>
      <c r="Z525" s="12">
        <f t="shared" si="47"/>
        <v>75</v>
      </c>
      <c r="AA525" s="248">
        <f t="shared" si="48"/>
        <v>75</v>
      </c>
      <c r="AB525" s="248">
        <f t="shared" si="49"/>
        <v>75</v>
      </c>
      <c r="AC525" s="12">
        <f t="shared" si="50"/>
        <v>0</v>
      </c>
      <c r="AD525" s="12">
        <f t="shared" si="51"/>
        <v>0</v>
      </c>
      <c r="AE525" s="111">
        <f t="shared" si="52"/>
        <v>130000</v>
      </c>
      <c r="AF525" s="101" t="str">
        <f t="shared" si="103"/>
        <v>SR80730</v>
      </c>
      <c r="AG525" s="111" t="s">
        <v>312</v>
      </c>
      <c r="AH525" s="111" t="str">
        <f t="shared" si="53"/>
        <v>9999</v>
      </c>
      <c r="AI525" s="111" t="str">
        <f t="shared" si="74"/>
        <v>50010001</v>
      </c>
      <c r="AJ525" s="111">
        <f t="shared" si="54"/>
        <v>0</v>
      </c>
      <c r="AK525" s="111">
        <f t="shared" si="55"/>
        <v>0</v>
      </c>
      <c r="AL525" s="92">
        <f t="shared" si="56"/>
        <v>0</v>
      </c>
      <c r="AM525" s="92">
        <f t="shared" si="57"/>
        <v>0</v>
      </c>
      <c r="AN525" s="111" t="str">
        <f t="shared" si="58"/>
        <v>CNY</v>
      </c>
      <c r="AO525" s="6">
        <f t="shared" si="32"/>
        <v>2.0000000000000001E-4</v>
      </c>
      <c r="AP525" s="6">
        <f t="shared" si="59"/>
        <v>2</v>
      </c>
      <c r="AQ525" s="6">
        <f t="shared" si="60"/>
        <v>30</v>
      </c>
    </row>
    <row r="526" spans="1:43" s="6" customFormat="1" x14ac:dyDescent="0.25">
      <c r="A526" s="167"/>
      <c r="B526" s="571"/>
      <c r="C526" s="101" t="str">
        <f t="shared" si="34"/>
        <v>2018032610000060</v>
      </c>
      <c r="D526" s="111"/>
      <c r="E526" s="111" t="str">
        <f t="shared" si="64"/>
        <v>6001</v>
      </c>
      <c r="F526" s="111" t="str">
        <f>VLOOKUP(E526,$B$9:$C$9,2)</f>
        <v>B00102</v>
      </c>
      <c r="G526" s="111" t="str">
        <f t="shared" si="102"/>
        <v>6001</v>
      </c>
      <c r="H526" s="111">
        <v>10000060</v>
      </c>
      <c r="I526" s="104">
        <f t="shared" si="38"/>
        <v>20180326</v>
      </c>
      <c r="J526" s="113">
        <f t="shared" ref="J526:J527" si="105">I526</f>
        <v>20180326</v>
      </c>
      <c r="K526" s="111" t="str">
        <f t="shared" si="40"/>
        <v>CZCE</v>
      </c>
      <c r="L526" s="111" t="str">
        <f>$C$25</f>
        <v>PTA807</v>
      </c>
      <c r="M526" s="92">
        <f t="shared" si="41"/>
        <v>5</v>
      </c>
      <c r="N526" s="111">
        <v>0</v>
      </c>
      <c r="O526" s="111">
        <v>0</v>
      </c>
      <c r="P526" s="111">
        <v>3</v>
      </c>
      <c r="Q526" s="111">
        <f>SUMPRODUCT(($AC$626:$AC$649=L526)*($Z$626:$Z$649=O526)*($L$626:$L$649=P526)*($P$626:$P$649=S526)*($AA$626:$AA$649))</f>
        <v>5</v>
      </c>
      <c r="R526" s="111">
        <v>6500</v>
      </c>
      <c r="S526" s="111">
        <f>S523</f>
        <v>6500</v>
      </c>
      <c r="T526" s="92">
        <f t="shared" si="29"/>
        <v>6165</v>
      </c>
      <c r="U526" s="12">
        <f t="shared" ref="U526" si="106">VLOOKUP(AF526,$G$78:$K$117,2,FALSE)</f>
        <v>5.0000000000000001E-4</v>
      </c>
      <c r="V526" s="111">
        <f t="shared" ref="V526" si="107">VLOOKUP(AF526,$G$78:$K$117,3,FALSE)</f>
        <v>5</v>
      </c>
      <c r="W526" s="111">
        <f t="shared" ref="W526" si="108">VLOOKUP(AF526,$G$78:$K$117,4,FALSE)</f>
        <v>5.0000000000000001E-4</v>
      </c>
      <c r="X526" s="111">
        <f t="shared" ref="X526" si="109">VLOOKUP(AF526,$G$78:$K$117,5,FALSE)</f>
        <v>5</v>
      </c>
      <c r="Y526" s="12">
        <f t="shared" si="72"/>
        <v>106.25</v>
      </c>
      <c r="Z526" s="12">
        <f t="shared" si="47"/>
        <v>106.25</v>
      </c>
      <c r="AA526" s="248">
        <f t="shared" si="48"/>
        <v>106.25</v>
      </c>
      <c r="AB526" s="248">
        <f t="shared" ref="AB526" si="110">ROUND(Z526,3)</f>
        <v>106.25</v>
      </c>
      <c r="AC526" s="12">
        <f t="shared" ref="AC526" si="111">IF(N526=0,0,IF(I526=J526,IF(O526=1,M526*Q526*(S526-R526),-M526*Q526*(S526-R526)),IF(O526=1,M526*Q526*(T526-S526),-M526*Q526*(T526-S526))))</f>
        <v>0</v>
      </c>
      <c r="AD526" s="12">
        <f t="shared" ref="AD526" si="112">IF(N526=0,0,(IF(O526=1,M526*Q526*(S526-R526),-M526*Q526*(S526-R526))))</f>
        <v>0</v>
      </c>
      <c r="AE526" s="111">
        <f t="shared" ref="AE526" si="113">M526*Q526*S526</f>
        <v>162500</v>
      </c>
      <c r="AF526" s="101" t="str">
        <f t="shared" ref="AF526" si="114">L526&amp;INT(P526)&amp;INT(N526)</f>
        <v>PTA80730</v>
      </c>
      <c r="AG526" s="111" t="s">
        <v>312</v>
      </c>
      <c r="AH526" s="111" t="str">
        <f t="shared" si="53"/>
        <v>9999</v>
      </c>
      <c r="AI526" s="111" t="str">
        <f t="shared" ref="AI526" si="115">VLOOKUP(F526,$C$8:$G$9,5,FALSE)</f>
        <v>50010002</v>
      </c>
      <c r="AJ526" s="111">
        <f t="shared" ref="AJ526" si="116">IF(AM526=0,0,IF(O526=1,M526*Q526*S526,0))</f>
        <v>0</v>
      </c>
      <c r="AK526" s="111">
        <f t="shared" ref="AK526" si="117">IF(AM526=0,0,IF(O526=0,M526*Q526*S526,0))</f>
        <v>0</v>
      </c>
      <c r="AL526" s="92">
        <f t="shared" si="56"/>
        <v>1</v>
      </c>
      <c r="AM526" s="92">
        <f t="shared" si="57"/>
        <v>0</v>
      </c>
      <c r="AN526" s="111" t="str">
        <f t="shared" si="58"/>
        <v>CNY</v>
      </c>
      <c r="AO526" s="6">
        <f t="shared" ref="AO526" si="118">VLOOKUP(AF526,$G$78:$M$117,6,FALSE)</f>
        <v>2.0000000000000001E-4</v>
      </c>
      <c r="AP526" s="6">
        <f t="shared" ref="AP526" si="119">VLOOKUP(AF526,$G$78:$M$117,7,FALSE)</f>
        <v>2</v>
      </c>
      <c r="AQ526" s="6">
        <f t="shared" ref="AQ526" si="120">ROUND(M526*Q526*S526*AO526+Q526*AP526,2)</f>
        <v>42.5</v>
      </c>
    </row>
    <row r="527" spans="1:43" s="6" customFormat="1" x14ac:dyDescent="0.25">
      <c r="A527" s="167"/>
      <c r="B527" s="571"/>
      <c r="C527" s="101" t="str">
        <f t="shared" si="34"/>
        <v>2018032610000061</v>
      </c>
      <c r="D527" s="111"/>
      <c r="E527" s="111" t="str">
        <f t="shared" si="64"/>
        <v>6001</v>
      </c>
      <c r="F527" s="111" t="str">
        <f>VLOOKUP(E527,$B$9:$C$9,2)</f>
        <v>B00102</v>
      </c>
      <c r="G527" s="111" t="str">
        <f t="shared" ref="G527" si="121">VLOOKUP(F527,$C$8:$D$9,2)</f>
        <v>6001</v>
      </c>
      <c r="H527" s="111">
        <v>10000061</v>
      </c>
      <c r="I527" s="104">
        <f t="shared" si="38"/>
        <v>20180326</v>
      </c>
      <c r="J527" s="113">
        <f t="shared" si="105"/>
        <v>20180326</v>
      </c>
      <c r="K527" s="111" t="str">
        <f t="shared" si="40"/>
        <v>CZCE</v>
      </c>
      <c r="L527" s="111" t="str">
        <f>$C$25</f>
        <v>PTA807</v>
      </c>
      <c r="M527" s="92">
        <f t="shared" si="41"/>
        <v>5</v>
      </c>
      <c r="N527" s="111">
        <v>0</v>
      </c>
      <c r="O527" s="111">
        <v>0</v>
      </c>
      <c r="P527" s="111">
        <v>1</v>
      </c>
      <c r="Q527" s="111">
        <f>SUMPRODUCT(($AC$626:$AC$649=L527)*($Z$626:$Z$649=O527)*($L$626:$L$649=P527)*($P$626:$P$649=S527)*($AA$626:$AA$649))</f>
        <v>2</v>
      </c>
      <c r="R527" s="111">
        <v>6500</v>
      </c>
      <c r="S527" s="111">
        <f>S524</f>
        <v>6500</v>
      </c>
      <c r="T527" s="92">
        <f t="shared" si="29"/>
        <v>6165</v>
      </c>
      <c r="U527" s="12">
        <f t="shared" ref="U527" si="122">VLOOKUP(AF527,$G$78:$K$117,2,FALSE)</f>
        <v>5.0000000000000001E-4</v>
      </c>
      <c r="V527" s="111">
        <f t="shared" ref="V527" si="123">VLOOKUP(AF527,$G$78:$K$117,3,FALSE)</f>
        <v>5</v>
      </c>
      <c r="W527" s="111">
        <f t="shared" ref="W527" si="124">VLOOKUP(AF527,$G$78:$K$117,4,FALSE)</f>
        <v>4.0000000000000002E-4</v>
      </c>
      <c r="X527" s="111">
        <f t="shared" ref="X527" si="125">VLOOKUP(AF527,$G$78:$K$117,5,FALSE)</f>
        <v>4</v>
      </c>
      <c r="Y527" s="12">
        <f t="shared" si="72"/>
        <v>42.5</v>
      </c>
      <c r="Z527" s="12">
        <f t="shared" si="47"/>
        <v>34</v>
      </c>
      <c r="AA527" s="248">
        <f t="shared" si="48"/>
        <v>42.5</v>
      </c>
      <c r="AB527" s="248">
        <f t="shared" ref="AB527" si="126">ROUND(Z527,3)</f>
        <v>34</v>
      </c>
      <c r="AC527" s="12">
        <f t="shared" ref="AC527" si="127">IF(N527=0,0,IF(I527=J527,IF(O527=1,M527*Q527*(S527-R527),-M527*Q527*(S527-R527)),IF(O527=1,M527*Q527*(T527-S527),-M527*Q527*(T527-S527))))</f>
        <v>0</v>
      </c>
      <c r="AD527" s="12">
        <f t="shared" ref="AD527" si="128">IF(N527=0,0,(IF(O527=1,M527*Q527*(S527-R527),-M527*Q527*(S527-R527))))</f>
        <v>0</v>
      </c>
      <c r="AE527" s="111">
        <f t="shared" ref="AE527" si="129">M527*Q527*S527</f>
        <v>65000</v>
      </c>
      <c r="AF527" s="101" t="str">
        <f t="shared" ref="AF527" si="130">L527&amp;INT(P527)&amp;INT(N527)</f>
        <v>PTA80710</v>
      </c>
      <c r="AG527" s="111" t="s">
        <v>312</v>
      </c>
      <c r="AH527" s="111" t="str">
        <f t="shared" si="53"/>
        <v>9999</v>
      </c>
      <c r="AI527" s="111" t="str">
        <f t="shared" ref="AI527" si="131">VLOOKUP(F527,$C$8:$G$9,5,FALSE)</f>
        <v>50010002</v>
      </c>
      <c r="AJ527" s="111">
        <f t="shared" ref="AJ527" si="132">IF(AM527=0,0,IF(O527=1,M527*Q527*S527,0))</f>
        <v>0</v>
      </c>
      <c r="AK527" s="111">
        <f t="shared" ref="AK527" si="133">IF(AM527=0,0,IF(O527=0,M527*Q527*S527,0))</f>
        <v>0</v>
      </c>
      <c r="AL527" s="92">
        <f t="shared" si="56"/>
        <v>1</v>
      </c>
      <c r="AM527" s="92">
        <f t="shared" si="57"/>
        <v>0</v>
      </c>
      <c r="AN527" s="111" t="str">
        <f t="shared" si="58"/>
        <v>CNY</v>
      </c>
      <c r="AO527" s="6">
        <f t="shared" ref="AO527" si="134">VLOOKUP(AF527,$G$78:$M$117,6,FALSE)</f>
        <v>2.0000000000000001E-4</v>
      </c>
      <c r="AP527" s="6">
        <f t="shared" ref="AP527" si="135">VLOOKUP(AF527,$G$78:$M$117,7,FALSE)</f>
        <v>2</v>
      </c>
      <c r="AQ527" s="6">
        <f t="shared" ref="AQ527" si="136">ROUND(M527*Q527*S527*AO527+Q527*AP527,2)</f>
        <v>17</v>
      </c>
    </row>
    <row r="528" spans="1:43" s="4" customFormat="1" x14ac:dyDescent="0.25">
      <c r="A528" s="197" t="s">
        <v>2006</v>
      </c>
      <c r="B528" s="596"/>
      <c r="C528" s="116"/>
      <c r="D528" s="115"/>
      <c r="E528" s="115"/>
      <c r="F528" s="115"/>
      <c r="G528" s="115"/>
      <c r="H528" s="115"/>
      <c r="I528" s="117"/>
      <c r="J528" s="118"/>
      <c r="K528" s="115"/>
      <c r="L528" s="115"/>
      <c r="M528" s="92"/>
      <c r="N528" s="115"/>
      <c r="O528" s="115"/>
      <c r="P528" s="115"/>
      <c r="Q528" s="131"/>
      <c r="R528" s="92"/>
      <c r="S528" s="115"/>
      <c r="T528" s="92"/>
      <c r="U528" s="29"/>
      <c r="V528" s="115"/>
      <c r="W528" s="115"/>
      <c r="X528" s="115"/>
      <c r="Y528" s="12"/>
      <c r="Z528" s="12"/>
      <c r="AA528" s="110"/>
      <c r="AB528" s="119"/>
      <c r="AC528" s="29"/>
      <c r="AD528" s="29"/>
      <c r="AE528" s="92"/>
      <c r="AF528" s="116"/>
      <c r="AG528" s="115"/>
      <c r="AH528" s="115"/>
      <c r="AI528" s="115"/>
      <c r="AJ528" s="92"/>
      <c r="AK528" s="92"/>
      <c r="AL528" s="92"/>
      <c r="AM528" s="92"/>
      <c r="AN528" s="115"/>
      <c r="AQ528"/>
    </row>
    <row r="529" spans="1:220" x14ac:dyDescent="0.25">
      <c r="A529" s="126" t="str">
        <f t="shared" si="33"/>
        <v/>
      </c>
      <c r="B529" s="571" t="str">
        <f t="shared" si="73"/>
        <v/>
      </c>
      <c r="C529" s="101" t="str">
        <f t="shared" si="34"/>
        <v>2018032610000080</v>
      </c>
      <c r="D529" s="111"/>
      <c r="E529" s="111" t="str">
        <f t="shared" ref="E529:E561" si="137">$B$8</f>
        <v>6001</v>
      </c>
      <c r="F529" s="111" t="str">
        <f t="shared" ref="F529:F548" si="138">VLOOKUP(E529,$B$8:$C$8,2)</f>
        <v>B00101</v>
      </c>
      <c r="G529" s="111" t="str">
        <f t="shared" ref="G529:G561" si="139">VLOOKUP(F529,$C$8:$D$9,2)</f>
        <v>6001</v>
      </c>
      <c r="H529" s="111">
        <v>10000080</v>
      </c>
      <c r="I529" s="104">
        <f t="shared" si="38"/>
        <v>20180326</v>
      </c>
      <c r="J529" s="113">
        <f t="shared" si="39"/>
        <v>20180326</v>
      </c>
      <c r="K529" s="111" t="str">
        <f t="shared" si="40"/>
        <v>CZCE</v>
      </c>
      <c r="L529" s="111" t="str">
        <f>$C$30</f>
        <v>SR807C6500</v>
      </c>
      <c r="M529" s="92">
        <f t="shared" si="41"/>
        <v>10</v>
      </c>
      <c r="N529" s="111">
        <v>0</v>
      </c>
      <c r="O529" s="111">
        <v>0</v>
      </c>
      <c r="P529" s="111">
        <v>3</v>
      </c>
      <c r="Q529" s="111">
        <v>2</v>
      </c>
      <c r="R529" s="92">
        <f t="shared" ref="R529:R561" si="140">IF(N529=0,S529,VLOOKUP(D529,$C$486:$S$561,16,FALSE))</f>
        <v>600</v>
      </c>
      <c r="S529" s="111">
        <v>600</v>
      </c>
      <c r="T529" s="92">
        <f t="shared" ref="T529:T561" si="141">VLOOKUP(L529,$C$237:$D$249,2,FALSE)</f>
        <v>615</v>
      </c>
      <c r="U529" s="12">
        <f t="shared" ref="U529:U561" si="142">VLOOKUP(AF529,$G$120:$K$189,2,FALSE)</f>
        <v>5.0000000000000001E-4</v>
      </c>
      <c r="V529" s="111">
        <f t="shared" ref="V529:V561" si="143">VLOOKUP(AF529,$G$120:$K$189,3,FALSE)</f>
        <v>5</v>
      </c>
      <c r="W529" s="111">
        <f t="shared" ref="W529:W561" si="144">VLOOKUP(AF529,$G$120:$K$189,4,FALSE)</f>
        <v>5.0000000000000001E-4</v>
      </c>
      <c r="X529" s="111">
        <f t="shared" ref="X529:X561" si="145">VLOOKUP(AF529,$G$120:$K$189,5,FALSE)</f>
        <v>5</v>
      </c>
      <c r="Y529" s="12">
        <f t="shared" si="72"/>
        <v>16</v>
      </c>
      <c r="Z529" s="12">
        <f t="shared" si="47"/>
        <v>16</v>
      </c>
      <c r="AA529" s="110">
        <f>ROUND(Y529,2)</f>
        <v>16</v>
      </c>
      <c r="AB529" s="110">
        <f t="shared" si="49"/>
        <v>16</v>
      </c>
      <c r="AC529" s="12"/>
      <c r="AD529" s="12"/>
      <c r="AE529" s="92">
        <f t="shared" si="52"/>
        <v>12000</v>
      </c>
      <c r="AF529" s="101" t="str">
        <f t="shared" si="103"/>
        <v>SR807C650030</v>
      </c>
      <c r="AG529" s="111" t="s">
        <v>368</v>
      </c>
      <c r="AH529" s="111" t="str">
        <f t="shared" ref="AH529:AH561" si="146">$F$8</f>
        <v>9999</v>
      </c>
      <c r="AI529" s="111" t="str">
        <f t="shared" ref="AI529:AI550" si="147">VLOOKUP(F529,$C$8:$G$9,5,FALSE)</f>
        <v>50010001</v>
      </c>
      <c r="AJ529" s="92">
        <f t="shared" si="54"/>
        <v>0</v>
      </c>
      <c r="AK529" s="92">
        <f t="shared" si="55"/>
        <v>12000</v>
      </c>
      <c r="AL529" s="92">
        <f t="shared" si="56"/>
        <v>0</v>
      </c>
      <c r="AM529" s="92">
        <f t="shared" si="57"/>
        <v>1</v>
      </c>
      <c r="AN529" s="111" t="str">
        <f>$D$12</f>
        <v>CNY</v>
      </c>
      <c r="AO529" s="6">
        <f t="shared" ref="AO529:AO561" si="148">VLOOKUP(AF529,$G$120:$M$189,6,FALSE)</f>
        <v>2.0000000000000001E-4</v>
      </c>
      <c r="AP529" s="6">
        <f t="shared" ref="AP529:AP561" si="149">VLOOKUP(AF529,$G$120:$M$189,7,FALSE)</f>
        <v>2</v>
      </c>
      <c r="AQ529">
        <f t="shared" si="60"/>
        <v>6.4</v>
      </c>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6"/>
      <c r="DJ529" s="6"/>
      <c r="DK529" s="6"/>
      <c r="DL529" s="6"/>
      <c r="DM529" s="6"/>
      <c r="DN529" s="6"/>
      <c r="DO529" s="6"/>
      <c r="DP529" s="6"/>
      <c r="DQ529" s="6"/>
      <c r="DR529" s="6"/>
      <c r="DS529" s="6"/>
      <c r="DT529" s="6"/>
      <c r="DU529" s="6"/>
      <c r="DV529" s="6"/>
      <c r="DW529" s="6"/>
      <c r="DX529" s="6"/>
      <c r="DY529" s="6"/>
      <c r="DZ529" s="6"/>
      <c r="EA529" s="6"/>
      <c r="EB529" s="6"/>
      <c r="EC529" s="6"/>
      <c r="ED529" s="6"/>
      <c r="EE529" s="6"/>
      <c r="EF529" s="6"/>
      <c r="EG529" s="6"/>
      <c r="EH529" s="6"/>
      <c r="EI529" s="6"/>
      <c r="EJ529" s="6"/>
      <c r="EK529" s="6"/>
      <c r="EL529" s="6"/>
      <c r="EM529" s="6"/>
      <c r="EN529" s="6"/>
      <c r="EO529" s="6"/>
      <c r="EP529" s="6"/>
      <c r="EQ529" s="6"/>
      <c r="ER529" s="6"/>
      <c r="ES529" s="6"/>
      <c r="ET529" s="6"/>
      <c r="EU529" s="6"/>
      <c r="EV529" s="6"/>
      <c r="EW529" s="6"/>
      <c r="EX529" s="6"/>
      <c r="EY529" s="6"/>
      <c r="EZ529" s="6"/>
      <c r="FA529" s="6"/>
      <c r="FB529" s="6"/>
      <c r="FC529" s="6"/>
      <c r="FD529" s="6"/>
      <c r="FE529" s="6"/>
      <c r="FF529" s="6"/>
      <c r="FG529" s="6"/>
      <c r="FH529" s="6"/>
      <c r="FI529" s="6"/>
      <c r="FJ529" s="6"/>
      <c r="FK529" s="6"/>
      <c r="FL529" s="6"/>
      <c r="FM529" s="6"/>
      <c r="FN529" s="6"/>
      <c r="FO529" s="6"/>
      <c r="FP529" s="6"/>
      <c r="FQ529" s="6"/>
      <c r="FR529" s="6"/>
      <c r="FS529" s="6"/>
      <c r="FT529" s="6"/>
      <c r="FU529" s="6"/>
      <c r="FV529" s="6"/>
      <c r="FW529" s="6"/>
      <c r="FX529" s="6"/>
      <c r="FY529" s="6"/>
      <c r="FZ529" s="6"/>
      <c r="GA529" s="6"/>
      <c r="GB529" s="6"/>
      <c r="GC529" s="6"/>
      <c r="GD529" s="6"/>
      <c r="GE529" s="6"/>
      <c r="GF529" s="6"/>
      <c r="GG529" s="6"/>
      <c r="GH529" s="6"/>
      <c r="GI529" s="6"/>
      <c r="GJ529" s="6"/>
      <c r="GK529" s="6"/>
      <c r="GL529" s="6"/>
      <c r="GM529" s="6"/>
      <c r="GN529" s="6"/>
      <c r="GO529" s="6"/>
      <c r="GP529" s="6"/>
      <c r="GQ529" s="6"/>
      <c r="GR529" s="6"/>
      <c r="GS529" s="6"/>
      <c r="GT529" s="6"/>
      <c r="GU529" s="6"/>
      <c r="GV529" s="6"/>
      <c r="GW529" s="6"/>
      <c r="GX529" s="6"/>
      <c r="GY529" s="6"/>
      <c r="GZ529" s="6"/>
      <c r="HA529" s="6"/>
      <c r="HB529" s="6"/>
      <c r="HC529" s="6"/>
      <c r="HD529" s="6"/>
      <c r="HE529" s="6"/>
      <c r="HF529" s="6"/>
      <c r="HG529" s="6"/>
      <c r="HH529" s="6"/>
      <c r="HI529" s="6"/>
      <c r="HJ529" s="6"/>
      <c r="HK529" s="6"/>
      <c r="HL529" s="6"/>
    </row>
    <row r="530" spans="1:220" x14ac:dyDescent="0.25">
      <c r="A530" s="126" t="str">
        <f t="shared" si="33"/>
        <v/>
      </c>
      <c r="B530" s="571" t="str">
        <f t="shared" si="73"/>
        <v/>
      </c>
      <c r="C530" s="101" t="str">
        <f t="shared" si="34"/>
        <v>2018032610000081</v>
      </c>
      <c r="D530" s="111"/>
      <c r="E530" s="111" t="str">
        <f t="shared" si="137"/>
        <v>6001</v>
      </c>
      <c r="F530" s="111" t="str">
        <f t="shared" si="138"/>
        <v>B00101</v>
      </c>
      <c r="G530" s="111" t="str">
        <f t="shared" si="139"/>
        <v>6001</v>
      </c>
      <c r="H530" s="111">
        <v>10000081</v>
      </c>
      <c r="I530" s="104">
        <f t="shared" si="38"/>
        <v>20180326</v>
      </c>
      <c r="J530" s="113">
        <f t="shared" si="39"/>
        <v>20180326</v>
      </c>
      <c r="K530" s="111" t="str">
        <f t="shared" si="40"/>
        <v>CZCE</v>
      </c>
      <c r="L530" s="111" t="str">
        <f t="shared" ref="L530:L543" si="150">$C$30</f>
        <v>SR807C6500</v>
      </c>
      <c r="M530" s="92">
        <f t="shared" si="41"/>
        <v>10</v>
      </c>
      <c r="N530" s="111">
        <v>0</v>
      </c>
      <c r="O530" s="111">
        <v>0</v>
      </c>
      <c r="P530" s="111">
        <v>3</v>
      </c>
      <c r="Q530" s="111">
        <v>6</v>
      </c>
      <c r="R530" s="92">
        <f t="shared" si="140"/>
        <v>601</v>
      </c>
      <c r="S530" s="111">
        <v>601</v>
      </c>
      <c r="T530" s="92">
        <f t="shared" si="141"/>
        <v>615</v>
      </c>
      <c r="U530" s="12">
        <f t="shared" si="142"/>
        <v>5.0000000000000001E-4</v>
      </c>
      <c r="V530" s="111">
        <f t="shared" si="143"/>
        <v>5</v>
      </c>
      <c r="W530" s="111">
        <f t="shared" si="144"/>
        <v>5.0000000000000001E-4</v>
      </c>
      <c r="X530" s="111">
        <f t="shared" si="145"/>
        <v>5</v>
      </c>
      <c r="Y530" s="12">
        <f t="shared" si="72"/>
        <v>48.03</v>
      </c>
      <c r="Z530" s="12">
        <f t="shared" si="47"/>
        <v>48.03</v>
      </c>
      <c r="AA530" s="110">
        <f t="shared" ref="AA530:AA561" si="151">ROUND(Y530,2)</f>
        <v>48.03</v>
      </c>
      <c r="AB530" s="110">
        <f t="shared" si="49"/>
        <v>48.03</v>
      </c>
      <c r="AC530" s="12"/>
      <c r="AD530" s="12"/>
      <c r="AE530" s="92">
        <f t="shared" si="52"/>
        <v>36060</v>
      </c>
      <c r="AF530" s="101" t="str">
        <f t="shared" si="103"/>
        <v>SR807C650030</v>
      </c>
      <c r="AG530" s="111" t="s">
        <v>368</v>
      </c>
      <c r="AH530" s="111" t="str">
        <f t="shared" si="146"/>
        <v>9999</v>
      </c>
      <c r="AI530" s="111" t="str">
        <f t="shared" si="147"/>
        <v>50010001</v>
      </c>
      <c r="AJ530" s="92">
        <f t="shared" si="54"/>
        <v>0</v>
      </c>
      <c r="AK530" s="92">
        <f t="shared" si="55"/>
        <v>36060</v>
      </c>
      <c r="AL530" s="92">
        <f t="shared" si="56"/>
        <v>0</v>
      </c>
      <c r="AM530" s="92">
        <f t="shared" si="57"/>
        <v>1</v>
      </c>
      <c r="AN530" s="111" t="str">
        <f t="shared" ref="AN530:AN561" si="152">$D$12</f>
        <v>CNY</v>
      </c>
      <c r="AO530" s="6">
        <f t="shared" si="148"/>
        <v>2.0000000000000001E-4</v>
      </c>
      <c r="AP530" s="6">
        <f t="shared" si="149"/>
        <v>2</v>
      </c>
      <c r="AQ530">
        <f t="shared" si="60"/>
        <v>19.21</v>
      </c>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6"/>
      <c r="DJ530" s="6"/>
      <c r="DK530" s="6"/>
      <c r="DL530" s="6"/>
      <c r="DM530" s="6"/>
      <c r="DN530" s="6"/>
      <c r="DO530" s="6"/>
      <c r="DP530" s="6"/>
      <c r="DQ530" s="6"/>
      <c r="DR530" s="6"/>
      <c r="DS530" s="6"/>
      <c r="DT530" s="6"/>
      <c r="DU530" s="6"/>
      <c r="DV530" s="6"/>
      <c r="DW530" s="6"/>
      <c r="DX530" s="6"/>
      <c r="DY530" s="6"/>
      <c r="DZ530" s="6"/>
      <c r="EA530" s="6"/>
      <c r="EB530" s="6"/>
      <c r="EC530" s="6"/>
      <c r="ED530" s="6"/>
      <c r="EE530" s="6"/>
      <c r="EF530" s="6"/>
      <c r="EG530" s="6"/>
      <c r="EH530" s="6"/>
      <c r="EI530" s="6"/>
      <c r="EJ530" s="6"/>
      <c r="EK530" s="6"/>
      <c r="EL530" s="6"/>
      <c r="EM530" s="6"/>
      <c r="EN530" s="6"/>
      <c r="EO530" s="6"/>
      <c r="EP530" s="6"/>
      <c r="EQ530" s="6"/>
      <c r="ER530" s="6"/>
      <c r="ES530" s="6"/>
      <c r="ET530" s="6"/>
      <c r="EU530" s="6"/>
      <c r="EV530" s="6"/>
      <c r="EW530" s="6"/>
      <c r="EX530" s="6"/>
      <c r="EY530" s="6"/>
      <c r="EZ530" s="6"/>
      <c r="FA530" s="6"/>
      <c r="FB530" s="6"/>
      <c r="FC530" s="6"/>
      <c r="FD530" s="6"/>
      <c r="FE530" s="6"/>
      <c r="FF530" s="6"/>
      <c r="FG530" s="6"/>
      <c r="FH530" s="6"/>
      <c r="FI530" s="6"/>
      <c r="FJ530" s="6"/>
      <c r="FK530" s="6"/>
      <c r="FL530" s="6"/>
      <c r="FM530" s="6"/>
      <c r="FN530" s="6"/>
      <c r="FO530" s="6"/>
      <c r="FP530" s="6"/>
      <c r="FQ530" s="6"/>
      <c r="FR530" s="6"/>
      <c r="FS530" s="6"/>
      <c r="FT530" s="6"/>
      <c r="FU530" s="6"/>
      <c r="FV530" s="6"/>
      <c r="FW530" s="6"/>
      <c r="FX530" s="6"/>
      <c r="FY530" s="6"/>
      <c r="FZ530" s="6"/>
      <c r="GA530" s="6"/>
      <c r="GB530" s="6"/>
      <c r="GC530" s="6"/>
      <c r="GD530" s="6"/>
      <c r="GE530" s="6"/>
      <c r="GF530" s="6"/>
      <c r="GG530" s="6"/>
      <c r="GH530" s="6"/>
      <c r="GI530" s="6"/>
      <c r="GJ530" s="6"/>
      <c r="GK530" s="6"/>
      <c r="GL530" s="6"/>
      <c r="GM530" s="6"/>
      <c r="GN530" s="6"/>
      <c r="GO530" s="6"/>
      <c r="GP530" s="6"/>
      <c r="GQ530" s="6"/>
      <c r="GR530" s="6"/>
      <c r="GS530" s="6"/>
      <c r="GT530" s="6"/>
      <c r="GU530" s="6"/>
      <c r="GV530" s="6"/>
      <c r="GW530" s="6"/>
      <c r="GX530" s="6"/>
      <c r="GY530" s="6"/>
      <c r="GZ530" s="6"/>
      <c r="HA530" s="6"/>
      <c r="HB530" s="6"/>
      <c r="HC530" s="6"/>
      <c r="HD530" s="6"/>
      <c r="HE530" s="6"/>
      <c r="HF530" s="6"/>
      <c r="HG530" s="6"/>
      <c r="HH530" s="6"/>
      <c r="HI530" s="6"/>
      <c r="HJ530" s="6"/>
      <c r="HK530" s="6"/>
      <c r="HL530" s="6"/>
    </row>
    <row r="531" spans="1:220" x14ac:dyDescent="0.25">
      <c r="A531" s="126" t="str">
        <f t="shared" si="33"/>
        <v/>
      </c>
      <c r="B531" s="571" t="str">
        <f t="shared" si="73"/>
        <v/>
      </c>
      <c r="C531" s="101" t="str">
        <f t="shared" si="34"/>
        <v>2018032610000082</v>
      </c>
      <c r="D531" s="111"/>
      <c r="E531" s="111" t="str">
        <f t="shared" si="137"/>
        <v>6001</v>
      </c>
      <c r="F531" s="111" t="str">
        <f t="shared" si="138"/>
        <v>B00101</v>
      </c>
      <c r="G531" s="111" t="str">
        <f t="shared" si="139"/>
        <v>6001</v>
      </c>
      <c r="H531" s="111">
        <v>10000082</v>
      </c>
      <c r="I531" s="104">
        <f t="shared" si="38"/>
        <v>20180326</v>
      </c>
      <c r="J531" s="113">
        <f t="shared" si="39"/>
        <v>20180326</v>
      </c>
      <c r="K531" s="111" t="str">
        <f t="shared" si="40"/>
        <v>CZCE</v>
      </c>
      <c r="L531" s="111" t="str">
        <f t="shared" si="150"/>
        <v>SR807C6500</v>
      </c>
      <c r="M531" s="92">
        <f t="shared" si="41"/>
        <v>10</v>
      </c>
      <c r="N531" s="111">
        <v>0</v>
      </c>
      <c r="O531" s="111">
        <v>0</v>
      </c>
      <c r="P531" s="111">
        <v>1</v>
      </c>
      <c r="Q531" s="111">
        <v>4</v>
      </c>
      <c r="R531" s="92">
        <f t="shared" si="140"/>
        <v>602</v>
      </c>
      <c r="S531" s="111">
        <v>602</v>
      </c>
      <c r="T531" s="92">
        <f t="shared" si="141"/>
        <v>615</v>
      </c>
      <c r="U531" s="12">
        <f t="shared" si="142"/>
        <v>5.0000000000000001E-4</v>
      </c>
      <c r="V531" s="111">
        <f t="shared" si="143"/>
        <v>5</v>
      </c>
      <c r="W531" s="111">
        <f t="shared" si="144"/>
        <v>4.0000000000000002E-4</v>
      </c>
      <c r="X531" s="111">
        <f t="shared" si="145"/>
        <v>4</v>
      </c>
      <c r="Y531" s="12">
        <f t="shared" si="72"/>
        <v>32.04</v>
      </c>
      <c r="Z531" s="12">
        <f t="shared" si="47"/>
        <v>25.631999999999998</v>
      </c>
      <c r="AA531" s="110">
        <f t="shared" si="151"/>
        <v>32.04</v>
      </c>
      <c r="AB531" s="110">
        <f t="shared" si="49"/>
        <v>25.632000000000001</v>
      </c>
      <c r="AC531" s="12"/>
      <c r="AD531" s="12"/>
      <c r="AE531" s="92">
        <f t="shared" si="52"/>
        <v>24080</v>
      </c>
      <c r="AF531" s="101" t="str">
        <f t="shared" si="103"/>
        <v>SR807C650010</v>
      </c>
      <c r="AG531" s="111" t="s">
        <v>368</v>
      </c>
      <c r="AH531" s="111" t="str">
        <f t="shared" si="146"/>
        <v>9999</v>
      </c>
      <c r="AI531" s="111" t="str">
        <f t="shared" si="147"/>
        <v>50010001</v>
      </c>
      <c r="AJ531" s="92">
        <f t="shared" si="54"/>
        <v>0</v>
      </c>
      <c r="AK531" s="92">
        <f t="shared" si="55"/>
        <v>24080</v>
      </c>
      <c r="AL531" s="92">
        <f t="shared" si="56"/>
        <v>0</v>
      </c>
      <c r="AM531" s="92">
        <f t="shared" si="57"/>
        <v>1</v>
      </c>
      <c r="AN531" s="111" t="str">
        <f t="shared" si="152"/>
        <v>CNY</v>
      </c>
      <c r="AO531" s="6">
        <f t="shared" si="148"/>
        <v>2.0000000000000001E-4</v>
      </c>
      <c r="AP531" s="6">
        <f t="shared" si="149"/>
        <v>2</v>
      </c>
      <c r="AQ531">
        <f t="shared" si="60"/>
        <v>12.82</v>
      </c>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6"/>
      <c r="DJ531" s="6"/>
      <c r="DK531" s="6"/>
      <c r="DL531" s="6"/>
      <c r="DM531" s="6"/>
      <c r="DN531" s="6"/>
      <c r="DO531" s="6"/>
      <c r="DP531" s="6"/>
      <c r="DQ531" s="6"/>
      <c r="DR531" s="6"/>
      <c r="DS531" s="6"/>
      <c r="DT531" s="6"/>
      <c r="DU531" s="6"/>
      <c r="DV531" s="6"/>
      <c r="DW531" s="6"/>
      <c r="DX531" s="6"/>
      <c r="DY531" s="6"/>
      <c r="DZ531" s="6"/>
      <c r="EA531" s="6"/>
      <c r="EB531" s="6"/>
      <c r="EC531" s="6"/>
      <c r="ED531" s="6"/>
      <c r="EE531" s="6"/>
      <c r="EF531" s="6"/>
      <c r="EG531" s="6"/>
      <c r="EH531" s="6"/>
      <c r="EI531" s="6"/>
      <c r="EJ531" s="6"/>
      <c r="EK531" s="6"/>
      <c r="EL531" s="6"/>
      <c r="EM531" s="6"/>
      <c r="EN531" s="6"/>
      <c r="EO531" s="6"/>
      <c r="EP531" s="6"/>
      <c r="EQ531" s="6"/>
      <c r="ER531" s="6"/>
      <c r="ES531" s="6"/>
      <c r="ET531" s="6"/>
      <c r="EU531" s="6"/>
      <c r="EV531" s="6"/>
      <c r="EW531" s="6"/>
      <c r="EX531" s="6"/>
      <c r="EY531" s="6"/>
      <c r="EZ531" s="6"/>
      <c r="FA531" s="6"/>
      <c r="FB531" s="6"/>
      <c r="FC531" s="6"/>
      <c r="FD531" s="6"/>
      <c r="FE531" s="6"/>
      <c r="FF531" s="6"/>
      <c r="FG531" s="6"/>
      <c r="FH531" s="6"/>
      <c r="FI531" s="6"/>
      <c r="FJ531" s="6"/>
      <c r="FK531" s="6"/>
      <c r="FL531" s="6"/>
      <c r="FM531" s="6"/>
      <c r="FN531" s="6"/>
      <c r="FO531" s="6"/>
      <c r="FP531" s="6"/>
      <c r="FQ531" s="6"/>
      <c r="FR531" s="6"/>
      <c r="FS531" s="6"/>
      <c r="FT531" s="6"/>
      <c r="FU531" s="6"/>
      <c r="FV531" s="6"/>
      <c r="FW531" s="6"/>
      <c r="FX531" s="6"/>
      <c r="FY531" s="6"/>
      <c r="FZ531" s="6"/>
      <c r="GA531" s="6"/>
      <c r="GB531" s="6"/>
      <c r="GC531" s="6"/>
      <c r="GD531" s="6"/>
      <c r="GE531" s="6"/>
      <c r="GF531" s="6"/>
      <c r="GG531" s="6"/>
      <c r="GH531" s="6"/>
      <c r="GI531" s="6"/>
      <c r="GJ531" s="6"/>
      <c r="GK531" s="6"/>
      <c r="GL531" s="6"/>
      <c r="GM531" s="6"/>
      <c r="GN531" s="6"/>
      <c r="GO531" s="6"/>
      <c r="GP531" s="6"/>
      <c r="GQ531" s="6"/>
      <c r="GR531" s="6"/>
      <c r="GS531" s="6"/>
      <c r="GT531" s="6"/>
      <c r="GU531" s="6"/>
      <c r="GV531" s="6"/>
      <c r="GW531" s="6"/>
      <c r="GX531" s="6"/>
      <c r="GY531" s="6"/>
      <c r="GZ531" s="6"/>
      <c r="HA531" s="6"/>
      <c r="HB531" s="6"/>
      <c r="HC531" s="6"/>
      <c r="HD531" s="6"/>
      <c r="HE531" s="6"/>
      <c r="HF531" s="6"/>
      <c r="HG531" s="6"/>
      <c r="HH531" s="6"/>
      <c r="HI531" s="6"/>
      <c r="HJ531" s="6"/>
      <c r="HK531" s="6"/>
      <c r="HL531" s="6"/>
    </row>
    <row r="532" spans="1:220" x14ac:dyDescent="0.25">
      <c r="A532" s="126" t="str">
        <f t="shared" si="33"/>
        <v/>
      </c>
      <c r="B532" s="571" t="str">
        <f t="shared" si="73"/>
        <v/>
      </c>
      <c r="C532" s="101" t="str">
        <f t="shared" si="34"/>
        <v>2018032610000083</v>
      </c>
      <c r="D532" s="111"/>
      <c r="E532" s="111" t="str">
        <f t="shared" si="137"/>
        <v>6001</v>
      </c>
      <c r="F532" s="111" t="str">
        <f t="shared" si="138"/>
        <v>B00101</v>
      </c>
      <c r="G532" s="111" t="str">
        <f t="shared" si="139"/>
        <v>6001</v>
      </c>
      <c r="H532" s="111">
        <v>10000083</v>
      </c>
      <c r="I532" s="104">
        <f t="shared" si="38"/>
        <v>20180326</v>
      </c>
      <c r="J532" s="113">
        <f t="shared" si="39"/>
        <v>20180326</v>
      </c>
      <c r="K532" s="111" t="str">
        <f t="shared" si="40"/>
        <v>CZCE</v>
      </c>
      <c r="L532" s="111" t="str">
        <f t="shared" si="150"/>
        <v>SR807C6500</v>
      </c>
      <c r="M532" s="92">
        <f t="shared" si="41"/>
        <v>10</v>
      </c>
      <c r="N532" s="111">
        <v>0</v>
      </c>
      <c r="O532" s="111">
        <v>0</v>
      </c>
      <c r="P532" s="111">
        <v>1</v>
      </c>
      <c r="Q532" s="111">
        <v>5</v>
      </c>
      <c r="R532" s="92">
        <f t="shared" si="140"/>
        <v>603</v>
      </c>
      <c r="S532" s="111">
        <v>603</v>
      </c>
      <c r="T532" s="92">
        <f t="shared" si="141"/>
        <v>615</v>
      </c>
      <c r="U532" s="12">
        <f t="shared" si="142"/>
        <v>5.0000000000000001E-4</v>
      </c>
      <c r="V532" s="111">
        <f t="shared" si="143"/>
        <v>5</v>
      </c>
      <c r="W532" s="111">
        <f t="shared" si="144"/>
        <v>4.0000000000000002E-4</v>
      </c>
      <c r="X532" s="111">
        <f t="shared" si="145"/>
        <v>4</v>
      </c>
      <c r="Y532" s="12">
        <f t="shared" si="72"/>
        <v>40.075000000000003</v>
      </c>
      <c r="Z532" s="12">
        <f t="shared" si="47"/>
        <v>32.06</v>
      </c>
      <c r="AA532" s="110">
        <f t="shared" si="151"/>
        <v>40.08</v>
      </c>
      <c r="AB532" s="110">
        <f t="shared" si="49"/>
        <v>32.06</v>
      </c>
      <c r="AC532" s="12"/>
      <c r="AD532" s="12"/>
      <c r="AE532" s="92">
        <f t="shared" si="52"/>
        <v>30150</v>
      </c>
      <c r="AF532" s="101" t="str">
        <f t="shared" si="103"/>
        <v>SR807C650010</v>
      </c>
      <c r="AG532" s="111" t="s">
        <v>368</v>
      </c>
      <c r="AH532" s="111" t="str">
        <f t="shared" si="146"/>
        <v>9999</v>
      </c>
      <c r="AI532" s="111" t="str">
        <f t="shared" si="147"/>
        <v>50010001</v>
      </c>
      <c r="AJ532" s="92">
        <f t="shared" si="54"/>
        <v>0</v>
      </c>
      <c r="AK532" s="92">
        <f t="shared" si="55"/>
        <v>30150</v>
      </c>
      <c r="AL532" s="92">
        <f t="shared" si="56"/>
        <v>0</v>
      </c>
      <c r="AM532" s="92">
        <f t="shared" si="57"/>
        <v>1</v>
      </c>
      <c r="AN532" s="111" t="str">
        <f t="shared" si="152"/>
        <v>CNY</v>
      </c>
      <c r="AO532" s="6">
        <f t="shared" si="148"/>
        <v>2.0000000000000001E-4</v>
      </c>
      <c r="AP532" s="6">
        <f t="shared" si="149"/>
        <v>2</v>
      </c>
      <c r="AQ532">
        <f t="shared" si="60"/>
        <v>16.03</v>
      </c>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6"/>
      <c r="DJ532" s="6"/>
      <c r="DK532" s="6"/>
      <c r="DL532" s="6"/>
      <c r="DM532" s="6"/>
      <c r="DN532" s="6"/>
      <c r="DO532" s="6"/>
      <c r="DP532" s="6"/>
      <c r="DQ532" s="6"/>
      <c r="DR532" s="6"/>
      <c r="DS532" s="6"/>
      <c r="DT532" s="6"/>
      <c r="DU532" s="6"/>
      <c r="DV532" s="6"/>
      <c r="DW532" s="6"/>
      <c r="DX532" s="6"/>
      <c r="DY532" s="6"/>
      <c r="DZ532" s="6"/>
      <c r="EA532" s="6"/>
      <c r="EB532" s="6"/>
      <c r="EC532" s="6"/>
      <c r="ED532" s="6"/>
      <c r="EE532" s="6"/>
      <c r="EF532" s="6"/>
      <c r="EG532" s="6"/>
      <c r="EH532" s="6"/>
      <c r="EI532" s="6"/>
      <c r="EJ532" s="6"/>
      <c r="EK532" s="6"/>
      <c r="EL532" s="6"/>
      <c r="EM532" s="6"/>
      <c r="EN532" s="6"/>
      <c r="EO532" s="6"/>
      <c r="EP532" s="6"/>
      <c r="EQ532" s="6"/>
      <c r="ER532" s="6"/>
      <c r="ES532" s="6"/>
      <c r="ET532" s="6"/>
      <c r="EU532" s="6"/>
      <c r="EV532" s="6"/>
      <c r="EW532" s="6"/>
      <c r="EX532" s="6"/>
      <c r="EY532" s="6"/>
      <c r="EZ532" s="6"/>
      <c r="FA532" s="6"/>
      <c r="FB532" s="6"/>
      <c r="FC532" s="6"/>
      <c r="FD532" s="6"/>
      <c r="FE532" s="6"/>
      <c r="FF532" s="6"/>
      <c r="FG532" s="6"/>
      <c r="FH532" s="6"/>
      <c r="FI532" s="6"/>
      <c r="FJ532" s="6"/>
      <c r="FK532" s="6"/>
      <c r="FL532" s="6"/>
      <c r="FM532" s="6"/>
      <c r="FN532" s="6"/>
      <c r="FO532" s="6"/>
      <c r="FP532" s="6"/>
      <c r="FQ532" s="6"/>
      <c r="FR532" s="6"/>
      <c r="FS532" s="6"/>
      <c r="FT532" s="6"/>
      <c r="FU532" s="6"/>
      <c r="FV532" s="6"/>
      <c r="FW532" s="6"/>
      <c r="FX532" s="6"/>
      <c r="FY532" s="6"/>
      <c r="FZ532" s="6"/>
      <c r="GA532" s="6"/>
      <c r="GB532" s="6"/>
      <c r="GC532" s="6"/>
      <c r="GD532" s="6"/>
      <c r="GE532" s="6"/>
      <c r="GF532" s="6"/>
      <c r="GG532" s="6"/>
      <c r="GH532" s="6"/>
      <c r="GI532" s="6"/>
      <c r="GJ532" s="6"/>
      <c r="GK532" s="6"/>
      <c r="GL532" s="6"/>
      <c r="GM532" s="6"/>
      <c r="GN532" s="6"/>
      <c r="GO532" s="6"/>
      <c r="GP532" s="6"/>
      <c r="GQ532" s="6"/>
      <c r="GR532" s="6"/>
      <c r="GS532" s="6"/>
      <c r="GT532" s="6"/>
      <c r="GU532" s="6"/>
      <c r="GV532" s="6"/>
      <c r="GW532" s="6"/>
      <c r="GX532" s="6"/>
      <c r="GY532" s="6"/>
      <c r="GZ532" s="6"/>
      <c r="HA532" s="6"/>
      <c r="HB532" s="6"/>
      <c r="HC532" s="6"/>
      <c r="HD532" s="6"/>
      <c r="HE532" s="6"/>
      <c r="HF532" s="6"/>
      <c r="HG532" s="6"/>
      <c r="HH532" s="6"/>
      <c r="HI532" s="6"/>
      <c r="HJ532" s="6"/>
      <c r="HK532" s="6"/>
      <c r="HL532" s="6"/>
    </row>
    <row r="533" spans="1:220" s="13" customFormat="1" x14ac:dyDescent="0.25">
      <c r="A533" s="126" t="str">
        <f t="shared" si="33"/>
        <v/>
      </c>
      <c r="B533" s="571" t="str">
        <f t="shared" si="73"/>
        <v>20180326100000842018032610000082</v>
      </c>
      <c r="C533" s="101" t="str">
        <f t="shared" si="34"/>
        <v>2018032610000084</v>
      </c>
      <c r="D533" s="111" t="str">
        <f>C531</f>
        <v>2018032610000082</v>
      </c>
      <c r="E533" s="111" t="str">
        <f t="shared" si="137"/>
        <v>6001</v>
      </c>
      <c r="F533" s="111" t="str">
        <f t="shared" si="138"/>
        <v>B00101</v>
      </c>
      <c r="G533" s="111" t="str">
        <f t="shared" si="139"/>
        <v>6001</v>
      </c>
      <c r="H533" s="111">
        <v>10000084</v>
      </c>
      <c r="I533" s="104">
        <f t="shared" si="38"/>
        <v>20180326</v>
      </c>
      <c r="J533" s="113">
        <f t="shared" si="39"/>
        <v>20180326</v>
      </c>
      <c r="K533" s="111" t="str">
        <f t="shared" si="40"/>
        <v>CZCE</v>
      </c>
      <c r="L533" s="111" t="str">
        <f t="shared" si="150"/>
        <v>SR807C6500</v>
      </c>
      <c r="M533" s="92">
        <f t="shared" si="41"/>
        <v>10</v>
      </c>
      <c r="N533" s="111">
        <v>3</v>
      </c>
      <c r="O533" s="111">
        <v>1</v>
      </c>
      <c r="P533" s="111">
        <v>1</v>
      </c>
      <c r="Q533" s="111">
        <v>4</v>
      </c>
      <c r="R533" s="92">
        <f t="shared" si="140"/>
        <v>602</v>
      </c>
      <c r="S533" s="111">
        <v>604</v>
      </c>
      <c r="T533" s="92">
        <f t="shared" si="141"/>
        <v>615</v>
      </c>
      <c r="U533" s="12">
        <f t="shared" si="142"/>
        <v>2.0000000000000001E-4</v>
      </c>
      <c r="V533" s="111">
        <f t="shared" si="143"/>
        <v>2</v>
      </c>
      <c r="W533" s="111">
        <f t="shared" si="144"/>
        <v>1E-4</v>
      </c>
      <c r="X533" s="111">
        <f t="shared" si="145"/>
        <v>1</v>
      </c>
      <c r="Y533" s="12">
        <f t="shared" si="72"/>
        <v>12.832000000000001</v>
      </c>
      <c r="Z533" s="12">
        <f t="shared" si="47"/>
        <v>6.4160000000000004</v>
      </c>
      <c r="AA533" s="110">
        <f t="shared" si="151"/>
        <v>12.83</v>
      </c>
      <c r="AB533" s="110">
        <f t="shared" si="49"/>
        <v>6.4160000000000004</v>
      </c>
      <c r="AC533" s="12"/>
      <c r="AD533" s="12"/>
      <c r="AE533" s="92">
        <f t="shared" si="52"/>
        <v>24160</v>
      </c>
      <c r="AF533" s="101" t="str">
        <f t="shared" si="103"/>
        <v>SR807C650013</v>
      </c>
      <c r="AG533" s="111" t="s">
        <v>368</v>
      </c>
      <c r="AH533" s="111" t="str">
        <f t="shared" si="146"/>
        <v>9999</v>
      </c>
      <c r="AI533" s="111" t="str">
        <f t="shared" si="147"/>
        <v>50010001</v>
      </c>
      <c r="AJ533" s="92">
        <f t="shared" si="54"/>
        <v>24160</v>
      </c>
      <c r="AK533" s="92">
        <f t="shared" si="55"/>
        <v>0</v>
      </c>
      <c r="AL533" s="92">
        <f t="shared" si="56"/>
        <v>0</v>
      </c>
      <c r="AM533" s="92">
        <f t="shared" si="57"/>
        <v>1</v>
      </c>
      <c r="AN533" s="111" t="str">
        <f t="shared" si="152"/>
        <v>CNY</v>
      </c>
      <c r="AO533" s="6">
        <f t="shared" si="148"/>
        <v>2.0000000000000001E-4</v>
      </c>
      <c r="AP533" s="6">
        <f t="shared" si="149"/>
        <v>2</v>
      </c>
      <c r="AQ533">
        <f t="shared" si="60"/>
        <v>12.83</v>
      </c>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c r="DO533" s="6"/>
      <c r="DP533" s="6"/>
      <c r="DQ533" s="6"/>
      <c r="DR533" s="6"/>
      <c r="DS533" s="6"/>
      <c r="DT533" s="6"/>
      <c r="DU533" s="6"/>
      <c r="DV533" s="6"/>
      <c r="DW533" s="6"/>
      <c r="DX533" s="6"/>
      <c r="DY533" s="6"/>
      <c r="DZ533" s="6"/>
      <c r="EA533" s="6"/>
      <c r="EB533" s="6"/>
      <c r="EC533" s="6"/>
      <c r="ED533" s="6"/>
      <c r="EE533" s="6"/>
      <c r="EF533" s="6"/>
      <c r="EG533" s="6"/>
      <c r="EH533" s="6"/>
      <c r="EI533" s="6"/>
      <c r="EJ533" s="6"/>
      <c r="EK533" s="6"/>
      <c r="EL533" s="6"/>
      <c r="EM533" s="6"/>
      <c r="EN533" s="6"/>
      <c r="EO533" s="6"/>
      <c r="EP533" s="6"/>
      <c r="EQ533" s="6"/>
      <c r="ER533" s="6"/>
      <c r="ES533" s="6"/>
      <c r="ET533" s="6"/>
      <c r="EU533" s="6"/>
      <c r="EV533" s="6"/>
      <c r="EW533" s="6"/>
      <c r="EX533" s="6"/>
      <c r="EY533" s="6"/>
      <c r="EZ533" s="6"/>
      <c r="FA533" s="6"/>
      <c r="FB533" s="6"/>
      <c r="FC533" s="6"/>
      <c r="FD533" s="6"/>
      <c r="FE533" s="6"/>
      <c r="FF533" s="6"/>
      <c r="FG533" s="6"/>
      <c r="FH533" s="6"/>
      <c r="FI533" s="6"/>
      <c r="FJ533" s="6"/>
      <c r="FK533" s="6"/>
      <c r="FL533" s="6"/>
      <c r="FM533" s="6"/>
      <c r="FN533" s="6"/>
      <c r="FO533" s="6"/>
      <c r="FP533" s="6"/>
      <c r="FQ533" s="6"/>
      <c r="FR533" s="6"/>
      <c r="FS533" s="6"/>
      <c r="FT533" s="6"/>
      <c r="FU533" s="6"/>
      <c r="FV533" s="6"/>
      <c r="FW533" s="6"/>
      <c r="FX533" s="6"/>
      <c r="FY533" s="6"/>
      <c r="FZ533" s="6"/>
      <c r="GA533" s="6"/>
      <c r="GB533" s="6"/>
      <c r="GC533" s="6"/>
      <c r="GD533" s="6"/>
      <c r="GE533" s="6"/>
      <c r="GF533" s="6"/>
      <c r="GG533" s="6"/>
      <c r="GH533" s="6"/>
      <c r="GI533" s="6"/>
      <c r="GJ533" s="6"/>
      <c r="GK533" s="6"/>
      <c r="GL533" s="6"/>
      <c r="GM533" s="6"/>
      <c r="GN533" s="6"/>
      <c r="GO533" s="6"/>
      <c r="GP533" s="6"/>
      <c r="GQ533" s="6"/>
      <c r="GR533" s="6"/>
      <c r="GS533" s="6"/>
      <c r="GT533" s="6"/>
      <c r="GU533" s="6"/>
      <c r="GV533" s="6"/>
      <c r="GW533" s="6"/>
      <c r="GX533" s="6"/>
      <c r="GY533" s="6"/>
      <c r="GZ533" s="6"/>
      <c r="HA533" s="6"/>
      <c r="HB533" s="6"/>
      <c r="HC533" s="6"/>
      <c r="HD533" s="6"/>
      <c r="HE533" s="6"/>
      <c r="HF533" s="6"/>
      <c r="HG533" s="6"/>
      <c r="HH533" s="6"/>
      <c r="HI533" s="6"/>
      <c r="HJ533" s="6"/>
      <c r="HK533" s="6"/>
      <c r="HL533" s="6"/>
    </row>
    <row r="534" spans="1:220" s="13" customFormat="1" x14ac:dyDescent="0.25">
      <c r="A534" s="126" t="str">
        <f t="shared" si="33"/>
        <v/>
      </c>
      <c r="B534" s="571" t="str">
        <f t="shared" si="73"/>
        <v>20180326100000852018032610000083</v>
      </c>
      <c r="C534" s="101" t="str">
        <f t="shared" si="34"/>
        <v>2018032610000085</v>
      </c>
      <c r="D534" s="111" t="str">
        <f>C532</f>
        <v>2018032610000083</v>
      </c>
      <c r="E534" s="111" t="str">
        <f t="shared" si="137"/>
        <v>6001</v>
      </c>
      <c r="F534" s="111" t="str">
        <f t="shared" si="138"/>
        <v>B00101</v>
      </c>
      <c r="G534" s="111" t="str">
        <f t="shared" si="139"/>
        <v>6001</v>
      </c>
      <c r="H534" s="111">
        <v>10000085</v>
      </c>
      <c r="I534" s="104">
        <f t="shared" si="38"/>
        <v>20180326</v>
      </c>
      <c r="J534" s="113">
        <f t="shared" si="39"/>
        <v>20180326</v>
      </c>
      <c r="K534" s="111" t="str">
        <f t="shared" si="40"/>
        <v>CZCE</v>
      </c>
      <c r="L534" s="111" t="str">
        <f t="shared" si="150"/>
        <v>SR807C6500</v>
      </c>
      <c r="M534" s="92">
        <f t="shared" si="41"/>
        <v>10</v>
      </c>
      <c r="N534" s="111">
        <v>3</v>
      </c>
      <c r="O534" s="111">
        <v>1</v>
      </c>
      <c r="P534" s="111">
        <v>1</v>
      </c>
      <c r="Q534" s="111">
        <v>5</v>
      </c>
      <c r="R534" s="92">
        <f t="shared" si="140"/>
        <v>603</v>
      </c>
      <c r="S534" s="111">
        <v>605</v>
      </c>
      <c r="T534" s="92">
        <f t="shared" si="141"/>
        <v>615</v>
      </c>
      <c r="U534" s="12">
        <f t="shared" si="142"/>
        <v>2.0000000000000001E-4</v>
      </c>
      <c r="V534" s="111">
        <f t="shared" si="143"/>
        <v>2</v>
      </c>
      <c r="W534" s="111">
        <f t="shared" si="144"/>
        <v>1E-4</v>
      </c>
      <c r="X534" s="111">
        <f t="shared" si="145"/>
        <v>1</v>
      </c>
      <c r="Y534" s="12">
        <f t="shared" si="72"/>
        <v>16.05</v>
      </c>
      <c r="Z534" s="12">
        <f t="shared" si="47"/>
        <v>8.0250000000000004</v>
      </c>
      <c r="AA534" s="110">
        <f t="shared" si="151"/>
        <v>16.05</v>
      </c>
      <c r="AB534" s="110">
        <f t="shared" si="49"/>
        <v>8.0250000000000004</v>
      </c>
      <c r="AC534" s="12"/>
      <c r="AD534" s="12"/>
      <c r="AE534" s="92">
        <f t="shared" si="52"/>
        <v>30250</v>
      </c>
      <c r="AF534" s="101" t="str">
        <f t="shared" si="103"/>
        <v>SR807C650013</v>
      </c>
      <c r="AG534" s="111" t="s">
        <v>368</v>
      </c>
      <c r="AH534" s="111" t="str">
        <f t="shared" si="146"/>
        <v>9999</v>
      </c>
      <c r="AI534" s="111" t="str">
        <f t="shared" si="147"/>
        <v>50010001</v>
      </c>
      <c r="AJ534" s="92">
        <f t="shared" si="54"/>
        <v>30250</v>
      </c>
      <c r="AK534" s="92">
        <f t="shared" si="55"/>
        <v>0</v>
      </c>
      <c r="AL534" s="92">
        <f t="shared" si="56"/>
        <v>0</v>
      </c>
      <c r="AM534" s="92">
        <f t="shared" si="57"/>
        <v>1</v>
      </c>
      <c r="AN534" s="111" t="str">
        <f t="shared" si="152"/>
        <v>CNY</v>
      </c>
      <c r="AO534" s="6">
        <f t="shared" si="148"/>
        <v>2.0000000000000001E-4</v>
      </c>
      <c r="AP534" s="6">
        <f t="shared" si="149"/>
        <v>2</v>
      </c>
      <c r="AQ534">
        <f t="shared" si="60"/>
        <v>16.05</v>
      </c>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6"/>
      <c r="DJ534" s="6"/>
      <c r="DK534" s="6"/>
      <c r="DL534" s="6"/>
      <c r="DM534" s="6"/>
      <c r="DN534" s="6"/>
      <c r="DO534" s="6"/>
      <c r="DP534" s="6"/>
      <c r="DQ534" s="6"/>
      <c r="DR534" s="6"/>
      <c r="DS534" s="6"/>
      <c r="DT534" s="6"/>
      <c r="DU534" s="6"/>
      <c r="DV534" s="6"/>
      <c r="DW534" s="6"/>
      <c r="DX534" s="6"/>
      <c r="DY534" s="6"/>
      <c r="DZ534" s="6"/>
      <c r="EA534" s="6"/>
      <c r="EB534" s="6"/>
      <c r="EC534" s="6"/>
      <c r="ED534" s="6"/>
      <c r="EE534" s="6"/>
      <c r="EF534" s="6"/>
      <c r="EG534" s="6"/>
      <c r="EH534" s="6"/>
      <c r="EI534" s="6"/>
      <c r="EJ534" s="6"/>
      <c r="EK534" s="6"/>
      <c r="EL534" s="6"/>
      <c r="EM534" s="6"/>
      <c r="EN534" s="6"/>
      <c r="EO534" s="6"/>
      <c r="EP534" s="6"/>
      <c r="EQ534" s="6"/>
      <c r="ER534" s="6"/>
      <c r="ES534" s="6"/>
      <c r="ET534" s="6"/>
      <c r="EU534" s="6"/>
      <c r="EV534" s="6"/>
      <c r="EW534" s="6"/>
      <c r="EX534" s="6"/>
      <c r="EY534" s="6"/>
      <c r="EZ534" s="6"/>
      <c r="FA534" s="6"/>
      <c r="FB534" s="6"/>
      <c r="FC534" s="6"/>
      <c r="FD534" s="6"/>
      <c r="FE534" s="6"/>
      <c r="FF534" s="6"/>
      <c r="FG534" s="6"/>
      <c r="FH534" s="6"/>
      <c r="FI534" s="6"/>
      <c r="FJ534" s="6"/>
      <c r="FK534" s="6"/>
      <c r="FL534" s="6"/>
      <c r="FM534" s="6"/>
      <c r="FN534" s="6"/>
      <c r="FO534" s="6"/>
      <c r="FP534" s="6"/>
      <c r="FQ534" s="6"/>
      <c r="FR534" s="6"/>
      <c r="FS534" s="6"/>
      <c r="FT534" s="6"/>
      <c r="FU534" s="6"/>
      <c r="FV534" s="6"/>
      <c r="FW534" s="6"/>
      <c r="FX534" s="6"/>
      <c r="FY534" s="6"/>
      <c r="FZ534" s="6"/>
      <c r="GA534" s="6"/>
      <c r="GB534" s="6"/>
      <c r="GC534" s="6"/>
      <c r="GD534" s="6"/>
      <c r="GE534" s="6"/>
      <c r="GF534" s="6"/>
      <c r="GG534" s="6"/>
      <c r="GH534" s="6"/>
      <c r="GI534" s="6"/>
      <c r="GJ534" s="6"/>
      <c r="GK534" s="6"/>
      <c r="GL534" s="6"/>
      <c r="GM534" s="6"/>
      <c r="GN534" s="6"/>
      <c r="GO534" s="6"/>
      <c r="GP534" s="6"/>
      <c r="GQ534" s="6"/>
      <c r="GR534" s="6"/>
      <c r="GS534" s="6"/>
      <c r="GT534" s="6"/>
      <c r="GU534" s="6"/>
      <c r="GV534" s="6"/>
      <c r="GW534" s="6"/>
      <c r="GX534" s="6"/>
      <c r="GY534" s="6"/>
      <c r="GZ534" s="6"/>
      <c r="HA534" s="6"/>
      <c r="HB534" s="6"/>
      <c r="HC534" s="6"/>
      <c r="HD534" s="6"/>
      <c r="HE534" s="6"/>
      <c r="HF534" s="6"/>
      <c r="HG534" s="6"/>
      <c r="HH534" s="6"/>
      <c r="HI534" s="6"/>
      <c r="HJ534" s="6"/>
      <c r="HK534" s="6"/>
      <c r="HL534" s="6"/>
    </row>
    <row r="535" spans="1:220" s="13" customFormat="1" x14ac:dyDescent="0.25">
      <c r="A535" s="126" t="str">
        <f t="shared" si="33"/>
        <v/>
      </c>
      <c r="B535" s="571" t="str">
        <f t="shared" si="73"/>
        <v>20180326100000862018032610000080</v>
      </c>
      <c r="C535" s="101" t="str">
        <f t="shared" si="34"/>
        <v>2018032610000086</v>
      </c>
      <c r="D535" s="111" t="str">
        <f>C529</f>
        <v>2018032610000080</v>
      </c>
      <c r="E535" s="111" t="str">
        <f t="shared" si="137"/>
        <v>6001</v>
      </c>
      <c r="F535" s="111" t="str">
        <f t="shared" si="138"/>
        <v>B00101</v>
      </c>
      <c r="G535" s="111" t="str">
        <f t="shared" si="139"/>
        <v>6001</v>
      </c>
      <c r="H535" s="111">
        <v>10000086</v>
      </c>
      <c r="I535" s="104">
        <f t="shared" si="38"/>
        <v>20180326</v>
      </c>
      <c r="J535" s="113">
        <f t="shared" si="39"/>
        <v>20180326</v>
      </c>
      <c r="K535" s="111" t="str">
        <f t="shared" si="40"/>
        <v>CZCE</v>
      </c>
      <c r="L535" s="111" t="str">
        <f t="shared" si="150"/>
        <v>SR807C6500</v>
      </c>
      <c r="M535" s="92">
        <f t="shared" si="41"/>
        <v>10</v>
      </c>
      <c r="N535" s="111">
        <v>3</v>
      </c>
      <c r="O535" s="111">
        <v>1</v>
      </c>
      <c r="P535" s="111">
        <v>3</v>
      </c>
      <c r="Q535" s="111">
        <v>1</v>
      </c>
      <c r="R535" s="92">
        <f t="shared" si="140"/>
        <v>600</v>
      </c>
      <c r="S535" s="111">
        <v>606</v>
      </c>
      <c r="T535" s="92">
        <f t="shared" si="141"/>
        <v>615</v>
      </c>
      <c r="U535" s="12">
        <f t="shared" si="142"/>
        <v>2.0000000000000001E-4</v>
      </c>
      <c r="V535" s="111">
        <f t="shared" si="143"/>
        <v>2</v>
      </c>
      <c r="W535" s="111">
        <f t="shared" si="144"/>
        <v>2.0000000000000001E-4</v>
      </c>
      <c r="X535" s="111">
        <f t="shared" si="145"/>
        <v>2</v>
      </c>
      <c r="Y535" s="12">
        <f t="shared" si="72"/>
        <v>3.2119999999999997</v>
      </c>
      <c r="Z535" s="12">
        <f t="shared" si="47"/>
        <v>3.2119999999999997</v>
      </c>
      <c r="AA535" s="110">
        <f t="shared" si="151"/>
        <v>3.21</v>
      </c>
      <c r="AB535" s="110">
        <f t="shared" si="49"/>
        <v>3.2120000000000002</v>
      </c>
      <c r="AC535" s="12"/>
      <c r="AD535" s="12"/>
      <c r="AE535" s="92">
        <f t="shared" si="52"/>
        <v>6060</v>
      </c>
      <c r="AF535" s="101" t="str">
        <f t="shared" si="103"/>
        <v>SR807C650033</v>
      </c>
      <c r="AG535" s="111" t="s">
        <v>368</v>
      </c>
      <c r="AH535" s="111" t="str">
        <f t="shared" si="146"/>
        <v>9999</v>
      </c>
      <c r="AI535" s="111" t="str">
        <f t="shared" si="147"/>
        <v>50010001</v>
      </c>
      <c r="AJ535" s="92">
        <f t="shared" si="54"/>
        <v>6060</v>
      </c>
      <c r="AK535" s="92">
        <f t="shared" si="55"/>
        <v>0</v>
      </c>
      <c r="AL535" s="92">
        <f t="shared" si="56"/>
        <v>0</v>
      </c>
      <c r="AM535" s="92">
        <f t="shared" si="57"/>
        <v>1</v>
      </c>
      <c r="AN535" s="111" t="str">
        <f t="shared" si="152"/>
        <v>CNY</v>
      </c>
      <c r="AO535" s="6">
        <f t="shared" si="148"/>
        <v>2.0000000000000001E-4</v>
      </c>
      <c r="AP535" s="6">
        <f t="shared" si="149"/>
        <v>2</v>
      </c>
      <c r="AQ535">
        <f t="shared" si="60"/>
        <v>3.21</v>
      </c>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c r="DJ535" s="6"/>
      <c r="DK535" s="6"/>
      <c r="DL535" s="6"/>
      <c r="DM535" s="6"/>
      <c r="DN535" s="6"/>
      <c r="DO535" s="6"/>
      <c r="DP535" s="6"/>
      <c r="DQ535" s="6"/>
      <c r="DR535" s="6"/>
      <c r="DS535" s="6"/>
      <c r="DT535" s="6"/>
      <c r="DU535" s="6"/>
      <c r="DV535" s="6"/>
      <c r="DW535" s="6"/>
      <c r="DX535" s="6"/>
      <c r="DY535" s="6"/>
      <c r="DZ535" s="6"/>
      <c r="EA535" s="6"/>
      <c r="EB535" s="6"/>
      <c r="EC535" s="6"/>
      <c r="ED535" s="6"/>
      <c r="EE535" s="6"/>
      <c r="EF535" s="6"/>
      <c r="EG535" s="6"/>
      <c r="EH535" s="6"/>
      <c r="EI535" s="6"/>
      <c r="EJ535" s="6"/>
      <c r="EK535" s="6"/>
      <c r="EL535" s="6"/>
      <c r="EM535" s="6"/>
      <c r="EN535" s="6"/>
      <c r="EO535" s="6"/>
      <c r="EP535" s="6"/>
      <c r="EQ535" s="6"/>
      <c r="ER535" s="6"/>
      <c r="ES535" s="6"/>
      <c r="ET535" s="6"/>
      <c r="EU535" s="6"/>
      <c r="EV535" s="6"/>
      <c r="EW535" s="6"/>
      <c r="EX535" s="6"/>
      <c r="EY535" s="6"/>
      <c r="EZ535" s="6"/>
      <c r="FA535" s="6"/>
      <c r="FB535" s="6"/>
      <c r="FC535" s="6"/>
      <c r="FD535" s="6"/>
      <c r="FE535" s="6"/>
      <c r="FF535" s="6"/>
      <c r="FG535" s="6"/>
      <c r="FH535" s="6"/>
      <c r="FI535" s="6"/>
      <c r="FJ535" s="6"/>
      <c r="FK535" s="6"/>
      <c r="FL535" s="6"/>
      <c r="FM535" s="6"/>
      <c r="FN535" s="6"/>
      <c r="FO535" s="6"/>
      <c r="FP535" s="6"/>
      <c r="FQ535" s="6"/>
      <c r="FR535" s="6"/>
      <c r="FS535" s="6"/>
      <c r="FT535" s="6"/>
      <c r="FU535" s="6"/>
      <c r="FV535" s="6"/>
      <c r="FW535" s="6"/>
      <c r="FX535" s="6"/>
      <c r="FY535" s="6"/>
      <c r="FZ535" s="6"/>
      <c r="GA535" s="6"/>
      <c r="GB535" s="6"/>
      <c r="GC535" s="6"/>
      <c r="GD535" s="6"/>
      <c r="GE535" s="6"/>
      <c r="GF535" s="6"/>
      <c r="GG535" s="6"/>
      <c r="GH535" s="6"/>
      <c r="GI535" s="6"/>
      <c r="GJ535" s="6"/>
      <c r="GK535" s="6"/>
      <c r="GL535" s="6"/>
      <c r="GM535" s="6"/>
      <c r="GN535" s="6"/>
      <c r="GO535" s="6"/>
      <c r="GP535" s="6"/>
      <c r="GQ535" s="6"/>
      <c r="GR535" s="6"/>
      <c r="GS535" s="6"/>
      <c r="GT535" s="6"/>
      <c r="GU535" s="6"/>
      <c r="GV535" s="6"/>
      <c r="GW535" s="6"/>
      <c r="GX535" s="6"/>
      <c r="GY535" s="6"/>
      <c r="GZ535" s="6"/>
      <c r="HA535" s="6"/>
      <c r="HB535" s="6"/>
      <c r="HC535" s="6"/>
      <c r="HD535" s="6"/>
      <c r="HE535" s="6"/>
      <c r="HF535" s="6"/>
      <c r="HG535" s="6"/>
      <c r="HH535" s="6"/>
      <c r="HI535" s="6"/>
      <c r="HJ535" s="6"/>
      <c r="HK535" s="6"/>
      <c r="HL535" s="6"/>
    </row>
    <row r="536" spans="1:220" x14ac:dyDescent="0.25">
      <c r="A536" s="126" t="str">
        <f t="shared" si="33"/>
        <v>comment</v>
      </c>
      <c r="B536" s="571" t="str">
        <f t="shared" si="73"/>
        <v/>
      </c>
      <c r="C536" s="101" t="str">
        <f t="shared" si="34"/>
        <v>2018032610000087</v>
      </c>
      <c r="D536" s="111" t="str">
        <f>C530</f>
        <v>2018032610000081</v>
      </c>
      <c r="E536" s="111" t="str">
        <f t="shared" si="137"/>
        <v>6001</v>
      </c>
      <c r="F536" s="111" t="str">
        <f t="shared" si="138"/>
        <v>B00101</v>
      </c>
      <c r="G536" s="111" t="str">
        <f t="shared" si="139"/>
        <v>6001</v>
      </c>
      <c r="H536" s="111">
        <v>10000087</v>
      </c>
      <c r="I536" s="104">
        <f t="shared" si="38"/>
        <v>20180326</v>
      </c>
      <c r="J536" s="113">
        <f t="shared" si="39"/>
        <v>20180326</v>
      </c>
      <c r="K536" s="111" t="str">
        <f t="shared" si="40"/>
        <v>CZCE</v>
      </c>
      <c r="L536" s="111" t="str">
        <f t="shared" si="150"/>
        <v>SR807C6500</v>
      </c>
      <c r="M536" s="92">
        <f t="shared" si="41"/>
        <v>10</v>
      </c>
      <c r="N536" s="111">
        <v>3</v>
      </c>
      <c r="O536" s="111">
        <v>1</v>
      </c>
      <c r="P536" s="111">
        <v>3</v>
      </c>
      <c r="Q536" s="111">
        <v>0</v>
      </c>
      <c r="R536" s="92">
        <f t="shared" si="140"/>
        <v>601</v>
      </c>
      <c r="S536" s="111">
        <v>607</v>
      </c>
      <c r="T536" s="92">
        <f t="shared" si="141"/>
        <v>615</v>
      </c>
      <c r="U536" s="12">
        <f t="shared" si="142"/>
        <v>2.0000000000000001E-4</v>
      </c>
      <c r="V536" s="111">
        <f t="shared" si="143"/>
        <v>2</v>
      </c>
      <c r="W536" s="111">
        <f t="shared" si="144"/>
        <v>2.0000000000000001E-4</v>
      </c>
      <c r="X536" s="111">
        <f t="shared" si="145"/>
        <v>2</v>
      </c>
      <c r="Y536" s="12">
        <f t="shared" si="72"/>
        <v>0</v>
      </c>
      <c r="Z536" s="12">
        <f t="shared" si="47"/>
        <v>0</v>
      </c>
      <c r="AA536" s="110">
        <f t="shared" si="151"/>
        <v>0</v>
      </c>
      <c r="AB536" s="110">
        <f t="shared" si="49"/>
        <v>0</v>
      </c>
      <c r="AC536" s="12"/>
      <c r="AD536" s="12"/>
      <c r="AE536" s="92">
        <f t="shared" si="52"/>
        <v>0</v>
      </c>
      <c r="AF536" s="101" t="str">
        <f t="shared" si="103"/>
        <v>SR807C650033</v>
      </c>
      <c r="AG536" s="111" t="s">
        <v>368</v>
      </c>
      <c r="AH536" s="111" t="str">
        <f t="shared" si="146"/>
        <v>9999</v>
      </c>
      <c r="AI536" s="111" t="str">
        <f t="shared" si="147"/>
        <v>50010001</v>
      </c>
      <c r="AJ536" s="92">
        <f t="shared" si="54"/>
        <v>0</v>
      </c>
      <c r="AK536" s="92">
        <f t="shared" si="55"/>
        <v>0</v>
      </c>
      <c r="AL536" s="92">
        <f t="shared" si="56"/>
        <v>0</v>
      </c>
      <c r="AM536" s="92">
        <f t="shared" si="57"/>
        <v>1</v>
      </c>
      <c r="AN536" s="111" t="str">
        <f t="shared" si="152"/>
        <v>CNY</v>
      </c>
      <c r="AO536" s="6">
        <f t="shared" si="148"/>
        <v>2.0000000000000001E-4</v>
      </c>
      <c r="AP536" s="6">
        <f t="shared" si="149"/>
        <v>2</v>
      </c>
      <c r="AQ536">
        <f t="shared" si="60"/>
        <v>0</v>
      </c>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6"/>
      <c r="DJ536" s="6"/>
      <c r="DK536" s="6"/>
      <c r="DL536" s="6"/>
      <c r="DM536" s="6"/>
      <c r="DN536" s="6"/>
      <c r="DO536" s="6"/>
      <c r="DP536" s="6"/>
      <c r="DQ536" s="6"/>
      <c r="DR536" s="6"/>
      <c r="DS536" s="6"/>
      <c r="DT536" s="6"/>
      <c r="DU536" s="6"/>
      <c r="DV536" s="6"/>
      <c r="DW536" s="6"/>
      <c r="DX536" s="6"/>
      <c r="DY536" s="6"/>
      <c r="DZ536" s="6"/>
      <c r="EA536" s="6"/>
      <c r="EB536" s="6"/>
      <c r="EC536" s="6"/>
      <c r="ED536" s="6"/>
      <c r="EE536" s="6"/>
      <c r="EF536" s="6"/>
      <c r="EG536" s="6"/>
      <c r="EH536" s="6"/>
      <c r="EI536" s="6"/>
      <c r="EJ536" s="6"/>
      <c r="EK536" s="6"/>
      <c r="EL536" s="6"/>
      <c r="EM536" s="6"/>
      <c r="EN536" s="6"/>
      <c r="EO536" s="6"/>
      <c r="EP536" s="6"/>
      <c r="EQ536" s="6"/>
      <c r="ER536" s="6"/>
      <c r="ES536" s="6"/>
      <c r="ET536" s="6"/>
      <c r="EU536" s="6"/>
      <c r="EV536" s="6"/>
      <c r="EW536" s="6"/>
      <c r="EX536" s="6"/>
      <c r="EY536" s="6"/>
      <c r="EZ536" s="6"/>
      <c r="FA536" s="6"/>
      <c r="FB536" s="6"/>
      <c r="FC536" s="6"/>
      <c r="FD536" s="6"/>
      <c r="FE536" s="6"/>
      <c r="FF536" s="6"/>
      <c r="FG536" s="6"/>
      <c r="FH536" s="6"/>
      <c r="FI536" s="6"/>
      <c r="FJ536" s="6"/>
      <c r="FK536" s="6"/>
      <c r="FL536" s="6"/>
      <c r="FM536" s="6"/>
      <c r="FN536" s="6"/>
      <c r="FO536" s="6"/>
      <c r="FP536" s="6"/>
      <c r="FQ536" s="6"/>
      <c r="FR536" s="6"/>
      <c r="FS536" s="6"/>
      <c r="FT536" s="6"/>
      <c r="FU536" s="6"/>
      <c r="FV536" s="6"/>
      <c r="FW536" s="6"/>
      <c r="FX536" s="6"/>
      <c r="FY536" s="6"/>
      <c r="FZ536" s="6"/>
      <c r="GA536" s="6"/>
      <c r="GB536" s="6"/>
      <c r="GC536" s="6"/>
      <c r="GD536" s="6"/>
      <c r="GE536" s="6"/>
      <c r="GF536" s="6"/>
      <c r="GG536" s="6"/>
      <c r="GH536" s="6"/>
      <c r="GI536" s="6"/>
      <c r="GJ536" s="6"/>
      <c r="GK536" s="6"/>
      <c r="GL536" s="6"/>
      <c r="GM536" s="6"/>
      <c r="GN536" s="6"/>
      <c r="GO536" s="6"/>
      <c r="GP536" s="6"/>
      <c r="GQ536" s="6"/>
      <c r="GR536" s="6"/>
      <c r="GS536" s="6"/>
      <c r="GT536" s="6"/>
      <c r="GU536" s="6"/>
      <c r="GV536" s="6"/>
      <c r="GW536" s="6"/>
      <c r="GX536" s="6"/>
      <c r="GY536" s="6"/>
      <c r="GZ536" s="6"/>
      <c r="HA536" s="6"/>
      <c r="HB536" s="6"/>
      <c r="HC536" s="6"/>
      <c r="HD536" s="6"/>
      <c r="HE536" s="6"/>
      <c r="HF536" s="6"/>
      <c r="HG536" s="6"/>
      <c r="HH536" s="6"/>
      <c r="HI536" s="6"/>
      <c r="HJ536" s="6"/>
      <c r="HK536" s="6"/>
      <c r="HL536" s="6"/>
    </row>
    <row r="537" spans="1:220" x14ac:dyDescent="0.25">
      <c r="A537" s="126" t="str">
        <f t="shared" si="33"/>
        <v/>
      </c>
      <c r="B537" s="571" t="str">
        <f t="shared" si="73"/>
        <v/>
      </c>
      <c r="C537" s="101" t="str">
        <f t="shared" si="34"/>
        <v>2018032610000089</v>
      </c>
      <c r="D537" s="111"/>
      <c r="E537" s="111" t="str">
        <f t="shared" si="137"/>
        <v>6001</v>
      </c>
      <c r="F537" s="111" t="str">
        <f t="shared" si="138"/>
        <v>B00101</v>
      </c>
      <c r="G537" s="111" t="str">
        <f t="shared" si="139"/>
        <v>6001</v>
      </c>
      <c r="H537" s="111">
        <v>10000089</v>
      </c>
      <c r="I537" s="104">
        <f t="shared" si="38"/>
        <v>20180326</v>
      </c>
      <c r="J537" s="113">
        <f t="shared" si="39"/>
        <v>20180326</v>
      </c>
      <c r="K537" s="111" t="str">
        <f t="shared" si="40"/>
        <v>CZCE</v>
      </c>
      <c r="L537" s="111" t="str">
        <f t="shared" si="150"/>
        <v>SR807C6500</v>
      </c>
      <c r="M537" s="92">
        <f t="shared" si="41"/>
        <v>10</v>
      </c>
      <c r="N537" s="111">
        <v>0</v>
      </c>
      <c r="O537" s="111">
        <v>0</v>
      </c>
      <c r="P537" s="111">
        <v>1</v>
      </c>
      <c r="Q537" s="111">
        <v>10</v>
      </c>
      <c r="R537" s="92">
        <f t="shared" si="140"/>
        <v>609</v>
      </c>
      <c r="S537" s="111">
        <v>609</v>
      </c>
      <c r="T537" s="92">
        <f t="shared" si="141"/>
        <v>615</v>
      </c>
      <c r="U537" s="12">
        <f t="shared" si="142"/>
        <v>5.0000000000000001E-4</v>
      </c>
      <c r="V537" s="111">
        <f t="shared" si="143"/>
        <v>5</v>
      </c>
      <c r="W537" s="111">
        <f t="shared" si="144"/>
        <v>4.0000000000000002E-4</v>
      </c>
      <c r="X537" s="111">
        <f t="shared" si="145"/>
        <v>4</v>
      </c>
      <c r="Y537" s="12">
        <f t="shared" si="72"/>
        <v>80.45</v>
      </c>
      <c r="Z537" s="12">
        <f t="shared" si="47"/>
        <v>64.36</v>
      </c>
      <c r="AA537" s="110">
        <f t="shared" si="151"/>
        <v>80.45</v>
      </c>
      <c r="AB537" s="110">
        <f t="shared" si="49"/>
        <v>64.36</v>
      </c>
      <c r="AC537" s="12"/>
      <c r="AD537" s="12"/>
      <c r="AE537" s="92">
        <f t="shared" si="52"/>
        <v>60900</v>
      </c>
      <c r="AF537" s="101" t="str">
        <f t="shared" si="103"/>
        <v>SR807C650010</v>
      </c>
      <c r="AG537" s="111" t="s">
        <v>368</v>
      </c>
      <c r="AH537" s="111" t="str">
        <f t="shared" si="146"/>
        <v>9999</v>
      </c>
      <c r="AI537" s="111" t="str">
        <f t="shared" si="147"/>
        <v>50010001</v>
      </c>
      <c r="AJ537" s="92">
        <f t="shared" si="54"/>
        <v>0</v>
      </c>
      <c r="AK537" s="92">
        <f t="shared" si="55"/>
        <v>60900</v>
      </c>
      <c r="AL537" s="92">
        <f t="shared" si="56"/>
        <v>0</v>
      </c>
      <c r="AM537" s="92">
        <f t="shared" si="57"/>
        <v>1</v>
      </c>
      <c r="AN537" s="111" t="str">
        <f t="shared" si="152"/>
        <v>CNY</v>
      </c>
      <c r="AO537" s="6">
        <f t="shared" si="148"/>
        <v>2.0000000000000001E-4</v>
      </c>
      <c r="AP537" s="6">
        <f t="shared" si="149"/>
        <v>2</v>
      </c>
      <c r="AQ537">
        <f t="shared" si="60"/>
        <v>32.18</v>
      </c>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6"/>
      <c r="DJ537" s="6"/>
      <c r="DK537" s="6"/>
      <c r="DL537" s="6"/>
      <c r="DM537" s="6"/>
      <c r="DN537" s="6"/>
      <c r="DO537" s="6"/>
      <c r="DP537" s="6"/>
      <c r="DQ537" s="6"/>
      <c r="DR537" s="6"/>
      <c r="DS537" s="6"/>
      <c r="DT537" s="6"/>
      <c r="DU537" s="6"/>
      <c r="DV537" s="6"/>
      <c r="DW537" s="6"/>
      <c r="DX537" s="6"/>
      <c r="DY537" s="6"/>
      <c r="DZ537" s="6"/>
      <c r="EA537" s="6"/>
      <c r="EB537" s="6"/>
      <c r="EC537" s="6"/>
      <c r="ED537" s="6"/>
      <c r="EE537" s="6"/>
      <c r="EF537" s="6"/>
      <c r="EG537" s="6"/>
      <c r="EH537" s="6"/>
      <c r="EI537" s="6"/>
      <c r="EJ537" s="6"/>
      <c r="EK537" s="6"/>
      <c r="EL537" s="6"/>
      <c r="EM537" s="6"/>
      <c r="EN537" s="6"/>
      <c r="EO537" s="6"/>
      <c r="EP537" s="6"/>
      <c r="EQ537" s="6"/>
      <c r="ER537" s="6"/>
      <c r="ES537" s="6"/>
      <c r="ET537" s="6"/>
      <c r="EU537" s="6"/>
      <c r="EV537" s="6"/>
      <c r="EW537" s="6"/>
      <c r="EX537" s="6"/>
      <c r="EY537" s="6"/>
      <c r="EZ537" s="6"/>
      <c r="FA537" s="6"/>
      <c r="FB537" s="6"/>
      <c r="FC537" s="6"/>
      <c r="FD537" s="6"/>
      <c r="FE537" s="6"/>
      <c r="FF537" s="6"/>
      <c r="FG537" s="6"/>
      <c r="FH537" s="6"/>
      <c r="FI537" s="6"/>
      <c r="FJ537" s="6"/>
      <c r="FK537" s="6"/>
      <c r="FL537" s="6"/>
      <c r="FM537" s="6"/>
      <c r="FN537" s="6"/>
      <c r="FO537" s="6"/>
      <c r="FP537" s="6"/>
      <c r="FQ537" s="6"/>
      <c r="FR537" s="6"/>
      <c r="FS537" s="6"/>
      <c r="FT537" s="6"/>
      <c r="FU537" s="6"/>
      <c r="FV537" s="6"/>
      <c r="FW537" s="6"/>
      <c r="FX537" s="6"/>
      <c r="FY537" s="6"/>
      <c r="FZ537" s="6"/>
      <c r="GA537" s="6"/>
      <c r="GB537" s="6"/>
      <c r="GC537" s="6"/>
      <c r="GD537" s="6"/>
      <c r="GE537" s="6"/>
      <c r="GF537" s="6"/>
      <c r="GG537" s="6"/>
      <c r="GH537" s="6"/>
      <c r="GI537" s="6"/>
      <c r="GJ537" s="6"/>
      <c r="GK537" s="6"/>
      <c r="GL537" s="6"/>
      <c r="GM537" s="6"/>
      <c r="GN537" s="6"/>
      <c r="GO537" s="6"/>
      <c r="GP537" s="6"/>
      <c r="GQ537" s="6"/>
      <c r="GR537" s="6"/>
      <c r="GS537" s="6"/>
      <c r="GT537" s="6"/>
      <c r="GU537" s="6"/>
      <c r="GV537" s="6"/>
      <c r="GW537" s="6"/>
      <c r="GX537" s="6"/>
      <c r="GY537" s="6"/>
      <c r="GZ537" s="6"/>
      <c r="HA537" s="6"/>
      <c r="HB537" s="6"/>
      <c r="HC537" s="6"/>
      <c r="HD537" s="6"/>
      <c r="HE537" s="6"/>
      <c r="HF537" s="6"/>
      <c r="HG537" s="6"/>
      <c r="HH537" s="6"/>
      <c r="HI537" s="6"/>
      <c r="HJ537" s="6"/>
      <c r="HK537" s="6"/>
      <c r="HL537" s="6"/>
    </row>
    <row r="538" spans="1:220" x14ac:dyDescent="0.25">
      <c r="A538" s="126" t="str">
        <f t="shared" si="33"/>
        <v/>
      </c>
      <c r="B538" s="571" t="str">
        <f t="shared" si="73"/>
        <v/>
      </c>
      <c r="C538" s="101" t="str">
        <f t="shared" si="34"/>
        <v>2018032610000090</v>
      </c>
      <c r="D538" s="111"/>
      <c r="E538" s="111" t="str">
        <f t="shared" si="137"/>
        <v>6001</v>
      </c>
      <c r="F538" s="111" t="str">
        <f t="shared" si="138"/>
        <v>B00101</v>
      </c>
      <c r="G538" s="111" t="str">
        <f t="shared" si="139"/>
        <v>6001</v>
      </c>
      <c r="H538" s="111">
        <v>10000090</v>
      </c>
      <c r="I538" s="104">
        <f t="shared" si="38"/>
        <v>20180326</v>
      </c>
      <c r="J538" s="113">
        <f t="shared" si="39"/>
        <v>20180326</v>
      </c>
      <c r="K538" s="111" t="str">
        <f t="shared" si="40"/>
        <v>CZCE</v>
      </c>
      <c r="L538" s="111" t="str">
        <f t="shared" si="150"/>
        <v>SR807C6500</v>
      </c>
      <c r="M538" s="92">
        <f t="shared" si="41"/>
        <v>10</v>
      </c>
      <c r="N538" s="111">
        <v>0</v>
      </c>
      <c r="O538" s="111">
        <v>1</v>
      </c>
      <c r="P538" s="111">
        <v>3</v>
      </c>
      <c r="Q538" s="111">
        <v>10</v>
      </c>
      <c r="R538" s="92">
        <f t="shared" si="140"/>
        <v>610</v>
      </c>
      <c r="S538" s="111">
        <v>610</v>
      </c>
      <c r="T538" s="92">
        <f t="shared" si="141"/>
        <v>615</v>
      </c>
      <c r="U538" s="12">
        <f t="shared" si="142"/>
        <v>5.0000000000000001E-4</v>
      </c>
      <c r="V538" s="111">
        <f t="shared" si="143"/>
        <v>5</v>
      </c>
      <c r="W538" s="111">
        <f t="shared" si="144"/>
        <v>5.0000000000000001E-4</v>
      </c>
      <c r="X538" s="111">
        <f t="shared" si="145"/>
        <v>5</v>
      </c>
      <c r="Y538" s="12">
        <f t="shared" si="72"/>
        <v>80.5</v>
      </c>
      <c r="Z538" s="12">
        <f t="shared" si="47"/>
        <v>80.5</v>
      </c>
      <c r="AA538" s="110">
        <f t="shared" si="151"/>
        <v>80.5</v>
      </c>
      <c r="AB538" s="110">
        <f t="shared" si="49"/>
        <v>80.5</v>
      </c>
      <c r="AC538" s="12"/>
      <c r="AD538" s="12"/>
      <c r="AE538" s="92">
        <f t="shared" si="52"/>
        <v>61000</v>
      </c>
      <c r="AF538" s="101" t="str">
        <f t="shared" si="103"/>
        <v>SR807C650030</v>
      </c>
      <c r="AG538" s="111" t="s">
        <v>368</v>
      </c>
      <c r="AH538" s="111" t="str">
        <f t="shared" si="146"/>
        <v>9999</v>
      </c>
      <c r="AI538" s="111" t="str">
        <f t="shared" si="147"/>
        <v>50010001</v>
      </c>
      <c r="AJ538" s="92">
        <f t="shared" si="54"/>
        <v>61000</v>
      </c>
      <c r="AK538" s="92">
        <f t="shared" si="55"/>
        <v>0</v>
      </c>
      <c r="AL538" s="92">
        <f t="shared" si="56"/>
        <v>0</v>
      </c>
      <c r="AM538" s="92">
        <f t="shared" si="57"/>
        <v>1</v>
      </c>
      <c r="AN538" s="111" t="str">
        <f t="shared" si="152"/>
        <v>CNY</v>
      </c>
      <c r="AO538" s="6">
        <f t="shared" si="148"/>
        <v>2.0000000000000001E-4</v>
      </c>
      <c r="AP538" s="6">
        <f t="shared" si="149"/>
        <v>2</v>
      </c>
      <c r="AQ538">
        <f t="shared" si="60"/>
        <v>32.200000000000003</v>
      </c>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6"/>
      <c r="DJ538" s="6"/>
      <c r="DK538" s="6"/>
      <c r="DL538" s="6"/>
      <c r="DM538" s="6"/>
      <c r="DN538" s="6"/>
      <c r="DO538" s="6"/>
      <c r="DP538" s="6"/>
      <c r="DQ538" s="6"/>
      <c r="DR538" s="6"/>
      <c r="DS538" s="6"/>
      <c r="DT538" s="6"/>
      <c r="DU538" s="6"/>
      <c r="DV538" s="6"/>
      <c r="DW538" s="6"/>
      <c r="DX538" s="6"/>
      <c r="DY538" s="6"/>
      <c r="DZ538" s="6"/>
      <c r="EA538" s="6"/>
      <c r="EB538" s="6"/>
      <c r="EC538" s="6"/>
      <c r="ED538" s="6"/>
      <c r="EE538" s="6"/>
      <c r="EF538" s="6"/>
      <c r="EG538" s="6"/>
      <c r="EH538" s="6"/>
      <c r="EI538" s="6"/>
      <c r="EJ538" s="6"/>
      <c r="EK538" s="6"/>
      <c r="EL538" s="6"/>
      <c r="EM538" s="6"/>
      <c r="EN538" s="6"/>
      <c r="EO538" s="6"/>
      <c r="EP538" s="6"/>
      <c r="EQ538" s="6"/>
      <c r="ER538" s="6"/>
      <c r="ES538" s="6"/>
      <c r="ET538" s="6"/>
      <c r="EU538" s="6"/>
      <c r="EV538" s="6"/>
      <c r="EW538" s="6"/>
      <c r="EX538" s="6"/>
      <c r="EY538" s="6"/>
      <c r="EZ538" s="6"/>
      <c r="FA538" s="6"/>
      <c r="FB538" s="6"/>
      <c r="FC538" s="6"/>
      <c r="FD538" s="6"/>
      <c r="FE538" s="6"/>
      <c r="FF538" s="6"/>
      <c r="FG538" s="6"/>
      <c r="FH538" s="6"/>
      <c r="FI538" s="6"/>
      <c r="FJ538" s="6"/>
      <c r="FK538" s="6"/>
      <c r="FL538" s="6"/>
      <c r="FM538" s="6"/>
      <c r="FN538" s="6"/>
      <c r="FO538" s="6"/>
      <c r="FP538" s="6"/>
      <c r="FQ538" s="6"/>
      <c r="FR538" s="6"/>
      <c r="FS538" s="6"/>
      <c r="FT538" s="6"/>
      <c r="FU538" s="6"/>
      <c r="FV538" s="6"/>
      <c r="FW538" s="6"/>
      <c r="FX538" s="6"/>
      <c r="FY538" s="6"/>
      <c r="FZ538" s="6"/>
      <c r="GA538" s="6"/>
      <c r="GB538" s="6"/>
      <c r="GC538" s="6"/>
      <c r="GD538" s="6"/>
      <c r="GE538" s="6"/>
      <c r="GF538" s="6"/>
      <c r="GG538" s="6"/>
      <c r="GH538" s="6"/>
      <c r="GI538" s="6"/>
      <c r="GJ538" s="6"/>
      <c r="GK538" s="6"/>
      <c r="GL538" s="6"/>
      <c r="GM538" s="6"/>
      <c r="GN538" s="6"/>
      <c r="GO538" s="6"/>
      <c r="GP538" s="6"/>
      <c r="GQ538" s="6"/>
      <c r="GR538" s="6"/>
      <c r="GS538" s="6"/>
      <c r="GT538" s="6"/>
      <c r="GU538" s="6"/>
      <c r="GV538" s="6"/>
      <c r="GW538" s="6"/>
      <c r="GX538" s="6"/>
      <c r="GY538" s="6"/>
      <c r="GZ538" s="6"/>
      <c r="HA538" s="6"/>
      <c r="HB538" s="6"/>
      <c r="HC538" s="6"/>
      <c r="HD538" s="6"/>
      <c r="HE538" s="6"/>
      <c r="HF538" s="6"/>
      <c r="HG538" s="6"/>
      <c r="HH538" s="6"/>
      <c r="HI538" s="6"/>
      <c r="HJ538" s="6"/>
      <c r="HK538" s="6"/>
      <c r="HL538" s="6"/>
    </row>
    <row r="539" spans="1:220" x14ac:dyDescent="0.25">
      <c r="A539" s="126" t="str">
        <f t="shared" si="33"/>
        <v/>
      </c>
      <c r="B539" s="571" t="str">
        <f t="shared" si="73"/>
        <v/>
      </c>
      <c r="C539" s="101" t="str">
        <f t="shared" si="34"/>
        <v>2018032610000091</v>
      </c>
      <c r="D539" s="111"/>
      <c r="E539" s="111" t="str">
        <f t="shared" si="137"/>
        <v>6001</v>
      </c>
      <c r="F539" s="111" t="str">
        <f t="shared" si="138"/>
        <v>B00101</v>
      </c>
      <c r="G539" s="111" t="str">
        <f t="shared" si="139"/>
        <v>6001</v>
      </c>
      <c r="H539" s="111">
        <v>10000091</v>
      </c>
      <c r="I539" s="104">
        <f t="shared" si="38"/>
        <v>20180326</v>
      </c>
      <c r="J539" s="113">
        <f t="shared" si="39"/>
        <v>20180326</v>
      </c>
      <c r="K539" s="111" t="str">
        <f t="shared" si="40"/>
        <v>CZCE</v>
      </c>
      <c r="L539" s="111" t="str">
        <f t="shared" si="150"/>
        <v>SR807C6500</v>
      </c>
      <c r="M539" s="92">
        <f t="shared" si="41"/>
        <v>10</v>
      </c>
      <c r="N539" s="111">
        <v>0</v>
      </c>
      <c r="O539" s="111">
        <v>1</v>
      </c>
      <c r="P539" s="111">
        <v>1</v>
      </c>
      <c r="Q539" s="111">
        <v>10</v>
      </c>
      <c r="R539" s="92">
        <f t="shared" si="140"/>
        <v>611</v>
      </c>
      <c r="S539" s="111">
        <v>611</v>
      </c>
      <c r="T539" s="92">
        <f t="shared" si="141"/>
        <v>615</v>
      </c>
      <c r="U539" s="12">
        <f t="shared" si="142"/>
        <v>5.0000000000000001E-4</v>
      </c>
      <c r="V539" s="111">
        <f t="shared" si="143"/>
        <v>5</v>
      </c>
      <c r="W539" s="111">
        <f t="shared" si="144"/>
        <v>4.0000000000000002E-4</v>
      </c>
      <c r="X539" s="111">
        <f t="shared" si="145"/>
        <v>4</v>
      </c>
      <c r="Y539" s="12">
        <f t="shared" si="72"/>
        <v>80.55</v>
      </c>
      <c r="Z539" s="12">
        <f t="shared" si="47"/>
        <v>64.44</v>
      </c>
      <c r="AA539" s="110">
        <f t="shared" si="151"/>
        <v>80.55</v>
      </c>
      <c r="AB539" s="110">
        <f t="shared" si="49"/>
        <v>64.44</v>
      </c>
      <c r="AC539" s="12"/>
      <c r="AD539" s="12"/>
      <c r="AE539" s="92">
        <f t="shared" si="52"/>
        <v>61100</v>
      </c>
      <c r="AF539" s="101" t="str">
        <f t="shared" si="103"/>
        <v>SR807C650010</v>
      </c>
      <c r="AG539" s="111" t="s">
        <v>368</v>
      </c>
      <c r="AH539" s="111" t="str">
        <f t="shared" si="146"/>
        <v>9999</v>
      </c>
      <c r="AI539" s="111" t="str">
        <f t="shared" si="147"/>
        <v>50010001</v>
      </c>
      <c r="AJ539" s="92">
        <f t="shared" si="54"/>
        <v>61100</v>
      </c>
      <c r="AK539" s="92">
        <f t="shared" si="55"/>
        <v>0</v>
      </c>
      <c r="AL539" s="92">
        <f t="shared" si="56"/>
        <v>0</v>
      </c>
      <c r="AM539" s="92">
        <f t="shared" si="57"/>
        <v>1</v>
      </c>
      <c r="AN539" s="111" t="str">
        <f t="shared" si="152"/>
        <v>CNY</v>
      </c>
      <c r="AO539" s="6">
        <f t="shared" si="148"/>
        <v>2.0000000000000001E-4</v>
      </c>
      <c r="AP539" s="6">
        <f t="shared" si="149"/>
        <v>2</v>
      </c>
      <c r="AQ539">
        <f t="shared" si="60"/>
        <v>32.22</v>
      </c>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c r="DO539" s="6"/>
      <c r="DP539" s="6"/>
      <c r="DQ539" s="6"/>
      <c r="DR539" s="6"/>
      <c r="DS539" s="6"/>
      <c r="DT539" s="6"/>
      <c r="DU539" s="6"/>
      <c r="DV539" s="6"/>
      <c r="DW539" s="6"/>
      <c r="DX539" s="6"/>
      <c r="DY539" s="6"/>
      <c r="DZ539" s="6"/>
      <c r="EA539" s="6"/>
      <c r="EB539" s="6"/>
      <c r="EC539" s="6"/>
      <c r="ED539" s="6"/>
      <c r="EE539" s="6"/>
      <c r="EF539" s="6"/>
      <c r="EG539" s="6"/>
      <c r="EH539" s="6"/>
      <c r="EI539" s="6"/>
      <c r="EJ539" s="6"/>
      <c r="EK539" s="6"/>
      <c r="EL539" s="6"/>
      <c r="EM539" s="6"/>
      <c r="EN539" s="6"/>
      <c r="EO539" s="6"/>
      <c r="EP539" s="6"/>
      <c r="EQ539" s="6"/>
      <c r="ER539" s="6"/>
      <c r="ES539" s="6"/>
      <c r="ET539" s="6"/>
      <c r="EU539" s="6"/>
      <c r="EV539" s="6"/>
      <c r="EW539" s="6"/>
      <c r="EX539" s="6"/>
      <c r="EY539" s="6"/>
      <c r="EZ539" s="6"/>
      <c r="FA539" s="6"/>
      <c r="FB539" s="6"/>
      <c r="FC539" s="6"/>
      <c r="FD539" s="6"/>
      <c r="FE539" s="6"/>
      <c r="FF539" s="6"/>
      <c r="FG539" s="6"/>
      <c r="FH539" s="6"/>
      <c r="FI539" s="6"/>
      <c r="FJ539" s="6"/>
      <c r="FK539" s="6"/>
      <c r="FL539" s="6"/>
      <c r="FM539" s="6"/>
      <c r="FN539" s="6"/>
      <c r="FO539" s="6"/>
      <c r="FP539" s="6"/>
      <c r="FQ539" s="6"/>
      <c r="FR539" s="6"/>
      <c r="FS539" s="6"/>
      <c r="FT539" s="6"/>
      <c r="FU539" s="6"/>
      <c r="FV539" s="6"/>
      <c r="FW539" s="6"/>
      <c r="FX539" s="6"/>
      <c r="FY539" s="6"/>
      <c r="FZ539" s="6"/>
      <c r="GA539" s="6"/>
      <c r="GB539" s="6"/>
      <c r="GC539" s="6"/>
      <c r="GD539" s="6"/>
      <c r="GE539" s="6"/>
      <c r="GF539" s="6"/>
      <c r="GG539" s="6"/>
      <c r="GH539" s="6"/>
      <c r="GI539" s="6"/>
      <c r="GJ539" s="6"/>
      <c r="GK539" s="6"/>
      <c r="GL539" s="6"/>
      <c r="GM539" s="6"/>
      <c r="GN539" s="6"/>
      <c r="GO539" s="6"/>
      <c r="GP539" s="6"/>
      <c r="GQ539" s="6"/>
      <c r="GR539" s="6"/>
      <c r="GS539" s="6"/>
      <c r="GT539" s="6"/>
      <c r="GU539" s="6"/>
      <c r="GV539" s="6"/>
      <c r="GW539" s="6"/>
      <c r="GX539" s="6"/>
      <c r="GY539" s="6"/>
      <c r="GZ539" s="6"/>
      <c r="HA539" s="6"/>
      <c r="HB539" s="6"/>
      <c r="HC539" s="6"/>
      <c r="HD539" s="6"/>
      <c r="HE539" s="6"/>
      <c r="HF539" s="6"/>
      <c r="HG539" s="6"/>
      <c r="HH539" s="6"/>
      <c r="HI539" s="6"/>
      <c r="HJ539" s="6"/>
      <c r="HK539" s="6"/>
      <c r="HL539" s="6"/>
    </row>
    <row r="540" spans="1:220" s="6" customFormat="1" x14ac:dyDescent="0.25">
      <c r="A540" s="126" t="str">
        <f t="shared" si="33"/>
        <v/>
      </c>
      <c r="B540" s="571" t="str">
        <f t="shared" si="73"/>
        <v/>
      </c>
      <c r="C540" s="101" t="str">
        <f t="shared" si="34"/>
        <v>2018032610000092</v>
      </c>
      <c r="D540" s="111"/>
      <c r="E540" s="111" t="str">
        <f t="shared" si="137"/>
        <v>6001</v>
      </c>
      <c r="F540" s="111" t="str">
        <f t="shared" si="138"/>
        <v>B00101</v>
      </c>
      <c r="G540" s="111" t="str">
        <f t="shared" si="139"/>
        <v>6001</v>
      </c>
      <c r="H540" s="111">
        <v>10000092</v>
      </c>
      <c r="I540" s="104">
        <f t="shared" si="38"/>
        <v>20180326</v>
      </c>
      <c r="J540" s="113">
        <f t="shared" si="39"/>
        <v>20180326</v>
      </c>
      <c r="K540" s="111" t="str">
        <f t="shared" si="40"/>
        <v>CZCE</v>
      </c>
      <c r="L540" s="111" t="str">
        <f t="shared" si="150"/>
        <v>SR807C6500</v>
      </c>
      <c r="M540" s="92">
        <f t="shared" si="41"/>
        <v>10</v>
      </c>
      <c r="N540" s="111">
        <v>0</v>
      </c>
      <c r="O540" s="111">
        <v>1</v>
      </c>
      <c r="P540" s="111">
        <v>1</v>
      </c>
      <c r="Q540" s="111">
        <v>15</v>
      </c>
      <c r="R540" s="111">
        <f t="shared" si="140"/>
        <v>612</v>
      </c>
      <c r="S540" s="111">
        <v>612</v>
      </c>
      <c r="T540" s="92">
        <f t="shared" si="141"/>
        <v>615</v>
      </c>
      <c r="U540" s="12">
        <f t="shared" si="142"/>
        <v>5.0000000000000001E-4</v>
      </c>
      <c r="V540" s="111">
        <f t="shared" si="143"/>
        <v>5</v>
      </c>
      <c r="W540" s="111">
        <f t="shared" si="144"/>
        <v>4.0000000000000002E-4</v>
      </c>
      <c r="X540" s="111">
        <f t="shared" si="145"/>
        <v>4</v>
      </c>
      <c r="Y540" s="12">
        <f t="shared" si="72"/>
        <v>120.9</v>
      </c>
      <c r="Z540" s="12">
        <f t="shared" si="47"/>
        <v>96.72</v>
      </c>
      <c r="AA540" s="248">
        <f t="shared" si="151"/>
        <v>120.9</v>
      </c>
      <c r="AB540" s="248">
        <f t="shared" si="49"/>
        <v>96.72</v>
      </c>
      <c r="AC540" s="12"/>
      <c r="AD540" s="12"/>
      <c r="AE540" s="111">
        <f t="shared" si="52"/>
        <v>91800</v>
      </c>
      <c r="AF540" s="101" t="str">
        <f t="shared" si="103"/>
        <v>SR807C650010</v>
      </c>
      <c r="AG540" s="111" t="s">
        <v>368</v>
      </c>
      <c r="AH540" s="111" t="str">
        <f t="shared" si="146"/>
        <v>9999</v>
      </c>
      <c r="AI540" s="111" t="str">
        <f t="shared" si="147"/>
        <v>50010001</v>
      </c>
      <c r="AJ540" s="111">
        <f t="shared" si="54"/>
        <v>91800</v>
      </c>
      <c r="AK540" s="111">
        <f t="shared" si="55"/>
        <v>0</v>
      </c>
      <c r="AL540" s="92">
        <f t="shared" si="56"/>
        <v>0</v>
      </c>
      <c r="AM540" s="92">
        <f t="shared" si="57"/>
        <v>1</v>
      </c>
      <c r="AN540" s="111" t="str">
        <f t="shared" si="152"/>
        <v>CNY</v>
      </c>
      <c r="AO540" s="6">
        <f t="shared" si="148"/>
        <v>2.0000000000000001E-4</v>
      </c>
      <c r="AP540" s="6">
        <f t="shared" si="149"/>
        <v>2</v>
      </c>
      <c r="AQ540" s="6">
        <f t="shared" si="60"/>
        <v>48.36</v>
      </c>
    </row>
    <row r="541" spans="1:220" s="6" customFormat="1" x14ac:dyDescent="0.25">
      <c r="A541" s="126" t="str">
        <f t="shared" si="33"/>
        <v/>
      </c>
      <c r="B541" s="571" t="str">
        <f t="shared" si="73"/>
        <v>20180326100000932018032610000091</v>
      </c>
      <c r="C541" s="101" t="str">
        <f t="shared" si="34"/>
        <v>2018032610000093</v>
      </c>
      <c r="D541" s="111" t="str">
        <f>C539</f>
        <v>2018032610000091</v>
      </c>
      <c r="E541" s="111" t="str">
        <f t="shared" si="137"/>
        <v>6001</v>
      </c>
      <c r="F541" s="111" t="str">
        <f t="shared" si="138"/>
        <v>B00101</v>
      </c>
      <c r="G541" s="111" t="str">
        <f t="shared" si="139"/>
        <v>6001</v>
      </c>
      <c r="H541" s="111">
        <v>10000093</v>
      </c>
      <c r="I541" s="104">
        <f t="shared" si="38"/>
        <v>20180326</v>
      </c>
      <c r="J541" s="113">
        <f t="shared" si="39"/>
        <v>20180326</v>
      </c>
      <c r="K541" s="111" t="str">
        <f t="shared" si="40"/>
        <v>CZCE</v>
      </c>
      <c r="L541" s="111" t="str">
        <f t="shared" si="150"/>
        <v>SR807C6500</v>
      </c>
      <c r="M541" s="92">
        <f t="shared" si="41"/>
        <v>10</v>
      </c>
      <c r="N541" s="111">
        <v>3</v>
      </c>
      <c r="O541" s="111">
        <v>0</v>
      </c>
      <c r="P541" s="111">
        <v>1</v>
      </c>
      <c r="Q541" s="111">
        <v>10</v>
      </c>
      <c r="R541" s="111">
        <f t="shared" si="140"/>
        <v>611</v>
      </c>
      <c r="S541" s="111">
        <v>613</v>
      </c>
      <c r="T541" s="92">
        <f t="shared" si="141"/>
        <v>615</v>
      </c>
      <c r="U541" s="12">
        <f t="shared" si="142"/>
        <v>2.0000000000000001E-4</v>
      </c>
      <c r="V541" s="111">
        <f t="shared" si="143"/>
        <v>2</v>
      </c>
      <c r="W541" s="111">
        <f t="shared" si="144"/>
        <v>1E-4</v>
      </c>
      <c r="X541" s="111">
        <f t="shared" si="145"/>
        <v>1</v>
      </c>
      <c r="Y541" s="12">
        <f t="shared" si="72"/>
        <v>32.26</v>
      </c>
      <c r="Z541" s="12">
        <f t="shared" si="47"/>
        <v>16.13</v>
      </c>
      <c r="AA541" s="248">
        <f t="shared" si="151"/>
        <v>32.26</v>
      </c>
      <c r="AB541" s="248">
        <f t="shared" si="49"/>
        <v>16.13</v>
      </c>
      <c r="AC541" s="12"/>
      <c r="AD541" s="12"/>
      <c r="AE541" s="111">
        <f t="shared" si="52"/>
        <v>61300</v>
      </c>
      <c r="AF541" s="101" t="str">
        <f t="shared" si="103"/>
        <v>SR807C650013</v>
      </c>
      <c r="AG541" s="111" t="s">
        <v>368</v>
      </c>
      <c r="AH541" s="111" t="str">
        <f t="shared" si="146"/>
        <v>9999</v>
      </c>
      <c r="AI541" s="111" t="str">
        <f t="shared" si="147"/>
        <v>50010001</v>
      </c>
      <c r="AJ541" s="111">
        <f t="shared" si="54"/>
        <v>0</v>
      </c>
      <c r="AK541" s="111">
        <f t="shared" si="55"/>
        <v>61300</v>
      </c>
      <c r="AL541" s="92">
        <f t="shared" si="56"/>
        <v>0</v>
      </c>
      <c r="AM541" s="92">
        <f t="shared" si="57"/>
        <v>1</v>
      </c>
      <c r="AN541" s="111" t="str">
        <f t="shared" si="152"/>
        <v>CNY</v>
      </c>
      <c r="AO541" s="6">
        <f t="shared" si="148"/>
        <v>2.0000000000000001E-4</v>
      </c>
      <c r="AP541" s="6">
        <f t="shared" si="149"/>
        <v>2</v>
      </c>
      <c r="AQ541" s="6">
        <f t="shared" si="60"/>
        <v>32.26</v>
      </c>
    </row>
    <row r="542" spans="1:220" s="6" customFormat="1" x14ac:dyDescent="0.25">
      <c r="A542" s="126" t="str">
        <f t="shared" si="33"/>
        <v/>
      </c>
      <c r="B542" s="571" t="str">
        <f t="shared" si="73"/>
        <v>20180326100000942018032610000092</v>
      </c>
      <c r="C542" s="101" t="str">
        <f t="shared" si="34"/>
        <v>2018032610000094</v>
      </c>
      <c r="D542" s="111" t="str">
        <f>C540</f>
        <v>2018032610000092</v>
      </c>
      <c r="E542" s="111" t="str">
        <f t="shared" si="137"/>
        <v>6001</v>
      </c>
      <c r="F542" s="111" t="str">
        <f t="shared" si="138"/>
        <v>B00101</v>
      </c>
      <c r="G542" s="111" t="str">
        <f t="shared" si="139"/>
        <v>6001</v>
      </c>
      <c r="H542" s="111">
        <v>10000094</v>
      </c>
      <c r="I542" s="104">
        <f t="shared" si="38"/>
        <v>20180326</v>
      </c>
      <c r="J542" s="113">
        <f t="shared" si="39"/>
        <v>20180326</v>
      </c>
      <c r="K542" s="111" t="str">
        <f t="shared" si="40"/>
        <v>CZCE</v>
      </c>
      <c r="L542" s="111" t="str">
        <f t="shared" si="150"/>
        <v>SR807C6500</v>
      </c>
      <c r="M542" s="92">
        <f t="shared" si="41"/>
        <v>10</v>
      </c>
      <c r="N542" s="111">
        <v>3</v>
      </c>
      <c r="O542" s="111">
        <v>0</v>
      </c>
      <c r="P542" s="111">
        <v>1</v>
      </c>
      <c r="Q542" s="111">
        <v>2</v>
      </c>
      <c r="R542" s="111">
        <f t="shared" si="140"/>
        <v>612</v>
      </c>
      <c r="S542" s="111">
        <v>614</v>
      </c>
      <c r="T542" s="92">
        <f t="shared" si="141"/>
        <v>615</v>
      </c>
      <c r="U542" s="12">
        <f t="shared" si="142"/>
        <v>2.0000000000000001E-4</v>
      </c>
      <c r="V542" s="111">
        <f t="shared" si="143"/>
        <v>2</v>
      </c>
      <c r="W542" s="111">
        <f t="shared" si="144"/>
        <v>1E-4</v>
      </c>
      <c r="X542" s="111">
        <f t="shared" si="145"/>
        <v>1</v>
      </c>
      <c r="Y542" s="12">
        <f t="shared" si="72"/>
        <v>6.4559999999999995</v>
      </c>
      <c r="Z542" s="12">
        <f t="shared" si="47"/>
        <v>3.2279999999999998</v>
      </c>
      <c r="AA542" s="248">
        <f t="shared" si="151"/>
        <v>6.46</v>
      </c>
      <c r="AB542" s="248">
        <f t="shared" si="49"/>
        <v>3.2280000000000002</v>
      </c>
      <c r="AC542" s="12"/>
      <c r="AD542" s="12"/>
      <c r="AE542" s="111">
        <f t="shared" si="52"/>
        <v>12280</v>
      </c>
      <c r="AF542" s="101" t="str">
        <f t="shared" si="103"/>
        <v>SR807C650013</v>
      </c>
      <c r="AG542" s="111" t="s">
        <v>368</v>
      </c>
      <c r="AH542" s="111" t="str">
        <f t="shared" si="146"/>
        <v>9999</v>
      </c>
      <c r="AI542" s="111" t="str">
        <f t="shared" si="147"/>
        <v>50010001</v>
      </c>
      <c r="AJ542" s="111">
        <f t="shared" si="54"/>
        <v>0</v>
      </c>
      <c r="AK542" s="111">
        <f t="shared" si="55"/>
        <v>12280</v>
      </c>
      <c r="AL542" s="92">
        <f t="shared" si="56"/>
        <v>0</v>
      </c>
      <c r="AM542" s="92">
        <f t="shared" si="57"/>
        <v>1</v>
      </c>
      <c r="AN542" s="111" t="str">
        <f t="shared" si="152"/>
        <v>CNY</v>
      </c>
      <c r="AO542" s="6">
        <f t="shared" si="148"/>
        <v>2.0000000000000001E-4</v>
      </c>
      <c r="AP542" s="6">
        <f t="shared" si="149"/>
        <v>2</v>
      </c>
      <c r="AQ542" s="6">
        <f t="shared" si="60"/>
        <v>6.46</v>
      </c>
    </row>
    <row r="543" spans="1:220" x14ac:dyDescent="0.25">
      <c r="A543" s="126" t="str">
        <f t="shared" si="33"/>
        <v>comment</v>
      </c>
      <c r="B543" s="571" t="str">
        <f t="shared" si="73"/>
        <v/>
      </c>
      <c r="C543" s="101" t="str">
        <f t="shared" si="34"/>
        <v>2018032610000095</v>
      </c>
      <c r="D543" s="111" t="str">
        <f>C538</f>
        <v>2018032610000090</v>
      </c>
      <c r="E543" s="111" t="str">
        <f t="shared" si="137"/>
        <v>6001</v>
      </c>
      <c r="F543" s="111" t="str">
        <f t="shared" si="138"/>
        <v>B00101</v>
      </c>
      <c r="G543" s="111" t="str">
        <f t="shared" si="139"/>
        <v>6001</v>
      </c>
      <c r="H543" s="111">
        <v>10000095</v>
      </c>
      <c r="I543" s="104">
        <f t="shared" si="38"/>
        <v>20180326</v>
      </c>
      <c r="J543" s="113">
        <f t="shared" si="39"/>
        <v>20180326</v>
      </c>
      <c r="K543" s="111" t="str">
        <f t="shared" si="40"/>
        <v>CZCE</v>
      </c>
      <c r="L543" s="111" t="str">
        <f t="shared" si="150"/>
        <v>SR807C6500</v>
      </c>
      <c r="M543" s="92">
        <f t="shared" si="41"/>
        <v>10</v>
      </c>
      <c r="N543" s="111">
        <v>3</v>
      </c>
      <c r="O543" s="111">
        <v>0</v>
      </c>
      <c r="P543" s="111">
        <v>3</v>
      </c>
      <c r="Q543" s="111">
        <v>0</v>
      </c>
      <c r="R543" s="92">
        <f t="shared" si="140"/>
        <v>610</v>
      </c>
      <c r="S543" s="111">
        <v>615</v>
      </c>
      <c r="T543" s="92">
        <f t="shared" si="141"/>
        <v>615</v>
      </c>
      <c r="U543" s="12">
        <f t="shared" si="142"/>
        <v>2.0000000000000001E-4</v>
      </c>
      <c r="V543" s="111">
        <f t="shared" si="143"/>
        <v>2</v>
      </c>
      <c r="W543" s="111">
        <f t="shared" si="144"/>
        <v>2.0000000000000001E-4</v>
      </c>
      <c r="X543" s="111">
        <f t="shared" si="145"/>
        <v>2</v>
      </c>
      <c r="Y543" s="12">
        <f t="shared" si="72"/>
        <v>0</v>
      </c>
      <c r="Z543" s="12">
        <f t="shared" si="47"/>
        <v>0</v>
      </c>
      <c r="AA543" s="110">
        <f t="shared" si="151"/>
        <v>0</v>
      </c>
      <c r="AB543" s="110">
        <f t="shared" si="49"/>
        <v>0</v>
      </c>
      <c r="AC543" s="12"/>
      <c r="AD543" s="12"/>
      <c r="AE543" s="92">
        <f t="shared" si="52"/>
        <v>0</v>
      </c>
      <c r="AF543" s="101" t="str">
        <f t="shared" si="103"/>
        <v>SR807C650033</v>
      </c>
      <c r="AG543" s="111" t="s">
        <v>368</v>
      </c>
      <c r="AH543" s="111" t="str">
        <f t="shared" si="146"/>
        <v>9999</v>
      </c>
      <c r="AI543" s="111" t="str">
        <f t="shared" si="147"/>
        <v>50010001</v>
      </c>
      <c r="AJ543" s="92">
        <f t="shared" si="54"/>
        <v>0</v>
      </c>
      <c r="AK543" s="92">
        <f t="shared" si="55"/>
        <v>0</v>
      </c>
      <c r="AL543" s="92">
        <f t="shared" si="56"/>
        <v>0</v>
      </c>
      <c r="AM543" s="92">
        <f t="shared" si="57"/>
        <v>1</v>
      </c>
      <c r="AN543" s="111" t="str">
        <f t="shared" si="152"/>
        <v>CNY</v>
      </c>
      <c r="AO543" s="6">
        <f t="shared" si="148"/>
        <v>2.0000000000000001E-4</v>
      </c>
      <c r="AP543" s="6">
        <f t="shared" si="149"/>
        <v>2</v>
      </c>
      <c r="AQ543">
        <f t="shared" si="60"/>
        <v>0</v>
      </c>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c r="DK543" s="6"/>
      <c r="DL543" s="6"/>
      <c r="DM543" s="6"/>
      <c r="DN543" s="6"/>
      <c r="DO543" s="6"/>
      <c r="DP543" s="6"/>
      <c r="DQ543" s="6"/>
      <c r="DR543" s="6"/>
      <c r="DS543" s="6"/>
      <c r="DT543" s="6"/>
      <c r="DU543" s="6"/>
      <c r="DV543" s="6"/>
      <c r="DW543" s="6"/>
      <c r="DX543" s="6"/>
      <c r="DY543" s="6"/>
      <c r="DZ543" s="6"/>
      <c r="EA543" s="6"/>
      <c r="EB543" s="6"/>
      <c r="EC543" s="6"/>
      <c r="ED543" s="6"/>
      <c r="EE543" s="6"/>
      <c r="EF543" s="6"/>
      <c r="EG543" s="6"/>
      <c r="EH543" s="6"/>
      <c r="EI543" s="6"/>
      <c r="EJ543" s="6"/>
      <c r="EK543" s="6"/>
      <c r="EL543" s="6"/>
      <c r="EM543" s="6"/>
      <c r="EN543" s="6"/>
      <c r="EO543" s="6"/>
      <c r="EP543" s="6"/>
      <c r="EQ543" s="6"/>
      <c r="ER543" s="6"/>
      <c r="ES543" s="6"/>
      <c r="ET543" s="6"/>
      <c r="EU543" s="6"/>
      <c r="EV543" s="6"/>
      <c r="EW543" s="6"/>
      <c r="EX543" s="6"/>
      <c r="EY543" s="6"/>
      <c r="EZ543" s="6"/>
      <c r="FA543" s="6"/>
      <c r="FB543" s="6"/>
      <c r="FC543" s="6"/>
      <c r="FD543" s="6"/>
      <c r="FE543" s="6"/>
      <c r="FF543" s="6"/>
      <c r="FG543" s="6"/>
      <c r="FH543" s="6"/>
      <c r="FI543" s="6"/>
      <c r="FJ543" s="6"/>
      <c r="FK543" s="6"/>
      <c r="FL543" s="6"/>
      <c r="FM543" s="6"/>
      <c r="FN543" s="6"/>
      <c r="FO543" s="6"/>
      <c r="FP543" s="6"/>
      <c r="FQ543" s="6"/>
      <c r="FR543" s="6"/>
      <c r="FS543" s="6"/>
      <c r="FT543" s="6"/>
      <c r="FU543" s="6"/>
      <c r="FV543" s="6"/>
      <c r="FW543" s="6"/>
      <c r="FX543" s="6"/>
      <c r="FY543" s="6"/>
      <c r="FZ543" s="6"/>
      <c r="GA543" s="6"/>
      <c r="GB543" s="6"/>
      <c r="GC543" s="6"/>
      <c r="GD543" s="6"/>
      <c r="GE543" s="6"/>
      <c r="GF543" s="6"/>
      <c r="GG543" s="6"/>
      <c r="GH543" s="6"/>
      <c r="GI543" s="6"/>
      <c r="GJ543" s="6"/>
      <c r="GK543" s="6"/>
      <c r="GL543" s="6"/>
      <c r="GM543" s="6"/>
      <c r="GN543" s="6"/>
      <c r="GO543" s="6"/>
      <c r="GP543" s="6"/>
      <c r="GQ543" s="6"/>
      <c r="GR543" s="6"/>
      <c r="GS543" s="6"/>
      <c r="GT543" s="6"/>
      <c r="GU543" s="6"/>
      <c r="GV543" s="6"/>
      <c r="GW543" s="6"/>
      <c r="GX543" s="6"/>
      <c r="GY543" s="6"/>
      <c r="GZ543" s="6"/>
      <c r="HA543" s="6"/>
      <c r="HB543" s="6"/>
      <c r="HC543" s="6"/>
      <c r="HD543" s="6"/>
      <c r="HE543" s="6"/>
      <c r="HF543" s="6"/>
      <c r="HG543" s="6"/>
      <c r="HH543" s="6"/>
      <c r="HI543" s="6"/>
      <c r="HJ543" s="6"/>
      <c r="HK543" s="6"/>
      <c r="HL543" s="6"/>
    </row>
    <row r="544" spans="1:220" x14ac:dyDescent="0.25">
      <c r="A544" s="126" t="str">
        <f t="shared" si="33"/>
        <v/>
      </c>
      <c r="B544" s="571" t="str">
        <f t="shared" si="73"/>
        <v/>
      </c>
      <c r="C544" s="101" t="str">
        <f t="shared" si="34"/>
        <v>2018032610000096</v>
      </c>
      <c r="D544" s="111"/>
      <c r="E544" s="111" t="str">
        <f t="shared" si="137"/>
        <v>6001</v>
      </c>
      <c r="F544" s="111" t="str">
        <f t="shared" si="138"/>
        <v>B00101</v>
      </c>
      <c r="G544" s="111" t="str">
        <f t="shared" si="139"/>
        <v>6001</v>
      </c>
      <c r="H544" s="111">
        <v>10000096</v>
      </c>
      <c r="I544" s="104">
        <f t="shared" si="38"/>
        <v>20180326</v>
      </c>
      <c r="J544" s="113">
        <f t="shared" si="39"/>
        <v>20180326</v>
      </c>
      <c r="K544" s="111" t="str">
        <f t="shared" si="40"/>
        <v>CZCE</v>
      </c>
      <c r="L544" s="111" t="str">
        <f>$C$31</f>
        <v>SR807P6500</v>
      </c>
      <c r="M544" s="92">
        <f t="shared" si="41"/>
        <v>10</v>
      </c>
      <c r="N544" s="111">
        <v>0</v>
      </c>
      <c r="O544" s="111">
        <v>0</v>
      </c>
      <c r="P544" s="111">
        <v>1</v>
      </c>
      <c r="Q544" s="111">
        <v>1</v>
      </c>
      <c r="R544" s="92">
        <f t="shared" si="140"/>
        <v>616</v>
      </c>
      <c r="S544" s="111">
        <v>616</v>
      </c>
      <c r="T544" s="92">
        <f t="shared" si="141"/>
        <v>620</v>
      </c>
      <c r="U544" s="12">
        <f t="shared" si="142"/>
        <v>5.0000000000000001E-4</v>
      </c>
      <c r="V544" s="111">
        <f t="shared" si="143"/>
        <v>5</v>
      </c>
      <c r="W544" s="111">
        <f t="shared" si="144"/>
        <v>4.0000000000000002E-4</v>
      </c>
      <c r="X544" s="111">
        <f t="shared" si="145"/>
        <v>4</v>
      </c>
      <c r="Y544" s="12">
        <f t="shared" si="72"/>
        <v>8.08</v>
      </c>
      <c r="Z544" s="12">
        <f t="shared" si="47"/>
        <v>6.4640000000000004</v>
      </c>
      <c r="AA544" s="110">
        <f t="shared" si="151"/>
        <v>8.08</v>
      </c>
      <c r="AB544" s="110">
        <f t="shared" si="49"/>
        <v>6.4640000000000004</v>
      </c>
      <c r="AC544" s="12"/>
      <c r="AD544" s="12"/>
      <c r="AE544" s="92">
        <f t="shared" si="52"/>
        <v>6160</v>
      </c>
      <c r="AF544" s="101" t="str">
        <f t="shared" si="103"/>
        <v>SR807P650010</v>
      </c>
      <c r="AG544" s="111" t="s">
        <v>368</v>
      </c>
      <c r="AH544" s="111" t="str">
        <f t="shared" si="146"/>
        <v>9999</v>
      </c>
      <c r="AI544" s="111" t="str">
        <f t="shared" si="147"/>
        <v>50010001</v>
      </c>
      <c r="AJ544" s="92">
        <f t="shared" si="54"/>
        <v>0</v>
      </c>
      <c r="AK544" s="92">
        <f t="shared" si="55"/>
        <v>6160</v>
      </c>
      <c r="AL544" s="92">
        <f t="shared" si="56"/>
        <v>0</v>
      </c>
      <c r="AM544" s="92">
        <f t="shared" si="57"/>
        <v>1</v>
      </c>
      <c r="AN544" s="111" t="str">
        <f t="shared" si="152"/>
        <v>CNY</v>
      </c>
      <c r="AO544" s="6">
        <f t="shared" si="148"/>
        <v>2.0000000000000001E-4</v>
      </c>
      <c r="AP544" s="6">
        <f t="shared" si="149"/>
        <v>2</v>
      </c>
      <c r="AQ544">
        <f t="shared" si="60"/>
        <v>3.23</v>
      </c>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c r="DK544" s="6"/>
      <c r="DL544" s="6"/>
      <c r="DM544" s="6"/>
      <c r="DN544" s="6"/>
      <c r="DO544" s="6"/>
      <c r="DP544" s="6"/>
      <c r="DQ544" s="6"/>
      <c r="DR544" s="6"/>
      <c r="DS544" s="6"/>
      <c r="DT544" s="6"/>
      <c r="DU544" s="6"/>
      <c r="DV544" s="6"/>
      <c r="DW544" s="6"/>
      <c r="DX544" s="6"/>
      <c r="DY544" s="6"/>
      <c r="DZ544" s="6"/>
      <c r="EA544" s="6"/>
      <c r="EB544" s="6"/>
      <c r="EC544" s="6"/>
      <c r="ED544" s="6"/>
      <c r="EE544" s="6"/>
      <c r="EF544" s="6"/>
      <c r="EG544" s="6"/>
      <c r="EH544" s="6"/>
      <c r="EI544" s="6"/>
      <c r="EJ544" s="6"/>
      <c r="EK544" s="6"/>
      <c r="EL544" s="6"/>
      <c r="EM544" s="6"/>
      <c r="EN544" s="6"/>
      <c r="EO544" s="6"/>
      <c r="EP544" s="6"/>
      <c r="EQ544" s="6"/>
      <c r="ER544" s="6"/>
      <c r="ES544" s="6"/>
      <c r="ET544" s="6"/>
      <c r="EU544" s="6"/>
      <c r="EV544" s="6"/>
      <c r="EW544" s="6"/>
      <c r="EX544" s="6"/>
      <c r="EY544" s="6"/>
      <c r="EZ544" s="6"/>
      <c r="FA544" s="6"/>
      <c r="FB544" s="6"/>
      <c r="FC544" s="6"/>
      <c r="FD544" s="6"/>
      <c r="FE544" s="6"/>
      <c r="FF544" s="6"/>
      <c r="FG544" s="6"/>
      <c r="FH544" s="6"/>
      <c r="FI544" s="6"/>
      <c r="FJ544" s="6"/>
      <c r="FK544" s="6"/>
      <c r="FL544" s="6"/>
      <c r="FM544" s="6"/>
      <c r="FN544" s="6"/>
      <c r="FO544" s="6"/>
      <c r="FP544" s="6"/>
      <c r="FQ544" s="6"/>
      <c r="FR544" s="6"/>
      <c r="FS544" s="6"/>
      <c r="FT544" s="6"/>
      <c r="FU544" s="6"/>
      <c r="FV544" s="6"/>
      <c r="FW544" s="6"/>
      <c r="FX544" s="6"/>
      <c r="FY544" s="6"/>
      <c r="FZ544" s="6"/>
      <c r="GA544" s="6"/>
      <c r="GB544" s="6"/>
      <c r="GC544" s="6"/>
      <c r="GD544" s="6"/>
      <c r="GE544" s="6"/>
      <c r="GF544" s="6"/>
      <c r="GG544" s="6"/>
      <c r="GH544" s="6"/>
      <c r="GI544" s="6"/>
      <c r="GJ544" s="6"/>
      <c r="GK544" s="6"/>
      <c r="GL544" s="6"/>
      <c r="GM544" s="6"/>
      <c r="GN544" s="6"/>
      <c r="GO544" s="6"/>
      <c r="GP544" s="6"/>
      <c r="GQ544" s="6"/>
      <c r="GR544" s="6"/>
      <c r="GS544" s="6"/>
      <c r="GT544" s="6"/>
      <c r="GU544" s="6"/>
      <c r="GV544" s="6"/>
      <c r="GW544" s="6"/>
      <c r="GX544" s="6"/>
      <c r="GY544" s="6"/>
      <c r="GZ544" s="6"/>
      <c r="HA544" s="6"/>
      <c r="HB544" s="6"/>
      <c r="HC544" s="6"/>
      <c r="HD544" s="6"/>
      <c r="HE544" s="6"/>
      <c r="HF544" s="6"/>
      <c r="HG544" s="6"/>
      <c r="HH544" s="6"/>
      <c r="HI544" s="6"/>
      <c r="HJ544" s="6"/>
      <c r="HK544" s="6"/>
      <c r="HL544" s="6"/>
    </row>
    <row r="545" spans="1:220" s="472" customFormat="1" x14ac:dyDescent="0.25">
      <c r="A545" s="619" t="str">
        <f t="shared" si="33"/>
        <v/>
      </c>
      <c r="B545" s="597" t="str">
        <f t="shared" si="73"/>
        <v/>
      </c>
      <c r="C545" s="474" t="str">
        <f t="shared" si="34"/>
        <v>2018032610000097</v>
      </c>
      <c r="D545" s="473"/>
      <c r="E545" s="473" t="str">
        <f t="shared" si="137"/>
        <v>6001</v>
      </c>
      <c r="F545" s="473" t="str">
        <f t="shared" si="138"/>
        <v>B00101</v>
      </c>
      <c r="G545" s="473" t="str">
        <f t="shared" si="139"/>
        <v>6001</v>
      </c>
      <c r="H545" s="473">
        <v>10000097</v>
      </c>
      <c r="I545" s="475">
        <f t="shared" si="38"/>
        <v>20180326</v>
      </c>
      <c r="J545" s="476">
        <f t="shared" si="39"/>
        <v>20180326</v>
      </c>
      <c r="K545" s="473" t="str">
        <f t="shared" si="40"/>
        <v>CZCE</v>
      </c>
      <c r="L545" s="473" t="str">
        <f>$C$31</f>
        <v>SR807P6500</v>
      </c>
      <c r="M545" s="473">
        <f t="shared" si="41"/>
        <v>10</v>
      </c>
      <c r="N545" s="473">
        <v>0</v>
      </c>
      <c r="O545" s="473">
        <v>1</v>
      </c>
      <c r="P545" s="473">
        <v>1</v>
      </c>
      <c r="Q545" s="473">
        <v>5</v>
      </c>
      <c r="R545" s="473">
        <f t="shared" si="140"/>
        <v>617</v>
      </c>
      <c r="S545" s="473">
        <v>617</v>
      </c>
      <c r="T545" s="473">
        <f t="shared" si="141"/>
        <v>620</v>
      </c>
      <c r="U545" s="477">
        <f t="shared" si="142"/>
        <v>5.0000000000000001E-4</v>
      </c>
      <c r="V545" s="473">
        <f t="shared" si="143"/>
        <v>5</v>
      </c>
      <c r="W545" s="473">
        <f t="shared" si="144"/>
        <v>4.0000000000000002E-4</v>
      </c>
      <c r="X545" s="473">
        <f t="shared" si="145"/>
        <v>4</v>
      </c>
      <c r="Y545" s="477">
        <f t="shared" si="72"/>
        <v>40.424999999999997</v>
      </c>
      <c r="Z545" s="477">
        <f t="shared" si="47"/>
        <v>32.340000000000003</v>
      </c>
      <c r="AA545" s="478">
        <f t="shared" si="151"/>
        <v>40.43</v>
      </c>
      <c r="AB545" s="478">
        <f t="shared" si="49"/>
        <v>32.340000000000003</v>
      </c>
      <c r="AC545" s="477"/>
      <c r="AD545" s="477"/>
      <c r="AE545" s="473">
        <f t="shared" si="52"/>
        <v>30850</v>
      </c>
      <c r="AF545" s="474" t="str">
        <f t="shared" si="103"/>
        <v>SR807P650010</v>
      </c>
      <c r="AG545" s="473" t="s">
        <v>368</v>
      </c>
      <c r="AH545" s="473" t="str">
        <f t="shared" si="146"/>
        <v>9999</v>
      </c>
      <c r="AI545" s="473" t="str">
        <f t="shared" si="147"/>
        <v>50010001</v>
      </c>
      <c r="AJ545" s="473">
        <f t="shared" si="54"/>
        <v>30850</v>
      </c>
      <c r="AK545" s="473">
        <f t="shared" si="55"/>
        <v>0</v>
      </c>
      <c r="AL545" s="473">
        <f t="shared" si="56"/>
        <v>0</v>
      </c>
      <c r="AM545" s="473">
        <f t="shared" si="57"/>
        <v>1</v>
      </c>
      <c r="AN545" s="473" t="str">
        <f t="shared" si="152"/>
        <v>CNY</v>
      </c>
      <c r="AO545" s="472">
        <f t="shared" si="148"/>
        <v>2.0000000000000001E-4</v>
      </c>
      <c r="AP545" s="472">
        <f t="shared" si="149"/>
        <v>2</v>
      </c>
      <c r="AQ545" s="472">
        <f t="shared" si="60"/>
        <v>16.170000000000002</v>
      </c>
    </row>
    <row r="546" spans="1:220" x14ac:dyDescent="0.25">
      <c r="A546" s="126" t="str">
        <f t="shared" si="33"/>
        <v/>
      </c>
      <c r="B546" s="571" t="str">
        <f t="shared" si="73"/>
        <v/>
      </c>
      <c r="C546" s="101" t="str">
        <f t="shared" si="34"/>
        <v>2018032610000098</v>
      </c>
      <c r="D546" s="111"/>
      <c r="E546" s="111" t="str">
        <f t="shared" si="137"/>
        <v>6001</v>
      </c>
      <c r="F546" s="111" t="str">
        <f t="shared" si="138"/>
        <v>B00101</v>
      </c>
      <c r="G546" s="111" t="str">
        <f t="shared" si="139"/>
        <v>6001</v>
      </c>
      <c r="H546" s="111">
        <v>10000098</v>
      </c>
      <c r="I546" s="104">
        <f t="shared" si="38"/>
        <v>20180326</v>
      </c>
      <c r="J546" s="113">
        <f t="shared" si="39"/>
        <v>20180326</v>
      </c>
      <c r="K546" s="111" t="str">
        <f t="shared" si="40"/>
        <v>CZCE</v>
      </c>
      <c r="L546" s="111" t="str">
        <f t="shared" ref="L546:L547" si="153">$C$31</f>
        <v>SR807P6500</v>
      </c>
      <c r="M546" s="92">
        <f t="shared" si="41"/>
        <v>10</v>
      </c>
      <c r="N546" s="111">
        <v>0</v>
      </c>
      <c r="O546" s="111">
        <v>0</v>
      </c>
      <c r="P546" s="111">
        <v>3</v>
      </c>
      <c r="Q546" s="111">
        <v>4</v>
      </c>
      <c r="R546" s="92">
        <f t="shared" si="140"/>
        <v>618</v>
      </c>
      <c r="S546" s="111">
        <v>618</v>
      </c>
      <c r="T546" s="92">
        <f t="shared" si="141"/>
        <v>620</v>
      </c>
      <c r="U546" s="12">
        <f t="shared" si="142"/>
        <v>5.0000000000000001E-4</v>
      </c>
      <c r="V546" s="111">
        <f t="shared" si="143"/>
        <v>5</v>
      </c>
      <c r="W546" s="111">
        <f t="shared" si="144"/>
        <v>5.0000000000000001E-4</v>
      </c>
      <c r="X546" s="111">
        <f t="shared" si="145"/>
        <v>5</v>
      </c>
      <c r="Y546" s="12">
        <f t="shared" si="72"/>
        <v>32.36</v>
      </c>
      <c r="Z546" s="12">
        <f t="shared" si="47"/>
        <v>32.36</v>
      </c>
      <c r="AA546" s="110">
        <f t="shared" si="151"/>
        <v>32.36</v>
      </c>
      <c r="AB546" s="110">
        <f t="shared" si="49"/>
        <v>32.36</v>
      </c>
      <c r="AC546" s="12"/>
      <c r="AD546" s="12"/>
      <c r="AE546" s="92">
        <f t="shared" si="52"/>
        <v>24720</v>
      </c>
      <c r="AF546" s="101" t="str">
        <f t="shared" si="103"/>
        <v>SR807P650030</v>
      </c>
      <c r="AG546" s="111" t="s">
        <v>368</v>
      </c>
      <c r="AH546" s="111" t="str">
        <f t="shared" si="146"/>
        <v>9999</v>
      </c>
      <c r="AI546" s="111" t="str">
        <f t="shared" si="147"/>
        <v>50010001</v>
      </c>
      <c r="AJ546" s="92">
        <f t="shared" si="54"/>
        <v>0</v>
      </c>
      <c r="AK546" s="92">
        <f t="shared" si="55"/>
        <v>24720</v>
      </c>
      <c r="AL546" s="92">
        <f t="shared" si="56"/>
        <v>0</v>
      </c>
      <c r="AM546" s="92">
        <f t="shared" si="57"/>
        <v>1</v>
      </c>
      <c r="AN546" s="111" t="str">
        <f t="shared" si="152"/>
        <v>CNY</v>
      </c>
      <c r="AO546" s="6">
        <f t="shared" si="148"/>
        <v>2.0000000000000001E-4</v>
      </c>
      <c r="AP546" s="6">
        <f t="shared" si="149"/>
        <v>2</v>
      </c>
      <c r="AQ546">
        <f t="shared" si="60"/>
        <v>12.94</v>
      </c>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c r="DK546" s="6"/>
      <c r="DL546" s="6"/>
      <c r="DM546" s="6"/>
      <c r="DN546" s="6"/>
      <c r="DO546" s="6"/>
      <c r="DP546" s="6"/>
      <c r="DQ546" s="6"/>
      <c r="DR546" s="6"/>
      <c r="DS546" s="6"/>
      <c r="DT546" s="6"/>
      <c r="DU546" s="6"/>
      <c r="DV546" s="6"/>
      <c r="DW546" s="6"/>
      <c r="DX546" s="6"/>
      <c r="DY546" s="6"/>
      <c r="DZ546" s="6"/>
      <c r="EA546" s="6"/>
      <c r="EB546" s="6"/>
      <c r="EC546" s="6"/>
      <c r="ED546" s="6"/>
      <c r="EE546" s="6"/>
      <c r="EF546" s="6"/>
      <c r="EG546" s="6"/>
      <c r="EH546" s="6"/>
      <c r="EI546" s="6"/>
      <c r="EJ546" s="6"/>
      <c r="EK546" s="6"/>
      <c r="EL546" s="6"/>
      <c r="EM546" s="6"/>
      <c r="EN546" s="6"/>
      <c r="EO546" s="6"/>
      <c r="EP546" s="6"/>
      <c r="EQ546" s="6"/>
      <c r="ER546" s="6"/>
      <c r="ES546" s="6"/>
      <c r="ET546" s="6"/>
      <c r="EU546" s="6"/>
      <c r="EV546" s="6"/>
      <c r="EW546" s="6"/>
      <c r="EX546" s="6"/>
      <c r="EY546" s="6"/>
      <c r="EZ546" s="6"/>
      <c r="FA546" s="6"/>
      <c r="FB546" s="6"/>
      <c r="FC546" s="6"/>
      <c r="FD546" s="6"/>
      <c r="FE546" s="6"/>
      <c r="FF546" s="6"/>
      <c r="FG546" s="6"/>
      <c r="FH546" s="6"/>
      <c r="FI546" s="6"/>
      <c r="FJ546" s="6"/>
      <c r="FK546" s="6"/>
      <c r="FL546" s="6"/>
      <c r="FM546" s="6"/>
      <c r="FN546" s="6"/>
      <c r="FO546" s="6"/>
      <c r="FP546" s="6"/>
      <c r="FQ546" s="6"/>
      <c r="FR546" s="6"/>
      <c r="FS546" s="6"/>
      <c r="FT546" s="6"/>
      <c r="FU546" s="6"/>
      <c r="FV546" s="6"/>
      <c r="FW546" s="6"/>
      <c r="FX546" s="6"/>
      <c r="FY546" s="6"/>
      <c r="FZ546" s="6"/>
      <c r="GA546" s="6"/>
      <c r="GB546" s="6"/>
      <c r="GC546" s="6"/>
      <c r="GD546" s="6"/>
      <c r="GE546" s="6"/>
      <c r="GF546" s="6"/>
      <c r="GG546" s="6"/>
      <c r="GH546" s="6"/>
      <c r="GI546" s="6"/>
      <c r="GJ546" s="6"/>
      <c r="GK546" s="6"/>
      <c r="GL546" s="6"/>
      <c r="GM546" s="6"/>
      <c r="GN546" s="6"/>
      <c r="GO546" s="6"/>
      <c r="GP546" s="6"/>
      <c r="GQ546" s="6"/>
      <c r="GR546" s="6"/>
      <c r="GS546" s="6"/>
      <c r="GT546" s="6"/>
      <c r="GU546" s="6"/>
      <c r="GV546" s="6"/>
      <c r="GW546" s="6"/>
      <c r="GX546" s="6"/>
      <c r="GY546" s="6"/>
      <c r="GZ546" s="6"/>
      <c r="HA546" s="6"/>
      <c r="HB546" s="6"/>
      <c r="HC546" s="6"/>
      <c r="HD546" s="6"/>
      <c r="HE546" s="6"/>
      <c r="HF546" s="6"/>
      <c r="HG546" s="6"/>
      <c r="HH546" s="6"/>
      <c r="HI546" s="6"/>
      <c r="HJ546" s="6"/>
      <c r="HK546" s="6"/>
      <c r="HL546" s="6"/>
    </row>
    <row r="547" spans="1:220" x14ac:dyDescent="0.25">
      <c r="A547" s="126" t="str">
        <f t="shared" si="33"/>
        <v/>
      </c>
      <c r="B547" s="571" t="str">
        <f t="shared" si="73"/>
        <v/>
      </c>
      <c r="C547" s="101" t="str">
        <f t="shared" si="34"/>
        <v>2018032610000099</v>
      </c>
      <c r="D547" s="111"/>
      <c r="E547" s="111" t="str">
        <f t="shared" si="137"/>
        <v>6001</v>
      </c>
      <c r="F547" s="111" t="str">
        <f t="shared" si="138"/>
        <v>B00101</v>
      </c>
      <c r="G547" s="111" t="str">
        <f t="shared" si="139"/>
        <v>6001</v>
      </c>
      <c r="H547" s="111">
        <v>10000099</v>
      </c>
      <c r="I547" s="104">
        <f t="shared" si="38"/>
        <v>20180326</v>
      </c>
      <c r="J547" s="113">
        <f t="shared" si="39"/>
        <v>20180326</v>
      </c>
      <c r="K547" s="111" t="str">
        <f t="shared" si="40"/>
        <v>CZCE</v>
      </c>
      <c r="L547" s="111" t="str">
        <f t="shared" si="153"/>
        <v>SR807P6500</v>
      </c>
      <c r="M547" s="92">
        <f t="shared" si="41"/>
        <v>10</v>
      </c>
      <c r="N547" s="111">
        <v>0</v>
      </c>
      <c r="O547" s="111">
        <v>1</v>
      </c>
      <c r="P547" s="111">
        <v>3</v>
      </c>
      <c r="Q547" s="111">
        <v>5</v>
      </c>
      <c r="R547" s="92">
        <f t="shared" si="140"/>
        <v>619</v>
      </c>
      <c r="S547" s="111">
        <v>619</v>
      </c>
      <c r="T547" s="92">
        <f t="shared" si="141"/>
        <v>620</v>
      </c>
      <c r="U547" s="12">
        <f t="shared" si="142"/>
        <v>5.0000000000000001E-4</v>
      </c>
      <c r="V547" s="111">
        <f t="shared" si="143"/>
        <v>5</v>
      </c>
      <c r="W547" s="111">
        <f t="shared" si="144"/>
        <v>5.0000000000000001E-4</v>
      </c>
      <c r="X547" s="111">
        <f t="shared" si="145"/>
        <v>5</v>
      </c>
      <c r="Y547" s="12">
        <f t="shared" si="72"/>
        <v>40.475000000000001</v>
      </c>
      <c r="Z547" s="12">
        <f t="shared" si="47"/>
        <v>40.475000000000001</v>
      </c>
      <c r="AA547" s="110">
        <f t="shared" si="151"/>
        <v>40.479999999999997</v>
      </c>
      <c r="AB547" s="110">
        <f t="shared" si="49"/>
        <v>40.475000000000001</v>
      </c>
      <c r="AC547" s="12"/>
      <c r="AD547" s="12"/>
      <c r="AE547" s="92">
        <f t="shared" si="52"/>
        <v>30950</v>
      </c>
      <c r="AF547" s="101" t="str">
        <f t="shared" si="103"/>
        <v>SR807P650030</v>
      </c>
      <c r="AG547" s="111" t="s">
        <v>368</v>
      </c>
      <c r="AH547" s="111" t="str">
        <f t="shared" si="146"/>
        <v>9999</v>
      </c>
      <c r="AI547" s="111" t="str">
        <f t="shared" si="147"/>
        <v>50010001</v>
      </c>
      <c r="AJ547" s="92">
        <f t="shared" si="54"/>
        <v>30950</v>
      </c>
      <c r="AK547" s="92">
        <f t="shared" si="55"/>
        <v>0</v>
      </c>
      <c r="AL547" s="92">
        <f t="shared" si="56"/>
        <v>0</v>
      </c>
      <c r="AM547" s="92">
        <f t="shared" si="57"/>
        <v>1</v>
      </c>
      <c r="AN547" s="111" t="str">
        <f t="shared" si="152"/>
        <v>CNY</v>
      </c>
      <c r="AO547" s="6">
        <f t="shared" si="148"/>
        <v>2.0000000000000001E-4</v>
      </c>
      <c r="AP547" s="6">
        <f t="shared" si="149"/>
        <v>2</v>
      </c>
      <c r="AQ547">
        <f t="shared" si="60"/>
        <v>16.190000000000001</v>
      </c>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c r="DK547" s="6"/>
      <c r="DL547" s="6"/>
      <c r="DM547" s="6"/>
      <c r="DN547" s="6"/>
      <c r="DO547" s="6"/>
      <c r="DP547" s="6"/>
      <c r="DQ547" s="6"/>
      <c r="DR547" s="6"/>
      <c r="DS547" s="6"/>
      <c r="DT547" s="6"/>
      <c r="DU547" s="6"/>
      <c r="DV547" s="6"/>
      <c r="DW547" s="6"/>
      <c r="DX547" s="6"/>
      <c r="DY547" s="6"/>
      <c r="DZ547" s="6"/>
      <c r="EA547" s="6"/>
      <c r="EB547" s="6"/>
      <c r="EC547" s="6"/>
      <c r="ED547" s="6"/>
      <c r="EE547" s="6"/>
      <c r="EF547" s="6"/>
      <c r="EG547" s="6"/>
      <c r="EH547" s="6"/>
      <c r="EI547" s="6"/>
      <c r="EJ547" s="6"/>
      <c r="EK547" s="6"/>
      <c r="EL547" s="6"/>
      <c r="EM547" s="6"/>
      <c r="EN547" s="6"/>
      <c r="EO547" s="6"/>
      <c r="EP547" s="6"/>
      <c r="EQ547" s="6"/>
      <c r="ER547" s="6"/>
      <c r="ES547" s="6"/>
      <c r="ET547" s="6"/>
      <c r="EU547" s="6"/>
      <c r="EV547" s="6"/>
      <c r="EW547" s="6"/>
      <c r="EX547" s="6"/>
      <c r="EY547" s="6"/>
      <c r="EZ547" s="6"/>
      <c r="FA547" s="6"/>
      <c r="FB547" s="6"/>
      <c r="FC547" s="6"/>
      <c r="FD547" s="6"/>
      <c r="FE547" s="6"/>
      <c r="FF547" s="6"/>
      <c r="FG547" s="6"/>
      <c r="FH547" s="6"/>
      <c r="FI547" s="6"/>
      <c r="FJ547" s="6"/>
      <c r="FK547" s="6"/>
      <c r="FL547" s="6"/>
      <c r="FM547" s="6"/>
      <c r="FN547" s="6"/>
      <c r="FO547" s="6"/>
      <c r="FP547" s="6"/>
      <c r="FQ547" s="6"/>
      <c r="FR547" s="6"/>
      <c r="FS547" s="6"/>
      <c r="FT547" s="6"/>
      <c r="FU547" s="6"/>
      <c r="FV547" s="6"/>
      <c r="FW547" s="6"/>
      <c r="FX547" s="6"/>
      <c r="FY547" s="6"/>
      <c r="FZ547" s="6"/>
      <c r="GA547" s="6"/>
      <c r="GB547" s="6"/>
      <c r="GC547" s="6"/>
      <c r="GD547" s="6"/>
      <c r="GE547" s="6"/>
      <c r="GF547" s="6"/>
      <c r="GG547" s="6"/>
      <c r="GH547" s="6"/>
      <c r="GI547" s="6"/>
      <c r="GJ547" s="6"/>
      <c r="GK547" s="6"/>
      <c r="GL547" s="6"/>
      <c r="GM547" s="6"/>
      <c r="GN547" s="6"/>
      <c r="GO547" s="6"/>
      <c r="GP547" s="6"/>
      <c r="GQ547" s="6"/>
      <c r="GR547" s="6"/>
      <c r="GS547" s="6"/>
      <c r="GT547" s="6"/>
      <c r="GU547" s="6"/>
      <c r="GV547" s="6"/>
      <c r="GW547" s="6"/>
      <c r="GX547" s="6"/>
      <c r="GY547" s="6"/>
      <c r="GZ547" s="6"/>
      <c r="HA547" s="6"/>
      <c r="HB547" s="6"/>
      <c r="HC547" s="6"/>
      <c r="HD547" s="6"/>
      <c r="HE547" s="6"/>
      <c r="HF547" s="6"/>
      <c r="HG547" s="6"/>
      <c r="HH547" s="6"/>
      <c r="HI547" s="6"/>
      <c r="HJ547" s="6"/>
      <c r="HK547" s="6"/>
      <c r="HL547" s="6"/>
    </row>
    <row r="548" spans="1:220" x14ac:dyDescent="0.25">
      <c r="A548" s="126" t="str">
        <f t="shared" si="33"/>
        <v/>
      </c>
      <c r="B548" s="571" t="str">
        <f t="shared" si="73"/>
        <v/>
      </c>
      <c r="C548" s="101" t="str">
        <f t="shared" si="34"/>
        <v>2018032610000100</v>
      </c>
      <c r="D548" s="111"/>
      <c r="E548" s="111" t="str">
        <f t="shared" si="137"/>
        <v>6001</v>
      </c>
      <c r="F548" s="111" t="str">
        <f t="shared" si="138"/>
        <v>B00101</v>
      </c>
      <c r="G548" s="111" t="str">
        <f t="shared" si="139"/>
        <v>6001</v>
      </c>
      <c r="H548" s="111">
        <v>10000100</v>
      </c>
      <c r="I548" s="104">
        <f t="shared" si="38"/>
        <v>20180326</v>
      </c>
      <c r="J548" s="113">
        <f t="shared" si="39"/>
        <v>20180326</v>
      </c>
      <c r="K548" s="111" t="str">
        <f t="shared" si="40"/>
        <v>CZCE</v>
      </c>
      <c r="L548" s="111" t="str">
        <f>$C$32</f>
        <v>SR807P6400</v>
      </c>
      <c r="M548" s="92">
        <f t="shared" si="41"/>
        <v>10</v>
      </c>
      <c r="N548" s="111">
        <v>0</v>
      </c>
      <c r="O548" s="111">
        <v>0</v>
      </c>
      <c r="P548" s="111">
        <v>1</v>
      </c>
      <c r="Q548" s="111">
        <v>1</v>
      </c>
      <c r="R548" s="92">
        <f t="shared" si="140"/>
        <v>620</v>
      </c>
      <c r="S548" s="111">
        <v>620</v>
      </c>
      <c r="T548" s="92">
        <f t="shared" si="141"/>
        <v>625</v>
      </c>
      <c r="U548" s="12">
        <f t="shared" si="142"/>
        <v>5.0000000000000001E-4</v>
      </c>
      <c r="V548" s="111">
        <f t="shared" si="143"/>
        <v>5</v>
      </c>
      <c r="W548" s="111">
        <f t="shared" si="144"/>
        <v>4.0000000000000002E-4</v>
      </c>
      <c r="X548" s="111">
        <f t="shared" si="145"/>
        <v>4</v>
      </c>
      <c r="Y548" s="12">
        <f t="shared" si="72"/>
        <v>8.1</v>
      </c>
      <c r="Z548" s="12">
        <f t="shared" si="47"/>
        <v>6.48</v>
      </c>
      <c r="AA548" s="110">
        <f t="shared" si="151"/>
        <v>8.1</v>
      </c>
      <c r="AB548" s="110">
        <f t="shared" si="49"/>
        <v>6.48</v>
      </c>
      <c r="AC548" s="12"/>
      <c r="AD548" s="12"/>
      <c r="AE548" s="92">
        <f t="shared" si="52"/>
        <v>6200</v>
      </c>
      <c r="AF548" s="101" t="str">
        <f t="shared" si="103"/>
        <v>SR807P640010</v>
      </c>
      <c r="AG548" s="111" t="s">
        <v>368</v>
      </c>
      <c r="AH548" s="111" t="str">
        <f t="shared" si="146"/>
        <v>9999</v>
      </c>
      <c r="AI548" s="111" t="str">
        <f t="shared" si="147"/>
        <v>50010001</v>
      </c>
      <c r="AJ548" s="92">
        <f t="shared" si="54"/>
        <v>0</v>
      </c>
      <c r="AK548" s="92">
        <f t="shared" si="55"/>
        <v>6200</v>
      </c>
      <c r="AL548" s="92">
        <f t="shared" si="56"/>
        <v>0</v>
      </c>
      <c r="AM548" s="92">
        <f t="shared" si="57"/>
        <v>1</v>
      </c>
      <c r="AN548" s="111" t="str">
        <f t="shared" si="152"/>
        <v>CNY</v>
      </c>
      <c r="AO548" s="6">
        <f t="shared" si="148"/>
        <v>2.0000000000000001E-4</v>
      </c>
      <c r="AP548" s="6">
        <f t="shared" si="149"/>
        <v>2</v>
      </c>
      <c r="AQ548">
        <f t="shared" si="60"/>
        <v>3.24</v>
      </c>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c r="DJ548" s="6"/>
      <c r="DK548" s="6"/>
      <c r="DL548" s="6"/>
      <c r="DM548" s="6"/>
      <c r="DN548" s="6"/>
      <c r="DO548" s="6"/>
      <c r="DP548" s="6"/>
      <c r="DQ548" s="6"/>
      <c r="DR548" s="6"/>
      <c r="DS548" s="6"/>
      <c r="DT548" s="6"/>
      <c r="DU548" s="6"/>
      <c r="DV548" s="6"/>
      <c r="DW548" s="6"/>
      <c r="DX548" s="6"/>
      <c r="DY548" s="6"/>
      <c r="DZ548" s="6"/>
      <c r="EA548" s="6"/>
      <c r="EB548" s="6"/>
      <c r="EC548" s="6"/>
      <c r="ED548" s="6"/>
      <c r="EE548" s="6"/>
      <c r="EF548" s="6"/>
      <c r="EG548" s="6"/>
      <c r="EH548" s="6"/>
      <c r="EI548" s="6"/>
      <c r="EJ548" s="6"/>
      <c r="EK548" s="6"/>
      <c r="EL548" s="6"/>
      <c r="EM548" s="6"/>
      <c r="EN548" s="6"/>
      <c r="EO548" s="6"/>
      <c r="EP548" s="6"/>
      <c r="EQ548" s="6"/>
      <c r="ER548" s="6"/>
      <c r="ES548" s="6"/>
      <c r="ET548" s="6"/>
      <c r="EU548" s="6"/>
      <c r="EV548" s="6"/>
      <c r="EW548" s="6"/>
      <c r="EX548" s="6"/>
      <c r="EY548" s="6"/>
      <c r="EZ548" s="6"/>
      <c r="FA548" s="6"/>
      <c r="FB548" s="6"/>
      <c r="FC548" s="6"/>
      <c r="FD548" s="6"/>
      <c r="FE548" s="6"/>
      <c r="FF548" s="6"/>
      <c r="FG548" s="6"/>
      <c r="FH548" s="6"/>
      <c r="FI548" s="6"/>
      <c r="FJ548" s="6"/>
      <c r="FK548" s="6"/>
      <c r="FL548" s="6"/>
      <c r="FM548" s="6"/>
      <c r="FN548" s="6"/>
      <c r="FO548" s="6"/>
      <c r="FP548" s="6"/>
      <c r="FQ548" s="6"/>
      <c r="FR548" s="6"/>
      <c r="FS548" s="6"/>
      <c r="FT548" s="6"/>
      <c r="FU548" s="6"/>
      <c r="FV548" s="6"/>
      <c r="FW548" s="6"/>
      <c r="FX548" s="6"/>
      <c r="FY548" s="6"/>
      <c r="FZ548" s="6"/>
      <c r="GA548" s="6"/>
      <c r="GB548" s="6"/>
      <c r="GC548" s="6"/>
      <c r="GD548" s="6"/>
      <c r="GE548" s="6"/>
      <c r="GF548" s="6"/>
      <c r="GG548" s="6"/>
      <c r="GH548" s="6"/>
      <c r="GI548" s="6"/>
      <c r="GJ548" s="6"/>
      <c r="GK548" s="6"/>
      <c r="GL548" s="6"/>
      <c r="GM548" s="6"/>
      <c r="GN548" s="6"/>
      <c r="GO548" s="6"/>
      <c r="GP548" s="6"/>
      <c r="GQ548" s="6"/>
      <c r="GR548" s="6"/>
      <c r="GS548" s="6"/>
      <c r="GT548" s="6"/>
      <c r="GU548" s="6"/>
      <c r="GV548" s="6"/>
      <c r="GW548" s="6"/>
      <c r="GX548" s="6"/>
      <c r="GY548" s="6"/>
      <c r="GZ548" s="6"/>
      <c r="HA548" s="6"/>
      <c r="HB548" s="6"/>
      <c r="HC548" s="6"/>
      <c r="HD548" s="6"/>
      <c r="HE548" s="6"/>
      <c r="HF548" s="6"/>
      <c r="HG548" s="6"/>
      <c r="HH548" s="6"/>
      <c r="HI548" s="6"/>
      <c r="HJ548" s="6"/>
      <c r="HK548" s="6"/>
      <c r="HL548" s="6"/>
    </row>
    <row r="549" spans="1:220" x14ac:dyDescent="0.25">
      <c r="A549" s="126" t="str">
        <f t="shared" si="33"/>
        <v/>
      </c>
      <c r="B549" s="571" t="str">
        <f t="shared" si="73"/>
        <v/>
      </c>
      <c r="C549" s="101" t="str">
        <f t="shared" si="34"/>
        <v>2018032610000101</v>
      </c>
      <c r="D549" s="111"/>
      <c r="E549" s="111" t="str">
        <f t="shared" si="137"/>
        <v>6001</v>
      </c>
      <c r="F549" s="111" t="str">
        <f t="shared" ref="F549" si="154">VLOOKUP(E549,$B$8:$C$8,2)</f>
        <v>B00101</v>
      </c>
      <c r="G549" s="111" t="str">
        <f t="shared" ref="G549" si="155">VLOOKUP(F549,$C$8:$D$9,2)</f>
        <v>6001</v>
      </c>
      <c r="H549" s="111">
        <v>10000101</v>
      </c>
      <c r="I549" s="104">
        <f t="shared" si="38"/>
        <v>20180326</v>
      </c>
      <c r="J549" s="113">
        <f t="shared" si="39"/>
        <v>20180326</v>
      </c>
      <c r="K549" s="111" t="str">
        <f t="shared" si="40"/>
        <v>CZCE</v>
      </c>
      <c r="L549" s="111" t="str">
        <f>$C$32</f>
        <v>SR807P6400</v>
      </c>
      <c r="M549" s="92">
        <f t="shared" si="41"/>
        <v>10</v>
      </c>
      <c r="N549" s="111">
        <v>0</v>
      </c>
      <c r="O549" s="111">
        <v>0</v>
      </c>
      <c r="P549" s="111">
        <v>1</v>
      </c>
      <c r="Q549" s="111">
        <v>1</v>
      </c>
      <c r="R549" s="92">
        <f t="shared" si="140"/>
        <v>621</v>
      </c>
      <c r="S549" s="111">
        <v>621</v>
      </c>
      <c r="T549" s="92">
        <f t="shared" si="141"/>
        <v>625</v>
      </c>
      <c r="U549" s="12">
        <f t="shared" si="142"/>
        <v>5.0000000000000001E-4</v>
      </c>
      <c r="V549" s="111">
        <f t="shared" si="143"/>
        <v>5</v>
      </c>
      <c r="W549" s="111">
        <f t="shared" si="144"/>
        <v>4.0000000000000002E-4</v>
      </c>
      <c r="X549" s="111">
        <f t="shared" si="145"/>
        <v>4</v>
      </c>
      <c r="Y549" s="12">
        <f t="shared" si="72"/>
        <v>8.1050000000000004</v>
      </c>
      <c r="Z549" s="12">
        <f t="shared" si="47"/>
        <v>6.484</v>
      </c>
      <c r="AA549" s="110">
        <f t="shared" si="151"/>
        <v>8.11</v>
      </c>
      <c r="AB549" s="110">
        <f t="shared" si="49"/>
        <v>6.484</v>
      </c>
      <c r="AC549" s="12"/>
      <c r="AD549" s="12"/>
      <c r="AE549" s="92">
        <f t="shared" si="52"/>
        <v>6210</v>
      </c>
      <c r="AF549" s="101" t="str">
        <f t="shared" ref="AF549" si="156">L549&amp;INT(P549)&amp;INT(N549)</f>
        <v>SR807P640010</v>
      </c>
      <c r="AG549" s="111" t="s">
        <v>311</v>
      </c>
      <c r="AH549" s="111" t="str">
        <f t="shared" si="146"/>
        <v>9999</v>
      </c>
      <c r="AI549" s="111" t="str">
        <f t="shared" ref="AI549" si="157">VLOOKUP(F549,$C$8:$G$9,5,FALSE)</f>
        <v>50010001</v>
      </c>
      <c r="AJ549" s="92">
        <f t="shared" si="54"/>
        <v>0</v>
      </c>
      <c r="AK549" s="92">
        <f t="shared" si="55"/>
        <v>6210</v>
      </c>
      <c r="AL549" s="92">
        <f t="shared" si="56"/>
        <v>0</v>
      </c>
      <c r="AM549" s="92">
        <f t="shared" si="57"/>
        <v>1</v>
      </c>
      <c r="AN549" s="111" t="str">
        <f t="shared" si="152"/>
        <v>CNY</v>
      </c>
      <c r="AO549" s="6">
        <f t="shared" si="148"/>
        <v>2.0000000000000001E-4</v>
      </c>
      <c r="AP549" s="6">
        <f t="shared" si="149"/>
        <v>2</v>
      </c>
      <c r="AQ549">
        <f t="shared" si="60"/>
        <v>3.24</v>
      </c>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6"/>
      <c r="DJ549" s="6"/>
      <c r="DK549" s="6"/>
      <c r="DL549" s="6"/>
      <c r="DM549" s="6"/>
      <c r="DN549" s="6"/>
      <c r="DO549" s="6"/>
      <c r="DP549" s="6"/>
      <c r="DQ549" s="6"/>
      <c r="DR549" s="6"/>
      <c r="DS549" s="6"/>
      <c r="DT549" s="6"/>
      <c r="DU549" s="6"/>
      <c r="DV549" s="6"/>
      <c r="DW549" s="6"/>
      <c r="DX549" s="6"/>
      <c r="DY549" s="6"/>
      <c r="DZ549" s="6"/>
      <c r="EA549" s="6"/>
      <c r="EB549" s="6"/>
      <c r="EC549" s="6"/>
      <c r="ED549" s="6"/>
      <c r="EE549" s="6"/>
      <c r="EF549" s="6"/>
      <c r="EG549" s="6"/>
      <c r="EH549" s="6"/>
      <c r="EI549" s="6"/>
      <c r="EJ549" s="6"/>
      <c r="EK549" s="6"/>
      <c r="EL549" s="6"/>
      <c r="EM549" s="6"/>
      <c r="EN549" s="6"/>
      <c r="EO549" s="6"/>
      <c r="EP549" s="6"/>
      <c r="EQ549" s="6"/>
      <c r="ER549" s="6"/>
      <c r="ES549" s="6"/>
      <c r="ET549" s="6"/>
      <c r="EU549" s="6"/>
      <c r="EV549" s="6"/>
      <c r="EW549" s="6"/>
      <c r="EX549" s="6"/>
      <c r="EY549" s="6"/>
      <c r="EZ549" s="6"/>
      <c r="FA549" s="6"/>
      <c r="FB549" s="6"/>
      <c r="FC549" s="6"/>
      <c r="FD549" s="6"/>
      <c r="FE549" s="6"/>
      <c r="FF549" s="6"/>
      <c r="FG549" s="6"/>
      <c r="FH549" s="6"/>
      <c r="FI549" s="6"/>
      <c r="FJ549" s="6"/>
      <c r="FK549" s="6"/>
      <c r="FL549" s="6"/>
      <c r="FM549" s="6"/>
      <c r="FN549" s="6"/>
      <c r="FO549" s="6"/>
      <c r="FP549" s="6"/>
      <c r="FQ549" s="6"/>
      <c r="FR549" s="6"/>
      <c r="FS549" s="6"/>
      <c r="FT549" s="6"/>
      <c r="FU549" s="6"/>
      <c r="FV549" s="6"/>
      <c r="FW549" s="6"/>
      <c r="FX549" s="6"/>
      <c r="FY549" s="6"/>
      <c r="FZ549" s="6"/>
      <c r="GA549" s="6"/>
      <c r="GB549" s="6"/>
      <c r="GC549" s="6"/>
      <c r="GD549" s="6"/>
      <c r="GE549" s="6"/>
      <c r="GF549" s="6"/>
      <c r="GG549" s="6"/>
      <c r="GH549" s="6"/>
      <c r="GI549" s="6"/>
      <c r="GJ549" s="6"/>
      <c r="GK549" s="6"/>
      <c r="GL549" s="6"/>
      <c r="GM549" s="6"/>
      <c r="GN549" s="6"/>
      <c r="GO549" s="6"/>
      <c r="GP549" s="6"/>
      <c r="GQ549" s="6"/>
      <c r="GR549" s="6"/>
      <c r="GS549" s="6"/>
      <c r="GT549" s="6"/>
      <c r="GU549" s="6"/>
      <c r="GV549" s="6"/>
      <c r="GW549" s="6"/>
      <c r="GX549" s="6"/>
      <c r="GY549" s="6"/>
      <c r="GZ549" s="6"/>
      <c r="HA549" s="6"/>
      <c r="HB549" s="6"/>
      <c r="HC549" s="6"/>
      <c r="HD549" s="6"/>
      <c r="HE549" s="6"/>
      <c r="HF549" s="6"/>
      <c r="HG549" s="6"/>
      <c r="HH549" s="6"/>
      <c r="HI549" s="6"/>
      <c r="HJ549" s="6"/>
      <c r="HK549" s="6"/>
      <c r="HL549" s="6"/>
    </row>
    <row r="550" spans="1:220" ht="10.95" customHeight="1" x14ac:dyDescent="0.25">
      <c r="A550" s="126" t="str">
        <f t="shared" si="33"/>
        <v/>
      </c>
      <c r="B550" s="571" t="str">
        <f t="shared" si="73"/>
        <v/>
      </c>
      <c r="C550" s="101" t="str">
        <f t="shared" si="34"/>
        <v>2018032610000102</v>
      </c>
      <c r="D550" s="111"/>
      <c r="E550" s="111" t="str">
        <f t="shared" si="137"/>
        <v>6001</v>
      </c>
      <c r="F550" s="111" t="str">
        <f>VLOOKUP(E550,$B$8:$C$8,2)</f>
        <v>B00101</v>
      </c>
      <c r="G550" s="111" t="str">
        <f t="shared" si="139"/>
        <v>6001</v>
      </c>
      <c r="H550" s="111">
        <v>10000102</v>
      </c>
      <c r="I550" s="104">
        <f t="shared" si="38"/>
        <v>20180326</v>
      </c>
      <c r="J550" s="113">
        <f t="shared" si="39"/>
        <v>20180326</v>
      </c>
      <c r="K550" s="111" t="str">
        <f t="shared" si="40"/>
        <v>CZCE</v>
      </c>
      <c r="L550" s="111" t="str">
        <f>$C$32</f>
        <v>SR807P6400</v>
      </c>
      <c r="M550" s="92">
        <f t="shared" si="41"/>
        <v>10</v>
      </c>
      <c r="N550" s="111">
        <v>0</v>
      </c>
      <c r="O550" s="111">
        <v>1</v>
      </c>
      <c r="P550" s="111">
        <v>1</v>
      </c>
      <c r="Q550" s="111">
        <v>1</v>
      </c>
      <c r="R550" s="92">
        <f t="shared" si="140"/>
        <v>622</v>
      </c>
      <c r="S550" s="111">
        <v>622</v>
      </c>
      <c r="T550" s="92">
        <f t="shared" si="141"/>
        <v>625</v>
      </c>
      <c r="U550" s="12">
        <f t="shared" si="142"/>
        <v>5.0000000000000001E-4</v>
      </c>
      <c r="V550" s="111">
        <f t="shared" si="143"/>
        <v>5</v>
      </c>
      <c r="W550" s="111">
        <f t="shared" si="144"/>
        <v>4.0000000000000002E-4</v>
      </c>
      <c r="X550" s="111">
        <f t="shared" si="145"/>
        <v>4</v>
      </c>
      <c r="Y550" s="12">
        <f t="shared" si="72"/>
        <v>8.11</v>
      </c>
      <c r="Z550" s="12">
        <f t="shared" si="47"/>
        <v>6.4879999999999995</v>
      </c>
      <c r="AA550" s="110">
        <f t="shared" si="151"/>
        <v>8.11</v>
      </c>
      <c r="AB550" s="110">
        <f t="shared" si="49"/>
        <v>6.4880000000000004</v>
      </c>
      <c r="AC550" s="12"/>
      <c r="AD550" s="12"/>
      <c r="AE550" s="92">
        <f t="shared" si="52"/>
        <v>6220</v>
      </c>
      <c r="AF550" s="101" t="str">
        <f t="shared" si="103"/>
        <v>SR807P640010</v>
      </c>
      <c r="AG550" s="111" t="s">
        <v>368</v>
      </c>
      <c r="AH550" s="111" t="str">
        <f t="shared" si="146"/>
        <v>9999</v>
      </c>
      <c r="AI550" s="111" t="str">
        <f t="shared" si="147"/>
        <v>50010001</v>
      </c>
      <c r="AJ550" s="92">
        <f t="shared" si="54"/>
        <v>6220</v>
      </c>
      <c r="AK550" s="92">
        <f t="shared" si="55"/>
        <v>0</v>
      </c>
      <c r="AL550" s="92">
        <f t="shared" si="56"/>
        <v>0</v>
      </c>
      <c r="AM550" s="92">
        <f t="shared" si="57"/>
        <v>1</v>
      </c>
      <c r="AN550" s="111" t="str">
        <f t="shared" si="152"/>
        <v>CNY</v>
      </c>
      <c r="AO550" s="6">
        <f t="shared" si="148"/>
        <v>2.0000000000000001E-4</v>
      </c>
      <c r="AP550" s="6">
        <f t="shared" si="149"/>
        <v>2</v>
      </c>
      <c r="AQ550">
        <f t="shared" si="60"/>
        <v>3.24</v>
      </c>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6"/>
      <c r="DJ550" s="6"/>
      <c r="DK550" s="6"/>
      <c r="DL550" s="6"/>
      <c r="DM550" s="6"/>
      <c r="DN550" s="6"/>
      <c r="DO550" s="6"/>
      <c r="DP550" s="6"/>
      <c r="DQ550" s="6"/>
      <c r="DR550" s="6"/>
      <c r="DS550" s="6"/>
      <c r="DT550" s="6"/>
      <c r="DU550" s="6"/>
      <c r="DV550" s="6"/>
      <c r="DW550" s="6"/>
      <c r="DX550" s="6"/>
      <c r="DY550" s="6"/>
      <c r="DZ550" s="6"/>
      <c r="EA550" s="6"/>
      <c r="EB550" s="6"/>
      <c r="EC550" s="6"/>
      <c r="ED550" s="6"/>
      <c r="EE550" s="6"/>
      <c r="EF550" s="6"/>
      <c r="EG550" s="6"/>
      <c r="EH550" s="6"/>
      <c r="EI550" s="6"/>
      <c r="EJ550" s="6"/>
      <c r="EK550" s="6"/>
      <c r="EL550" s="6"/>
      <c r="EM550" s="6"/>
      <c r="EN550" s="6"/>
      <c r="EO550" s="6"/>
      <c r="EP550" s="6"/>
      <c r="EQ550" s="6"/>
      <c r="ER550" s="6"/>
      <c r="ES550" s="6"/>
      <c r="ET550" s="6"/>
      <c r="EU550" s="6"/>
      <c r="EV550" s="6"/>
      <c r="EW550" s="6"/>
      <c r="EX550" s="6"/>
      <c r="EY550" s="6"/>
      <c r="EZ550" s="6"/>
      <c r="FA550" s="6"/>
      <c r="FB550" s="6"/>
      <c r="FC550" s="6"/>
      <c r="FD550" s="6"/>
      <c r="FE550" s="6"/>
      <c r="FF550" s="6"/>
      <c r="FG550" s="6"/>
      <c r="FH550" s="6"/>
      <c r="FI550" s="6"/>
      <c r="FJ550" s="6"/>
      <c r="FK550" s="6"/>
      <c r="FL550" s="6"/>
      <c r="FM550" s="6"/>
      <c r="FN550" s="6"/>
      <c r="FO550" s="6"/>
      <c r="FP550" s="6"/>
      <c r="FQ550" s="6"/>
      <c r="FR550" s="6"/>
      <c r="FS550" s="6"/>
      <c r="FT550" s="6"/>
      <c r="FU550" s="6"/>
      <c r="FV550" s="6"/>
      <c r="FW550" s="6"/>
      <c r="FX550" s="6"/>
      <c r="FY550" s="6"/>
      <c r="FZ550" s="6"/>
      <c r="GA550" s="6"/>
      <c r="GB550" s="6"/>
      <c r="GC550" s="6"/>
      <c r="GD550" s="6"/>
      <c r="GE550" s="6"/>
      <c r="GF550" s="6"/>
      <c r="GG550" s="6"/>
      <c r="GH550" s="6"/>
      <c r="GI550" s="6"/>
      <c r="GJ550" s="6"/>
      <c r="GK550" s="6"/>
      <c r="GL550" s="6"/>
      <c r="GM550" s="6"/>
      <c r="GN550" s="6"/>
      <c r="GO550" s="6"/>
      <c r="GP550" s="6"/>
      <c r="GQ550" s="6"/>
      <c r="GR550" s="6"/>
      <c r="GS550" s="6"/>
      <c r="GT550" s="6"/>
      <c r="GU550" s="6"/>
      <c r="GV550" s="6"/>
      <c r="GW550" s="6"/>
      <c r="GX550" s="6"/>
      <c r="GY550" s="6"/>
      <c r="GZ550" s="6"/>
      <c r="HA550" s="6"/>
      <c r="HB550" s="6"/>
      <c r="HC550" s="6"/>
      <c r="HD550" s="6"/>
      <c r="HE550" s="6"/>
      <c r="HF550" s="6"/>
      <c r="HG550" s="6"/>
      <c r="HH550" s="6"/>
      <c r="HI550" s="6"/>
      <c r="HJ550" s="6"/>
      <c r="HK550" s="6"/>
      <c r="HL550" s="6"/>
    </row>
    <row r="551" spans="1:220" s="13" customFormat="1" ht="15" customHeight="1" x14ac:dyDescent="0.25">
      <c r="A551" s="470" t="str">
        <f t="shared" si="33"/>
        <v/>
      </c>
      <c r="B551" s="575"/>
      <c r="C551" s="132" t="str">
        <f t="shared" ref="C551" si="158">IF(H551=99999999,CONCATENATE(H551,I551),CONCATENATE(I551,H551))</f>
        <v>2018032610000150</v>
      </c>
      <c r="D551" s="131"/>
      <c r="E551" s="131" t="str">
        <f t="shared" si="137"/>
        <v>6001</v>
      </c>
      <c r="F551" s="131" t="str">
        <f>VLOOKUP(E551,$B$8:$C$8,2)</f>
        <v>B00101</v>
      </c>
      <c r="G551" s="131" t="str">
        <f t="shared" ref="G551" si="159">VLOOKUP(F551,$C$8:$D$9,2)</f>
        <v>6001</v>
      </c>
      <c r="H551" s="131">
        <v>10000150</v>
      </c>
      <c r="I551" s="133">
        <f t="shared" si="38"/>
        <v>20180326</v>
      </c>
      <c r="J551" s="134">
        <f t="shared" ref="J551" si="160">I551</f>
        <v>20180326</v>
      </c>
      <c r="K551" s="131" t="str">
        <f t="shared" si="40"/>
        <v>CZCE</v>
      </c>
      <c r="L551" s="470" t="str">
        <f>C33</f>
        <v>SR809C6600</v>
      </c>
      <c r="M551" s="131">
        <f t="shared" ref="M551:M561" si="161">VLOOKUP(L551,$C$22:$E$34,3,FALSE)</f>
        <v>10</v>
      </c>
      <c r="N551" s="471">
        <v>0</v>
      </c>
      <c r="O551" s="471">
        <v>1</v>
      </c>
      <c r="P551" s="471">
        <v>1</v>
      </c>
      <c r="Q551" s="471">
        <v>4</v>
      </c>
      <c r="R551" s="131">
        <f t="shared" si="140"/>
        <v>630</v>
      </c>
      <c r="S551" s="131">
        <v>630</v>
      </c>
      <c r="T551" s="131">
        <f t="shared" si="141"/>
        <v>630</v>
      </c>
      <c r="U551" s="100">
        <f t="shared" si="142"/>
        <v>5.0000000000000001E-4</v>
      </c>
      <c r="V551" s="131">
        <f t="shared" si="143"/>
        <v>5</v>
      </c>
      <c r="W551" s="131">
        <f t="shared" si="144"/>
        <v>4.0000000000000002E-4</v>
      </c>
      <c r="X551" s="131">
        <f t="shared" si="145"/>
        <v>4</v>
      </c>
      <c r="Y551" s="100">
        <f t="shared" si="72"/>
        <v>32.6</v>
      </c>
      <c r="Z551" s="100">
        <f t="shared" si="47"/>
        <v>26.08</v>
      </c>
      <c r="AA551" s="314">
        <f t="shared" si="151"/>
        <v>32.6</v>
      </c>
      <c r="AB551" s="314">
        <f t="shared" si="49"/>
        <v>26.08</v>
      </c>
      <c r="AC551" s="100"/>
      <c r="AD551" s="100"/>
      <c r="AE551" s="131">
        <f t="shared" si="52"/>
        <v>25200</v>
      </c>
      <c r="AF551" s="132" t="str">
        <f t="shared" si="103"/>
        <v>SR809C660010</v>
      </c>
      <c r="AG551" s="131" t="s">
        <v>311</v>
      </c>
      <c r="AH551" s="131" t="str">
        <f t="shared" si="146"/>
        <v>9999</v>
      </c>
      <c r="AI551" s="131" t="str">
        <f t="shared" ref="AI551" si="162">VLOOKUP(F551,$C$8:$G$9,5,FALSE)</f>
        <v>50010001</v>
      </c>
      <c r="AJ551" s="92">
        <f t="shared" si="54"/>
        <v>25200</v>
      </c>
      <c r="AK551" s="92">
        <f t="shared" si="55"/>
        <v>0</v>
      </c>
      <c r="AL551" s="131">
        <f t="shared" ref="AL551:AL561" si="163" xml:space="preserve"> VLOOKUP(L551,$C$22:$K$34,9,FALSE)</f>
        <v>0</v>
      </c>
      <c r="AM551" s="92">
        <f>VLOOKUP(L551,$C$22:$L$34,10,FALSE)</f>
        <v>1</v>
      </c>
      <c r="AN551" s="131" t="str">
        <f t="shared" si="152"/>
        <v>CNY</v>
      </c>
      <c r="AO551" s="13">
        <f t="shared" si="148"/>
        <v>2.0000000000000001E-4</v>
      </c>
      <c r="AP551" s="6">
        <f t="shared" si="149"/>
        <v>2</v>
      </c>
      <c r="AQ551" s="13">
        <f t="shared" si="60"/>
        <v>13.04</v>
      </c>
    </row>
    <row r="552" spans="1:220" s="6" customFormat="1" ht="15" customHeight="1" x14ac:dyDescent="0.25">
      <c r="A552" s="167" t="str">
        <f t="shared" si="33"/>
        <v/>
      </c>
      <c r="B552" s="571" t="str">
        <f t="shared" si="73"/>
        <v/>
      </c>
      <c r="C552" s="101" t="str">
        <f t="shared" si="34"/>
        <v>2018032610000103</v>
      </c>
      <c r="D552" s="167"/>
      <c r="E552" s="111" t="str">
        <f t="shared" si="137"/>
        <v>6001</v>
      </c>
      <c r="F552" s="111" t="str">
        <f>VLOOKUP(E552,$B$9:$C$9,2)</f>
        <v>B00102</v>
      </c>
      <c r="G552" s="111" t="str">
        <f t="shared" si="139"/>
        <v>6001</v>
      </c>
      <c r="H552" s="111">
        <v>10000103</v>
      </c>
      <c r="I552" s="104">
        <f t="shared" si="38"/>
        <v>20180326</v>
      </c>
      <c r="J552" s="113">
        <f t="shared" ref="J552:J561" si="164">I552</f>
        <v>20180326</v>
      </c>
      <c r="K552" s="111" t="str">
        <f t="shared" si="40"/>
        <v>CZCE</v>
      </c>
      <c r="L552" s="167" t="str">
        <f>$C$27</f>
        <v>PTA807C6500</v>
      </c>
      <c r="M552" s="92">
        <f t="shared" si="161"/>
        <v>5</v>
      </c>
      <c r="N552" s="260">
        <v>0</v>
      </c>
      <c r="O552" s="260">
        <v>0</v>
      </c>
      <c r="P552" s="260">
        <v>1</v>
      </c>
      <c r="Q552" s="260">
        <v>10</v>
      </c>
      <c r="R552" s="111">
        <f t="shared" si="140"/>
        <v>623</v>
      </c>
      <c r="S552" s="111">
        <v>623</v>
      </c>
      <c r="T552" s="111">
        <f t="shared" si="141"/>
        <v>600</v>
      </c>
      <c r="U552" s="12">
        <f t="shared" si="142"/>
        <v>5.0000000000000001E-4</v>
      </c>
      <c r="V552" s="111">
        <f t="shared" si="143"/>
        <v>5</v>
      </c>
      <c r="W552" s="111">
        <f t="shared" si="144"/>
        <v>4.0000000000000002E-4</v>
      </c>
      <c r="X552" s="111">
        <f t="shared" si="145"/>
        <v>4</v>
      </c>
      <c r="Y552" s="12">
        <f t="shared" ref="Y552:Y561" si="165">M552*Q552*S552*U552+Q552*V552</f>
        <v>65.575000000000003</v>
      </c>
      <c r="Z552" s="12">
        <f t="shared" ref="Z552:Z561" si="166">M552*Q552*S552*W552+Q552*X552</f>
        <v>52.46</v>
      </c>
      <c r="AA552" s="248">
        <f t="shared" si="151"/>
        <v>65.58</v>
      </c>
      <c r="AB552" s="248">
        <f t="shared" ref="AB552:AB561" si="167">ROUND(Z552,3)</f>
        <v>52.46</v>
      </c>
      <c r="AC552" s="12"/>
      <c r="AD552" s="12"/>
      <c r="AE552" s="271">
        <f t="shared" si="52"/>
        <v>31150</v>
      </c>
      <c r="AF552" s="101" t="str">
        <f t="shared" ref="AF552:AF561" si="168">L552&amp;INT(P552)&amp;INT(N552)</f>
        <v>PTA807C650010</v>
      </c>
      <c r="AG552" s="111" t="s">
        <v>311</v>
      </c>
      <c r="AH552" s="111" t="str">
        <f t="shared" si="146"/>
        <v>9999</v>
      </c>
      <c r="AI552" s="111" t="str">
        <f t="shared" ref="AI552:AI561" si="169">VLOOKUP(F552,$C$8:$G$9,5,FALSE)</f>
        <v>50010002</v>
      </c>
      <c r="AJ552" s="111">
        <f t="shared" ref="AJ552:AJ561" si="170">IF(AM552=0,0,IF(O552=1,M552*Q552*S552,0))</f>
        <v>0</v>
      </c>
      <c r="AK552" s="111">
        <f t="shared" ref="AK552:AK561" si="171">IF(AM552=0,0,IF(O552=0,M552*Q552*S552,0))</f>
        <v>31150</v>
      </c>
      <c r="AL552" s="92">
        <f t="shared" si="163"/>
        <v>0</v>
      </c>
      <c r="AM552" s="92">
        <f t="shared" ref="AM552:AM561" si="172">VLOOKUP(L552,$C$22:$L$34,10,FALSE)</f>
        <v>1</v>
      </c>
      <c r="AN552" s="111" t="str">
        <f t="shared" si="152"/>
        <v>CNY</v>
      </c>
      <c r="AO552" s="6">
        <f t="shared" si="148"/>
        <v>2.0000000000000001E-4</v>
      </c>
      <c r="AP552" s="6">
        <f t="shared" si="149"/>
        <v>2</v>
      </c>
      <c r="AQ552" s="6">
        <f t="shared" ref="AQ552:AQ561" si="173">ROUND(M552*Q552*S552*AO552+Q552*AP552,2)</f>
        <v>26.23</v>
      </c>
    </row>
    <row r="553" spans="1:220" s="6" customFormat="1" ht="15" customHeight="1" x14ac:dyDescent="0.25">
      <c r="A553" s="167" t="str">
        <f t="shared" ref="A553:A561" si="174">IF(Q553=0,"comment","")</f>
        <v/>
      </c>
      <c r="B553" s="571" t="str">
        <f t="shared" si="73"/>
        <v/>
      </c>
      <c r="C553" s="101" t="str">
        <f t="shared" ref="C553:C561" si="175">IF(H553=99999999,CONCATENATE(H553,I553),CONCATENATE(I553,H553))</f>
        <v>2018032610000104</v>
      </c>
      <c r="D553" s="167"/>
      <c r="E553" s="111" t="str">
        <f t="shared" si="137"/>
        <v>6001</v>
      </c>
      <c r="F553" s="111" t="str">
        <f t="shared" ref="F553:F561" si="176">VLOOKUP(E553,$B$9:$C$9,2)</f>
        <v>B00102</v>
      </c>
      <c r="G553" s="111" t="str">
        <f t="shared" si="139"/>
        <v>6001</v>
      </c>
      <c r="H553" s="111">
        <v>10000104</v>
      </c>
      <c r="I553" s="104">
        <f t="shared" si="38"/>
        <v>20180326</v>
      </c>
      <c r="J553" s="113">
        <f t="shared" si="164"/>
        <v>20180326</v>
      </c>
      <c r="K553" s="111" t="str">
        <f t="shared" si="40"/>
        <v>CZCE</v>
      </c>
      <c r="L553" s="167" t="str">
        <f t="shared" ref="L553:L557" si="177">$C$27</f>
        <v>PTA807C6500</v>
      </c>
      <c r="M553" s="92">
        <f t="shared" si="161"/>
        <v>5</v>
      </c>
      <c r="N553" s="260">
        <v>0</v>
      </c>
      <c r="O553" s="260">
        <v>1</v>
      </c>
      <c r="P553" s="260">
        <v>1</v>
      </c>
      <c r="Q553" s="260">
        <v>10</v>
      </c>
      <c r="R553" s="111">
        <f t="shared" si="140"/>
        <v>624</v>
      </c>
      <c r="S553" s="111">
        <v>624</v>
      </c>
      <c r="T553" s="111">
        <f t="shared" si="141"/>
        <v>600</v>
      </c>
      <c r="U553" s="12">
        <f t="shared" si="142"/>
        <v>5.0000000000000001E-4</v>
      </c>
      <c r="V553" s="111">
        <f t="shared" si="143"/>
        <v>5</v>
      </c>
      <c r="W553" s="111">
        <f t="shared" si="144"/>
        <v>4.0000000000000002E-4</v>
      </c>
      <c r="X553" s="111">
        <f t="shared" si="145"/>
        <v>4</v>
      </c>
      <c r="Y553" s="12">
        <f t="shared" si="165"/>
        <v>65.599999999999994</v>
      </c>
      <c r="Z553" s="12">
        <f t="shared" si="166"/>
        <v>52.480000000000004</v>
      </c>
      <c r="AA553" s="248">
        <f t="shared" si="151"/>
        <v>65.599999999999994</v>
      </c>
      <c r="AB553" s="248">
        <f t="shared" si="167"/>
        <v>52.48</v>
      </c>
      <c r="AC553" s="12"/>
      <c r="AD553" s="12"/>
      <c r="AE553" s="271">
        <f t="shared" si="52"/>
        <v>31200</v>
      </c>
      <c r="AF553" s="101" t="str">
        <f t="shared" si="168"/>
        <v>PTA807C650010</v>
      </c>
      <c r="AG553" s="111" t="s">
        <v>311</v>
      </c>
      <c r="AH553" s="111" t="str">
        <f t="shared" si="146"/>
        <v>9999</v>
      </c>
      <c r="AI553" s="111" t="str">
        <f t="shared" si="169"/>
        <v>50010002</v>
      </c>
      <c r="AJ553" s="111">
        <f t="shared" si="170"/>
        <v>31200</v>
      </c>
      <c r="AK553" s="111">
        <f t="shared" si="171"/>
        <v>0</v>
      </c>
      <c r="AL553" s="92">
        <f t="shared" si="163"/>
        <v>0</v>
      </c>
      <c r="AM553" s="92">
        <f t="shared" si="172"/>
        <v>1</v>
      </c>
      <c r="AN553" s="111" t="str">
        <f t="shared" si="152"/>
        <v>CNY</v>
      </c>
      <c r="AO553" s="6">
        <f t="shared" si="148"/>
        <v>2.0000000000000001E-4</v>
      </c>
      <c r="AP553" s="6">
        <f t="shared" si="149"/>
        <v>2</v>
      </c>
      <c r="AQ553" s="6">
        <f t="shared" si="173"/>
        <v>26.24</v>
      </c>
    </row>
    <row r="554" spans="1:220" ht="15" customHeight="1" x14ac:dyDescent="0.25">
      <c r="A554" s="126" t="str">
        <f t="shared" si="174"/>
        <v/>
      </c>
      <c r="B554" s="571" t="str">
        <f t="shared" si="73"/>
        <v/>
      </c>
      <c r="C554" s="101" t="str">
        <f t="shared" si="175"/>
        <v>2018032610000105</v>
      </c>
      <c r="D554" s="167"/>
      <c r="E554" s="111" t="str">
        <f t="shared" si="137"/>
        <v>6001</v>
      </c>
      <c r="F554" s="111" t="str">
        <f t="shared" si="176"/>
        <v>B00102</v>
      </c>
      <c r="G554" s="111" t="str">
        <f t="shared" si="139"/>
        <v>6001</v>
      </c>
      <c r="H554" s="111">
        <v>10000105</v>
      </c>
      <c r="I554" s="104">
        <f t="shared" ref="I554:I561" si="178">$B$2</f>
        <v>20180326</v>
      </c>
      <c r="J554" s="113">
        <f t="shared" si="164"/>
        <v>20180326</v>
      </c>
      <c r="K554" s="111" t="str">
        <f t="shared" ref="K554:K561" si="179">$B$22</f>
        <v>CZCE</v>
      </c>
      <c r="L554" s="167" t="str">
        <f t="shared" si="177"/>
        <v>PTA807C6500</v>
      </c>
      <c r="M554" s="92">
        <f t="shared" si="161"/>
        <v>5</v>
      </c>
      <c r="N554" s="260">
        <v>0</v>
      </c>
      <c r="O554" s="260">
        <v>0</v>
      </c>
      <c r="P554" s="260">
        <v>3</v>
      </c>
      <c r="Q554" s="260">
        <v>10</v>
      </c>
      <c r="R554" s="92">
        <f t="shared" si="140"/>
        <v>625</v>
      </c>
      <c r="S554" s="111">
        <v>625</v>
      </c>
      <c r="T554" s="92">
        <f t="shared" si="141"/>
        <v>600</v>
      </c>
      <c r="U554" s="12">
        <f t="shared" si="142"/>
        <v>5.0000000000000001E-4</v>
      </c>
      <c r="V554" s="111">
        <f t="shared" si="143"/>
        <v>5</v>
      </c>
      <c r="W554" s="111">
        <f t="shared" si="144"/>
        <v>5.0000000000000001E-4</v>
      </c>
      <c r="X554" s="111">
        <f t="shared" si="145"/>
        <v>5</v>
      </c>
      <c r="Y554" s="12">
        <f t="shared" si="165"/>
        <v>65.625</v>
      </c>
      <c r="Z554" s="12">
        <f t="shared" si="166"/>
        <v>65.625</v>
      </c>
      <c r="AA554" s="110">
        <f t="shared" si="151"/>
        <v>65.63</v>
      </c>
      <c r="AB554" s="110">
        <f t="shared" si="167"/>
        <v>65.625</v>
      </c>
      <c r="AC554" s="12"/>
      <c r="AD554" s="12"/>
      <c r="AE554" s="237">
        <f t="shared" ref="AE554:AE561" si="180">M554*Q554*S554</f>
        <v>31250</v>
      </c>
      <c r="AF554" s="101" t="str">
        <f t="shared" si="168"/>
        <v>PTA807C650030</v>
      </c>
      <c r="AG554" s="111" t="s">
        <v>311</v>
      </c>
      <c r="AH554" s="111" t="str">
        <f t="shared" si="146"/>
        <v>9999</v>
      </c>
      <c r="AI554" s="111" t="str">
        <f t="shared" si="169"/>
        <v>50010002</v>
      </c>
      <c r="AJ554" s="92">
        <f t="shared" si="170"/>
        <v>0</v>
      </c>
      <c r="AK554" s="92">
        <f t="shared" si="171"/>
        <v>31250</v>
      </c>
      <c r="AL554" s="92">
        <f t="shared" si="163"/>
        <v>0</v>
      </c>
      <c r="AM554" s="92">
        <f t="shared" si="172"/>
        <v>1</v>
      </c>
      <c r="AN554" s="111" t="str">
        <f t="shared" si="152"/>
        <v>CNY</v>
      </c>
      <c r="AO554" s="6">
        <f t="shared" si="148"/>
        <v>2.0000000000000001E-4</v>
      </c>
      <c r="AP554" s="6">
        <f t="shared" si="149"/>
        <v>2</v>
      </c>
      <c r="AQ554">
        <f t="shared" si="173"/>
        <v>26.25</v>
      </c>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6"/>
      <c r="DJ554" s="6"/>
      <c r="DK554" s="6"/>
      <c r="DL554" s="6"/>
      <c r="DM554" s="6"/>
      <c r="DN554" s="6"/>
      <c r="DO554" s="6"/>
      <c r="DP554" s="6"/>
      <c r="DQ554" s="6"/>
      <c r="DR554" s="6"/>
      <c r="DS554" s="6"/>
      <c r="DT554" s="6"/>
      <c r="DU554" s="6"/>
      <c r="DV554" s="6"/>
      <c r="DW554" s="6"/>
      <c r="DX554" s="6"/>
      <c r="DY554" s="6"/>
      <c r="DZ554" s="6"/>
      <c r="EA554" s="6"/>
      <c r="EB554" s="6"/>
      <c r="EC554" s="6"/>
      <c r="ED554" s="6"/>
      <c r="EE554" s="6"/>
      <c r="EF554" s="6"/>
      <c r="EG554" s="6"/>
      <c r="EH554" s="6"/>
      <c r="EI554" s="6"/>
      <c r="EJ554" s="6"/>
      <c r="EK554" s="6"/>
      <c r="EL554" s="6"/>
      <c r="EM554" s="6"/>
      <c r="EN554" s="6"/>
      <c r="EO554" s="6"/>
      <c r="EP554" s="6"/>
      <c r="EQ554" s="6"/>
      <c r="ER554" s="6"/>
      <c r="ES554" s="6"/>
      <c r="ET554" s="6"/>
      <c r="EU554" s="6"/>
      <c r="EV554" s="6"/>
      <c r="EW554" s="6"/>
      <c r="EX554" s="6"/>
      <c r="EY554" s="6"/>
      <c r="EZ554" s="6"/>
      <c r="FA554" s="6"/>
      <c r="FB554" s="6"/>
      <c r="FC554" s="6"/>
      <c r="FD554" s="6"/>
      <c r="FE554" s="6"/>
      <c r="FF554" s="6"/>
      <c r="FG554" s="6"/>
      <c r="FH554" s="6"/>
      <c r="FI554" s="6"/>
      <c r="FJ554" s="6"/>
      <c r="FK554" s="6"/>
      <c r="FL554" s="6"/>
      <c r="FM554" s="6"/>
      <c r="FN554" s="6"/>
      <c r="FO554" s="6"/>
      <c r="FP554" s="6"/>
      <c r="FQ554" s="6"/>
      <c r="FR554" s="6"/>
      <c r="FS554" s="6"/>
      <c r="FT554" s="6"/>
      <c r="FU554" s="6"/>
      <c r="FV554" s="6"/>
      <c r="FW554" s="6"/>
      <c r="FX554" s="6"/>
      <c r="FY554" s="6"/>
      <c r="FZ554" s="6"/>
      <c r="GA554" s="6"/>
      <c r="GB554" s="6"/>
      <c r="GC554" s="6"/>
      <c r="GD554" s="6"/>
      <c r="GE554" s="6"/>
      <c r="GF554" s="6"/>
      <c r="GG554" s="6"/>
      <c r="GH554" s="6"/>
      <c r="GI554" s="6"/>
      <c r="GJ554" s="6"/>
      <c r="GK554" s="6"/>
      <c r="GL554" s="6"/>
      <c r="GM554" s="6"/>
      <c r="GN554" s="6"/>
      <c r="GO554" s="6"/>
      <c r="GP554" s="6"/>
      <c r="GQ554" s="6"/>
      <c r="GR554" s="6"/>
      <c r="GS554" s="6"/>
      <c r="GT554" s="6"/>
      <c r="GU554" s="6"/>
      <c r="GV554" s="6"/>
      <c r="GW554" s="6"/>
      <c r="GX554" s="6"/>
      <c r="GY554" s="6"/>
      <c r="GZ554" s="6"/>
      <c r="HA554" s="6"/>
      <c r="HB554" s="6"/>
      <c r="HC554" s="6"/>
      <c r="HD554" s="6"/>
      <c r="HE554" s="6"/>
      <c r="HF554" s="6"/>
      <c r="HG554" s="6"/>
      <c r="HH554" s="6"/>
      <c r="HI554" s="6"/>
      <c r="HJ554" s="6"/>
      <c r="HK554" s="6"/>
      <c r="HL554" s="6"/>
    </row>
    <row r="555" spans="1:220" ht="15" customHeight="1" x14ac:dyDescent="0.25">
      <c r="A555" s="126" t="str">
        <f t="shared" si="174"/>
        <v/>
      </c>
      <c r="B555" s="571" t="str">
        <f t="shared" si="73"/>
        <v/>
      </c>
      <c r="C555" s="101" t="str">
        <f t="shared" si="175"/>
        <v>2018032610000106</v>
      </c>
      <c r="D555" s="167"/>
      <c r="E555" s="111" t="str">
        <f t="shared" si="137"/>
        <v>6001</v>
      </c>
      <c r="F555" s="111" t="str">
        <f t="shared" si="176"/>
        <v>B00102</v>
      </c>
      <c r="G555" s="111" t="str">
        <f t="shared" si="139"/>
        <v>6001</v>
      </c>
      <c r="H555" s="111">
        <v>10000106</v>
      </c>
      <c r="I555" s="104">
        <f t="shared" si="178"/>
        <v>20180326</v>
      </c>
      <c r="J555" s="113">
        <f t="shared" si="164"/>
        <v>20180326</v>
      </c>
      <c r="K555" s="111" t="str">
        <f t="shared" si="179"/>
        <v>CZCE</v>
      </c>
      <c r="L555" s="167" t="str">
        <f t="shared" si="177"/>
        <v>PTA807C6500</v>
      </c>
      <c r="M555" s="92">
        <f t="shared" si="161"/>
        <v>5</v>
      </c>
      <c r="N555" s="260">
        <v>0</v>
      </c>
      <c r="O555" s="260">
        <v>1</v>
      </c>
      <c r="P555" s="260">
        <v>3</v>
      </c>
      <c r="Q555" s="260">
        <v>10</v>
      </c>
      <c r="R555" s="92">
        <f t="shared" si="140"/>
        <v>626</v>
      </c>
      <c r="S555" s="111">
        <v>626</v>
      </c>
      <c r="T555" s="92">
        <f t="shared" si="141"/>
        <v>600</v>
      </c>
      <c r="U555" s="12">
        <f t="shared" si="142"/>
        <v>5.0000000000000001E-4</v>
      </c>
      <c r="V555" s="111">
        <f t="shared" si="143"/>
        <v>5</v>
      </c>
      <c r="W555" s="111">
        <f t="shared" si="144"/>
        <v>5.0000000000000001E-4</v>
      </c>
      <c r="X555" s="111">
        <f t="shared" si="145"/>
        <v>5</v>
      </c>
      <c r="Y555" s="12">
        <f t="shared" si="165"/>
        <v>65.650000000000006</v>
      </c>
      <c r="Z555" s="12">
        <f t="shared" si="166"/>
        <v>65.650000000000006</v>
      </c>
      <c r="AA555" s="110">
        <f t="shared" si="151"/>
        <v>65.650000000000006</v>
      </c>
      <c r="AB555" s="110">
        <f t="shared" si="167"/>
        <v>65.650000000000006</v>
      </c>
      <c r="AC555" s="12"/>
      <c r="AD555" s="12"/>
      <c r="AE555" s="237">
        <f t="shared" si="180"/>
        <v>31300</v>
      </c>
      <c r="AF555" s="101" t="str">
        <f t="shared" si="168"/>
        <v>PTA807C650030</v>
      </c>
      <c r="AG555" s="111" t="s">
        <v>311</v>
      </c>
      <c r="AH555" s="111" t="str">
        <f t="shared" si="146"/>
        <v>9999</v>
      </c>
      <c r="AI555" s="111" t="str">
        <f t="shared" si="169"/>
        <v>50010002</v>
      </c>
      <c r="AJ555" s="92">
        <f t="shared" si="170"/>
        <v>31300</v>
      </c>
      <c r="AK555" s="92">
        <f t="shared" si="171"/>
        <v>0</v>
      </c>
      <c r="AL555" s="92">
        <f t="shared" si="163"/>
        <v>0</v>
      </c>
      <c r="AM555" s="92">
        <f t="shared" si="172"/>
        <v>1</v>
      </c>
      <c r="AN555" s="111" t="str">
        <f t="shared" si="152"/>
        <v>CNY</v>
      </c>
      <c r="AO555" s="6">
        <f t="shared" si="148"/>
        <v>2.0000000000000001E-4</v>
      </c>
      <c r="AP555" s="6">
        <f t="shared" si="149"/>
        <v>2</v>
      </c>
      <c r="AQ555">
        <f t="shared" si="173"/>
        <v>26.26</v>
      </c>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6"/>
      <c r="DJ555" s="6"/>
      <c r="DK555" s="6"/>
      <c r="DL555" s="6"/>
      <c r="DM555" s="6"/>
      <c r="DN555" s="6"/>
      <c r="DO555" s="6"/>
      <c r="DP555" s="6"/>
      <c r="DQ555" s="6"/>
      <c r="DR555" s="6"/>
      <c r="DS555" s="6"/>
      <c r="DT555" s="6"/>
      <c r="DU555" s="6"/>
      <c r="DV555" s="6"/>
      <c r="DW555" s="6"/>
      <c r="DX555" s="6"/>
      <c r="DY555" s="6"/>
      <c r="DZ555" s="6"/>
      <c r="EA555" s="6"/>
      <c r="EB555" s="6"/>
      <c r="EC555" s="6"/>
      <c r="ED555" s="6"/>
      <c r="EE555" s="6"/>
      <c r="EF555" s="6"/>
      <c r="EG555" s="6"/>
      <c r="EH555" s="6"/>
      <c r="EI555" s="6"/>
      <c r="EJ555" s="6"/>
      <c r="EK555" s="6"/>
      <c r="EL555" s="6"/>
      <c r="EM555" s="6"/>
      <c r="EN555" s="6"/>
      <c r="EO555" s="6"/>
      <c r="EP555" s="6"/>
      <c r="EQ555" s="6"/>
      <c r="ER555" s="6"/>
      <c r="ES555" s="6"/>
      <c r="ET555" s="6"/>
      <c r="EU555" s="6"/>
      <c r="EV555" s="6"/>
      <c r="EW555" s="6"/>
      <c r="EX555" s="6"/>
      <c r="EY555" s="6"/>
      <c r="EZ555" s="6"/>
      <c r="FA555" s="6"/>
      <c r="FB555" s="6"/>
      <c r="FC555" s="6"/>
      <c r="FD555" s="6"/>
      <c r="FE555" s="6"/>
      <c r="FF555" s="6"/>
      <c r="FG555" s="6"/>
      <c r="FH555" s="6"/>
      <c r="FI555" s="6"/>
      <c r="FJ555" s="6"/>
      <c r="FK555" s="6"/>
      <c r="FL555" s="6"/>
      <c r="FM555" s="6"/>
      <c r="FN555" s="6"/>
      <c r="FO555" s="6"/>
      <c r="FP555" s="6"/>
      <c r="FQ555" s="6"/>
      <c r="FR555" s="6"/>
      <c r="FS555" s="6"/>
      <c r="FT555" s="6"/>
      <c r="FU555" s="6"/>
      <c r="FV555" s="6"/>
      <c r="FW555" s="6"/>
      <c r="FX555" s="6"/>
      <c r="FY555" s="6"/>
      <c r="FZ555" s="6"/>
      <c r="GA555" s="6"/>
      <c r="GB555" s="6"/>
      <c r="GC555" s="6"/>
      <c r="GD555" s="6"/>
      <c r="GE555" s="6"/>
      <c r="GF555" s="6"/>
      <c r="GG555" s="6"/>
      <c r="GH555" s="6"/>
      <c r="GI555" s="6"/>
      <c r="GJ555" s="6"/>
      <c r="GK555" s="6"/>
      <c r="GL555" s="6"/>
      <c r="GM555" s="6"/>
      <c r="GN555" s="6"/>
      <c r="GO555" s="6"/>
      <c r="GP555" s="6"/>
      <c r="GQ555" s="6"/>
      <c r="GR555" s="6"/>
      <c r="GS555" s="6"/>
      <c r="GT555" s="6"/>
      <c r="GU555" s="6"/>
      <c r="GV555" s="6"/>
      <c r="GW555" s="6"/>
      <c r="GX555" s="6"/>
      <c r="GY555" s="6"/>
      <c r="GZ555" s="6"/>
      <c r="HA555" s="6"/>
      <c r="HB555" s="6"/>
      <c r="HC555" s="6"/>
      <c r="HD555" s="6"/>
      <c r="HE555" s="6"/>
      <c r="HF555" s="6"/>
      <c r="HG555" s="6"/>
      <c r="HH555" s="6"/>
      <c r="HI555" s="6"/>
      <c r="HJ555" s="6"/>
      <c r="HK555" s="6"/>
      <c r="HL555" s="6"/>
    </row>
    <row r="556" spans="1:220" s="4" customFormat="1" ht="15" customHeight="1" x14ac:dyDescent="0.25">
      <c r="A556" s="126" t="str">
        <f t="shared" si="174"/>
        <v/>
      </c>
      <c r="B556" s="571" t="str">
        <f t="shared" si="73"/>
        <v>20180326100001072018032610000104</v>
      </c>
      <c r="C556" s="101" t="str">
        <f t="shared" si="175"/>
        <v>2018032610000107</v>
      </c>
      <c r="D556" s="197" t="str">
        <f>C553</f>
        <v>2018032610000104</v>
      </c>
      <c r="E556" s="115" t="str">
        <f t="shared" si="137"/>
        <v>6001</v>
      </c>
      <c r="F556" s="115" t="str">
        <f t="shared" si="176"/>
        <v>B00102</v>
      </c>
      <c r="G556" s="115" t="str">
        <f t="shared" si="139"/>
        <v>6001</v>
      </c>
      <c r="H556" s="115">
        <v>10000107</v>
      </c>
      <c r="I556" s="117">
        <f t="shared" si="178"/>
        <v>20180326</v>
      </c>
      <c r="J556" s="118">
        <f t="shared" si="164"/>
        <v>20180326</v>
      </c>
      <c r="K556" s="115" t="str">
        <f t="shared" si="179"/>
        <v>CZCE</v>
      </c>
      <c r="L556" s="167" t="str">
        <f t="shared" si="177"/>
        <v>PTA807C6500</v>
      </c>
      <c r="M556" s="92">
        <f t="shared" si="161"/>
        <v>5</v>
      </c>
      <c r="N556" s="291">
        <v>3</v>
      </c>
      <c r="O556" s="291">
        <v>0</v>
      </c>
      <c r="P556" s="291">
        <v>1</v>
      </c>
      <c r="Q556" s="291">
        <v>2</v>
      </c>
      <c r="R556" s="92">
        <f t="shared" si="140"/>
        <v>624</v>
      </c>
      <c r="S556" s="111">
        <v>627</v>
      </c>
      <c r="T556" s="92">
        <f t="shared" si="141"/>
        <v>600</v>
      </c>
      <c r="U556" s="12">
        <f t="shared" si="142"/>
        <v>2.0000000000000001E-4</v>
      </c>
      <c r="V556" s="111">
        <f t="shared" si="143"/>
        <v>2</v>
      </c>
      <c r="W556" s="111">
        <f t="shared" si="144"/>
        <v>1E-4</v>
      </c>
      <c r="X556" s="111">
        <f t="shared" si="145"/>
        <v>1</v>
      </c>
      <c r="Y556" s="12">
        <f t="shared" si="165"/>
        <v>5.2539999999999996</v>
      </c>
      <c r="Z556" s="12">
        <f t="shared" si="166"/>
        <v>2.6269999999999998</v>
      </c>
      <c r="AA556" s="110">
        <f t="shared" si="151"/>
        <v>5.25</v>
      </c>
      <c r="AB556" s="110">
        <f t="shared" si="167"/>
        <v>2.6269999999999998</v>
      </c>
      <c r="AC556" s="12"/>
      <c r="AD556" s="12"/>
      <c r="AE556" s="237">
        <f t="shared" si="180"/>
        <v>6270</v>
      </c>
      <c r="AF556" s="101" t="str">
        <f t="shared" si="168"/>
        <v>PTA807C650013</v>
      </c>
      <c r="AG556" s="111" t="s">
        <v>311</v>
      </c>
      <c r="AH556" s="111" t="str">
        <f t="shared" si="146"/>
        <v>9999</v>
      </c>
      <c r="AI556" s="111" t="str">
        <f t="shared" si="169"/>
        <v>50010002</v>
      </c>
      <c r="AJ556" s="92">
        <f t="shared" si="170"/>
        <v>0</v>
      </c>
      <c r="AK556" s="92">
        <f t="shared" si="171"/>
        <v>6270</v>
      </c>
      <c r="AL556" s="92">
        <f t="shared" si="163"/>
        <v>0</v>
      </c>
      <c r="AM556" s="92">
        <f t="shared" si="172"/>
        <v>1</v>
      </c>
      <c r="AN556" s="111" t="str">
        <f t="shared" si="152"/>
        <v>CNY</v>
      </c>
      <c r="AO556" s="6">
        <f t="shared" si="148"/>
        <v>2.0000000000000001E-4</v>
      </c>
      <c r="AP556" s="6">
        <f t="shared" si="149"/>
        <v>2</v>
      </c>
      <c r="AQ556">
        <f t="shared" si="173"/>
        <v>5.25</v>
      </c>
    </row>
    <row r="557" spans="1:220" s="4" customFormat="1" ht="15" customHeight="1" x14ac:dyDescent="0.25">
      <c r="A557" s="126" t="str">
        <f t="shared" si="174"/>
        <v>comment</v>
      </c>
      <c r="B557" s="571" t="str">
        <f t="shared" si="73"/>
        <v/>
      </c>
      <c r="C557" s="101" t="str">
        <f t="shared" si="175"/>
        <v>2018032610000108</v>
      </c>
      <c r="D557" s="197" t="str">
        <f>C555</f>
        <v>2018032610000106</v>
      </c>
      <c r="E557" s="115" t="str">
        <f t="shared" si="137"/>
        <v>6001</v>
      </c>
      <c r="F557" s="115" t="str">
        <f t="shared" si="176"/>
        <v>B00102</v>
      </c>
      <c r="G557" s="115" t="str">
        <f t="shared" si="139"/>
        <v>6001</v>
      </c>
      <c r="H557" s="115">
        <v>10000108</v>
      </c>
      <c r="I557" s="117">
        <f t="shared" si="178"/>
        <v>20180326</v>
      </c>
      <c r="J557" s="118">
        <f t="shared" si="164"/>
        <v>20180326</v>
      </c>
      <c r="K557" s="115" t="str">
        <f t="shared" si="179"/>
        <v>CZCE</v>
      </c>
      <c r="L557" s="167" t="str">
        <f t="shared" si="177"/>
        <v>PTA807C6500</v>
      </c>
      <c r="M557" s="92">
        <f t="shared" si="161"/>
        <v>5</v>
      </c>
      <c r="N557" s="291">
        <v>3</v>
      </c>
      <c r="O557" s="291">
        <v>0</v>
      </c>
      <c r="P557" s="291">
        <v>3</v>
      </c>
      <c r="Q557" s="291">
        <v>0</v>
      </c>
      <c r="R557" s="92">
        <f t="shared" si="140"/>
        <v>626</v>
      </c>
      <c r="S557" s="111">
        <v>628</v>
      </c>
      <c r="T557" s="92">
        <f t="shared" si="141"/>
        <v>600</v>
      </c>
      <c r="U557" s="12">
        <f t="shared" si="142"/>
        <v>2.0000000000000001E-4</v>
      </c>
      <c r="V557" s="111">
        <f t="shared" si="143"/>
        <v>2</v>
      </c>
      <c r="W557" s="111">
        <f t="shared" si="144"/>
        <v>2.0000000000000001E-4</v>
      </c>
      <c r="X557" s="111">
        <f t="shared" si="145"/>
        <v>2</v>
      </c>
      <c r="Y557" s="12">
        <f t="shared" si="165"/>
        <v>0</v>
      </c>
      <c r="Z557" s="12">
        <f t="shared" si="166"/>
        <v>0</v>
      </c>
      <c r="AA557" s="110">
        <f t="shared" si="151"/>
        <v>0</v>
      </c>
      <c r="AB557" s="110">
        <f t="shared" si="167"/>
        <v>0</v>
      </c>
      <c r="AC557" s="12"/>
      <c r="AD557" s="12"/>
      <c r="AE557" s="237">
        <f t="shared" si="180"/>
        <v>0</v>
      </c>
      <c r="AF557" s="101" t="str">
        <f t="shared" si="168"/>
        <v>PTA807C650033</v>
      </c>
      <c r="AG557" s="111" t="s">
        <v>311</v>
      </c>
      <c r="AH557" s="111" t="str">
        <f t="shared" si="146"/>
        <v>9999</v>
      </c>
      <c r="AI557" s="111" t="str">
        <f t="shared" si="169"/>
        <v>50010002</v>
      </c>
      <c r="AJ557" s="92">
        <f t="shared" si="170"/>
        <v>0</v>
      </c>
      <c r="AK557" s="92">
        <f t="shared" si="171"/>
        <v>0</v>
      </c>
      <c r="AL557" s="92">
        <f t="shared" si="163"/>
        <v>0</v>
      </c>
      <c r="AM557" s="92">
        <f t="shared" si="172"/>
        <v>1</v>
      </c>
      <c r="AN557" s="111" t="str">
        <f t="shared" si="152"/>
        <v>CNY</v>
      </c>
      <c r="AO557" s="6">
        <f t="shared" si="148"/>
        <v>2.0000000000000001E-4</v>
      </c>
      <c r="AP557" s="6">
        <f t="shared" si="149"/>
        <v>2</v>
      </c>
      <c r="AQ557">
        <f t="shared" si="173"/>
        <v>0</v>
      </c>
    </row>
    <row r="558" spans="1:220" ht="15" customHeight="1" x14ac:dyDescent="0.25">
      <c r="A558" s="126" t="str">
        <f t="shared" si="174"/>
        <v/>
      </c>
      <c r="B558" s="571" t="str">
        <f t="shared" si="73"/>
        <v/>
      </c>
      <c r="C558" s="101" t="str">
        <f t="shared" si="175"/>
        <v>2018032610000109</v>
      </c>
      <c r="D558" s="167"/>
      <c r="E558" s="111" t="str">
        <f t="shared" si="137"/>
        <v>6001</v>
      </c>
      <c r="F558" s="111" t="str">
        <f t="shared" si="176"/>
        <v>B00102</v>
      </c>
      <c r="G558" s="111" t="str">
        <f t="shared" si="139"/>
        <v>6001</v>
      </c>
      <c r="H558" s="111">
        <v>10000109</v>
      </c>
      <c r="I558" s="104">
        <f t="shared" si="178"/>
        <v>20180326</v>
      </c>
      <c r="J558" s="113">
        <f t="shared" si="164"/>
        <v>20180326</v>
      </c>
      <c r="K558" s="111" t="str">
        <f t="shared" si="179"/>
        <v>CZCE</v>
      </c>
      <c r="L558" s="167" t="str">
        <f>$C$28</f>
        <v>PTA807P6200</v>
      </c>
      <c r="M558" s="92">
        <f t="shared" si="161"/>
        <v>5</v>
      </c>
      <c r="N558" s="260">
        <v>0</v>
      </c>
      <c r="O558" s="260">
        <v>0</v>
      </c>
      <c r="P558" s="260">
        <v>1</v>
      </c>
      <c r="Q558" s="167">
        <v>1</v>
      </c>
      <c r="R558" s="92">
        <f t="shared" si="140"/>
        <v>629</v>
      </c>
      <c r="S558" s="111">
        <v>629</v>
      </c>
      <c r="T558" s="92">
        <f t="shared" si="141"/>
        <v>605</v>
      </c>
      <c r="U558" s="12">
        <f t="shared" si="142"/>
        <v>5.0000000000000001E-4</v>
      </c>
      <c r="V558" s="111">
        <f t="shared" si="143"/>
        <v>5</v>
      </c>
      <c r="W558" s="111">
        <f t="shared" si="144"/>
        <v>4.0000000000000002E-4</v>
      </c>
      <c r="X558" s="111">
        <f t="shared" si="145"/>
        <v>4</v>
      </c>
      <c r="Y558" s="12">
        <f t="shared" si="165"/>
        <v>6.5724999999999998</v>
      </c>
      <c r="Z558" s="12">
        <f t="shared" si="166"/>
        <v>5.258</v>
      </c>
      <c r="AA558" s="110">
        <f t="shared" si="151"/>
        <v>6.57</v>
      </c>
      <c r="AB558" s="110">
        <f t="shared" si="167"/>
        <v>5.258</v>
      </c>
      <c r="AC558" s="12"/>
      <c r="AD558" s="12"/>
      <c r="AE558" s="237">
        <f t="shared" si="180"/>
        <v>3145</v>
      </c>
      <c r="AF558" s="101" t="str">
        <f t="shared" si="168"/>
        <v>PTA807P620010</v>
      </c>
      <c r="AG558" s="111" t="s">
        <v>311</v>
      </c>
      <c r="AH558" s="111" t="str">
        <f t="shared" si="146"/>
        <v>9999</v>
      </c>
      <c r="AI558" s="111" t="str">
        <f t="shared" si="169"/>
        <v>50010002</v>
      </c>
      <c r="AJ558" s="92">
        <f t="shared" si="170"/>
        <v>0</v>
      </c>
      <c r="AK558" s="92">
        <f t="shared" si="171"/>
        <v>3145</v>
      </c>
      <c r="AL558" s="92">
        <f t="shared" si="163"/>
        <v>0</v>
      </c>
      <c r="AM558" s="92">
        <f t="shared" si="172"/>
        <v>1</v>
      </c>
      <c r="AN558" s="111" t="str">
        <f t="shared" si="152"/>
        <v>CNY</v>
      </c>
      <c r="AO558" s="6">
        <f t="shared" si="148"/>
        <v>2.0000000000000001E-4</v>
      </c>
      <c r="AP558" s="6">
        <f t="shared" si="149"/>
        <v>2</v>
      </c>
      <c r="AQ558">
        <f t="shared" si="173"/>
        <v>2.63</v>
      </c>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6"/>
      <c r="DJ558" s="6"/>
      <c r="DK558" s="6"/>
      <c r="DL558" s="6"/>
      <c r="DM558" s="6"/>
      <c r="DN558" s="6"/>
      <c r="DO558" s="6"/>
      <c r="DP558" s="6"/>
      <c r="DQ558" s="6"/>
      <c r="DR558" s="6"/>
      <c r="DS558" s="6"/>
      <c r="DT558" s="6"/>
      <c r="DU558" s="6"/>
      <c r="DV558" s="6"/>
      <c r="DW558" s="6"/>
      <c r="DX558" s="6"/>
      <c r="DY558" s="6"/>
      <c r="DZ558" s="6"/>
      <c r="EA558" s="6"/>
      <c r="EB558" s="6"/>
      <c r="EC558" s="6"/>
      <c r="ED558" s="6"/>
      <c r="EE558" s="6"/>
      <c r="EF558" s="6"/>
      <c r="EG558" s="6"/>
      <c r="EH558" s="6"/>
      <c r="EI558" s="6"/>
      <c r="EJ558" s="6"/>
      <c r="EK558" s="6"/>
      <c r="EL558" s="6"/>
      <c r="EM558" s="6"/>
      <c r="EN558" s="6"/>
      <c r="EO558" s="6"/>
      <c r="EP558" s="6"/>
      <c r="EQ558" s="6"/>
      <c r="ER558" s="6"/>
      <c r="ES558" s="6"/>
      <c r="ET558" s="6"/>
      <c r="EU558" s="6"/>
      <c r="EV558" s="6"/>
      <c r="EW558" s="6"/>
      <c r="EX558" s="6"/>
      <c r="EY558" s="6"/>
      <c r="EZ558" s="6"/>
      <c r="FA558" s="6"/>
      <c r="FB558" s="6"/>
      <c r="FC558" s="6"/>
      <c r="FD558" s="6"/>
      <c r="FE558" s="6"/>
      <c r="FF558" s="6"/>
      <c r="FG558" s="6"/>
      <c r="FH558" s="6"/>
      <c r="FI558" s="6"/>
      <c r="FJ558" s="6"/>
      <c r="FK558" s="6"/>
      <c r="FL558" s="6"/>
      <c r="FM558" s="6"/>
      <c r="FN558" s="6"/>
      <c r="FO558" s="6"/>
      <c r="FP558" s="6"/>
      <c r="FQ558" s="6"/>
      <c r="FR558" s="6"/>
      <c r="FS558" s="6"/>
      <c r="FT558" s="6"/>
      <c r="FU558" s="6"/>
      <c r="FV558" s="6"/>
      <c r="FW558" s="6"/>
      <c r="FX558" s="6"/>
      <c r="FY558" s="6"/>
      <c r="FZ558" s="6"/>
      <c r="GA558" s="6"/>
      <c r="GB558" s="6"/>
      <c r="GC558" s="6"/>
      <c r="GD558" s="6"/>
      <c r="GE558" s="6"/>
      <c r="GF558" s="6"/>
      <c r="GG558" s="6"/>
      <c r="GH558" s="6"/>
      <c r="GI558" s="6"/>
      <c r="GJ558" s="6"/>
      <c r="GK558" s="6"/>
      <c r="GL558" s="6"/>
      <c r="GM558" s="6"/>
      <c r="GN558" s="6"/>
      <c r="GO558" s="6"/>
      <c r="GP558" s="6"/>
      <c r="GQ558" s="6"/>
      <c r="GR558" s="6"/>
      <c r="GS558" s="6"/>
      <c r="GT558" s="6"/>
      <c r="GU558" s="6"/>
      <c r="GV558" s="6"/>
      <c r="GW558" s="6"/>
      <c r="GX558" s="6"/>
      <c r="GY558" s="6"/>
      <c r="GZ558" s="6"/>
      <c r="HA558" s="6"/>
      <c r="HB558" s="6"/>
      <c r="HC558" s="6"/>
      <c r="HD558" s="6"/>
      <c r="HE558" s="6"/>
      <c r="HF558" s="6"/>
      <c r="HG558" s="6"/>
      <c r="HH558" s="6"/>
      <c r="HI558" s="6"/>
      <c r="HJ558" s="6"/>
      <c r="HK558" s="6"/>
      <c r="HL558" s="6"/>
    </row>
    <row r="559" spans="1:220" s="294" customFormat="1" ht="15" customHeight="1" x14ac:dyDescent="0.25">
      <c r="A559" s="296" t="str">
        <f t="shared" si="174"/>
        <v/>
      </c>
      <c r="B559" s="570" t="str">
        <f t="shared" si="73"/>
        <v/>
      </c>
      <c r="C559" s="302" t="str">
        <f t="shared" si="175"/>
        <v>2018032610000110</v>
      </c>
      <c r="D559" s="296"/>
      <c r="E559" s="295" t="str">
        <f t="shared" si="137"/>
        <v>6001</v>
      </c>
      <c r="F559" s="295" t="str">
        <f t="shared" si="176"/>
        <v>B00102</v>
      </c>
      <c r="G559" s="295" t="str">
        <f t="shared" si="139"/>
        <v>6001</v>
      </c>
      <c r="H559" s="295">
        <v>10000110</v>
      </c>
      <c r="I559" s="297">
        <f t="shared" si="178"/>
        <v>20180326</v>
      </c>
      <c r="J559" s="298">
        <f t="shared" si="164"/>
        <v>20180326</v>
      </c>
      <c r="K559" s="295" t="str">
        <f t="shared" si="179"/>
        <v>CZCE</v>
      </c>
      <c r="L559" s="296" t="str">
        <f>$C$28</f>
        <v>PTA807P6200</v>
      </c>
      <c r="M559" s="92">
        <f t="shared" si="161"/>
        <v>5</v>
      </c>
      <c r="N559" s="299">
        <v>0</v>
      </c>
      <c r="O559" s="299">
        <v>1</v>
      </c>
      <c r="P559" s="299">
        <v>1</v>
      </c>
      <c r="Q559" s="296">
        <v>3</v>
      </c>
      <c r="R559" s="295">
        <f t="shared" si="140"/>
        <v>630</v>
      </c>
      <c r="S559" s="295">
        <v>630</v>
      </c>
      <c r="T559" s="295">
        <f t="shared" si="141"/>
        <v>605</v>
      </c>
      <c r="U559" s="300">
        <f t="shared" si="142"/>
        <v>5.0000000000000001E-4</v>
      </c>
      <c r="V559" s="295">
        <f t="shared" si="143"/>
        <v>5</v>
      </c>
      <c r="W559" s="295">
        <f t="shared" si="144"/>
        <v>4.0000000000000002E-4</v>
      </c>
      <c r="X559" s="295">
        <f t="shared" si="145"/>
        <v>4</v>
      </c>
      <c r="Y559" s="300">
        <f t="shared" si="165"/>
        <v>19.725000000000001</v>
      </c>
      <c r="Z559" s="300">
        <f t="shared" si="166"/>
        <v>15.780000000000001</v>
      </c>
      <c r="AA559" s="301">
        <f t="shared" si="151"/>
        <v>19.73</v>
      </c>
      <c r="AB559" s="301">
        <f t="shared" si="167"/>
        <v>15.78</v>
      </c>
      <c r="AC559" s="300"/>
      <c r="AD559" s="300"/>
      <c r="AE559" s="307">
        <f t="shared" si="180"/>
        <v>9450</v>
      </c>
      <c r="AF559" s="302" t="str">
        <f t="shared" si="168"/>
        <v>PTA807P620010</v>
      </c>
      <c r="AG559" s="295" t="s">
        <v>311</v>
      </c>
      <c r="AH559" s="295" t="str">
        <f t="shared" si="146"/>
        <v>9999</v>
      </c>
      <c r="AI559" s="295" t="str">
        <f t="shared" si="169"/>
        <v>50010002</v>
      </c>
      <c r="AJ559" s="295">
        <f t="shared" si="170"/>
        <v>9450</v>
      </c>
      <c r="AK559" s="295">
        <f t="shared" si="171"/>
        <v>0</v>
      </c>
      <c r="AL559" s="92">
        <f t="shared" si="163"/>
        <v>0</v>
      </c>
      <c r="AM559" s="92">
        <f t="shared" si="172"/>
        <v>1</v>
      </c>
      <c r="AN559" s="295" t="str">
        <f t="shared" si="152"/>
        <v>CNY</v>
      </c>
      <c r="AO559" s="294">
        <f t="shared" si="148"/>
        <v>2.0000000000000001E-4</v>
      </c>
      <c r="AP559" s="294">
        <f t="shared" si="149"/>
        <v>2</v>
      </c>
      <c r="AQ559" s="294">
        <f t="shared" si="173"/>
        <v>7.89</v>
      </c>
    </row>
    <row r="560" spans="1:220" s="6" customFormat="1" ht="15" customHeight="1" x14ac:dyDescent="0.25">
      <c r="A560" s="167" t="str">
        <f t="shared" si="174"/>
        <v/>
      </c>
      <c r="B560" s="571" t="str">
        <f t="shared" si="73"/>
        <v/>
      </c>
      <c r="C560" s="101" t="str">
        <f t="shared" si="175"/>
        <v>2018032610000111</v>
      </c>
      <c r="D560" s="167"/>
      <c r="E560" s="111" t="str">
        <f t="shared" si="137"/>
        <v>6001</v>
      </c>
      <c r="F560" s="111" t="str">
        <f t="shared" si="176"/>
        <v>B00102</v>
      </c>
      <c r="G560" s="111" t="str">
        <f t="shared" si="139"/>
        <v>6001</v>
      </c>
      <c r="H560" s="111">
        <v>10000111</v>
      </c>
      <c r="I560" s="104">
        <f t="shared" si="178"/>
        <v>20180326</v>
      </c>
      <c r="J560" s="113">
        <f t="shared" si="164"/>
        <v>20180326</v>
      </c>
      <c r="K560" s="111" t="str">
        <f t="shared" si="179"/>
        <v>CZCE</v>
      </c>
      <c r="L560" s="167" t="str">
        <f>$C$29</f>
        <v>PTA807P6500</v>
      </c>
      <c r="M560" s="92">
        <f t="shared" si="161"/>
        <v>5</v>
      </c>
      <c r="N560" s="260">
        <v>0</v>
      </c>
      <c r="O560" s="260">
        <v>0</v>
      </c>
      <c r="P560" s="260">
        <v>1</v>
      </c>
      <c r="Q560" s="167">
        <v>1</v>
      </c>
      <c r="R560" s="111">
        <f t="shared" si="140"/>
        <v>631</v>
      </c>
      <c r="S560" s="111">
        <v>631</v>
      </c>
      <c r="T560" s="111">
        <f t="shared" si="141"/>
        <v>610</v>
      </c>
      <c r="U560" s="12">
        <f t="shared" si="142"/>
        <v>5.0000000000000001E-4</v>
      </c>
      <c r="V560" s="111">
        <f t="shared" si="143"/>
        <v>5</v>
      </c>
      <c r="W560" s="111">
        <f t="shared" si="144"/>
        <v>4.0000000000000002E-4</v>
      </c>
      <c r="X560" s="111">
        <f t="shared" si="145"/>
        <v>4</v>
      </c>
      <c r="Y560" s="12">
        <f t="shared" si="165"/>
        <v>6.5775000000000006</v>
      </c>
      <c r="Z560" s="12">
        <f t="shared" si="166"/>
        <v>5.2620000000000005</v>
      </c>
      <c r="AA560" s="248">
        <f t="shared" si="151"/>
        <v>6.58</v>
      </c>
      <c r="AB560" s="248">
        <f t="shared" si="167"/>
        <v>5.2619999999999996</v>
      </c>
      <c r="AC560" s="12"/>
      <c r="AD560" s="12"/>
      <c r="AE560" s="271">
        <f t="shared" si="180"/>
        <v>3155</v>
      </c>
      <c r="AF560" s="101" t="str">
        <f t="shared" si="168"/>
        <v>PTA807P650010</v>
      </c>
      <c r="AG560" s="111" t="s">
        <v>311</v>
      </c>
      <c r="AH560" s="111" t="str">
        <f t="shared" si="146"/>
        <v>9999</v>
      </c>
      <c r="AI560" s="111" t="str">
        <f t="shared" si="169"/>
        <v>50010002</v>
      </c>
      <c r="AJ560" s="111">
        <f t="shared" si="170"/>
        <v>0</v>
      </c>
      <c r="AK560" s="111">
        <f t="shared" si="171"/>
        <v>3155</v>
      </c>
      <c r="AL560" s="92">
        <f t="shared" si="163"/>
        <v>0</v>
      </c>
      <c r="AM560" s="92">
        <f t="shared" si="172"/>
        <v>1</v>
      </c>
      <c r="AN560" s="111" t="str">
        <f t="shared" si="152"/>
        <v>CNY</v>
      </c>
      <c r="AO560" s="6">
        <f t="shared" si="148"/>
        <v>2.0000000000000001E-4</v>
      </c>
      <c r="AP560" s="6">
        <f t="shared" si="149"/>
        <v>2</v>
      </c>
      <c r="AQ560" s="6">
        <f t="shared" si="173"/>
        <v>2.63</v>
      </c>
    </row>
    <row r="561" spans="1:220" ht="15" customHeight="1" x14ac:dyDescent="0.25">
      <c r="A561" s="126" t="str">
        <f t="shared" si="174"/>
        <v/>
      </c>
      <c r="B561" s="571" t="str">
        <f t="shared" si="73"/>
        <v/>
      </c>
      <c r="C561" s="101" t="str">
        <f t="shared" si="175"/>
        <v>2018032610000112</v>
      </c>
      <c r="D561" s="167"/>
      <c r="E561" s="111" t="str">
        <f t="shared" si="137"/>
        <v>6001</v>
      </c>
      <c r="F561" s="111" t="str">
        <f t="shared" si="176"/>
        <v>B00102</v>
      </c>
      <c r="G561" s="111" t="str">
        <f t="shared" si="139"/>
        <v>6001</v>
      </c>
      <c r="H561" s="111">
        <v>10000112</v>
      </c>
      <c r="I561" s="104">
        <f t="shared" si="178"/>
        <v>20180326</v>
      </c>
      <c r="J561" s="113">
        <f t="shared" si="164"/>
        <v>20180326</v>
      </c>
      <c r="K561" s="111" t="str">
        <f t="shared" si="179"/>
        <v>CZCE</v>
      </c>
      <c r="L561" s="167" t="str">
        <f>$C$29</f>
        <v>PTA807P6500</v>
      </c>
      <c r="M561" s="92">
        <f t="shared" si="161"/>
        <v>5</v>
      </c>
      <c r="N561" s="260">
        <v>0</v>
      </c>
      <c r="O561" s="260">
        <v>1</v>
      </c>
      <c r="P561" s="260">
        <v>1</v>
      </c>
      <c r="Q561" s="167">
        <v>1</v>
      </c>
      <c r="R561" s="92">
        <f t="shared" si="140"/>
        <v>632</v>
      </c>
      <c r="S561" s="111">
        <v>632</v>
      </c>
      <c r="T561" s="92">
        <f t="shared" si="141"/>
        <v>610</v>
      </c>
      <c r="U561" s="12">
        <f t="shared" si="142"/>
        <v>5.0000000000000001E-4</v>
      </c>
      <c r="V561" s="111">
        <f t="shared" si="143"/>
        <v>5</v>
      </c>
      <c r="W561" s="111">
        <f t="shared" si="144"/>
        <v>4.0000000000000002E-4</v>
      </c>
      <c r="X561" s="111">
        <f t="shared" si="145"/>
        <v>4</v>
      </c>
      <c r="Y561" s="12">
        <f t="shared" si="165"/>
        <v>6.58</v>
      </c>
      <c r="Z561" s="12">
        <f t="shared" si="166"/>
        <v>5.2640000000000002</v>
      </c>
      <c r="AA561" s="110">
        <f t="shared" si="151"/>
        <v>6.58</v>
      </c>
      <c r="AB561" s="110">
        <f t="shared" si="167"/>
        <v>5.2640000000000002</v>
      </c>
      <c r="AC561" s="12"/>
      <c r="AD561" s="12"/>
      <c r="AE561" s="237">
        <f t="shared" si="180"/>
        <v>3160</v>
      </c>
      <c r="AF561" s="101" t="str">
        <f t="shared" si="168"/>
        <v>PTA807P650010</v>
      </c>
      <c r="AG561" s="111" t="s">
        <v>311</v>
      </c>
      <c r="AH561" s="111" t="str">
        <f t="shared" si="146"/>
        <v>9999</v>
      </c>
      <c r="AI561" s="111" t="str">
        <f t="shared" si="169"/>
        <v>50010002</v>
      </c>
      <c r="AJ561" s="92">
        <f t="shared" si="170"/>
        <v>3160</v>
      </c>
      <c r="AK561" s="92">
        <f t="shared" si="171"/>
        <v>0</v>
      </c>
      <c r="AL561" s="92">
        <f t="shared" si="163"/>
        <v>0</v>
      </c>
      <c r="AM561" s="92">
        <f t="shared" si="172"/>
        <v>1</v>
      </c>
      <c r="AN561" s="111" t="str">
        <f t="shared" si="152"/>
        <v>CNY</v>
      </c>
      <c r="AO561" s="6">
        <f t="shared" si="148"/>
        <v>2.0000000000000001E-4</v>
      </c>
      <c r="AP561" s="6">
        <f t="shared" si="149"/>
        <v>2</v>
      </c>
      <c r="AQ561">
        <f t="shared" si="173"/>
        <v>2.63</v>
      </c>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6"/>
      <c r="DJ561" s="6"/>
      <c r="DK561" s="6"/>
      <c r="DL561" s="6"/>
      <c r="DM561" s="6"/>
      <c r="DN561" s="6"/>
      <c r="DO561" s="6"/>
      <c r="DP561" s="6"/>
      <c r="DQ561" s="6"/>
      <c r="DR561" s="6"/>
      <c r="DS561" s="6"/>
      <c r="DT561" s="6"/>
      <c r="DU561" s="6"/>
      <c r="DV561" s="6"/>
      <c r="DW561" s="6"/>
      <c r="DX561" s="6"/>
      <c r="DY561" s="6"/>
      <c r="DZ561" s="6"/>
      <c r="EA561" s="6"/>
      <c r="EB561" s="6"/>
      <c r="EC561" s="6"/>
      <c r="ED561" s="6"/>
      <c r="EE561" s="6"/>
      <c r="EF561" s="6"/>
      <c r="EG561" s="6"/>
      <c r="EH561" s="6"/>
      <c r="EI561" s="6"/>
      <c r="EJ561" s="6"/>
      <c r="EK561" s="6"/>
      <c r="EL561" s="6"/>
      <c r="EM561" s="6"/>
      <c r="EN561" s="6"/>
      <c r="EO561" s="6"/>
      <c r="EP561" s="6"/>
      <c r="EQ561" s="6"/>
      <c r="ER561" s="6"/>
      <c r="ES561" s="6"/>
      <c r="ET561" s="6"/>
      <c r="EU561" s="6"/>
      <c r="EV561" s="6"/>
      <c r="EW561" s="6"/>
      <c r="EX561" s="6"/>
      <c r="EY561" s="6"/>
      <c r="EZ561" s="6"/>
      <c r="FA561" s="6"/>
      <c r="FB561" s="6"/>
      <c r="FC561" s="6"/>
      <c r="FD561" s="6"/>
      <c r="FE561" s="6"/>
      <c r="FF561" s="6"/>
      <c r="FG561" s="6"/>
      <c r="FH561" s="6"/>
      <c r="FI561" s="6"/>
      <c r="FJ561" s="6"/>
      <c r="FK561" s="6"/>
      <c r="FL561" s="6"/>
      <c r="FM561" s="6"/>
      <c r="FN561" s="6"/>
      <c r="FO561" s="6"/>
      <c r="FP561" s="6"/>
      <c r="FQ561" s="6"/>
      <c r="FR561" s="6"/>
      <c r="FS561" s="6"/>
      <c r="FT561" s="6"/>
      <c r="FU561" s="6"/>
      <c r="FV561" s="6"/>
      <c r="FW561" s="6"/>
      <c r="FX561" s="6"/>
      <c r="FY561" s="6"/>
      <c r="FZ561" s="6"/>
      <c r="GA561" s="6"/>
      <c r="GB561" s="6"/>
      <c r="GC561" s="6"/>
      <c r="GD561" s="6"/>
      <c r="GE561" s="6"/>
      <c r="GF561" s="6"/>
      <c r="GG561" s="6"/>
      <c r="GH561" s="6"/>
      <c r="GI561" s="6"/>
      <c r="GJ561" s="6"/>
      <c r="GK561" s="6"/>
      <c r="GL561" s="6"/>
      <c r="GM561" s="6"/>
      <c r="GN561" s="6"/>
      <c r="GO561" s="6"/>
      <c r="GP561" s="6"/>
      <c r="GQ561" s="6"/>
      <c r="GR561" s="6"/>
      <c r="GS561" s="6"/>
      <c r="GT561" s="6"/>
      <c r="GU561" s="6"/>
      <c r="GV561" s="6"/>
      <c r="GW561" s="6"/>
      <c r="GX561" s="6"/>
      <c r="GY561" s="6"/>
      <c r="GZ561" s="6"/>
      <c r="HA561" s="6"/>
      <c r="HB561" s="6"/>
      <c r="HC561" s="6"/>
      <c r="HD561" s="6"/>
      <c r="HE561" s="6"/>
      <c r="HF561" s="6"/>
      <c r="HG561" s="6"/>
      <c r="HH561" s="6"/>
      <c r="HI561" s="6"/>
      <c r="HJ561" s="6"/>
      <c r="HK561" s="6"/>
      <c r="HL561" s="6"/>
    </row>
    <row r="562" spans="1:220" x14ac:dyDescent="0.25">
      <c r="A562" s="167" t="s">
        <v>360</v>
      </c>
      <c r="B562" s="6" t="s">
        <v>972</v>
      </c>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107"/>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6"/>
      <c r="DJ562" s="6"/>
      <c r="DK562" s="6"/>
      <c r="DL562" s="6"/>
      <c r="DM562" s="6"/>
      <c r="DN562" s="6"/>
      <c r="DO562" s="6"/>
      <c r="DP562" s="6"/>
      <c r="DQ562" s="6"/>
      <c r="DR562" s="6"/>
      <c r="DS562" s="6"/>
      <c r="DT562" s="6"/>
      <c r="DU562" s="6"/>
      <c r="DV562" s="6"/>
      <c r="DW562" s="6"/>
      <c r="DX562" s="6"/>
      <c r="DY562" s="6"/>
      <c r="DZ562" s="6"/>
      <c r="EA562" s="6"/>
      <c r="EB562" s="6"/>
      <c r="EC562" s="6"/>
      <c r="ED562" s="6"/>
      <c r="EE562" s="6"/>
      <c r="EF562" s="6"/>
      <c r="EG562" s="6"/>
      <c r="EH562" s="6"/>
      <c r="EI562" s="6"/>
      <c r="EJ562" s="6"/>
      <c r="EK562" s="6"/>
      <c r="EL562" s="6"/>
      <c r="EM562" s="6"/>
      <c r="EN562" s="6"/>
      <c r="EO562" s="6"/>
      <c r="EP562" s="6"/>
      <c r="EQ562" s="6"/>
      <c r="ER562" s="6"/>
      <c r="ES562" s="6"/>
      <c r="ET562" s="6"/>
      <c r="EU562" s="6"/>
      <c r="EV562" s="6"/>
      <c r="EW562" s="6"/>
      <c r="EX562" s="6"/>
      <c r="EY562" s="6"/>
      <c r="EZ562" s="6"/>
      <c r="FA562" s="6"/>
      <c r="FB562" s="6"/>
      <c r="FC562" s="6"/>
      <c r="FD562" s="6"/>
      <c r="FE562" s="6"/>
      <c r="FF562" s="6"/>
      <c r="FG562" s="6"/>
      <c r="FH562" s="6"/>
      <c r="FI562" s="6"/>
      <c r="FJ562" s="6"/>
      <c r="FK562" s="6"/>
      <c r="FL562" s="6"/>
      <c r="FM562" s="6"/>
      <c r="FN562" s="6"/>
      <c r="FO562" s="6"/>
      <c r="FP562" s="6"/>
      <c r="FQ562" s="6"/>
      <c r="FR562" s="6"/>
      <c r="FS562" s="6"/>
      <c r="FT562" s="6"/>
      <c r="FU562" s="6"/>
      <c r="FV562" s="6"/>
      <c r="FW562" s="6"/>
      <c r="FX562" s="6"/>
      <c r="FY562" s="6"/>
      <c r="FZ562" s="6"/>
      <c r="GA562" s="6"/>
      <c r="GB562" s="6"/>
      <c r="GC562" s="6"/>
      <c r="GD562" s="6"/>
      <c r="GE562" s="6"/>
      <c r="GF562" s="6"/>
      <c r="GG562" s="6"/>
      <c r="GH562" s="6"/>
      <c r="GI562" s="6"/>
      <c r="GJ562" s="6"/>
      <c r="GK562" s="6"/>
      <c r="GL562" s="6"/>
      <c r="GM562" s="6"/>
      <c r="GN562" s="6"/>
      <c r="GO562" s="6"/>
      <c r="GP562" s="6"/>
      <c r="GQ562" s="6"/>
      <c r="GR562" s="6"/>
      <c r="GS562" s="6"/>
      <c r="GT562" s="6"/>
      <c r="GU562" s="6"/>
      <c r="GV562" s="6"/>
      <c r="GW562" s="6"/>
      <c r="GX562" s="6"/>
      <c r="GY562" s="6"/>
      <c r="GZ562" s="6"/>
      <c r="HA562" s="6"/>
      <c r="HB562" s="6"/>
      <c r="HC562" s="6"/>
      <c r="HD562" s="6"/>
      <c r="HE562" s="6"/>
      <c r="HF562" s="6"/>
      <c r="HG562" s="6"/>
      <c r="HH562" s="6"/>
      <c r="HI562" s="6"/>
      <c r="HJ562" s="6"/>
      <c r="HK562" s="6"/>
      <c r="HL562" s="6"/>
    </row>
    <row r="563" spans="1:220" x14ac:dyDescent="0.25">
      <c r="A563" s="168" t="s">
        <v>970</v>
      </c>
      <c r="B563" s="595" t="s">
        <v>971</v>
      </c>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107"/>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c r="DO563" s="6"/>
      <c r="DP563" s="6"/>
      <c r="DQ563" s="6"/>
      <c r="DR563" s="6"/>
      <c r="DS563" s="6"/>
      <c r="DT563" s="6"/>
      <c r="DU563" s="6"/>
      <c r="DV563" s="6"/>
      <c r="DW563" s="6"/>
      <c r="DX563" s="6"/>
      <c r="DY563" s="6"/>
      <c r="DZ563" s="6"/>
      <c r="EA563" s="6"/>
      <c r="EB563" s="6"/>
      <c r="EC563" s="6"/>
      <c r="ED563" s="6"/>
      <c r="EE563" s="6"/>
      <c r="EF563" s="6"/>
      <c r="EG563" s="6"/>
      <c r="EH563" s="6"/>
      <c r="EI563" s="6"/>
      <c r="EJ563" s="6"/>
      <c r="EK563" s="6"/>
      <c r="EL563" s="6"/>
      <c r="EM563" s="6"/>
      <c r="EN563" s="6"/>
      <c r="EO563" s="6"/>
      <c r="EP563" s="6"/>
      <c r="EQ563" s="6"/>
      <c r="ER563" s="6"/>
      <c r="ES563" s="6"/>
      <c r="ET563" s="6"/>
      <c r="EU563" s="6"/>
      <c r="EV563" s="6"/>
      <c r="EW563" s="6"/>
      <c r="EX563" s="6"/>
      <c r="EY563" s="6"/>
      <c r="EZ563" s="6"/>
      <c r="FA563" s="6"/>
      <c r="FB563" s="6"/>
      <c r="FC563" s="6"/>
      <c r="FD563" s="6"/>
      <c r="FE563" s="6"/>
      <c r="FF563" s="6"/>
      <c r="FG563" s="6"/>
      <c r="FH563" s="6"/>
      <c r="FI563" s="6"/>
      <c r="FJ563" s="6"/>
      <c r="FK563" s="6"/>
      <c r="FL563" s="6"/>
      <c r="FM563" s="6"/>
      <c r="FN563" s="6"/>
      <c r="FO563" s="6"/>
      <c r="FP563" s="6"/>
      <c r="FQ563" s="6"/>
      <c r="FR563" s="6"/>
      <c r="FS563" s="6"/>
      <c r="FT563" s="6"/>
      <c r="FU563" s="6"/>
      <c r="FV563" s="6"/>
      <c r="FW563" s="6"/>
      <c r="FX563" s="6"/>
      <c r="FY563" s="6"/>
      <c r="FZ563" s="6"/>
      <c r="GA563" s="6"/>
      <c r="GB563" s="6"/>
      <c r="GC563" s="6"/>
      <c r="GD563" s="6"/>
      <c r="GE563" s="6"/>
      <c r="GF563" s="6"/>
      <c r="GG563" s="6"/>
      <c r="GH563" s="6"/>
      <c r="GI563" s="6"/>
      <c r="GJ563" s="6"/>
      <c r="GK563" s="6"/>
      <c r="GL563" s="6"/>
      <c r="GM563" s="6"/>
      <c r="GN563" s="6"/>
      <c r="GO563" s="6"/>
      <c r="GP563" s="6"/>
      <c r="GQ563" s="6"/>
      <c r="GR563" s="6"/>
      <c r="GS563" s="6"/>
      <c r="GT563" s="6"/>
      <c r="GU563" s="6"/>
      <c r="GV563" s="6"/>
      <c r="GW563" s="6"/>
      <c r="GX563" s="6"/>
      <c r="GY563" s="6"/>
      <c r="GZ563" s="6"/>
      <c r="HA563" s="6"/>
      <c r="HB563" s="6"/>
      <c r="HC563" s="6"/>
      <c r="HD563" s="6"/>
      <c r="HE563" s="6"/>
      <c r="HF563" s="6"/>
      <c r="HG563" s="6"/>
      <c r="HH563" s="6"/>
      <c r="HI563" s="6"/>
      <c r="HJ563" s="6"/>
      <c r="HK563" s="6"/>
      <c r="HL563" s="6"/>
    </row>
    <row r="564" spans="1:220" x14ac:dyDescent="0.25">
      <c r="A564" s="167" t="s">
        <v>974</v>
      </c>
      <c r="B564" s="732" t="s">
        <v>1082</v>
      </c>
      <c r="C564" s="721"/>
      <c r="D564" s="721"/>
      <c r="E564" s="721"/>
      <c r="F564" s="721"/>
      <c r="G564" s="721"/>
      <c r="H564" s="721"/>
      <c r="I564" s="721"/>
      <c r="J564" s="721"/>
      <c r="K564" s="721"/>
      <c r="L564" s="721"/>
      <c r="M564" s="721"/>
      <c r="N564" s="721"/>
      <c r="O564" s="721"/>
      <c r="P564" s="721"/>
      <c r="Q564" s="721"/>
      <c r="R564" s="721"/>
      <c r="S564" s="721"/>
      <c r="T564" s="721"/>
      <c r="U564" s="721"/>
      <c r="V564" s="721"/>
      <c r="W564" s="721"/>
      <c r="X564" s="721"/>
      <c r="Y564" s="721"/>
      <c r="Z564" s="6"/>
      <c r="AA564" s="6"/>
      <c r="AB564" s="6"/>
      <c r="AC564" s="6"/>
      <c r="AD564" s="6"/>
      <c r="AE564" s="6"/>
      <c r="AF564" s="107"/>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6"/>
      <c r="DJ564" s="6"/>
      <c r="DK564" s="6"/>
      <c r="DL564" s="6"/>
      <c r="DM564" s="6"/>
      <c r="DN564" s="6"/>
      <c r="DO564" s="6"/>
      <c r="DP564" s="6"/>
      <c r="DQ564" s="6"/>
      <c r="DR564" s="6"/>
      <c r="DS564" s="6"/>
      <c r="DT564" s="6"/>
      <c r="DU564" s="6"/>
      <c r="DV564" s="6"/>
      <c r="DW564" s="6"/>
      <c r="DX564" s="6"/>
      <c r="DY564" s="6"/>
      <c r="DZ564" s="6"/>
      <c r="EA564" s="6"/>
      <c r="EB564" s="6"/>
      <c r="EC564" s="6"/>
      <c r="ED564" s="6"/>
      <c r="EE564" s="6"/>
      <c r="EF564" s="6"/>
      <c r="EG564" s="6"/>
      <c r="EH564" s="6"/>
      <c r="EI564" s="6"/>
      <c r="EJ564" s="6"/>
      <c r="EK564" s="6"/>
      <c r="EL564" s="6"/>
      <c r="EM564" s="6"/>
      <c r="EN564" s="6"/>
      <c r="EO564" s="6"/>
      <c r="EP564" s="6"/>
      <c r="EQ564" s="6"/>
      <c r="ER564" s="6"/>
      <c r="ES564" s="6"/>
      <c r="ET564" s="6"/>
      <c r="EU564" s="6"/>
      <c r="EV564" s="6"/>
      <c r="EW564" s="6"/>
      <c r="EX564" s="6"/>
      <c r="EY564" s="6"/>
      <c r="EZ564" s="6"/>
      <c r="FA564" s="6"/>
      <c r="FB564" s="6"/>
      <c r="FC564" s="6"/>
      <c r="FD564" s="6"/>
      <c r="FE564" s="6"/>
      <c r="FF564" s="6"/>
      <c r="FG564" s="6"/>
      <c r="FH564" s="6"/>
      <c r="FI564" s="6"/>
      <c r="FJ564" s="6"/>
      <c r="FK564" s="6"/>
      <c r="FL564" s="6"/>
      <c r="FM564" s="6"/>
      <c r="FN564" s="6"/>
      <c r="FO564" s="6"/>
      <c r="FP564" s="6"/>
      <c r="FQ564" s="6"/>
      <c r="FR564" s="6"/>
      <c r="FS564" s="6"/>
      <c r="FT564" s="6"/>
      <c r="FU564" s="6"/>
      <c r="FV564" s="6"/>
      <c r="FW564" s="6"/>
      <c r="FX564" s="6"/>
      <c r="FY564" s="6"/>
      <c r="FZ564" s="6"/>
      <c r="GA564" s="6"/>
      <c r="GB564" s="6"/>
      <c r="GC564" s="6"/>
      <c r="GD564" s="6"/>
      <c r="GE564" s="6"/>
      <c r="GF564" s="6"/>
      <c r="GG564" s="6"/>
      <c r="GH564" s="6"/>
      <c r="GI564" s="6"/>
      <c r="GJ564" s="6"/>
      <c r="GK564" s="6"/>
      <c r="GL564" s="6"/>
      <c r="GM564" s="6"/>
      <c r="GN564" s="6"/>
      <c r="GO564" s="6"/>
      <c r="GP564" s="6"/>
      <c r="GQ564" s="6"/>
      <c r="GR564" s="6"/>
      <c r="GS564" s="6"/>
      <c r="GT564" s="6"/>
      <c r="GU564" s="6"/>
      <c r="GV564" s="6"/>
      <c r="GW564" s="6"/>
      <c r="GX564" s="6"/>
      <c r="GY564" s="6"/>
      <c r="GZ564" s="6"/>
      <c r="HA564" s="6"/>
      <c r="HB564" s="6"/>
      <c r="HC564" s="6"/>
      <c r="HD564" s="6"/>
      <c r="HE564" s="6"/>
      <c r="HF564" s="6"/>
      <c r="HG564" s="6"/>
      <c r="HH564" s="6"/>
      <c r="HI564" s="6"/>
      <c r="HJ564" s="6"/>
      <c r="HK564" s="6"/>
      <c r="HL564" s="6"/>
    </row>
    <row r="565" spans="1:220" x14ac:dyDescent="0.25">
      <c r="A565" s="167" t="s">
        <v>359</v>
      </c>
      <c r="B565" s="582" t="s">
        <v>371</v>
      </c>
      <c r="C565" s="7" t="s">
        <v>364</v>
      </c>
      <c r="D565" s="7" t="s">
        <v>363</v>
      </c>
      <c r="E565" s="7" t="s">
        <v>19</v>
      </c>
      <c r="F565" s="7" t="s">
        <v>378</v>
      </c>
      <c r="G565" s="7" t="s">
        <v>686</v>
      </c>
      <c r="H565" s="7" t="s">
        <v>595</v>
      </c>
      <c r="I565" s="7" t="s">
        <v>676</v>
      </c>
      <c r="J565" s="7" t="s">
        <v>848</v>
      </c>
      <c r="K565" s="7" t="s">
        <v>52</v>
      </c>
      <c r="L565" s="7" t="s">
        <v>1026</v>
      </c>
      <c r="M565" s="7" t="s">
        <v>8</v>
      </c>
      <c r="N565" s="7" t="s">
        <v>294</v>
      </c>
      <c r="O565" s="7" t="s">
        <v>9</v>
      </c>
      <c r="P565" s="7" t="s">
        <v>10</v>
      </c>
      <c r="Q565" s="7" t="s">
        <v>1027</v>
      </c>
      <c r="R565" s="7" t="s">
        <v>11</v>
      </c>
      <c r="S565" s="7" t="s">
        <v>12</v>
      </c>
      <c r="T565" s="7" t="s">
        <v>13</v>
      </c>
      <c r="U565" s="7" t="s">
        <v>1028</v>
      </c>
      <c r="V565" s="7" t="s">
        <v>1029</v>
      </c>
      <c r="W565" s="7" t="s">
        <v>596</v>
      </c>
      <c r="X565" s="7" t="s">
        <v>1030</v>
      </c>
      <c r="Y565" s="7" t="s">
        <v>1031</v>
      </c>
      <c r="Z565" s="6"/>
      <c r="AA565" s="6"/>
      <c r="AB565" s="6"/>
      <c r="AC565" s="6"/>
      <c r="AD565" s="6"/>
      <c r="AE565" s="6"/>
      <c r="AF565" s="6"/>
      <c r="AG565" s="10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6"/>
      <c r="DJ565" s="6"/>
      <c r="DK565" s="6"/>
      <c r="DL565" s="6"/>
      <c r="DM565" s="6"/>
      <c r="DN565" s="6"/>
      <c r="DO565" s="6"/>
      <c r="DP565" s="6"/>
      <c r="DQ565" s="6"/>
      <c r="DR565" s="6"/>
      <c r="DS565" s="6"/>
      <c r="DT565" s="6"/>
      <c r="DU565" s="6"/>
      <c r="DV565" s="6"/>
      <c r="DW565" s="6"/>
      <c r="DX565" s="6"/>
      <c r="DY565" s="6"/>
      <c r="DZ565" s="6"/>
      <c r="EA565" s="6"/>
      <c r="EB565" s="6"/>
      <c r="EC565" s="6"/>
      <c r="ED565" s="6"/>
      <c r="EE565" s="6"/>
      <c r="EF565" s="6"/>
      <c r="EG565" s="6"/>
      <c r="EH565" s="6"/>
      <c r="EI565" s="6"/>
      <c r="EJ565" s="6"/>
      <c r="EK565" s="6"/>
      <c r="EL565" s="6"/>
      <c r="EM565" s="6"/>
      <c r="EN565" s="6"/>
      <c r="EO565" s="6"/>
      <c r="EP565" s="6"/>
      <c r="EQ565" s="6"/>
      <c r="ER565" s="6"/>
      <c r="ES565" s="6"/>
      <c r="ET565" s="6"/>
      <c r="EU565" s="6"/>
      <c r="EV565" s="6"/>
      <c r="EW565" s="6"/>
      <c r="EX565" s="6"/>
      <c r="EY565" s="6"/>
      <c r="EZ565" s="6"/>
      <c r="FA565" s="6"/>
      <c r="FB565" s="6"/>
      <c r="FC565" s="6"/>
      <c r="FD565" s="6"/>
      <c r="FE565" s="6"/>
      <c r="FF565" s="6"/>
      <c r="FG565" s="6"/>
      <c r="FH565" s="6"/>
      <c r="FI565" s="6"/>
      <c r="FJ565" s="6"/>
      <c r="FK565" s="6"/>
      <c r="FL565" s="6"/>
      <c r="FM565" s="6"/>
      <c r="FN565" s="6"/>
      <c r="FO565" s="6"/>
      <c r="FP565" s="6"/>
      <c r="FQ565" s="6"/>
      <c r="FR565" s="6"/>
      <c r="FS565" s="6"/>
      <c r="FT565" s="6"/>
      <c r="FU565" s="6"/>
      <c r="FV565" s="6"/>
      <c r="FW565" s="6"/>
      <c r="FX565" s="6"/>
      <c r="FY565" s="6"/>
      <c r="FZ565" s="6"/>
      <c r="GA565" s="6"/>
      <c r="GB565" s="6"/>
      <c r="GC565" s="6"/>
      <c r="GD565" s="6"/>
      <c r="GE565" s="6"/>
      <c r="GF565" s="6"/>
      <c r="GG565" s="6"/>
      <c r="GH565" s="6"/>
      <c r="GI565" s="6"/>
      <c r="GJ565" s="6"/>
      <c r="GK565" s="6"/>
      <c r="GL565" s="6"/>
      <c r="GM565" s="6"/>
      <c r="GN565" s="6"/>
      <c r="GO565" s="6"/>
      <c r="GP565" s="6"/>
      <c r="GQ565" s="6"/>
      <c r="GR565" s="6"/>
      <c r="GS565" s="6"/>
      <c r="GT565" s="6"/>
      <c r="GU565" s="6"/>
      <c r="GV565" s="6"/>
      <c r="GW565" s="6"/>
      <c r="GX565" s="6"/>
      <c r="GY565" s="6"/>
      <c r="GZ565" s="6"/>
      <c r="HA565" s="6"/>
      <c r="HB565" s="6"/>
      <c r="HC565" s="6"/>
      <c r="HD565" s="6"/>
      <c r="HE565" s="6"/>
      <c r="HF565" s="6"/>
      <c r="HG565" s="6"/>
      <c r="HH565" s="6"/>
      <c r="HI565" s="6"/>
      <c r="HJ565" s="6"/>
      <c r="HK565" s="6"/>
      <c r="HL565" s="6"/>
    </row>
    <row r="566" spans="1:220" x14ac:dyDescent="0.25">
      <c r="B566" s="582" t="s">
        <v>372</v>
      </c>
      <c r="C566" s="7" t="s">
        <v>324</v>
      </c>
      <c r="D566" s="7" t="s">
        <v>1032</v>
      </c>
      <c r="E566" s="7" t="s">
        <v>577</v>
      </c>
      <c r="F566" s="7" t="s">
        <v>578</v>
      </c>
      <c r="G566" s="7" t="s">
        <v>579</v>
      </c>
      <c r="H566" s="7" t="s">
        <v>468</v>
      </c>
      <c r="I566" s="7" t="s">
        <v>1033</v>
      </c>
      <c r="J566" s="7" t="s">
        <v>398</v>
      </c>
      <c r="K566" s="7" t="s">
        <v>328</v>
      </c>
      <c r="L566" s="7" t="s">
        <v>1034</v>
      </c>
      <c r="M566" s="7" t="s">
        <v>1035</v>
      </c>
      <c r="N566" s="7" t="s">
        <v>1036</v>
      </c>
      <c r="O566" s="7" t="s">
        <v>1037</v>
      </c>
      <c r="P566" s="7" t="s">
        <v>1038</v>
      </c>
      <c r="Q566" s="7" t="s">
        <v>1039</v>
      </c>
      <c r="R566" s="7" t="s">
        <v>1040</v>
      </c>
      <c r="S566" s="7" t="s">
        <v>1041</v>
      </c>
      <c r="T566" s="7" t="s">
        <v>1042</v>
      </c>
      <c r="U566" s="7" t="s">
        <v>1043</v>
      </c>
      <c r="V566" s="7" t="s">
        <v>1044</v>
      </c>
      <c r="W566" s="7" t="s">
        <v>1045</v>
      </c>
      <c r="X566" s="7" t="s">
        <v>1046</v>
      </c>
      <c r="Y566" s="7" t="s">
        <v>1047</v>
      </c>
      <c r="AG566" s="106"/>
    </row>
    <row r="567" spans="1:220" x14ac:dyDescent="0.25">
      <c r="B567" s="98" t="str">
        <f>B490</f>
        <v>20180326100000142018032610000012</v>
      </c>
      <c r="C567" s="109" t="str">
        <f t="shared" ref="C567:C579" si="181">VLOOKUP(B567,$B$486:$AN$561,2,FALSE)</f>
        <v>2018032610000014</v>
      </c>
      <c r="D567" s="109" t="str">
        <f t="shared" ref="D567:D579" si="182">VLOOKUP(B567,$B$486:$AN$561,3,FALSE)</f>
        <v>2018032610000012</v>
      </c>
      <c r="E567" s="92" t="str">
        <f t="shared" ref="E567:E579" si="183">VLOOKUP(B567,$B$486:$AN$561,4,FALSE)</f>
        <v>6001</v>
      </c>
      <c r="F567" s="92" t="str">
        <f t="shared" ref="F567:F579" si="184">VLOOKUP(B567,$B$486:$AN$561,5,FALSE)</f>
        <v>B00101</v>
      </c>
      <c r="G567" s="92" t="str">
        <f t="shared" ref="G567:G579" si="185">VLOOKUP(B567,$B$486:$AN$561,6,FALSE)</f>
        <v>6001</v>
      </c>
      <c r="H567" s="92">
        <f>$B$2</f>
        <v>20180326</v>
      </c>
      <c r="I567" s="92">
        <f t="shared" ref="I567:I579" si="186">VLOOKUP(B567,$B$486:$AN$561,8,FALSE)</f>
        <v>20180326</v>
      </c>
      <c r="J567" s="92" t="str">
        <f>$B$22</f>
        <v>CZCE</v>
      </c>
      <c r="K567" s="92" t="str">
        <f t="shared" ref="K567:K579" si="187">VLOOKUP(B567,$B$486:$AN$561,11,FALSE)</f>
        <v>SR807</v>
      </c>
      <c r="L567" s="92">
        <f t="shared" ref="L567:L579" si="188">VLOOKUP(B567,$B$486:$AN$561,12,FALSE)</f>
        <v>10</v>
      </c>
      <c r="M567" s="92">
        <f t="shared" ref="M567:M579" si="189">VLOOKUP(B567,$B$486:$AN$561,13,FALSE)</f>
        <v>3</v>
      </c>
      <c r="N567" s="92">
        <f t="shared" ref="N567:N579" si="190">VLOOKUP(B567,$B$486:$AN$561,14,FALSE)</f>
        <v>0</v>
      </c>
      <c r="O567" s="92">
        <f t="shared" ref="O567:O579" si="191">VLOOKUP(B567,$B$486:$AN$561,15,FALSE)</f>
        <v>1</v>
      </c>
      <c r="P567" s="92">
        <f t="shared" ref="P567:P579" si="192">VLOOKUP(B567,$B$486:$AN$561,16,FALSE)</f>
        <v>3</v>
      </c>
      <c r="Q567" s="92">
        <f t="shared" ref="Q567:Q579" si="193">VLOOKUP(B567,$B$486:$AN$561,17,FALSE)</f>
        <v>6102</v>
      </c>
      <c r="R567" s="92">
        <f t="shared" ref="R567:R579" si="194">VLOOKUP(B567,$B$486:$AN$561,18,FALSE)</f>
        <v>6104</v>
      </c>
      <c r="S567" s="92">
        <f t="shared" ref="S567:S579" si="195">VLOOKUP(B567,$B$486:$AN$561,19,FALSE)</f>
        <v>6150</v>
      </c>
      <c r="T567" s="92">
        <f t="shared" ref="T567:T579" si="196">VLOOKUP(K567,$C$237:$E$249,3,FALSE)</f>
        <v>6150</v>
      </c>
      <c r="U567" s="92">
        <f t="shared" ref="U567:U579" si="197">VLOOKUP(B567,$B$486:$AN$561,28,FALSE)</f>
        <v>-60</v>
      </c>
      <c r="V567" s="92">
        <f t="shared" ref="V567:V579" si="198">VLOOKUP(B567,$B$486:$AN$561,29,FALSE)</f>
        <v>-60</v>
      </c>
      <c r="W567" s="92" t="str">
        <f>$F$8</f>
        <v>9999</v>
      </c>
      <c r="X567" s="92" t="str">
        <f t="shared" ref="X567:X579" si="199">VLOOKUP(B567,$B$486:$AN$561,34,FALSE)</f>
        <v>50010001</v>
      </c>
      <c r="Y567" s="92" t="str">
        <f t="shared" ref="Y567:Y579" si="200">VLOOKUP(B567,$B$486:$AN$561,32,FALSE)</f>
        <v>N</v>
      </c>
      <c r="AF567" s="106"/>
    </row>
    <row r="568" spans="1:220" x14ac:dyDescent="0.25">
      <c r="B568" s="98" t="str">
        <f>B497</f>
        <v>20180326100000212018032610000019</v>
      </c>
      <c r="C568" s="109" t="str">
        <f t="shared" si="181"/>
        <v>2018032610000021</v>
      </c>
      <c r="D568" s="109" t="str">
        <f t="shared" si="182"/>
        <v>2018032610000019</v>
      </c>
      <c r="E568" s="92" t="str">
        <f t="shared" si="183"/>
        <v>6001</v>
      </c>
      <c r="F568" s="92" t="str">
        <f t="shared" si="184"/>
        <v>B00101</v>
      </c>
      <c r="G568" s="92" t="str">
        <f t="shared" si="185"/>
        <v>6001</v>
      </c>
      <c r="H568" s="92">
        <f t="shared" ref="H568:H579" si="201">$B$2</f>
        <v>20180326</v>
      </c>
      <c r="I568" s="92">
        <f t="shared" si="186"/>
        <v>20180326</v>
      </c>
      <c r="J568" s="92" t="str">
        <f t="shared" ref="J568:J579" si="202">$B$22</f>
        <v>CZCE</v>
      </c>
      <c r="K568" s="92" t="str">
        <f t="shared" si="187"/>
        <v>SR807</v>
      </c>
      <c r="L568" s="92">
        <f t="shared" si="188"/>
        <v>10</v>
      </c>
      <c r="M568" s="92">
        <f t="shared" si="189"/>
        <v>3</v>
      </c>
      <c r="N568" s="92">
        <f t="shared" si="190"/>
        <v>1</v>
      </c>
      <c r="O568" s="92">
        <f t="shared" si="191"/>
        <v>1</v>
      </c>
      <c r="P568" s="92">
        <f t="shared" si="192"/>
        <v>1</v>
      </c>
      <c r="Q568" s="92">
        <f t="shared" si="193"/>
        <v>6109</v>
      </c>
      <c r="R568" s="92">
        <f t="shared" si="194"/>
        <v>6111</v>
      </c>
      <c r="S568" s="92">
        <f t="shared" si="195"/>
        <v>6150</v>
      </c>
      <c r="T568" s="92">
        <f t="shared" si="196"/>
        <v>6150</v>
      </c>
      <c r="U568" s="92">
        <f t="shared" si="197"/>
        <v>20</v>
      </c>
      <c r="V568" s="92">
        <f t="shared" si="198"/>
        <v>20</v>
      </c>
      <c r="W568" s="92" t="str">
        <f t="shared" ref="W568:W579" si="203">$F$8</f>
        <v>9999</v>
      </c>
      <c r="X568" s="92" t="str">
        <f t="shared" si="199"/>
        <v>50010001</v>
      </c>
      <c r="Y568" s="92" t="str">
        <f t="shared" si="200"/>
        <v>N</v>
      </c>
      <c r="AF568" s="106"/>
    </row>
    <row r="569" spans="1:220" x14ac:dyDescent="0.25">
      <c r="B569" s="98" t="str">
        <f>B498</f>
        <v>20180326100000222018032610000020</v>
      </c>
      <c r="C569" s="109" t="str">
        <f t="shared" si="181"/>
        <v>2018032610000022</v>
      </c>
      <c r="D569" s="109" t="str">
        <f t="shared" si="182"/>
        <v>2018032610000020</v>
      </c>
      <c r="E569" s="92" t="str">
        <f t="shared" si="183"/>
        <v>6001</v>
      </c>
      <c r="F569" s="92" t="str">
        <f t="shared" si="184"/>
        <v>B00101</v>
      </c>
      <c r="G569" s="92" t="str">
        <f t="shared" si="185"/>
        <v>6001</v>
      </c>
      <c r="H569" s="92">
        <f t="shared" si="201"/>
        <v>20180326</v>
      </c>
      <c r="I569" s="92">
        <f t="shared" si="186"/>
        <v>20180326</v>
      </c>
      <c r="J569" s="92" t="str">
        <f t="shared" si="202"/>
        <v>CZCE</v>
      </c>
      <c r="K569" s="92" t="str">
        <f t="shared" si="187"/>
        <v>SR807</v>
      </c>
      <c r="L569" s="92">
        <f t="shared" si="188"/>
        <v>10</v>
      </c>
      <c r="M569" s="92">
        <f t="shared" si="189"/>
        <v>3</v>
      </c>
      <c r="N569" s="92">
        <f t="shared" si="190"/>
        <v>1</v>
      </c>
      <c r="O569" s="92">
        <f t="shared" si="191"/>
        <v>1</v>
      </c>
      <c r="P569" s="92">
        <f t="shared" si="192"/>
        <v>2</v>
      </c>
      <c r="Q569" s="92">
        <f t="shared" si="193"/>
        <v>6110</v>
      </c>
      <c r="R569" s="92">
        <f t="shared" si="194"/>
        <v>6112</v>
      </c>
      <c r="S569" s="92">
        <f t="shared" si="195"/>
        <v>6150</v>
      </c>
      <c r="T569" s="92">
        <f t="shared" si="196"/>
        <v>6150</v>
      </c>
      <c r="U569" s="92">
        <f t="shared" si="197"/>
        <v>40</v>
      </c>
      <c r="V569" s="92">
        <f t="shared" si="198"/>
        <v>40</v>
      </c>
      <c r="W569" s="92" t="str">
        <f t="shared" si="203"/>
        <v>9999</v>
      </c>
      <c r="X569" s="92" t="str">
        <f t="shared" si="199"/>
        <v>50010001</v>
      </c>
      <c r="Y569" s="92" t="str">
        <f t="shared" si="200"/>
        <v>N</v>
      </c>
      <c r="AF569" s="106"/>
    </row>
    <row r="570" spans="1:220" x14ac:dyDescent="0.25">
      <c r="B570" s="98" t="str">
        <f>B508</f>
        <v>20180326100000322018032610000030</v>
      </c>
      <c r="C570" s="109" t="str">
        <f t="shared" si="181"/>
        <v>2018032610000032</v>
      </c>
      <c r="D570" s="109" t="str">
        <f t="shared" si="182"/>
        <v>2018032610000030</v>
      </c>
      <c r="E570" s="92" t="str">
        <f t="shared" si="183"/>
        <v>6001</v>
      </c>
      <c r="F570" s="92" t="str">
        <f t="shared" si="184"/>
        <v>B00102</v>
      </c>
      <c r="G570" s="92" t="str">
        <f t="shared" si="185"/>
        <v>6001</v>
      </c>
      <c r="H570" s="92">
        <f t="shared" si="201"/>
        <v>20180326</v>
      </c>
      <c r="I570" s="92">
        <f t="shared" si="186"/>
        <v>20180326</v>
      </c>
      <c r="J570" s="92" t="str">
        <f t="shared" si="202"/>
        <v>CZCE</v>
      </c>
      <c r="K570" s="92" t="str">
        <f t="shared" si="187"/>
        <v>PTA807</v>
      </c>
      <c r="L570" s="92">
        <f t="shared" si="188"/>
        <v>5</v>
      </c>
      <c r="M570" s="92">
        <f t="shared" si="189"/>
        <v>3</v>
      </c>
      <c r="N570" s="92">
        <f t="shared" si="190"/>
        <v>1</v>
      </c>
      <c r="O570" s="92">
        <f t="shared" si="191"/>
        <v>1</v>
      </c>
      <c r="P570" s="92">
        <f t="shared" si="192"/>
        <v>2</v>
      </c>
      <c r="Q570" s="92">
        <f t="shared" si="193"/>
        <v>6120</v>
      </c>
      <c r="R570" s="92">
        <f t="shared" si="194"/>
        <v>6122</v>
      </c>
      <c r="S570" s="92">
        <f t="shared" si="195"/>
        <v>6165</v>
      </c>
      <c r="T570" s="92">
        <f t="shared" si="196"/>
        <v>6165</v>
      </c>
      <c r="U570" s="92">
        <f t="shared" si="197"/>
        <v>20</v>
      </c>
      <c r="V570" s="92">
        <f t="shared" si="198"/>
        <v>20</v>
      </c>
      <c r="W570" s="92" t="str">
        <f t="shared" si="203"/>
        <v>9999</v>
      </c>
      <c r="X570" s="92" t="str">
        <f t="shared" si="199"/>
        <v>50010002</v>
      </c>
      <c r="Y570" s="92" t="str">
        <f t="shared" si="200"/>
        <v>N</v>
      </c>
      <c r="AF570" s="106"/>
    </row>
    <row r="571" spans="1:220" s="6" customFormat="1" x14ac:dyDescent="0.25">
      <c r="A571" s="167"/>
      <c r="B571" s="571" t="str">
        <f>B512</f>
        <v>99999999201803262018032610000012</v>
      </c>
      <c r="C571" s="109" t="str">
        <f t="shared" si="181"/>
        <v>9999999920180326</v>
      </c>
      <c r="D571" s="109" t="str">
        <f t="shared" si="182"/>
        <v>2018032610000012</v>
      </c>
      <c r="E571" s="92" t="str">
        <f t="shared" si="183"/>
        <v>6001</v>
      </c>
      <c r="F571" s="92" t="str">
        <f t="shared" si="184"/>
        <v>B00101</v>
      </c>
      <c r="G571" s="92" t="str">
        <f t="shared" si="185"/>
        <v>6001</v>
      </c>
      <c r="H571" s="92">
        <f t="shared" si="201"/>
        <v>20180326</v>
      </c>
      <c r="I571" s="92">
        <f t="shared" si="186"/>
        <v>20180326</v>
      </c>
      <c r="J571" s="111" t="str">
        <f t="shared" si="202"/>
        <v>CZCE</v>
      </c>
      <c r="K571" s="92" t="str">
        <f t="shared" si="187"/>
        <v>SR807</v>
      </c>
      <c r="L571" s="92">
        <f t="shared" si="188"/>
        <v>10</v>
      </c>
      <c r="M571" s="92">
        <f t="shared" si="189"/>
        <v>3</v>
      </c>
      <c r="N571" s="92">
        <f t="shared" si="190"/>
        <v>0</v>
      </c>
      <c r="O571" s="92">
        <f t="shared" si="191"/>
        <v>1</v>
      </c>
      <c r="P571" s="92">
        <f t="shared" si="192"/>
        <v>2</v>
      </c>
      <c r="Q571" s="92">
        <f t="shared" si="193"/>
        <v>6102</v>
      </c>
      <c r="R571" s="92">
        <f t="shared" si="194"/>
        <v>6130</v>
      </c>
      <c r="S571" s="92">
        <f t="shared" si="195"/>
        <v>6150</v>
      </c>
      <c r="T571" s="92">
        <f t="shared" si="196"/>
        <v>6150</v>
      </c>
      <c r="U571" s="92">
        <f t="shared" si="197"/>
        <v>-560</v>
      </c>
      <c r="V571" s="92">
        <f t="shared" si="198"/>
        <v>-560</v>
      </c>
      <c r="W571" s="92" t="str">
        <f t="shared" si="203"/>
        <v>9999</v>
      </c>
      <c r="X571" s="92" t="str">
        <f t="shared" si="199"/>
        <v>50010001</v>
      </c>
      <c r="Y571" s="92" t="str">
        <f t="shared" si="200"/>
        <v>S</v>
      </c>
      <c r="AF571" s="106"/>
    </row>
    <row r="572" spans="1:220" s="6" customFormat="1" x14ac:dyDescent="0.25">
      <c r="A572" s="167"/>
      <c r="B572" s="571" t="str">
        <f>B516</f>
        <v>99999999201803262018032610000030</v>
      </c>
      <c r="C572" s="109" t="str">
        <f t="shared" si="181"/>
        <v>9999999920180326</v>
      </c>
      <c r="D572" s="109" t="str">
        <f t="shared" si="182"/>
        <v>2018032610000030</v>
      </c>
      <c r="E572" s="92" t="str">
        <f t="shared" si="183"/>
        <v>6001</v>
      </c>
      <c r="F572" s="92" t="str">
        <f t="shared" si="184"/>
        <v>B00102</v>
      </c>
      <c r="G572" s="92" t="str">
        <f t="shared" si="185"/>
        <v>6001</v>
      </c>
      <c r="H572" s="92">
        <f t="shared" si="201"/>
        <v>20180326</v>
      </c>
      <c r="I572" s="92">
        <f t="shared" si="186"/>
        <v>20180326</v>
      </c>
      <c r="J572" s="111" t="str">
        <f t="shared" si="202"/>
        <v>CZCE</v>
      </c>
      <c r="K572" s="92" t="str">
        <f t="shared" si="187"/>
        <v>PTA807</v>
      </c>
      <c r="L572" s="92">
        <f t="shared" si="188"/>
        <v>5</v>
      </c>
      <c r="M572" s="92">
        <f t="shared" si="189"/>
        <v>3</v>
      </c>
      <c r="N572" s="92">
        <f t="shared" si="190"/>
        <v>1</v>
      </c>
      <c r="O572" s="92">
        <f t="shared" si="191"/>
        <v>1</v>
      </c>
      <c r="P572" s="92">
        <f t="shared" si="192"/>
        <v>5</v>
      </c>
      <c r="Q572" s="92">
        <f t="shared" si="193"/>
        <v>6120</v>
      </c>
      <c r="R572" s="92">
        <f t="shared" si="194"/>
        <v>6120</v>
      </c>
      <c r="S572" s="92">
        <f t="shared" si="195"/>
        <v>6165</v>
      </c>
      <c r="T572" s="92">
        <f t="shared" si="196"/>
        <v>6165</v>
      </c>
      <c r="U572" s="92">
        <f t="shared" si="197"/>
        <v>0</v>
      </c>
      <c r="V572" s="92">
        <f t="shared" si="198"/>
        <v>0</v>
      </c>
      <c r="W572" s="92" t="str">
        <f t="shared" si="203"/>
        <v>9999</v>
      </c>
      <c r="X572" s="92" t="str">
        <f t="shared" si="199"/>
        <v>50010002</v>
      </c>
      <c r="Y572" s="92" t="str">
        <f t="shared" si="200"/>
        <v>S</v>
      </c>
      <c r="AF572" s="106"/>
    </row>
    <row r="573" spans="1:220" s="6" customFormat="1" x14ac:dyDescent="0.25">
      <c r="A573" s="167"/>
      <c r="B573" s="571" t="str">
        <f>B517</f>
        <v>99999999201803262018032610000028</v>
      </c>
      <c r="C573" s="109" t="str">
        <f t="shared" si="181"/>
        <v>9999999920180326</v>
      </c>
      <c r="D573" s="109" t="str">
        <f t="shared" si="182"/>
        <v>2018032610000028</v>
      </c>
      <c r="E573" s="92" t="str">
        <f t="shared" si="183"/>
        <v>6001</v>
      </c>
      <c r="F573" s="92" t="str">
        <f t="shared" si="184"/>
        <v>B00102</v>
      </c>
      <c r="G573" s="92" t="str">
        <f t="shared" si="185"/>
        <v>6001</v>
      </c>
      <c r="H573" s="92">
        <f t="shared" si="201"/>
        <v>20180326</v>
      </c>
      <c r="I573" s="92">
        <f t="shared" si="186"/>
        <v>20180326</v>
      </c>
      <c r="J573" s="111" t="str">
        <f t="shared" si="202"/>
        <v>CZCE</v>
      </c>
      <c r="K573" s="92" t="str">
        <f t="shared" si="187"/>
        <v>PTA807</v>
      </c>
      <c r="L573" s="92">
        <f t="shared" si="188"/>
        <v>5</v>
      </c>
      <c r="M573" s="92">
        <f t="shared" si="189"/>
        <v>3</v>
      </c>
      <c r="N573" s="92">
        <f t="shared" si="190"/>
        <v>1</v>
      </c>
      <c r="O573" s="92">
        <f t="shared" si="191"/>
        <v>3</v>
      </c>
      <c r="P573" s="92">
        <f t="shared" si="192"/>
        <v>4</v>
      </c>
      <c r="Q573" s="92">
        <f t="shared" si="193"/>
        <v>6118</v>
      </c>
      <c r="R573" s="92">
        <f t="shared" si="194"/>
        <v>6120</v>
      </c>
      <c r="S573" s="92">
        <f t="shared" si="195"/>
        <v>6165</v>
      </c>
      <c r="T573" s="92">
        <f t="shared" si="196"/>
        <v>6165</v>
      </c>
      <c r="U573" s="92">
        <f t="shared" si="197"/>
        <v>40</v>
      </c>
      <c r="V573" s="92">
        <f t="shared" si="198"/>
        <v>40</v>
      </c>
      <c r="W573" s="92" t="str">
        <f t="shared" si="203"/>
        <v>9999</v>
      </c>
      <c r="X573" s="92" t="str">
        <f t="shared" si="199"/>
        <v>50010002</v>
      </c>
      <c r="Y573" s="92" t="str">
        <f t="shared" si="200"/>
        <v>S</v>
      </c>
      <c r="AF573" s="106"/>
    </row>
    <row r="574" spans="1:220" x14ac:dyDescent="0.25">
      <c r="B574" s="98" t="str">
        <f>B533</f>
        <v>20180326100000842018032610000082</v>
      </c>
      <c r="C574" s="109" t="str">
        <f t="shared" si="181"/>
        <v>2018032610000084</v>
      </c>
      <c r="D574" s="109" t="str">
        <f t="shared" si="182"/>
        <v>2018032610000082</v>
      </c>
      <c r="E574" s="92" t="str">
        <f t="shared" si="183"/>
        <v>6001</v>
      </c>
      <c r="F574" s="92" t="str">
        <f t="shared" si="184"/>
        <v>B00101</v>
      </c>
      <c r="G574" s="92" t="str">
        <f t="shared" si="185"/>
        <v>6001</v>
      </c>
      <c r="H574" s="92">
        <f t="shared" si="201"/>
        <v>20180326</v>
      </c>
      <c r="I574" s="92">
        <f t="shared" si="186"/>
        <v>20180326</v>
      </c>
      <c r="J574" s="92" t="str">
        <f t="shared" si="202"/>
        <v>CZCE</v>
      </c>
      <c r="K574" s="92" t="str">
        <f t="shared" si="187"/>
        <v>SR807C6500</v>
      </c>
      <c r="L574" s="92">
        <f t="shared" si="188"/>
        <v>10</v>
      </c>
      <c r="M574" s="92">
        <f t="shared" si="189"/>
        <v>3</v>
      </c>
      <c r="N574" s="92">
        <f t="shared" si="190"/>
        <v>1</v>
      </c>
      <c r="O574" s="92">
        <f t="shared" si="191"/>
        <v>1</v>
      </c>
      <c r="P574" s="92">
        <f t="shared" si="192"/>
        <v>4</v>
      </c>
      <c r="Q574" s="92">
        <f t="shared" si="193"/>
        <v>602</v>
      </c>
      <c r="R574" s="92">
        <f t="shared" si="194"/>
        <v>604</v>
      </c>
      <c r="S574" s="92">
        <f t="shared" si="195"/>
        <v>615</v>
      </c>
      <c r="T574" s="92">
        <f t="shared" si="196"/>
        <v>615</v>
      </c>
      <c r="U574" s="92">
        <f t="shared" si="197"/>
        <v>0</v>
      </c>
      <c r="V574" s="92">
        <f t="shared" si="198"/>
        <v>0</v>
      </c>
      <c r="W574" s="92" t="str">
        <f t="shared" si="203"/>
        <v>9999</v>
      </c>
      <c r="X574" s="92" t="str">
        <f t="shared" si="199"/>
        <v>50010001</v>
      </c>
      <c r="Y574" s="92" t="str">
        <f t="shared" si="200"/>
        <v>N</v>
      </c>
      <c r="AF574" s="106"/>
    </row>
    <row r="575" spans="1:220" x14ac:dyDescent="0.25">
      <c r="B575" s="98" t="str">
        <f>B534</f>
        <v>20180326100000852018032610000083</v>
      </c>
      <c r="C575" s="109" t="str">
        <f t="shared" si="181"/>
        <v>2018032610000085</v>
      </c>
      <c r="D575" s="109" t="str">
        <f t="shared" si="182"/>
        <v>2018032610000083</v>
      </c>
      <c r="E575" s="92" t="str">
        <f t="shared" si="183"/>
        <v>6001</v>
      </c>
      <c r="F575" s="92" t="str">
        <f t="shared" si="184"/>
        <v>B00101</v>
      </c>
      <c r="G575" s="92" t="str">
        <f t="shared" si="185"/>
        <v>6001</v>
      </c>
      <c r="H575" s="92">
        <f t="shared" si="201"/>
        <v>20180326</v>
      </c>
      <c r="I575" s="92">
        <f t="shared" si="186"/>
        <v>20180326</v>
      </c>
      <c r="J575" s="92" t="str">
        <f t="shared" si="202"/>
        <v>CZCE</v>
      </c>
      <c r="K575" s="92" t="str">
        <f t="shared" si="187"/>
        <v>SR807C6500</v>
      </c>
      <c r="L575" s="92">
        <f t="shared" si="188"/>
        <v>10</v>
      </c>
      <c r="M575" s="92">
        <f t="shared" si="189"/>
        <v>3</v>
      </c>
      <c r="N575" s="92">
        <f t="shared" si="190"/>
        <v>1</v>
      </c>
      <c r="O575" s="92">
        <f t="shared" si="191"/>
        <v>1</v>
      </c>
      <c r="P575" s="92">
        <f t="shared" si="192"/>
        <v>5</v>
      </c>
      <c r="Q575" s="92">
        <f t="shared" si="193"/>
        <v>603</v>
      </c>
      <c r="R575" s="92">
        <f t="shared" si="194"/>
        <v>605</v>
      </c>
      <c r="S575" s="92">
        <f t="shared" si="195"/>
        <v>615</v>
      </c>
      <c r="T575" s="92">
        <f t="shared" si="196"/>
        <v>615</v>
      </c>
      <c r="U575" s="92">
        <f t="shared" si="197"/>
        <v>0</v>
      </c>
      <c r="V575" s="92">
        <f t="shared" si="198"/>
        <v>0</v>
      </c>
      <c r="W575" s="92" t="str">
        <f t="shared" si="203"/>
        <v>9999</v>
      </c>
      <c r="X575" s="92" t="str">
        <f t="shared" si="199"/>
        <v>50010001</v>
      </c>
      <c r="Y575" s="92" t="str">
        <f t="shared" si="200"/>
        <v>N</v>
      </c>
      <c r="AF575" s="106"/>
    </row>
    <row r="576" spans="1:220" x14ac:dyDescent="0.25">
      <c r="B576" s="98" t="str">
        <f>B535</f>
        <v>20180326100000862018032610000080</v>
      </c>
      <c r="C576" s="109" t="str">
        <f t="shared" si="181"/>
        <v>2018032610000086</v>
      </c>
      <c r="D576" s="109" t="str">
        <f t="shared" si="182"/>
        <v>2018032610000080</v>
      </c>
      <c r="E576" s="92" t="str">
        <f t="shared" si="183"/>
        <v>6001</v>
      </c>
      <c r="F576" s="92" t="str">
        <f t="shared" si="184"/>
        <v>B00101</v>
      </c>
      <c r="G576" s="92" t="str">
        <f t="shared" si="185"/>
        <v>6001</v>
      </c>
      <c r="H576" s="92">
        <f t="shared" si="201"/>
        <v>20180326</v>
      </c>
      <c r="I576" s="92">
        <f t="shared" si="186"/>
        <v>20180326</v>
      </c>
      <c r="J576" s="92" t="str">
        <f t="shared" si="202"/>
        <v>CZCE</v>
      </c>
      <c r="K576" s="92" t="str">
        <f t="shared" si="187"/>
        <v>SR807C6500</v>
      </c>
      <c r="L576" s="92">
        <f t="shared" si="188"/>
        <v>10</v>
      </c>
      <c r="M576" s="92">
        <f t="shared" si="189"/>
        <v>3</v>
      </c>
      <c r="N576" s="92">
        <f t="shared" si="190"/>
        <v>1</v>
      </c>
      <c r="O576" s="92">
        <f t="shared" si="191"/>
        <v>3</v>
      </c>
      <c r="P576" s="92">
        <f t="shared" si="192"/>
        <v>1</v>
      </c>
      <c r="Q576" s="92">
        <f t="shared" si="193"/>
        <v>600</v>
      </c>
      <c r="R576" s="92">
        <f t="shared" si="194"/>
        <v>606</v>
      </c>
      <c r="S576" s="92">
        <f t="shared" si="195"/>
        <v>615</v>
      </c>
      <c r="T576" s="92">
        <f t="shared" si="196"/>
        <v>615</v>
      </c>
      <c r="U576" s="92">
        <f t="shared" si="197"/>
        <v>0</v>
      </c>
      <c r="V576" s="92">
        <f t="shared" si="198"/>
        <v>0</v>
      </c>
      <c r="W576" s="92" t="str">
        <f t="shared" si="203"/>
        <v>9999</v>
      </c>
      <c r="X576" s="92" t="str">
        <f t="shared" si="199"/>
        <v>50010001</v>
      </c>
      <c r="Y576" s="92" t="str">
        <f t="shared" si="200"/>
        <v>N</v>
      </c>
      <c r="AF576" s="106"/>
    </row>
    <row r="577" spans="1:32" x14ac:dyDescent="0.25">
      <c r="B577" s="98" t="str">
        <f>B541</f>
        <v>20180326100000932018032610000091</v>
      </c>
      <c r="C577" s="109" t="str">
        <f t="shared" si="181"/>
        <v>2018032610000093</v>
      </c>
      <c r="D577" s="109" t="str">
        <f t="shared" si="182"/>
        <v>2018032610000091</v>
      </c>
      <c r="E577" s="92" t="str">
        <f t="shared" si="183"/>
        <v>6001</v>
      </c>
      <c r="F577" s="92" t="str">
        <f t="shared" si="184"/>
        <v>B00101</v>
      </c>
      <c r="G577" s="92" t="str">
        <f t="shared" si="185"/>
        <v>6001</v>
      </c>
      <c r="H577" s="92">
        <f t="shared" si="201"/>
        <v>20180326</v>
      </c>
      <c r="I577" s="92">
        <f t="shared" si="186"/>
        <v>20180326</v>
      </c>
      <c r="J577" s="92" t="str">
        <f t="shared" si="202"/>
        <v>CZCE</v>
      </c>
      <c r="K577" s="92" t="str">
        <f t="shared" si="187"/>
        <v>SR807C6500</v>
      </c>
      <c r="L577" s="92">
        <f t="shared" si="188"/>
        <v>10</v>
      </c>
      <c r="M577" s="92">
        <f t="shared" si="189"/>
        <v>3</v>
      </c>
      <c r="N577" s="92">
        <f t="shared" si="190"/>
        <v>0</v>
      </c>
      <c r="O577" s="92">
        <f t="shared" si="191"/>
        <v>1</v>
      </c>
      <c r="P577" s="92">
        <f t="shared" si="192"/>
        <v>10</v>
      </c>
      <c r="Q577" s="92">
        <f t="shared" si="193"/>
        <v>611</v>
      </c>
      <c r="R577" s="92">
        <f t="shared" si="194"/>
        <v>613</v>
      </c>
      <c r="S577" s="92">
        <f t="shared" si="195"/>
        <v>615</v>
      </c>
      <c r="T577" s="92">
        <f t="shared" si="196"/>
        <v>615</v>
      </c>
      <c r="U577" s="92">
        <f t="shared" si="197"/>
        <v>0</v>
      </c>
      <c r="V577" s="92">
        <f t="shared" si="198"/>
        <v>0</v>
      </c>
      <c r="W577" s="92" t="str">
        <f t="shared" si="203"/>
        <v>9999</v>
      </c>
      <c r="X577" s="92" t="str">
        <f t="shared" si="199"/>
        <v>50010001</v>
      </c>
      <c r="Y577" s="92" t="str">
        <f t="shared" si="200"/>
        <v>N</v>
      </c>
      <c r="AF577" s="106"/>
    </row>
    <row r="578" spans="1:32" x14ac:dyDescent="0.25">
      <c r="B578" s="98" t="str">
        <f>B542</f>
        <v>20180326100000942018032610000092</v>
      </c>
      <c r="C578" s="109" t="str">
        <f t="shared" si="181"/>
        <v>2018032610000094</v>
      </c>
      <c r="D578" s="109" t="str">
        <f t="shared" si="182"/>
        <v>2018032610000092</v>
      </c>
      <c r="E578" s="92" t="str">
        <f t="shared" si="183"/>
        <v>6001</v>
      </c>
      <c r="F578" s="92" t="str">
        <f t="shared" si="184"/>
        <v>B00101</v>
      </c>
      <c r="G578" s="92" t="str">
        <f t="shared" si="185"/>
        <v>6001</v>
      </c>
      <c r="H578" s="92">
        <f t="shared" si="201"/>
        <v>20180326</v>
      </c>
      <c r="I578" s="92">
        <f t="shared" si="186"/>
        <v>20180326</v>
      </c>
      <c r="J578" s="92" t="str">
        <f t="shared" si="202"/>
        <v>CZCE</v>
      </c>
      <c r="K578" s="92" t="str">
        <f t="shared" si="187"/>
        <v>SR807C6500</v>
      </c>
      <c r="L578" s="92">
        <f t="shared" si="188"/>
        <v>10</v>
      </c>
      <c r="M578" s="92">
        <f t="shared" si="189"/>
        <v>3</v>
      </c>
      <c r="N578" s="92">
        <f t="shared" si="190"/>
        <v>0</v>
      </c>
      <c r="O578" s="92">
        <f t="shared" si="191"/>
        <v>1</v>
      </c>
      <c r="P578" s="92">
        <f t="shared" si="192"/>
        <v>2</v>
      </c>
      <c r="Q578" s="92">
        <f t="shared" si="193"/>
        <v>612</v>
      </c>
      <c r="R578" s="92">
        <f t="shared" si="194"/>
        <v>614</v>
      </c>
      <c r="S578" s="92">
        <f t="shared" si="195"/>
        <v>615</v>
      </c>
      <c r="T578" s="92">
        <f t="shared" si="196"/>
        <v>615</v>
      </c>
      <c r="U578" s="92">
        <f t="shared" si="197"/>
        <v>0</v>
      </c>
      <c r="V578" s="92">
        <f t="shared" si="198"/>
        <v>0</v>
      </c>
      <c r="W578" s="92" t="str">
        <f t="shared" si="203"/>
        <v>9999</v>
      </c>
      <c r="X578" s="92" t="str">
        <f t="shared" si="199"/>
        <v>50010001</v>
      </c>
      <c r="Y578" s="92" t="str">
        <f t="shared" si="200"/>
        <v>N</v>
      </c>
      <c r="AF578" s="106"/>
    </row>
    <row r="579" spans="1:32" x14ac:dyDescent="0.25">
      <c r="B579" s="126" t="str">
        <f>B556</f>
        <v>20180326100001072018032610000104</v>
      </c>
      <c r="C579" s="109" t="str">
        <f t="shared" si="181"/>
        <v>2018032610000107</v>
      </c>
      <c r="D579" s="109" t="str">
        <f t="shared" si="182"/>
        <v>2018032610000104</v>
      </c>
      <c r="E579" s="92" t="str">
        <f t="shared" si="183"/>
        <v>6001</v>
      </c>
      <c r="F579" s="92" t="str">
        <f t="shared" si="184"/>
        <v>B00102</v>
      </c>
      <c r="G579" s="92" t="str">
        <f t="shared" si="185"/>
        <v>6001</v>
      </c>
      <c r="H579" s="92">
        <f t="shared" si="201"/>
        <v>20180326</v>
      </c>
      <c r="I579" s="92">
        <f t="shared" si="186"/>
        <v>20180326</v>
      </c>
      <c r="J579" s="92" t="str">
        <f t="shared" si="202"/>
        <v>CZCE</v>
      </c>
      <c r="K579" s="92" t="str">
        <f t="shared" si="187"/>
        <v>PTA807C6500</v>
      </c>
      <c r="L579" s="92">
        <f t="shared" si="188"/>
        <v>5</v>
      </c>
      <c r="M579" s="92">
        <f t="shared" si="189"/>
        <v>3</v>
      </c>
      <c r="N579" s="92">
        <f t="shared" si="190"/>
        <v>0</v>
      </c>
      <c r="O579" s="92">
        <f t="shared" si="191"/>
        <v>1</v>
      </c>
      <c r="P579" s="92">
        <f t="shared" si="192"/>
        <v>2</v>
      </c>
      <c r="Q579" s="92">
        <f t="shared" si="193"/>
        <v>624</v>
      </c>
      <c r="R579" s="92">
        <f t="shared" si="194"/>
        <v>627</v>
      </c>
      <c r="S579" s="92">
        <f t="shared" si="195"/>
        <v>600</v>
      </c>
      <c r="T579" s="92">
        <f t="shared" si="196"/>
        <v>600</v>
      </c>
      <c r="U579" s="92">
        <f t="shared" si="197"/>
        <v>0</v>
      </c>
      <c r="V579" s="92">
        <f t="shared" si="198"/>
        <v>0</v>
      </c>
      <c r="W579" s="92" t="str">
        <f t="shared" si="203"/>
        <v>9999</v>
      </c>
      <c r="X579" s="92" t="str">
        <f t="shared" si="199"/>
        <v>50010002</v>
      </c>
      <c r="Y579" s="92" t="str">
        <f t="shared" si="200"/>
        <v>N</v>
      </c>
      <c r="AF579" s="106"/>
    </row>
    <row r="580" spans="1:32" x14ac:dyDescent="0.25">
      <c r="AF580" s="106"/>
    </row>
    <row r="581" spans="1:32" x14ac:dyDescent="0.25">
      <c r="A581" s="126" t="s">
        <v>455</v>
      </c>
      <c r="B581" t="s">
        <v>376</v>
      </c>
      <c r="C581" s="105"/>
      <c r="D581" s="105"/>
      <c r="E581" s="105"/>
      <c r="AF581" s="106"/>
    </row>
    <row r="582" spans="1:32" x14ac:dyDescent="0.25">
      <c r="A582" s="126" t="s">
        <v>374</v>
      </c>
      <c r="B582" t="s">
        <v>406</v>
      </c>
      <c r="C582" s="105"/>
      <c r="D582" s="105"/>
      <c r="E582" s="105"/>
      <c r="AF582" s="106"/>
    </row>
    <row r="583" spans="1:32" x14ac:dyDescent="0.25">
      <c r="A583" s="57" t="s">
        <v>124</v>
      </c>
      <c r="B583" s="57" t="s">
        <v>980</v>
      </c>
      <c r="C583" s="105"/>
      <c r="D583" s="105"/>
      <c r="E583" s="105"/>
      <c r="AF583" s="106"/>
    </row>
    <row r="584" spans="1:32" x14ac:dyDescent="0.25">
      <c r="A584" s="126" t="s">
        <v>973</v>
      </c>
      <c r="B584" s="732" t="s">
        <v>387</v>
      </c>
      <c r="C584" s="721"/>
      <c r="D584" s="721"/>
      <c r="E584" s="721"/>
      <c r="F584" s="721"/>
      <c r="G584" s="721"/>
      <c r="H584" s="721"/>
      <c r="I584" s="721"/>
      <c r="J584" s="721"/>
      <c r="K584" s="721"/>
      <c r="L584" s="721"/>
      <c r="M584" s="721"/>
      <c r="N584" s="721"/>
      <c r="O584" s="721"/>
      <c r="P584" s="721"/>
      <c r="Q584" s="721"/>
      <c r="R584" s="721"/>
      <c r="AF584" s="106"/>
    </row>
    <row r="585" spans="1:32" x14ac:dyDescent="0.25">
      <c r="A585" s="126" t="s">
        <v>359</v>
      </c>
      <c r="B585" s="582" t="s">
        <v>407</v>
      </c>
      <c r="C585" s="7" t="s">
        <v>377</v>
      </c>
      <c r="D585" s="7" t="s">
        <v>378</v>
      </c>
      <c r="E585" s="7" t="s">
        <v>379</v>
      </c>
      <c r="F585" s="7" t="s">
        <v>380</v>
      </c>
      <c r="G585" s="7" t="s">
        <v>390</v>
      </c>
      <c r="H585" s="7" t="s">
        <v>381</v>
      </c>
      <c r="I585" s="7" t="s">
        <v>403</v>
      </c>
      <c r="J585" s="7" t="s">
        <v>382</v>
      </c>
      <c r="K585" s="7" t="s">
        <v>383</v>
      </c>
      <c r="L585" s="7" t="s">
        <v>384</v>
      </c>
      <c r="M585" s="7" t="s">
        <v>385</v>
      </c>
      <c r="N585" s="7" t="s">
        <v>386</v>
      </c>
      <c r="O585" s="121" t="s">
        <v>388</v>
      </c>
      <c r="P585" s="7" t="s">
        <v>389</v>
      </c>
      <c r="Q585" s="12" t="s">
        <v>320</v>
      </c>
      <c r="R585" s="7" t="s">
        <v>361</v>
      </c>
      <c r="AF585" s="106"/>
    </row>
    <row r="586" spans="1:32" x14ac:dyDescent="0.25">
      <c r="B586" s="582" t="s">
        <v>400</v>
      </c>
      <c r="C586" s="7" t="s">
        <v>401</v>
      </c>
      <c r="D586" s="7" t="s">
        <v>402</v>
      </c>
      <c r="E586" s="7" t="s">
        <v>1770</v>
      </c>
      <c r="F586" s="7" t="s">
        <v>399</v>
      </c>
      <c r="G586" s="7" t="s">
        <v>398</v>
      </c>
      <c r="H586" s="7" t="s">
        <v>466</v>
      </c>
      <c r="I586" s="7" t="s">
        <v>405</v>
      </c>
      <c r="J586" s="7" t="s">
        <v>397</v>
      </c>
      <c r="K586" s="7" t="s">
        <v>396</v>
      </c>
      <c r="L586" s="7" t="s">
        <v>395</v>
      </c>
      <c r="M586" s="7" t="s">
        <v>394</v>
      </c>
      <c r="N586" s="7" t="s">
        <v>393</v>
      </c>
      <c r="O586" s="121" t="s">
        <v>392</v>
      </c>
      <c r="P586" s="92" t="s">
        <v>391</v>
      </c>
      <c r="Q586" s="7" t="s">
        <v>346</v>
      </c>
      <c r="R586" s="7" t="s">
        <v>362</v>
      </c>
      <c r="AF586" s="107"/>
    </row>
    <row r="587" spans="1:32" ht="15" customHeight="1" x14ac:dyDescent="0.25">
      <c r="B587" s="98">
        <f>$B$2</f>
        <v>20180326</v>
      </c>
      <c r="C587" s="34" t="str">
        <f>B8</f>
        <v>6001</v>
      </c>
      <c r="D587" s="34" t="str">
        <f>C8</f>
        <v>B00101</v>
      </c>
      <c r="E587" s="34" t="str">
        <f>D8</f>
        <v>6001</v>
      </c>
      <c r="F587" s="101">
        <f>$B$2</f>
        <v>20180326</v>
      </c>
      <c r="G587" s="101" t="str">
        <f>$B$22</f>
        <v>CZCE</v>
      </c>
      <c r="H587" s="12" t="str">
        <f xml:space="preserve"> $C$22</f>
        <v>SR807</v>
      </c>
      <c r="I587" s="101">
        <f>VLOOKUP(H587,$C$22:$E$34,3,FALSE)</f>
        <v>10</v>
      </c>
      <c r="J587" s="101">
        <v>3</v>
      </c>
      <c r="K587" s="101">
        <v>1</v>
      </c>
      <c r="L587" s="101">
        <v>2</v>
      </c>
      <c r="M587" s="121">
        <v>6130</v>
      </c>
      <c r="N587" s="121">
        <v>1</v>
      </c>
      <c r="O587" s="121">
        <v>0</v>
      </c>
      <c r="P587" s="121">
        <v>0</v>
      </c>
      <c r="Q587" s="92" t="str">
        <f>$F$8</f>
        <v>9999</v>
      </c>
      <c r="R587" s="92" t="str">
        <f>$D$12</f>
        <v>CNY</v>
      </c>
    </row>
    <row r="588" spans="1:32" x14ac:dyDescent="0.25">
      <c r="B588" s="98">
        <f t="shared" ref="B588:B589" si="204">$B$2</f>
        <v>20180326</v>
      </c>
      <c r="C588" s="34" t="str">
        <f>C587</f>
        <v>6001</v>
      </c>
      <c r="D588" s="34" t="str">
        <f>C9</f>
        <v>B00102</v>
      </c>
      <c r="E588" s="34" t="str">
        <f>D9</f>
        <v>6001</v>
      </c>
      <c r="F588" s="101">
        <f t="shared" ref="F588:F589" si="205">$B$2</f>
        <v>20180326</v>
      </c>
      <c r="G588" s="101" t="str">
        <f t="shared" ref="G588:G589" si="206">$B$22</f>
        <v>CZCE</v>
      </c>
      <c r="H588" s="12" t="str">
        <f xml:space="preserve"> $C$25</f>
        <v>PTA807</v>
      </c>
      <c r="I588" s="101">
        <f>VLOOKUP(H588,$C$22:$E$34,3,FALSE)</f>
        <v>5</v>
      </c>
      <c r="J588" s="101">
        <v>2</v>
      </c>
      <c r="K588" s="101">
        <v>1</v>
      </c>
      <c r="L588" s="101">
        <v>5</v>
      </c>
      <c r="M588" s="121">
        <v>6120</v>
      </c>
      <c r="N588" s="121">
        <v>1</v>
      </c>
      <c r="O588" s="121">
        <v>0</v>
      </c>
      <c r="P588" s="121">
        <v>0</v>
      </c>
      <c r="Q588" s="92" t="str">
        <f t="shared" ref="Q588:Q589" si="207">$F$8</f>
        <v>9999</v>
      </c>
      <c r="R588" s="92" t="str">
        <f t="shared" ref="R588:R589" si="208">$D$12</f>
        <v>CNY</v>
      </c>
    </row>
    <row r="589" spans="1:32" x14ac:dyDescent="0.25">
      <c r="B589" s="98">
        <f t="shared" si="204"/>
        <v>20180326</v>
      </c>
      <c r="C589" s="124" t="str">
        <f>C588</f>
        <v>6001</v>
      </c>
      <c r="D589" s="124" t="str">
        <f t="shared" ref="D589:E589" si="209">D588</f>
        <v>B00102</v>
      </c>
      <c r="E589" s="124" t="str">
        <f t="shared" si="209"/>
        <v>6001</v>
      </c>
      <c r="F589" s="101">
        <f t="shared" si="205"/>
        <v>20180326</v>
      </c>
      <c r="G589" s="101" t="str">
        <f t="shared" si="206"/>
        <v>CZCE</v>
      </c>
      <c r="H589" s="12" t="str">
        <f xml:space="preserve"> $C$25</f>
        <v>PTA807</v>
      </c>
      <c r="I589" s="101">
        <f>VLOOKUP(H589,$C$22:$E$34,3,FALSE)</f>
        <v>5</v>
      </c>
      <c r="J589" s="101">
        <v>2</v>
      </c>
      <c r="K589" s="101">
        <v>3</v>
      </c>
      <c r="L589" s="101">
        <v>4</v>
      </c>
      <c r="M589" s="125">
        <v>6120</v>
      </c>
      <c r="N589" s="121">
        <v>1</v>
      </c>
      <c r="O589" s="121">
        <v>0</v>
      </c>
      <c r="P589" s="121">
        <v>0</v>
      </c>
      <c r="Q589" s="92" t="str">
        <f t="shared" si="207"/>
        <v>9999</v>
      </c>
      <c r="R589" s="92" t="str">
        <f t="shared" si="208"/>
        <v>CNY</v>
      </c>
    </row>
    <row r="590" spans="1:32" x14ac:dyDescent="0.25">
      <c r="B590" s="126"/>
      <c r="C590" s="127"/>
      <c r="D590" s="127"/>
      <c r="E590" s="127"/>
      <c r="F590" s="107"/>
      <c r="G590" s="107"/>
      <c r="H590" s="3"/>
      <c r="I590" s="107"/>
      <c r="J590" s="107"/>
      <c r="K590" s="107"/>
      <c r="L590" s="107"/>
      <c r="M590" s="122"/>
      <c r="N590" s="128"/>
      <c r="O590" s="128"/>
      <c r="P590" s="128"/>
      <c r="Q590" s="126"/>
      <c r="R590" s="126"/>
    </row>
    <row r="591" spans="1:32" x14ac:dyDescent="0.25">
      <c r="A591" s="126" t="s">
        <v>456</v>
      </c>
      <c r="B591" t="s">
        <v>427</v>
      </c>
    </row>
    <row r="592" spans="1:32" x14ac:dyDescent="0.25">
      <c r="A592" s="168" t="s">
        <v>970</v>
      </c>
      <c r="B592" s="595" t="s">
        <v>971</v>
      </c>
    </row>
    <row r="593" spans="1:28" x14ac:dyDescent="0.25">
      <c r="A593" s="126" t="s">
        <v>973</v>
      </c>
      <c r="B593" s="732" t="s">
        <v>1780</v>
      </c>
      <c r="C593" s="721"/>
      <c r="D593" s="721"/>
      <c r="E593" s="721"/>
      <c r="F593" s="721"/>
      <c r="G593" s="721"/>
      <c r="H593" s="721"/>
      <c r="I593" s="721"/>
      <c r="J593" s="721"/>
      <c r="K593" s="721"/>
      <c r="L593" s="721"/>
      <c r="M593" s="721"/>
      <c r="N593" s="721"/>
      <c r="O593" s="721"/>
      <c r="P593" s="721"/>
      <c r="Q593" s="721"/>
      <c r="R593" s="721"/>
      <c r="S593" s="721"/>
      <c r="T593" s="721"/>
      <c r="U593" s="721"/>
      <c r="V593" s="721"/>
      <c r="W593" s="721"/>
      <c r="X593" s="721"/>
      <c r="Y593" s="721"/>
      <c r="Z593" s="721"/>
    </row>
    <row r="594" spans="1:28" x14ac:dyDescent="0.25">
      <c r="A594" s="126" t="s">
        <v>359</v>
      </c>
      <c r="B594" s="582" t="s">
        <v>407</v>
      </c>
      <c r="C594" s="7" t="s">
        <v>377</v>
      </c>
      <c r="D594" s="7" t="s">
        <v>378</v>
      </c>
      <c r="E594" s="7" t="s">
        <v>379</v>
      </c>
      <c r="F594" s="7" t="s">
        <v>1423</v>
      </c>
      <c r="G594" s="7" t="s">
        <v>390</v>
      </c>
      <c r="H594" s="7" t="s">
        <v>381</v>
      </c>
      <c r="I594" s="7" t="s">
        <v>403</v>
      </c>
      <c r="J594" s="7" t="s">
        <v>382</v>
      </c>
      <c r="K594" s="7" t="s">
        <v>383</v>
      </c>
      <c r="L594" s="7" t="s">
        <v>384</v>
      </c>
      <c r="M594" s="7" t="s">
        <v>385</v>
      </c>
      <c r="N594" s="7" t="s">
        <v>426</v>
      </c>
      <c r="O594" s="121" t="s">
        <v>409</v>
      </c>
      <c r="P594" s="7" t="s">
        <v>410</v>
      </c>
      <c r="Q594" s="7" t="s">
        <v>411</v>
      </c>
      <c r="R594" s="7" t="s">
        <v>412</v>
      </c>
      <c r="S594" s="7" t="s">
        <v>413</v>
      </c>
      <c r="T594" s="7" t="s">
        <v>414</v>
      </c>
      <c r="U594" s="7" t="s">
        <v>425</v>
      </c>
      <c r="V594" s="7" t="s">
        <v>415</v>
      </c>
      <c r="W594" s="12" t="s">
        <v>320</v>
      </c>
      <c r="X594" s="7" t="s">
        <v>361</v>
      </c>
      <c r="Y594" s="7" t="s">
        <v>428</v>
      </c>
      <c r="Z594" s="7" t="s">
        <v>429</v>
      </c>
    </row>
    <row r="595" spans="1:28" x14ac:dyDescent="0.25">
      <c r="B595" s="582" t="s">
        <v>400</v>
      </c>
      <c r="C595" s="7" t="s">
        <v>401</v>
      </c>
      <c r="D595" s="7" t="s">
        <v>402</v>
      </c>
      <c r="E595" s="7" t="s">
        <v>1770</v>
      </c>
      <c r="F595" s="7" t="s">
        <v>399</v>
      </c>
      <c r="G595" s="7" t="s">
        <v>398</v>
      </c>
      <c r="H595" s="7" t="s">
        <v>466</v>
      </c>
      <c r="I595" s="7" t="s">
        <v>405</v>
      </c>
      <c r="J595" s="7" t="s">
        <v>397</v>
      </c>
      <c r="K595" s="7" t="s">
        <v>396</v>
      </c>
      <c r="L595" s="7" t="s">
        <v>449</v>
      </c>
      <c r="M595" s="7" t="s">
        <v>394</v>
      </c>
      <c r="N595" s="7" t="s">
        <v>416</v>
      </c>
      <c r="O595" s="121" t="s">
        <v>417</v>
      </c>
      <c r="P595" s="92" t="s">
        <v>418</v>
      </c>
      <c r="Q595" s="7" t="s">
        <v>419</v>
      </c>
      <c r="R595" s="7" t="s">
        <v>420</v>
      </c>
      <c r="S595" s="7" t="s">
        <v>421</v>
      </c>
      <c r="T595" s="7" t="s">
        <v>422</v>
      </c>
      <c r="U595" s="7" t="s">
        <v>424</v>
      </c>
      <c r="V595" s="7" t="s">
        <v>423</v>
      </c>
      <c r="W595" s="7" t="s">
        <v>346</v>
      </c>
      <c r="X595" s="7" t="s">
        <v>362</v>
      </c>
      <c r="Y595" s="7" t="s">
        <v>428</v>
      </c>
      <c r="Z595" s="7" t="s">
        <v>430</v>
      </c>
    </row>
    <row r="596" spans="1:28" x14ac:dyDescent="0.25">
      <c r="B596" s="98">
        <f>$B$2</f>
        <v>20180326</v>
      </c>
      <c r="C596" s="124" t="str">
        <f t="shared" ref="C596:M596" si="210">C587</f>
        <v>6001</v>
      </c>
      <c r="D596" s="124" t="str">
        <f t="shared" si="210"/>
        <v>B00101</v>
      </c>
      <c r="E596" s="124" t="str">
        <f t="shared" si="210"/>
        <v>6001</v>
      </c>
      <c r="F596" s="124">
        <f>F587</f>
        <v>20180326</v>
      </c>
      <c r="G596" s="124" t="str">
        <f t="shared" si="210"/>
        <v>CZCE</v>
      </c>
      <c r="H596" s="124" t="str">
        <f t="shared" si="210"/>
        <v>SR807</v>
      </c>
      <c r="I596" s="109">
        <f t="shared" ref="I596:I601" si="211">VLOOKUP(H596,$C$22:$L$34,3,FALSE)</f>
        <v>10</v>
      </c>
      <c r="J596" s="109">
        <f t="shared" si="210"/>
        <v>3</v>
      </c>
      <c r="K596" s="109">
        <f t="shared" si="210"/>
        <v>1</v>
      </c>
      <c r="L596" s="109">
        <f t="shared" si="210"/>
        <v>2</v>
      </c>
      <c r="M596" s="109">
        <f t="shared" si="210"/>
        <v>6130</v>
      </c>
      <c r="N596" s="109">
        <v>1</v>
      </c>
      <c r="O596" s="109">
        <v>0</v>
      </c>
      <c r="P596" s="109">
        <v>0</v>
      </c>
      <c r="Q596" s="109">
        <f>L596-P596</f>
        <v>2</v>
      </c>
      <c r="R596" s="92">
        <f>IF(N596=1,VLOOKUP(Z596,$G$78:$K$117,4,FALSE),VLOOKUP(Z596,$G$78:$K$117,2,FALSE))</f>
        <v>2.0000000000000001E-4</v>
      </c>
      <c r="S596" s="92">
        <f>IF(N596=1,VLOOKUP(Z596,$G$78:$K$117,5,FALSE),VLOOKUP(Z596,$G$78:$K$117,3,FALSE))</f>
        <v>2</v>
      </c>
      <c r="T596" s="92">
        <f>ROUND(I596*L596*M596*O596+O596*S596,2)</f>
        <v>0</v>
      </c>
      <c r="U596" s="92">
        <v>1</v>
      </c>
      <c r="V596" s="92">
        <v>1</v>
      </c>
      <c r="W596" s="92" t="str">
        <f>$F$8</f>
        <v>9999</v>
      </c>
      <c r="X596" s="92" t="str">
        <f>$D$12</f>
        <v>CNY</v>
      </c>
      <c r="Y596" s="92">
        <v>2</v>
      </c>
      <c r="Z596" s="92" t="str">
        <f>H596&amp;K596&amp;Y596</f>
        <v>SR80712</v>
      </c>
    </row>
    <row r="597" spans="1:28" x14ac:dyDescent="0.25">
      <c r="B597" s="98">
        <f>$B$2</f>
        <v>20180326</v>
      </c>
      <c r="C597" s="124" t="str">
        <f t="shared" ref="C597:M597" si="212">C588</f>
        <v>6001</v>
      </c>
      <c r="D597" s="124" t="str">
        <f t="shared" si="212"/>
        <v>B00102</v>
      </c>
      <c r="E597" s="124" t="str">
        <f t="shared" si="212"/>
        <v>6001</v>
      </c>
      <c r="F597" s="124">
        <f t="shared" si="212"/>
        <v>20180326</v>
      </c>
      <c r="G597" s="124" t="str">
        <f t="shared" si="212"/>
        <v>CZCE</v>
      </c>
      <c r="H597" s="124" t="str">
        <f t="shared" si="212"/>
        <v>PTA807</v>
      </c>
      <c r="I597" s="109">
        <f t="shared" si="211"/>
        <v>5</v>
      </c>
      <c r="J597" s="109">
        <f t="shared" si="212"/>
        <v>2</v>
      </c>
      <c r="K597" s="109">
        <f t="shared" si="212"/>
        <v>1</v>
      </c>
      <c r="L597" s="109">
        <f t="shared" si="212"/>
        <v>5</v>
      </c>
      <c r="M597" s="109">
        <f t="shared" si="212"/>
        <v>6120</v>
      </c>
      <c r="N597" s="109">
        <v>1</v>
      </c>
      <c r="O597" s="109">
        <v>0</v>
      </c>
      <c r="P597" s="109">
        <v>0</v>
      </c>
      <c r="Q597" s="109">
        <f t="shared" ref="Q597:Q601" si="213">L597-P597</f>
        <v>5</v>
      </c>
      <c r="R597" s="92">
        <f t="shared" ref="R597:R601" si="214">IF(N597=1,VLOOKUP(Z597,$G$78:$K$117,4,FALSE),VLOOKUP(Z597,$G$78:$K$117,2,FALSE))</f>
        <v>2.0000000000000001E-4</v>
      </c>
      <c r="S597" s="92">
        <f t="shared" ref="S597:S601" si="215">IF(N597=1,VLOOKUP(Z597,$G$78:$K$117,5,FALSE),VLOOKUP(Z597,$G$78:$K$117,3,FALSE))</f>
        <v>2</v>
      </c>
      <c r="T597" s="92">
        <f t="shared" ref="T597:T601" si="216">ROUND(I597*L597*M597*O597+O597*S597,2)</f>
        <v>0</v>
      </c>
      <c r="U597" s="92">
        <v>1</v>
      </c>
      <c r="V597" s="92">
        <v>1</v>
      </c>
      <c r="W597" s="92" t="str">
        <f t="shared" ref="W597:W601" si="217">$F$8</f>
        <v>9999</v>
      </c>
      <c r="X597" s="92" t="str">
        <f t="shared" ref="X597:X601" si="218">$D$12</f>
        <v>CNY</v>
      </c>
      <c r="Y597" s="92">
        <v>2</v>
      </c>
      <c r="Z597" s="92" t="str">
        <f t="shared" ref="Z597:Z601" si="219">H597&amp;K597&amp;Y597</f>
        <v>PTA80712</v>
      </c>
    </row>
    <row r="598" spans="1:28" x14ac:dyDescent="0.25">
      <c r="B598" s="98">
        <f>B589</f>
        <v>20180326</v>
      </c>
      <c r="C598" s="92" t="str">
        <f t="shared" ref="C598:M598" si="220">C589</f>
        <v>6001</v>
      </c>
      <c r="D598" s="92" t="str">
        <f t="shared" si="220"/>
        <v>B00102</v>
      </c>
      <c r="E598" s="92" t="str">
        <f t="shared" si="220"/>
        <v>6001</v>
      </c>
      <c r="F598" s="92">
        <f t="shared" si="220"/>
        <v>20180326</v>
      </c>
      <c r="G598" s="92" t="str">
        <f t="shared" si="220"/>
        <v>CZCE</v>
      </c>
      <c r="H598" s="92" t="str">
        <f t="shared" si="220"/>
        <v>PTA807</v>
      </c>
      <c r="I598" s="109">
        <f t="shared" si="211"/>
        <v>5</v>
      </c>
      <c r="J598" s="109">
        <f t="shared" si="220"/>
        <v>2</v>
      </c>
      <c r="K598" s="109">
        <f t="shared" si="220"/>
        <v>3</v>
      </c>
      <c r="L598" s="109">
        <f t="shared" si="220"/>
        <v>4</v>
      </c>
      <c r="M598" s="109">
        <f t="shared" si="220"/>
        <v>6120</v>
      </c>
      <c r="N598" s="109">
        <v>1</v>
      </c>
      <c r="O598" s="109">
        <v>0</v>
      </c>
      <c r="P598" s="109">
        <v>0</v>
      </c>
      <c r="Q598" s="109">
        <f t="shared" si="213"/>
        <v>4</v>
      </c>
      <c r="R598" s="92">
        <f t="shared" si="214"/>
        <v>3.0000000000000003E-4</v>
      </c>
      <c r="S598" s="92">
        <f t="shared" si="215"/>
        <v>3</v>
      </c>
      <c r="T598" s="92">
        <f t="shared" si="216"/>
        <v>0</v>
      </c>
      <c r="U598" s="92">
        <v>1</v>
      </c>
      <c r="V598" s="92">
        <v>1</v>
      </c>
      <c r="W598" s="92" t="str">
        <f t="shared" si="217"/>
        <v>9999</v>
      </c>
      <c r="X598" s="92" t="str">
        <f t="shared" si="218"/>
        <v>CNY</v>
      </c>
      <c r="Y598" s="92">
        <v>2</v>
      </c>
      <c r="Z598" s="92" t="str">
        <f t="shared" si="219"/>
        <v>PTA80732</v>
      </c>
    </row>
    <row r="599" spans="1:28" x14ac:dyDescent="0.25">
      <c r="B599" s="98">
        <f t="shared" ref="B599:M599" si="221">B596</f>
        <v>20180326</v>
      </c>
      <c r="C599" s="92" t="str">
        <f t="shared" si="221"/>
        <v>6001</v>
      </c>
      <c r="D599" s="92" t="str">
        <f t="shared" si="221"/>
        <v>B00101</v>
      </c>
      <c r="E599" s="92" t="str">
        <f t="shared" si="221"/>
        <v>6001</v>
      </c>
      <c r="F599" s="92">
        <f t="shared" si="221"/>
        <v>20180326</v>
      </c>
      <c r="G599" s="92" t="str">
        <f t="shared" si="221"/>
        <v>CZCE</v>
      </c>
      <c r="H599" s="92" t="str">
        <f t="shared" si="221"/>
        <v>SR807</v>
      </c>
      <c r="I599" s="109">
        <f t="shared" si="211"/>
        <v>10</v>
      </c>
      <c r="J599" s="109">
        <f t="shared" si="221"/>
        <v>3</v>
      </c>
      <c r="K599" s="109">
        <f t="shared" si="221"/>
        <v>1</v>
      </c>
      <c r="L599" s="109">
        <f t="shared" si="221"/>
        <v>2</v>
      </c>
      <c r="M599" s="109">
        <f t="shared" si="221"/>
        <v>6130</v>
      </c>
      <c r="N599" s="109">
        <v>2</v>
      </c>
      <c r="O599" s="109">
        <v>0</v>
      </c>
      <c r="P599" s="109">
        <v>0</v>
      </c>
      <c r="Q599" s="109">
        <f t="shared" si="213"/>
        <v>2</v>
      </c>
      <c r="R599" s="92">
        <f t="shared" si="214"/>
        <v>2.9999999999999997E-4</v>
      </c>
      <c r="S599" s="92">
        <f t="shared" si="215"/>
        <v>3</v>
      </c>
      <c r="T599" s="92">
        <f t="shared" si="216"/>
        <v>0</v>
      </c>
      <c r="U599" s="92">
        <v>1</v>
      </c>
      <c r="V599" s="92">
        <v>1</v>
      </c>
      <c r="W599" s="92" t="str">
        <f t="shared" si="217"/>
        <v>9999</v>
      </c>
      <c r="X599" s="92" t="str">
        <f t="shared" si="218"/>
        <v>CNY</v>
      </c>
      <c r="Y599" s="92">
        <v>2</v>
      </c>
      <c r="Z599" s="92" t="str">
        <f t="shared" si="219"/>
        <v>SR80712</v>
      </c>
    </row>
    <row r="600" spans="1:28" x14ac:dyDescent="0.25">
      <c r="B600" s="98">
        <f t="shared" ref="B600:M600" si="222">B597</f>
        <v>20180326</v>
      </c>
      <c r="C600" s="92" t="str">
        <f t="shared" si="222"/>
        <v>6001</v>
      </c>
      <c r="D600" s="92" t="str">
        <f t="shared" si="222"/>
        <v>B00102</v>
      </c>
      <c r="E600" s="92" t="str">
        <f t="shared" si="222"/>
        <v>6001</v>
      </c>
      <c r="F600" s="92">
        <f t="shared" si="222"/>
        <v>20180326</v>
      </c>
      <c r="G600" s="92" t="str">
        <f t="shared" si="222"/>
        <v>CZCE</v>
      </c>
      <c r="H600" s="92" t="str">
        <f t="shared" si="222"/>
        <v>PTA807</v>
      </c>
      <c r="I600" s="109">
        <f t="shared" si="211"/>
        <v>5</v>
      </c>
      <c r="J600" s="109">
        <f t="shared" si="222"/>
        <v>2</v>
      </c>
      <c r="K600" s="109">
        <f t="shared" si="222"/>
        <v>1</v>
      </c>
      <c r="L600" s="109">
        <f t="shared" si="222"/>
        <v>5</v>
      </c>
      <c r="M600" s="109">
        <f t="shared" si="222"/>
        <v>6120</v>
      </c>
      <c r="N600" s="109">
        <v>2</v>
      </c>
      <c r="O600" s="109">
        <v>0</v>
      </c>
      <c r="P600" s="109">
        <v>0</v>
      </c>
      <c r="Q600" s="109">
        <f t="shared" si="213"/>
        <v>5</v>
      </c>
      <c r="R600" s="92">
        <f t="shared" si="214"/>
        <v>2.9999999999999997E-4</v>
      </c>
      <c r="S600" s="92">
        <f t="shared" si="215"/>
        <v>3</v>
      </c>
      <c r="T600" s="92">
        <f t="shared" si="216"/>
        <v>0</v>
      </c>
      <c r="U600" s="92">
        <v>1</v>
      </c>
      <c r="V600" s="92">
        <v>1</v>
      </c>
      <c r="W600" s="92" t="str">
        <f t="shared" si="217"/>
        <v>9999</v>
      </c>
      <c r="X600" s="92" t="str">
        <f t="shared" si="218"/>
        <v>CNY</v>
      </c>
      <c r="Y600" s="92">
        <v>2</v>
      </c>
      <c r="Z600" s="92" t="str">
        <f t="shared" si="219"/>
        <v>PTA80712</v>
      </c>
    </row>
    <row r="601" spans="1:28" x14ac:dyDescent="0.25">
      <c r="B601" s="98">
        <f t="shared" ref="B601:M601" si="223">B598</f>
        <v>20180326</v>
      </c>
      <c r="C601" s="92" t="str">
        <f t="shared" si="223"/>
        <v>6001</v>
      </c>
      <c r="D601" s="92" t="str">
        <f t="shared" si="223"/>
        <v>B00102</v>
      </c>
      <c r="E601" s="92" t="str">
        <f t="shared" si="223"/>
        <v>6001</v>
      </c>
      <c r="F601" s="92">
        <f t="shared" si="223"/>
        <v>20180326</v>
      </c>
      <c r="G601" s="92" t="str">
        <f t="shared" si="223"/>
        <v>CZCE</v>
      </c>
      <c r="H601" s="92" t="str">
        <f t="shared" si="223"/>
        <v>PTA807</v>
      </c>
      <c r="I601" s="109">
        <f t="shared" si="211"/>
        <v>5</v>
      </c>
      <c r="J601" s="109">
        <f t="shared" si="223"/>
        <v>2</v>
      </c>
      <c r="K601" s="109">
        <f t="shared" si="223"/>
        <v>3</v>
      </c>
      <c r="L601" s="109">
        <f t="shared" si="223"/>
        <v>4</v>
      </c>
      <c r="M601" s="109">
        <f t="shared" si="223"/>
        <v>6120</v>
      </c>
      <c r="N601" s="109">
        <v>2</v>
      </c>
      <c r="O601" s="109">
        <v>0</v>
      </c>
      <c r="P601" s="109">
        <v>0</v>
      </c>
      <c r="Q601" s="109">
        <f t="shared" si="213"/>
        <v>4</v>
      </c>
      <c r="R601" s="92">
        <f t="shared" si="214"/>
        <v>2.9999999999999997E-4</v>
      </c>
      <c r="S601" s="92">
        <f t="shared" si="215"/>
        <v>3</v>
      </c>
      <c r="T601" s="92">
        <f t="shared" si="216"/>
        <v>0</v>
      </c>
      <c r="U601" s="92">
        <v>1</v>
      </c>
      <c r="V601" s="92">
        <v>1</v>
      </c>
      <c r="W601" s="92" t="str">
        <f t="shared" si="217"/>
        <v>9999</v>
      </c>
      <c r="X601" s="92" t="str">
        <f t="shared" si="218"/>
        <v>CNY</v>
      </c>
      <c r="Y601" s="92">
        <v>2</v>
      </c>
      <c r="Z601" s="92" t="str">
        <f t="shared" si="219"/>
        <v>PTA80732</v>
      </c>
    </row>
    <row r="602" spans="1:28" x14ac:dyDescent="0.25">
      <c r="A602" s="126" t="s">
        <v>1019</v>
      </c>
      <c r="B602" s="103" t="s">
        <v>1376</v>
      </c>
    </row>
    <row r="603" spans="1:28" x14ac:dyDescent="0.25">
      <c r="A603" s="168" t="s">
        <v>970</v>
      </c>
      <c r="B603" s="595" t="s">
        <v>971</v>
      </c>
    </row>
    <row r="604" spans="1:28" x14ac:dyDescent="0.25">
      <c r="A604" s="126" t="s">
        <v>975</v>
      </c>
      <c r="B604" s="732" t="s">
        <v>1591</v>
      </c>
      <c r="C604" s="721"/>
      <c r="D604" s="721"/>
      <c r="E604" s="721"/>
      <c r="F604" s="721"/>
      <c r="G604" s="721"/>
      <c r="H604" s="721"/>
      <c r="I604" s="721"/>
      <c r="J604" s="721"/>
      <c r="K604" s="721"/>
      <c r="L604" s="721"/>
      <c r="M604" s="721"/>
      <c r="N604" s="721"/>
      <c r="O604" s="721"/>
      <c r="P604" s="721"/>
      <c r="Q604" s="721"/>
      <c r="R604" s="721"/>
      <c r="S604" s="721"/>
      <c r="T604" s="721"/>
      <c r="U604" s="721"/>
      <c r="V604" s="721"/>
      <c r="W604" s="721"/>
      <c r="X604" s="721"/>
      <c r="Y604" s="721"/>
      <c r="Z604" s="721"/>
      <c r="AA604" s="721"/>
      <c r="AB604" s="721"/>
    </row>
    <row r="605" spans="1:28" x14ac:dyDescent="0.25">
      <c r="A605" s="126" t="s">
        <v>359</v>
      </c>
      <c r="B605" s="582" t="s">
        <v>407</v>
      </c>
      <c r="C605" s="7" t="s">
        <v>377</v>
      </c>
      <c r="D605" s="7" t="s">
        <v>378</v>
      </c>
      <c r="E605" s="7" t="s">
        <v>379</v>
      </c>
      <c r="F605" s="7" t="s">
        <v>1424</v>
      </c>
      <c r="G605" s="7" t="s">
        <v>390</v>
      </c>
      <c r="H605" s="7" t="s">
        <v>381</v>
      </c>
      <c r="I605" s="7" t="s">
        <v>403</v>
      </c>
      <c r="J605" s="7" t="s">
        <v>382</v>
      </c>
      <c r="K605" s="7" t="s">
        <v>383</v>
      </c>
      <c r="L605" s="7" t="s">
        <v>384</v>
      </c>
      <c r="M605" s="7" t="s">
        <v>385</v>
      </c>
      <c r="N605" s="7" t="s">
        <v>437</v>
      </c>
      <c r="O605" s="7" t="s">
        <v>432</v>
      </c>
      <c r="P605" s="7" t="s">
        <v>433</v>
      </c>
      <c r="Q605" s="7" t="s">
        <v>434</v>
      </c>
      <c r="R605" s="7" t="s">
        <v>435</v>
      </c>
      <c r="S605" s="7"/>
      <c r="T605" s="7" t="s">
        <v>1363</v>
      </c>
      <c r="U605" s="7" t="s">
        <v>436</v>
      </c>
      <c r="V605" s="7" t="s">
        <v>451</v>
      </c>
      <c r="W605" s="7" t="s">
        <v>452</v>
      </c>
      <c r="X605" s="7" t="s">
        <v>438</v>
      </c>
      <c r="Y605" s="7" t="s">
        <v>439</v>
      </c>
      <c r="Z605" s="7" t="s">
        <v>448</v>
      </c>
      <c r="AA605" s="7" t="s">
        <v>450</v>
      </c>
      <c r="AB605" s="7" t="s">
        <v>191</v>
      </c>
    </row>
    <row r="606" spans="1:28" x14ac:dyDescent="0.25">
      <c r="B606" s="582" t="s">
        <v>400</v>
      </c>
      <c r="C606" s="7" t="s">
        <v>401</v>
      </c>
      <c r="D606" s="7" t="s">
        <v>402</v>
      </c>
      <c r="E606" s="7" t="s">
        <v>1849</v>
      </c>
      <c r="F606" s="7" t="s">
        <v>399</v>
      </c>
      <c r="G606" s="7" t="s">
        <v>398</v>
      </c>
      <c r="H606" s="7" t="s">
        <v>466</v>
      </c>
      <c r="I606" s="7" t="s">
        <v>405</v>
      </c>
      <c r="J606" s="7" t="s">
        <v>397</v>
      </c>
      <c r="K606" s="7" t="s">
        <v>396</v>
      </c>
      <c r="L606" s="7" t="s">
        <v>449</v>
      </c>
      <c r="M606" s="7" t="s">
        <v>394</v>
      </c>
      <c r="N606" s="7" t="s">
        <v>1592</v>
      </c>
      <c r="O606" s="7" t="s">
        <v>440</v>
      </c>
      <c r="P606" s="7" t="s">
        <v>441</v>
      </c>
      <c r="Q606" s="7" t="s">
        <v>442</v>
      </c>
      <c r="R606" s="7" t="s">
        <v>443</v>
      </c>
      <c r="S606" s="7" t="s">
        <v>444</v>
      </c>
      <c r="T606" s="7" t="s">
        <v>445</v>
      </c>
      <c r="U606" s="7" t="s">
        <v>446</v>
      </c>
      <c r="V606" s="7" t="s">
        <v>453</v>
      </c>
      <c r="W606" s="7" t="s">
        <v>454</v>
      </c>
      <c r="X606" s="7" t="s">
        <v>423</v>
      </c>
      <c r="Y606" s="7" t="s">
        <v>447</v>
      </c>
      <c r="Z606" s="7" t="s">
        <v>448</v>
      </c>
      <c r="AA606" s="7" t="s">
        <v>450</v>
      </c>
      <c r="AB606" s="7" t="s">
        <v>346</v>
      </c>
    </row>
    <row r="607" spans="1:28" x14ac:dyDescent="0.25">
      <c r="B607" s="98">
        <f t="shared" ref="B607:N607" si="224">B587</f>
        <v>20180326</v>
      </c>
      <c r="C607" s="92" t="str">
        <f t="shared" si="224"/>
        <v>6001</v>
      </c>
      <c r="D607" s="92" t="str">
        <f t="shared" si="224"/>
        <v>B00101</v>
      </c>
      <c r="E607" s="92" t="str">
        <f t="shared" si="224"/>
        <v>6001</v>
      </c>
      <c r="F607" s="92">
        <f t="shared" si="224"/>
        <v>20180326</v>
      </c>
      <c r="G607" s="92" t="str">
        <f t="shared" si="224"/>
        <v>CZCE</v>
      </c>
      <c r="H607" s="92" t="str">
        <f t="shared" si="224"/>
        <v>SR807</v>
      </c>
      <c r="I607" s="92">
        <f>VLOOKUP(H607,$C$22:$L$34,3,FALSE)</f>
        <v>10</v>
      </c>
      <c r="J607" s="92">
        <f t="shared" si="224"/>
        <v>3</v>
      </c>
      <c r="K607" s="92">
        <f t="shared" si="224"/>
        <v>1</v>
      </c>
      <c r="L607" s="92">
        <f t="shared" si="224"/>
        <v>2</v>
      </c>
      <c r="M607" s="92">
        <f t="shared" si="224"/>
        <v>6130</v>
      </c>
      <c r="N607" s="92">
        <f t="shared" si="224"/>
        <v>1</v>
      </c>
      <c r="O607" s="92">
        <v>0</v>
      </c>
      <c r="P607" s="92">
        <v>0</v>
      </c>
      <c r="Q607" s="92">
        <f>L607-P607</f>
        <v>2</v>
      </c>
      <c r="R607" s="92">
        <v>0</v>
      </c>
      <c r="S607" s="92">
        <v>0</v>
      </c>
      <c r="T607" s="92">
        <v>0</v>
      </c>
      <c r="U607" s="92">
        <v>0</v>
      </c>
      <c r="V607" s="92">
        <f>ROUND(I607*M607*Q607*R607+L607*S607,2)</f>
        <v>0</v>
      </c>
      <c r="W607" s="92">
        <f>ROUND(I607*M607*Q607*T607+Q607*U607,2)</f>
        <v>0</v>
      </c>
      <c r="X607" s="92">
        <v>1</v>
      </c>
      <c r="Y607" s="92">
        <v>1</v>
      </c>
      <c r="Z607" s="92">
        <f>IF(J607=2,0,1)</f>
        <v>1</v>
      </c>
      <c r="AA607" s="92" t="str">
        <f>H607&amp;K607&amp;Z607</f>
        <v>SR80711</v>
      </c>
      <c r="AB607" s="92" t="str">
        <f>$F$8</f>
        <v>9999</v>
      </c>
    </row>
    <row r="608" spans="1:28" x14ac:dyDescent="0.25">
      <c r="B608" s="98">
        <f t="shared" ref="B608:N608" si="225">B588</f>
        <v>20180326</v>
      </c>
      <c r="C608" s="92" t="str">
        <f t="shared" si="225"/>
        <v>6001</v>
      </c>
      <c r="D608" s="92" t="str">
        <f t="shared" si="225"/>
        <v>B00102</v>
      </c>
      <c r="E608" s="92" t="str">
        <f t="shared" si="225"/>
        <v>6001</v>
      </c>
      <c r="F608" s="92">
        <f t="shared" si="225"/>
        <v>20180326</v>
      </c>
      <c r="G608" s="92" t="str">
        <f t="shared" si="225"/>
        <v>CZCE</v>
      </c>
      <c r="H608" s="92" t="str">
        <f t="shared" si="225"/>
        <v>PTA807</v>
      </c>
      <c r="I608" s="92">
        <f>VLOOKUP(H608,$C$22:$L$34,3,FALSE)</f>
        <v>5</v>
      </c>
      <c r="J608" s="92">
        <f t="shared" si="225"/>
        <v>2</v>
      </c>
      <c r="K608" s="92">
        <f t="shared" si="225"/>
        <v>1</v>
      </c>
      <c r="L608" s="92">
        <f t="shared" si="225"/>
        <v>5</v>
      </c>
      <c r="M608" s="92">
        <f t="shared" si="225"/>
        <v>6120</v>
      </c>
      <c r="N608" s="92">
        <f t="shared" si="225"/>
        <v>1</v>
      </c>
      <c r="O608" s="92">
        <v>0</v>
      </c>
      <c r="P608" s="92">
        <v>0</v>
      </c>
      <c r="Q608" s="92">
        <f t="shared" ref="Q608:Q609" si="226">L608-P608</f>
        <v>5</v>
      </c>
      <c r="R608" s="92">
        <f t="shared" ref="R608:R609" si="227">VLOOKUP(AA608,$F$56:$L$75,4,FALSE)</f>
        <v>0.05</v>
      </c>
      <c r="S608" s="92">
        <f t="shared" ref="S608:S609" si="228">VLOOKUP(AA608,$F$56:$L$75,5,FALSE)</f>
        <v>5</v>
      </c>
      <c r="T608" s="92">
        <f t="shared" ref="T608:T609" si="229">VLOOKUP(AA608,$F$56:$L$75,2,FALSE)</f>
        <v>0.04</v>
      </c>
      <c r="U608" s="92">
        <f t="shared" ref="U608:U609" si="230">VLOOKUP(AA608,$F$56:$L$75,3,FALSE)</f>
        <v>4</v>
      </c>
      <c r="V608" s="92">
        <f>ROUND(I608*M608*Q608*R608+L608*S608,2)</f>
        <v>7675</v>
      </c>
      <c r="W608" s="92">
        <f t="shared" ref="W608:W609" si="231">ROUND(I608*M608*Q608*T608+Q608*U608,2)</f>
        <v>6140</v>
      </c>
      <c r="X608" s="92">
        <v>1</v>
      </c>
      <c r="Y608" s="92">
        <v>1</v>
      </c>
      <c r="Z608" s="92">
        <f>IF(J608=2,0,1)</f>
        <v>0</v>
      </c>
      <c r="AA608" s="92" t="str">
        <f>H608&amp;K608&amp;Z608</f>
        <v>PTA80710</v>
      </c>
      <c r="AB608" s="92" t="str">
        <f t="shared" ref="AB608:AB609" si="232">$F$8</f>
        <v>9999</v>
      </c>
    </row>
    <row r="609" spans="1:30" x14ac:dyDescent="0.25">
      <c r="B609" s="98">
        <f t="shared" ref="B609:N609" si="233">B589</f>
        <v>20180326</v>
      </c>
      <c r="C609" s="92" t="str">
        <f t="shared" si="233"/>
        <v>6001</v>
      </c>
      <c r="D609" s="92" t="str">
        <f t="shared" si="233"/>
        <v>B00102</v>
      </c>
      <c r="E609" s="92" t="str">
        <f t="shared" si="233"/>
        <v>6001</v>
      </c>
      <c r="F609" s="92">
        <f t="shared" si="233"/>
        <v>20180326</v>
      </c>
      <c r="G609" s="92" t="str">
        <f t="shared" si="233"/>
        <v>CZCE</v>
      </c>
      <c r="H609" s="92" t="str">
        <f t="shared" si="233"/>
        <v>PTA807</v>
      </c>
      <c r="I609" s="92">
        <f>VLOOKUP(H609,$C$22:$L$34,3,FALSE)</f>
        <v>5</v>
      </c>
      <c r="J609" s="92">
        <f t="shared" si="233"/>
        <v>2</v>
      </c>
      <c r="K609" s="92">
        <f t="shared" si="233"/>
        <v>3</v>
      </c>
      <c r="L609" s="92">
        <f t="shared" si="233"/>
        <v>4</v>
      </c>
      <c r="M609" s="92">
        <f t="shared" si="233"/>
        <v>6120</v>
      </c>
      <c r="N609" s="92">
        <f t="shared" si="233"/>
        <v>1</v>
      </c>
      <c r="O609" s="92">
        <v>0</v>
      </c>
      <c r="P609" s="92">
        <v>0</v>
      </c>
      <c r="Q609" s="92">
        <f t="shared" si="226"/>
        <v>4</v>
      </c>
      <c r="R609" s="92">
        <f t="shared" si="227"/>
        <v>5.1999999999999998E-2</v>
      </c>
      <c r="S609" s="92">
        <f t="shared" si="228"/>
        <v>5.2</v>
      </c>
      <c r="T609" s="92">
        <f t="shared" si="229"/>
        <v>4.2000000000000003E-2</v>
      </c>
      <c r="U609" s="92">
        <f t="shared" si="230"/>
        <v>4.2</v>
      </c>
      <c r="V609" s="92">
        <f>ROUND(I609*M609*Q609*R609+L609*S609,2)</f>
        <v>6385.6</v>
      </c>
      <c r="W609" s="92">
        <f t="shared" si="231"/>
        <v>5157.6000000000004</v>
      </c>
      <c r="X609" s="92">
        <v>1</v>
      </c>
      <c r="Y609" s="92">
        <v>1</v>
      </c>
      <c r="Z609" s="92">
        <f>IF(J609=2,0,1)</f>
        <v>0</v>
      </c>
      <c r="AA609" s="92" t="str">
        <f>H609&amp;K609&amp;Z609</f>
        <v>PTA80730</v>
      </c>
      <c r="AB609" s="92" t="str">
        <f t="shared" si="232"/>
        <v>9999</v>
      </c>
    </row>
    <row r="610" spans="1:30" x14ac:dyDescent="0.25">
      <c r="A610" s="126" t="s">
        <v>1020</v>
      </c>
      <c r="B610" s="126" t="s">
        <v>1018</v>
      </c>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92"/>
    </row>
    <row r="611" spans="1:30" x14ac:dyDescent="0.25">
      <c r="A611" s="168" t="s">
        <v>970</v>
      </c>
      <c r="B611" s="598" t="s">
        <v>971</v>
      </c>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92"/>
    </row>
    <row r="612" spans="1:30" x14ac:dyDescent="0.25">
      <c r="A612" s="168" t="s">
        <v>1087</v>
      </c>
      <c r="B612" s="742" t="s">
        <v>1085</v>
      </c>
      <c r="C612" s="721"/>
      <c r="D612" s="721"/>
      <c r="E612" s="721"/>
      <c r="F612" s="721"/>
      <c r="G612" s="721"/>
      <c r="H612" s="721"/>
      <c r="I612" s="721"/>
      <c r="J612" s="721"/>
      <c r="K612" s="721"/>
      <c r="L612" s="721"/>
      <c r="M612" s="721"/>
      <c r="N612" s="721"/>
      <c r="O612" s="721"/>
      <c r="P612" s="721"/>
      <c r="Q612" s="721"/>
      <c r="R612" s="721"/>
      <c r="S612" s="721"/>
      <c r="T612" s="721"/>
      <c r="U612" s="721"/>
      <c r="V612" s="126"/>
      <c r="W612" s="126"/>
      <c r="X612" s="126"/>
      <c r="Y612" s="126"/>
      <c r="Z612" s="126"/>
      <c r="AA612" s="126"/>
      <c r="AB612" s="92"/>
    </row>
    <row r="613" spans="1:30" x14ac:dyDescent="0.25">
      <c r="A613" s="168" t="s">
        <v>359</v>
      </c>
      <c r="B613" s="582" t="s">
        <v>843</v>
      </c>
      <c r="C613" s="7" t="s">
        <v>1054</v>
      </c>
      <c r="D613" s="7" t="s">
        <v>1055</v>
      </c>
      <c r="E613" s="7" t="s">
        <v>0</v>
      </c>
      <c r="F613" s="7" t="s">
        <v>1056</v>
      </c>
      <c r="G613" s="7" t="s">
        <v>1057</v>
      </c>
      <c r="H613" s="7" t="s">
        <v>1058</v>
      </c>
      <c r="I613" s="7" t="s">
        <v>848</v>
      </c>
      <c r="J613" s="7" t="s">
        <v>1059</v>
      </c>
      <c r="K613" s="7" t="s">
        <v>1060</v>
      </c>
      <c r="L613" s="7" t="s">
        <v>1053</v>
      </c>
      <c r="M613" s="7" t="s">
        <v>1061</v>
      </c>
      <c r="N613" s="7" t="s">
        <v>18</v>
      </c>
      <c r="O613" s="7" t="s">
        <v>1062</v>
      </c>
      <c r="P613" s="7" t="s">
        <v>1063</v>
      </c>
      <c r="Q613" s="7" t="s">
        <v>1064</v>
      </c>
      <c r="R613" s="7" t="s">
        <v>1065</v>
      </c>
      <c r="S613" s="7" t="s">
        <v>1066</v>
      </c>
      <c r="T613" s="7" t="s">
        <v>1067</v>
      </c>
      <c r="U613" s="7" t="s">
        <v>1068</v>
      </c>
      <c r="W613" s="126"/>
      <c r="X613" s="126"/>
      <c r="Y613" s="126"/>
      <c r="Z613" s="126"/>
      <c r="AA613" s="126"/>
      <c r="AB613" s="126"/>
    </row>
    <row r="614" spans="1:30" x14ac:dyDescent="0.25">
      <c r="B614" s="582" t="s">
        <v>845</v>
      </c>
      <c r="C614" s="7" t="s">
        <v>1069</v>
      </c>
      <c r="D614" s="7" t="s">
        <v>1070</v>
      </c>
      <c r="E614" s="7" t="s">
        <v>1071</v>
      </c>
      <c r="F614" s="7" t="s">
        <v>1072</v>
      </c>
      <c r="G614" s="7" t="s">
        <v>710</v>
      </c>
      <c r="H614" s="7" t="s">
        <v>709</v>
      </c>
      <c r="I614" s="7" t="s">
        <v>652</v>
      </c>
      <c r="J614" s="7" t="s">
        <v>651</v>
      </c>
      <c r="K614" s="7" t="s">
        <v>650</v>
      </c>
      <c r="L614" s="7" t="s">
        <v>1053</v>
      </c>
      <c r="M614" s="7" t="s">
        <v>1073</v>
      </c>
      <c r="N614" s="7" t="s">
        <v>1074</v>
      </c>
      <c r="O614" s="7" t="s">
        <v>1075</v>
      </c>
      <c r="P614" s="7" t="s">
        <v>649</v>
      </c>
      <c r="Q614" s="7" t="s">
        <v>1076</v>
      </c>
      <c r="R614" s="7" t="s">
        <v>1077</v>
      </c>
      <c r="S614" s="7" t="s">
        <v>1078</v>
      </c>
      <c r="T614" s="7" t="s">
        <v>1079</v>
      </c>
      <c r="U614" s="7" t="s">
        <v>1080</v>
      </c>
      <c r="W614" s="126"/>
      <c r="X614" s="126"/>
      <c r="Y614" s="126"/>
      <c r="Z614" s="126"/>
      <c r="AA614" s="126"/>
      <c r="AB614" s="126"/>
    </row>
    <row r="615" spans="1:30" x14ac:dyDescent="0.25">
      <c r="B615" s="98" t="str">
        <f>$F$8</f>
        <v>9999</v>
      </c>
      <c r="C615" s="92">
        <f>B587</f>
        <v>20180326</v>
      </c>
      <c r="D615" s="92">
        <f>$B$2</f>
        <v>20180326</v>
      </c>
      <c r="E615" s="124" t="str">
        <f t="shared" ref="E615:G617" si="234">C587</f>
        <v>6001</v>
      </c>
      <c r="F615" s="124" t="str">
        <f t="shared" si="234"/>
        <v>B00101</v>
      </c>
      <c r="G615" s="124" t="str">
        <f t="shared" si="234"/>
        <v>6001</v>
      </c>
      <c r="H615" s="92" t="s">
        <v>1297</v>
      </c>
      <c r="I615" s="109" t="str">
        <f t="shared" ref="I615:J617" si="235">G587</f>
        <v>CZCE</v>
      </c>
      <c r="J615" s="110" t="str">
        <f t="shared" si="235"/>
        <v>SR807</v>
      </c>
      <c r="K615" s="110">
        <f>K607</f>
        <v>1</v>
      </c>
      <c r="L615" s="110">
        <f>IF(M615=3,0,1)</f>
        <v>0</v>
      </c>
      <c r="M615" s="110">
        <f>J587</f>
        <v>3</v>
      </c>
      <c r="N615" s="110">
        <f t="shared" ref="N615:O617" si="236">L587</f>
        <v>2</v>
      </c>
      <c r="O615" s="110">
        <f t="shared" si="236"/>
        <v>6130</v>
      </c>
      <c r="P615" s="92">
        <f>VLOOKUP(J615,$C$22:$E$34,3,FALSE)</f>
        <v>10</v>
      </c>
      <c r="Q615" s="92">
        <f>SUMPRODUCT(($F$486:$F$550=F615)*($G$486:$G$550=G615)*($L$486:$L$550=J615)*($P$486:$P$550=K615)*($O$486:$O$550=L615)*($AG$486:$AG$550="S")*($AC$486:$AC$550))</f>
        <v>-560</v>
      </c>
      <c r="R615" s="92">
        <f>SUMPRODUCT(($F$486:$F$550=F615)*($G$486:$G$550=G615)*($L$486:$L$550=J615)*($P$486:$P$550=K615)*($O$486:$O$550=L615)*($AG$486:$AG$550="S")*($AD$486:$AD$550))</f>
        <v>-560</v>
      </c>
      <c r="S615" s="92">
        <v>0</v>
      </c>
      <c r="T615" s="92">
        <f>VLOOKUP(J615,$C$22:$L$34,4,FALSE)</f>
        <v>20180328</v>
      </c>
      <c r="U615" s="92">
        <v>1</v>
      </c>
      <c r="V615" s="126"/>
      <c r="W615" s="126"/>
      <c r="X615" s="126"/>
      <c r="Y615" s="126"/>
      <c r="Z615" s="126"/>
      <c r="AA615" s="126"/>
      <c r="AB615" s="126"/>
    </row>
    <row r="616" spans="1:30" x14ac:dyDescent="0.25">
      <c r="B616" s="98" t="str">
        <f t="shared" ref="B616:B617" si="237">$F$8</f>
        <v>9999</v>
      </c>
      <c r="C616" s="92">
        <f>B588</f>
        <v>20180326</v>
      </c>
      <c r="D616" s="92">
        <f t="shared" ref="D616:D617" si="238">$B$2</f>
        <v>20180326</v>
      </c>
      <c r="E616" s="124" t="str">
        <f t="shared" si="234"/>
        <v>6001</v>
      </c>
      <c r="F616" s="124" t="str">
        <f t="shared" si="234"/>
        <v>B00102</v>
      </c>
      <c r="G616" s="124" t="str">
        <f t="shared" si="234"/>
        <v>6001</v>
      </c>
      <c r="H616" s="92" t="s">
        <v>717</v>
      </c>
      <c r="I616" s="109" t="str">
        <f t="shared" si="235"/>
        <v>CZCE</v>
      </c>
      <c r="J616" s="110" t="str">
        <f t="shared" si="235"/>
        <v>PTA807</v>
      </c>
      <c r="K616" s="110">
        <f>K608</f>
        <v>1</v>
      </c>
      <c r="L616" s="110">
        <f t="shared" ref="L616:L617" si="239">IF(M616=3,0,1)</f>
        <v>1</v>
      </c>
      <c r="M616" s="110">
        <f>J588</f>
        <v>2</v>
      </c>
      <c r="N616" s="110">
        <f t="shared" si="236"/>
        <v>5</v>
      </c>
      <c r="O616" s="110">
        <f t="shared" si="236"/>
        <v>6120</v>
      </c>
      <c r="P616" s="92">
        <f>VLOOKUP(J616,$C$22:$E$34,3,FALSE)</f>
        <v>5</v>
      </c>
      <c r="Q616" s="92">
        <f>SUMPRODUCT(($F$486:$F$550=F616)*($G$486:$G$550=G616)*($L$486:$L$550=J616)*($P$486:$P$550=K616)*($O$486:$O$550=L616)*($AG$486:$AG$550="S")*($AC$486:$AC$550))</f>
        <v>0</v>
      </c>
      <c r="R616" s="92">
        <f>SUMPRODUCT(($F$486:$F$550=F616)*($G$486:$G$550=G616)*($L$486:$L$550=J616)*($P$486:$P$550=K616)*($O$486:$O$550=L616)*($AG$486:$AG$550="S")*($AD$486:$AD$550))</f>
        <v>0</v>
      </c>
      <c r="S616" s="92">
        <v>0</v>
      </c>
      <c r="T616" s="92">
        <f>VLOOKUP(J616,$C$22:$L$34,4,FALSE)</f>
        <v>20180328</v>
      </c>
      <c r="U616" s="92">
        <v>1</v>
      </c>
      <c r="V616" s="126"/>
      <c r="W616" s="126"/>
      <c r="X616" s="126"/>
      <c r="Y616" s="126"/>
      <c r="Z616" s="126"/>
      <c r="AA616" s="126"/>
      <c r="AB616" s="126"/>
    </row>
    <row r="617" spans="1:30" x14ac:dyDescent="0.25">
      <c r="B617" s="98" t="str">
        <f t="shared" si="237"/>
        <v>9999</v>
      </c>
      <c r="C617" s="92">
        <f>B589</f>
        <v>20180326</v>
      </c>
      <c r="D617" s="92">
        <f t="shared" si="238"/>
        <v>20180326</v>
      </c>
      <c r="E617" s="124" t="str">
        <f t="shared" si="234"/>
        <v>6001</v>
      </c>
      <c r="F617" s="124" t="str">
        <f t="shared" si="234"/>
        <v>B00102</v>
      </c>
      <c r="G617" s="124" t="str">
        <f t="shared" si="234"/>
        <v>6001</v>
      </c>
      <c r="H617" s="92" t="s">
        <v>717</v>
      </c>
      <c r="I617" s="109" t="str">
        <f t="shared" si="235"/>
        <v>CZCE</v>
      </c>
      <c r="J617" s="110" t="str">
        <f t="shared" si="235"/>
        <v>PTA807</v>
      </c>
      <c r="K617" s="110">
        <f>K609</f>
        <v>3</v>
      </c>
      <c r="L617" s="110">
        <f t="shared" si="239"/>
        <v>1</v>
      </c>
      <c r="M617" s="110">
        <f>J589</f>
        <v>2</v>
      </c>
      <c r="N617" s="110">
        <f t="shared" si="236"/>
        <v>4</v>
      </c>
      <c r="O617" s="110">
        <f t="shared" si="236"/>
        <v>6120</v>
      </c>
      <c r="P617" s="92">
        <f>VLOOKUP(J617,$C$22:$E$34,3,FALSE)</f>
        <v>5</v>
      </c>
      <c r="Q617" s="92">
        <f>SUMPRODUCT(($F$486:$F$550=F617)*($G$486:$G$550=G617)*($L$486:$L$550=J617)*($P$486:$P$550=K617)*($O$486:$O$550=L617)*($AG$486:$AG$550="S")*($AC$486:$AC$550))</f>
        <v>40</v>
      </c>
      <c r="R617" s="92">
        <f>SUMPRODUCT(($F$486:$F$550=F617)*($G$486:$G$550=G617)*($L$486:$L$550=J617)*($P$486:$P$550=K617)*($O$486:$O$550=L617)*($AG$486:$AG$550="S")*($AD$486:$AD$550))</f>
        <v>40</v>
      </c>
      <c r="S617" s="92">
        <v>0</v>
      </c>
      <c r="T617" s="92">
        <f>VLOOKUP(J617,$C$22:$L$34,4,FALSE)</f>
        <v>20180328</v>
      </c>
      <c r="U617" s="92">
        <v>1</v>
      </c>
      <c r="V617" s="126"/>
      <c r="W617" s="126"/>
      <c r="X617" s="126"/>
      <c r="Y617" s="126"/>
      <c r="Z617" s="126"/>
      <c r="AA617" s="126"/>
      <c r="AB617" s="126"/>
    </row>
    <row r="618" spans="1:30" x14ac:dyDescent="0.25">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row>
    <row r="619" spans="1:30" x14ac:dyDescent="0.25">
      <c r="A619" s="126" t="s">
        <v>491</v>
      </c>
      <c r="B619" t="s">
        <v>1021</v>
      </c>
    </row>
    <row r="620" spans="1:30" x14ac:dyDescent="0.25">
      <c r="A620" s="126" t="s">
        <v>491</v>
      </c>
      <c r="B620" t="s">
        <v>1050</v>
      </c>
    </row>
    <row r="621" spans="1:30" x14ac:dyDescent="0.25">
      <c r="A621" s="126" t="s">
        <v>491</v>
      </c>
      <c r="B621" t="s">
        <v>1051</v>
      </c>
    </row>
    <row r="622" spans="1:30" x14ac:dyDescent="0.25">
      <c r="A622" s="168" t="s">
        <v>970</v>
      </c>
      <c r="B622" s="598" t="s">
        <v>971</v>
      </c>
    </row>
    <row r="623" spans="1:30" x14ac:dyDescent="0.25">
      <c r="A623" s="126" t="s">
        <v>1086</v>
      </c>
      <c r="B623" s="691" t="s">
        <v>1529</v>
      </c>
      <c r="C623" s="679"/>
      <c r="D623" s="679"/>
      <c r="E623" s="679"/>
      <c r="F623" s="679"/>
      <c r="G623" s="679"/>
      <c r="H623" s="679"/>
      <c r="I623" s="679"/>
      <c r="J623" s="679"/>
      <c r="K623" s="679"/>
      <c r="L623" s="679"/>
      <c r="M623" s="679"/>
      <c r="N623" s="679"/>
      <c r="O623" s="679"/>
      <c r="P623" s="679"/>
      <c r="Q623" s="679"/>
      <c r="R623" s="679"/>
      <c r="S623" s="679"/>
      <c r="T623" s="679"/>
      <c r="U623" s="679"/>
      <c r="V623" s="679"/>
      <c r="W623" s="679"/>
      <c r="X623" s="679"/>
      <c r="Y623" s="679"/>
      <c r="Z623" s="679"/>
      <c r="AA623" s="679"/>
      <c r="AB623" s="679"/>
      <c r="AC623" s="679"/>
    </row>
    <row r="624" spans="1:30" x14ac:dyDescent="0.25">
      <c r="A624" s="126" t="s">
        <v>359</v>
      </c>
      <c r="B624" s="582" t="s">
        <v>457</v>
      </c>
      <c r="C624" s="7" t="s">
        <v>377</v>
      </c>
      <c r="D624" s="7" t="s">
        <v>378</v>
      </c>
      <c r="E624" s="7" t="s">
        <v>379</v>
      </c>
      <c r="F624" s="7" t="s">
        <v>380</v>
      </c>
      <c r="G624" s="7" t="s">
        <v>390</v>
      </c>
      <c r="H624" s="7" t="s">
        <v>381</v>
      </c>
      <c r="I624" s="7" t="s">
        <v>481</v>
      </c>
      <c r="J624" s="7" t="s">
        <v>475</v>
      </c>
      <c r="K624" s="7" t="s">
        <v>382</v>
      </c>
      <c r="L624" s="7" t="s">
        <v>383</v>
      </c>
      <c r="M624" s="7" t="s">
        <v>465</v>
      </c>
      <c r="N624" s="7" t="s">
        <v>464</v>
      </c>
      <c r="O624" s="129" t="s">
        <v>1050</v>
      </c>
      <c r="P624" s="7" t="s">
        <v>458</v>
      </c>
      <c r="Q624" s="129" t="s">
        <v>459</v>
      </c>
      <c r="R624" s="129" t="s">
        <v>460</v>
      </c>
      <c r="S624" s="129" t="s">
        <v>461</v>
      </c>
      <c r="T624" s="129" t="s">
        <v>473</v>
      </c>
      <c r="U624" s="129" t="s">
        <v>462</v>
      </c>
      <c r="V624" s="129" t="s">
        <v>463</v>
      </c>
      <c r="W624" s="129" t="s">
        <v>675</v>
      </c>
      <c r="X624" s="129" t="s">
        <v>483</v>
      </c>
      <c r="Y624" s="129" t="s">
        <v>488</v>
      </c>
      <c r="Z624" s="129" t="s">
        <v>1360</v>
      </c>
      <c r="AA624" s="129" t="s">
        <v>485</v>
      </c>
      <c r="AB624" s="129" t="s">
        <v>489</v>
      </c>
      <c r="AC624" s="129" t="s">
        <v>490</v>
      </c>
      <c r="AD624" s="129" t="s">
        <v>1771</v>
      </c>
    </row>
    <row r="625" spans="1:30" x14ac:dyDescent="0.25">
      <c r="B625" s="582" t="s">
        <v>482</v>
      </c>
      <c r="C625" s="7" t="s">
        <v>401</v>
      </c>
      <c r="D625" s="7" t="s">
        <v>402</v>
      </c>
      <c r="E625" s="7" t="s">
        <v>1770</v>
      </c>
      <c r="F625" s="7" t="s">
        <v>468</v>
      </c>
      <c r="G625" s="7" t="s">
        <v>398</v>
      </c>
      <c r="H625" s="7" t="s">
        <v>467</v>
      </c>
      <c r="I625" s="7" t="s">
        <v>404</v>
      </c>
      <c r="J625" s="7" t="s">
        <v>474</v>
      </c>
      <c r="K625" s="7" t="s">
        <v>397</v>
      </c>
      <c r="L625" s="7" t="s">
        <v>396</v>
      </c>
      <c r="M625" s="7" t="s">
        <v>465</v>
      </c>
      <c r="N625" s="7" t="s">
        <v>480</v>
      </c>
      <c r="O625" s="7" t="s">
        <v>479</v>
      </c>
      <c r="P625" s="7" t="s">
        <v>1593</v>
      </c>
      <c r="Q625" s="7" t="s">
        <v>469</v>
      </c>
      <c r="R625" s="7" t="s">
        <v>470</v>
      </c>
      <c r="S625" s="7" t="s">
        <v>471</v>
      </c>
      <c r="T625" s="7" t="s">
        <v>472</v>
      </c>
      <c r="U625" s="7" t="s">
        <v>477</v>
      </c>
      <c r="V625" s="7" t="s">
        <v>478</v>
      </c>
      <c r="W625" s="129" t="s">
        <v>675</v>
      </c>
      <c r="X625" s="7" t="s">
        <v>484</v>
      </c>
      <c r="Y625" s="129" t="s">
        <v>488</v>
      </c>
      <c r="Z625" s="129" t="s">
        <v>486</v>
      </c>
      <c r="AA625" s="129" t="s">
        <v>487</v>
      </c>
      <c r="AB625" s="129" t="s">
        <v>489</v>
      </c>
      <c r="AC625" s="129" t="s">
        <v>490</v>
      </c>
      <c r="AD625" s="129" t="s">
        <v>1772</v>
      </c>
    </row>
    <row r="626" spans="1:30" s="6" customFormat="1" x14ac:dyDescent="0.25">
      <c r="A626" s="167" t="str">
        <f>IF( OR(N626=0,O626=2),"comment","")</f>
        <v/>
      </c>
      <c r="B626" s="571" t="str">
        <f>C529</f>
        <v>2018032610000080</v>
      </c>
      <c r="C626" s="111" t="str">
        <f t="shared" ref="C626:C649" si="240">VLOOKUP(B626,$C$529:$AN$561,3,FALSE)</f>
        <v>6001</v>
      </c>
      <c r="D626" s="111" t="str">
        <f t="shared" ref="D626:D648" si="241">VLOOKUP(B626,$C$529:$AN$561,4,FALSE)</f>
        <v>B00101</v>
      </c>
      <c r="E626" s="111" t="str">
        <f t="shared" ref="E626:E648" si="242">VLOOKUP(B626,$C$529:$AN$561,5,FALSE)</f>
        <v>6001</v>
      </c>
      <c r="F626" s="111">
        <f t="shared" ref="F626:F648" si="243">VLOOKUP(B626,$C$529:$AN$561,7,FALSE)</f>
        <v>20180326</v>
      </c>
      <c r="G626" s="111" t="str">
        <f t="shared" ref="G626:G648" si="244">VLOOKUP(B626,$C$529:$AN$561,9,FALSE)</f>
        <v>CZCE</v>
      </c>
      <c r="H626" s="111" t="str">
        <f t="shared" ref="H626:H648" si="245">VLOOKUP(B626,$C$529:$AN$561,10,FALSE)</f>
        <v>SR807C6500</v>
      </c>
      <c r="I626" s="111">
        <f t="shared" ref="I626:I648" si="246">VLOOKUP(B626,$C$529:$AN$561,11,FALSE)</f>
        <v>10</v>
      </c>
      <c r="J626" s="111">
        <v>4</v>
      </c>
      <c r="K626" s="111">
        <f t="shared" ref="K626:K648" si="247">VLOOKUP(B626,$C$529:$AN$561,13,FALSE)</f>
        <v>0</v>
      </c>
      <c r="L626" s="111">
        <f t="shared" ref="L626:L648" si="248">VLOOKUP(B626,$C$529:$AN$561,14,FALSE)</f>
        <v>3</v>
      </c>
      <c r="M626" s="111">
        <f t="shared" ref="M626:M648" si="249">SUMPRODUCT(($C$486:$C$561=B626)*($F$486:$F$561=D626)*($G$486:$G$561=E626)*($L$486:$L$561=H626)*($O$486:$O$561=K626)*($P$486:$P$561=L626)*($N$486:$N$561=0)*($Q$486:$Q$561))-SUMPRODUCT(($D$486:$D$561=B626)*($F$486:$F$561=D626)*($G$486:$G$561=E626)*($L$486:$L$561=H626)*($O$486:$O$561&lt;&gt;K626)*($P$486:$P$561=L626)*($N$486:$N$561&lt;&gt;0)*($Q$486:$Q$561))</f>
        <v>1</v>
      </c>
      <c r="N626" s="111">
        <v>1</v>
      </c>
      <c r="O626" s="111">
        <v>0</v>
      </c>
      <c r="P626" s="111">
        <f t="shared" ref="P626:P639" si="250">VLOOKUP(H626,$C$22:$J$32,8,FALSE)</f>
        <v>6500</v>
      </c>
      <c r="Q626" s="111">
        <f t="shared" ref="Q626:Q649" si="251">VLOOKUP(X626,$G$120:$K$189,2,FALSE)</f>
        <v>4.2000000000000002E-4</v>
      </c>
      <c r="R626" s="111">
        <f t="shared" ref="R626:R649" si="252">VLOOKUP(X626,$G$120:$K$189,3,FALSE)</f>
        <v>4.2</v>
      </c>
      <c r="S626" s="111">
        <f t="shared" ref="S626:S649" si="253">VLOOKUP(X626,$G$120:$K$189,4,FALSE)</f>
        <v>4.2000000000000002E-4</v>
      </c>
      <c r="T626" s="111">
        <f t="shared" ref="T626:T649" si="254">VLOOKUP(X626,$G$120:$K$189,5,FALSE)</f>
        <v>4.2</v>
      </c>
      <c r="U626" s="111">
        <f>IF(O626=0,N626*P626*Q626*I626+N626*R626,0)</f>
        <v>31.5</v>
      </c>
      <c r="V626" s="111">
        <f>IF(O626=0,N626*P626*S626*I626+N626*T626,0)</f>
        <v>31.5</v>
      </c>
      <c r="W626" s="111">
        <f>IF(O626=0,N626*P626*I626,0)</f>
        <v>65000</v>
      </c>
      <c r="X626" s="111" t="str">
        <f t="shared" ref="X626:X649" si="255">H626&amp;L626&amp;J626</f>
        <v>SR807C650034</v>
      </c>
      <c r="Y626" s="282">
        <f t="shared" ref="Y626:Y639" si="256">VLOOKUP(H626,$C$22:$J$32,6,FALSE)</f>
        <v>0</v>
      </c>
      <c r="Z626" s="111">
        <f t="shared" ref="Z626:Z641" si="257">IF(Y626=0,IF(K626=0,0,1),IF(K626=0,1,0))</f>
        <v>0</v>
      </c>
      <c r="AA626" s="111">
        <f t="shared" ref="AA626:AA641" si="258">IF(O626=0,N626,0)</f>
        <v>1</v>
      </c>
      <c r="AB626" s="111">
        <f t="shared" ref="AB626:AB639" si="259">VLOOKUP(H626,$C$22:$L$32,9,FALSE)</f>
        <v>0</v>
      </c>
      <c r="AC626" s="111" t="str">
        <f t="shared" ref="AC626:AC639" si="260">VLOOKUP(H626,$C$22:$L$32,7,FALSE)</f>
        <v>SR807</v>
      </c>
      <c r="AD626" s="381">
        <f>IF(LEFT(B626,8)=(""&amp;$B$2),3,1)</f>
        <v>3</v>
      </c>
    </row>
    <row r="627" spans="1:30" s="6" customFormat="1" x14ac:dyDescent="0.25">
      <c r="A627" s="167" t="str">
        <f t="shared" ref="A627:A649" si="261">IF( OR(N627=0,O627=2),"comment","")</f>
        <v/>
      </c>
      <c r="B627" s="571" t="str">
        <f>C530</f>
        <v>2018032610000081</v>
      </c>
      <c r="C627" s="111" t="str">
        <f t="shared" si="240"/>
        <v>6001</v>
      </c>
      <c r="D627" s="111" t="str">
        <f t="shared" si="241"/>
        <v>B00101</v>
      </c>
      <c r="E627" s="111" t="str">
        <f t="shared" si="242"/>
        <v>6001</v>
      </c>
      <c r="F627" s="111">
        <f t="shared" si="243"/>
        <v>20180326</v>
      </c>
      <c r="G627" s="111" t="str">
        <f t="shared" si="244"/>
        <v>CZCE</v>
      </c>
      <c r="H627" s="111" t="str">
        <f t="shared" si="245"/>
        <v>SR807C6500</v>
      </c>
      <c r="I627" s="111">
        <f t="shared" si="246"/>
        <v>10</v>
      </c>
      <c r="J627" s="111">
        <v>4</v>
      </c>
      <c r="K627" s="111">
        <f t="shared" si="247"/>
        <v>0</v>
      </c>
      <c r="L627" s="111">
        <f t="shared" si="248"/>
        <v>3</v>
      </c>
      <c r="M627" s="111">
        <f t="shared" si="249"/>
        <v>6</v>
      </c>
      <c r="N627" s="111">
        <v>3</v>
      </c>
      <c r="O627" s="111">
        <v>0</v>
      </c>
      <c r="P627" s="111">
        <f t="shared" si="250"/>
        <v>6500</v>
      </c>
      <c r="Q627" s="111">
        <f t="shared" si="251"/>
        <v>4.2000000000000002E-4</v>
      </c>
      <c r="R627" s="111">
        <f t="shared" si="252"/>
        <v>4.2</v>
      </c>
      <c r="S627" s="111">
        <f t="shared" si="253"/>
        <v>4.2000000000000002E-4</v>
      </c>
      <c r="T627" s="111">
        <f t="shared" si="254"/>
        <v>4.2</v>
      </c>
      <c r="U627" s="111">
        <f t="shared" ref="U627:U641" si="262">IF(O627=0,N627*P627*Q627*I627+N627*R627,0)</f>
        <v>94.5</v>
      </c>
      <c r="V627" s="111">
        <f t="shared" ref="V627:V641" si="263">IF(O627=0,N627*P627*S627*I627+N627*T627,0)</f>
        <v>94.5</v>
      </c>
      <c r="W627" s="111">
        <f t="shared" ref="W627:W641" si="264">IF(O627=0,N627*P627*I627,0)</f>
        <v>195000</v>
      </c>
      <c r="X627" s="111" t="str">
        <f t="shared" si="255"/>
        <v>SR807C650034</v>
      </c>
      <c r="Y627" s="282">
        <f t="shared" si="256"/>
        <v>0</v>
      </c>
      <c r="Z627" s="111">
        <f t="shared" si="257"/>
        <v>0</v>
      </c>
      <c r="AA627" s="111">
        <f t="shared" si="258"/>
        <v>3</v>
      </c>
      <c r="AB627" s="111">
        <f t="shared" si="259"/>
        <v>0</v>
      </c>
      <c r="AC627" s="111" t="str">
        <f t="shared" si="260"/>
        <v>SR807</v>
      </c>
      <c r="AD627" s="381">
        <f t="shared" ref="AD627:AD649" si="265">IF(LEFT(B627,8)=(""&amp;$B$2),3,1)</f>
        <v>3</v>
      </c>
    </row>
    <row r="628" spans="1:30" s="6" customFormat="1" x14ac:dyDescent="0.25">
      <c r="A628" s="167" t="str">
        <f t="shared" si="261"/>
        <v>comment</v>
      </c>
      <c r="B628" s="571" t="str">
        <f>C531</f>
        <v>2018032610000082</v>
      </c>
      <c r="C628" s="111" t="str">
        <f t="shared" si="240"/>
        <v>6001</v>
      </c>
      <c r="D628" s="111" t="str">
        <f t="shared" si="241"/>
        <v>B00101</v>
      </c>
      <c r="E628" s="111" t="str">
        <f t="shared" si="242"/>
        <v>6001</v>
      </c>
      <c r="F628" s="111">
        <f t="shared" si="243"/>
        <v>20180326</v>
      </c>
      <c r="G628" s="111" t="str">
        <f t="shared" si="244"/>
        <v>CZCE</v>
      </c>
      <c r="H628" s="111" t="str">
        <f t="shared" si="245"/>
        <v>SR807C6500</v>
      </c>
      <c r="I628" s="111">
        <f t="shared" si="246"/>
        <v>10</v>
      </c>
      <c r="J628" s="111">
        <v>4</v>
      </c>
      <c r="K628" s="111">
        <f t="shared" si="247"/>
        <v>0</v>
      </c>
      <c r="L628" s="111">
        <f t="shared" si="248"/>
        <v>1</v>
      </c>
      <c r="M628" s="111">
        <f t="shared" si="249"/>
        <v>0</v>
      </c>
      <c r="N628" s="111">
        <v>0</v>
      </c>
      <c r="O628" s="111">
        <v>2</v>
      </c>
      <c r="P628" s="111">
        <f t="shared" si="250"/>
        <v>6500</v>
      </c>
      <c r="Q628" s="111">
        <f t="shared" si="251"/>
        <v>4.2000000000000002E-4</v>
      </c>
      <c r="R628" s="111">
        <f t="shared" si="252"/>
        <v>4.2</v>
      </c>
      <c r="S628" s="111">
        <f t="shared" si="253"/>
        <v>3.2000000000000003E-4</v>
      </c>
      <c r="T628" s="111">
        <f t="shared" si="254"/>
        <v>3.2</v>
      </c>
      <c r="U628" s="111">
        <f t="shared" si="262"/>
        <v>0</v>
      </c>
      <c r="V628" s="111">
        <f t="shared" si="263"/>
        <v>0</v>
      </c>
      <c r="W628" s="111">
        <f t="shared" si="264"/>
        <v>0</v>
      </c>
      <c r="X628" s="111" t="str">
        <f t="shared" si="255"/>
        <v>SR807C650014</v>
      </c>
      <c r="Y628" s="282">
        <f t="shared" si="256"/>
        <v>0</v>
      </c>
      <c r="Z628" s="111">
        <f t="shared" si="257"/>
        <v>0</v>
      </c>
      <c r="AA628" s="111">
        <f t="shared" si="258"/>
        <v>0</v>
      </c>
      <c r="AB628" s="111">
        <f t="shared" si="259"/>
        <v>0</v>
      </c>
      <c r="AC628" s="111" t="str">
        <f t="shared" si="260"/>
        <v>SR807</v>
      </c>
      <c r="AD628" s="381">
        <f t="shared" si="265"/>
        <v>3</v>
      </c>
    </row>
    <row r="629" spans="1:30" s="6" customFormat="1" x14ac:dyDescent="0.25">
      <c r="A629" s="167" t="str">
        <f t="shared" si="261"/>
        <v>comment</v>
      </c>
      <c r="B629" s="571" t="str">
        <f>C532</f>
        <v>2018032610000083</v>
      </c>
      <c r="C629" s="111" t="str">
        <f t="shared" si="240"/>
        <v>6001</v>
      </c>
      <c r="D629" s="111" t="str">
        <f t="shared" si="241"/>
        <v>B00101</v>
      </c>
      <c r="E629" s="111" t="str">
        <f t="shared" si="242"/>
        <v>6001</v>
      </c>
      <c r="F629" s="111">
        <f t="shared" si="243"/>
        <v>20180326</v>
      </c>
      <c r="G629" s="111" t="str">
        <f t="shared" si="244"/>
        <v>CZCE</v>
      </c>
      <c r="H629" s="111" t="str">
        <f t="shared" si="245"/>
        <v>SR807C6500</v>
      </c>
      <c r="I629" s="111">
        <f t="shared" si="246"/>
        <v>10</v>
      </c>
      <c r="J629" s="111">
        <v>4</v>
      </c>
      <c r="K629" s="111">
        <f t="shared" si="247"/>
        <v>0</v>
      </c>
      <c r="L629" s="111">
        <f t="shared" si="248"/>
        <v>1</v>
      </c>
      <c r="M629" s="111">
        <f t="shared" si="249"/>
        <v>0</v>
      </c>
      <c r="N629" s="111">
        <v>0</v>
      </c>
      <c r="O629" s="111">
        <v>2</v>
      </c>
      <c r="P629" s="111">
        <f t="shared" si="250"/>
        <v>6500</v>
      </c>
      <c r="Q629" s="111">
        <f t="shared" si="251"/>
        <v>4.2000000000000002E-4</v>
      </c>
      <c r="R629" s="111">
        <f t="shared" si="252"/>
        <v>4.2</v>
      </c>
      <c r="S629" s="111">
        <f t="shared" si="253"/>
        <v>3.2000000000000003E-4</v>
      </c>
      <c r="T629" s="111">
        <f t="shared" si="254"/>
        <v>3.2</v>
      </c>
      <c r="U629" s="111">
        <f t="shared" si="262"/>
        <v>0</v>
      </c>
      <c r="V629" s="111">
        <f t="shared" si="263"/>
        <v>0</v>
      </c>
      <c r="W629" s="111">
        <f t="shared" si="264"/>
        <v>0</v>
      </c>
      <c r="X629" s="111" t="str">
        <f t="shared" si="255"/>
        <v>SR807C650014</v>
      </c>
      <c r="Y629" s="282">
        <f t="shared" si="256"/>
        <v>0</v>
      </c>
      <c r="Z629" s="111">
        <f t="shared" si="257"/>
        <v>0</v>
      </c>
      <c r="AA629" s="111">
        <f t="shared" si="258"/>
        <v>0</v>
      </c>
      <c r="AB629" s="111">
        <f t="shared" si="259"/>
        <v>0</v>
      </c>
      <c r="AC629" s="111" t="str">
        <f t="shared" si="260"/>
        <v>SR807</v>
      </c>
      <c r="AD629" s="381">
        <f t="shared" si="265"/>
        <v>3</v>
      </c>
    </row>
    <row r="630" spans="1:30" s="6" customFormat="1" x14ac:dyDescent="0.25">
      <c r="A630" s="167" t="str">
        <f t="shared" si="261"/>
        <v>comment</v>
      </c>
      <c r="B630" s="571" t="str">
        <f>C537</f>
        <v>2018032610000089</v>
      </c>
      <c r="C630" s="111" t="str">
        <f t="shared" si="240"/>
        <v>6001</v>
      </c>
      <c r="D630" s="111" t="str">
        <f t="shared" si="241"/>
        <v>B00101</v>
      </c>
      <c r="E630" s="111" t="str">
        <f t="shared" si="242"/>
        <v>6001</v>
      </c>
      <c r="F630" s="111">
        <f t="shared" si="243"/>
        <v>20180326</v>
      </c>
      <c r="G630" s="111" t="str">
        <f t="shared" si="244"/>
        <v>CZCE</v>
      </c>
      <c r="H630" s="111" t="str">
        <f t="shared" si="245"/>
        <v>SR807C6500</v>
      </c>
      <c r="I630" s="111">
        <f t="shared" si="246"/>
        <v>10</v>
      </c>
      <c r="J630" s="111">
        <v>4</v>
      </c>
      <c r="K630" s="111">
        <f t="shared" si="247"/>
        <v>0</v>
      </c>
      <c r="L630" s="111">
        <f t="shared" si="248"/>
        <v>1</v>
      </c>
      <c r="M630" s="111">
        <f t="shared" si="249"/>
        <v>10</v>
      </c>
      <c r="N630" s="111">
        <v>0</v>
      </c>
      <c r="O630" s="111">
        <v>2</v>
      </c>
      <c r="P630" s="111">
        <f t="shared" si="250"/>
        <v>6500</v>
      </c>
      <c r="Q630" s="111">
        <f t="shared" si="251"/>
        <v>4.2000000000000002E-4</v>
      </c>
      <c r="R630" s="111">
        <f t="shared" si="252"/>
        <v>4.2</v>
      </c>
      <c r="S630" s="111">
        <f t="shared" si="253"/>
        <v>3.2000000000000003E-4</v>
      </c>
      <c r="T630" s="111">
        <f t="shared" si="254"/>
        <v>3.2</v>
      </c>
      <c r="U630" s="111">
        <f t="shared" si="262"/>
        <v>0</v>
      </c>
      <c r="V630" s="111">
        <f t="shared" si="263"/>
        <v>0</v>
      </c>
      <c r="W630" s="111">
        <f t="shared" si="264"/>
        <v>0</v>
      </c>
      <c r="X630" s="111" t="str">
        <f t="shared" si="255"/>
        <v>SR807C650014</v>
      </c>
      <c r="Y630" s="282">
        <f t="shared" si="256"/>
        <v>0</v>
      </c>
      <c r="Z630" s="111">
        <f t="shared" si="257"/>
        <v>0</v>
      </c>
      <c r="AA630" s="111">
        <f t="shared" si="258"/>
        <v>0</v>
      </c>
      <c r="AB630" s="111">
        <f t="shared" si="259"/>
        <v>0</v>
      </c>
      <c r="AC630" s="111" t="str">
        <f t="shared" si="260"/>
        <v>SR807</v>
      </c>
      <c r="AD630" s="381">
        <f t="shared" si="265"/>
        <v>3</v>
      </c>
    </row>
    <row r="631" spans="1:30" s="6" customFormat="1" x14ac:dyDescent="0.25">
      <c r="A631" s="167" t="str">
        <f t="shared" si="261"/>
        <v>comment</v>
      </c>
      <c r="B631" s="571" t="str">
        <f>C538</f>
        <v>2018032610000090</v>
      </c>
      <c r="C631" s="111" t="str">
        <f t="shared" si="240"/>
        <v>6001</v>
      </c>
      <c r="D631" s="111" t="str">
        <f t="shared" si="241"/>
        <v>B00101</v>
      </c>
      <c r="E631" s="111" t="str">
        <f t="shared" si="242"/>
        <v>6001</v>
      </c>
      <c r="F631" s="111">
        <f t="shared" si="243"/>
        <v>20180326</v>
      </c>
      <c r="G631" s="111" t="str">
        <f t="shared" si="244"/>
        <v>CZCE</v>
      </c>
      <c r="H631" s="111" t="str">
        <f t="shared" si="245"/>
        <v>SR807C6500</v>
      </c>
      <c r="I631" s="111">
        <f t="shared" si="246"/>
        <v>10</v>
      </c>
      <c r="J631" s="111">
        <v>4</v>
      </c>
      <c r="K631" s="111">
        <f t="shared" si="247"/>
        <v>1</v>
      </c>
      <c r="L631" s="111">
        <f t="shared" si="248"/>
        <v>3</v>
      </c>
      <c r="M631" s="111">
        <f t="shared" si="249"/>
        <v>10</v>
      </c>
      <c r="N631" s="111">
        <v>0</v>
      </c>
      <c r="O631" s="111">
        <v>2</v>
      </c>
      <c r="P631" s="111">
        <f t="shared" si="250"/>
        <v>6500</v>
      </c>
      <c r="Q631" s="111">
        <f t="shared" si="251"/>
        <v>4.2000000000000002E-4</v>
      </c>
      <c r="R631" s="111">
        <f t="shared" si="252"/>
        <v>4.2</v>
      </c>
      <c r="S631" s="111">
        <f t="shared" si="253"/>
        <v>4.2000000000000002E-4</v>
      </c>
      <c r="T631" s="111">
        <f t="shared" si="254"/>
        <v>4.2</v>
      </c>
      <c r="U631" s="111">
        <f t="shared" si="262"/>
        <v>0</v>
      </c>
      <c r="V631" s="111">
        <f t="shared" si="263"/>
        <v>0</v>
      </c>
      <c r="W631" s="111">
        <f t="shared" si="264"/>
        <v>0</v>
      </c>
      <c r="X631" s="111" t="str">
        <f t="shared" si="255"/>
        <v>SR807C650034</v>
      </c>
      <c r="Y631" s="282">
        <f t="shared" si="256"/>
        <v>0</v>
      </c>
      <c r="Z631" s="111">
        <f t="shared" si="257"/>
        <v>1</v>
      </c>
      <c r="AA631" s="111">
        <f t="shared" si="258"/>
        <v>0</v>
      </c>
      <c r="AB631" s="111">
        <f t="shared" si="259"/>
        <v>0</v>
      </c>
      <c r="AC631" s="111" t="str">
        <f t="shared" si="260"/>
        <v>SR807</v>
      </c>
      <c r="AD631" s="381">
        <f t="shared" si="265"/>
        <v>3</v>
      </c>
    </row>
    <row r="632" spans="1:30" s="6" customFormat="1" x14ac:dyDescent="0.25">
      <c r="A632" s="167" t="str">
        <f t="shared" si="261"/>
        <v>comment</v>
      </c>
      <c r="B632" s="571" t="str">
        <f>C539</f>
        <v>2018032610000091</v>
      </c>
      <c r="C632" s="111" t="str">
        <f t="shared" si="240"/>
        <v>6001</v>
      </c>
      <c r="D632" s="111" t="str">
        <f t="shared" si="241"/>
        <v>B00101</v>
      </c>
      <c r="E632" s="111" t="str">
        <f t="shared" si="242"/>
        <v>6001</v>
      </c>
      <c r="F632" s="111">
        <f t="shared" si="243"/>
        <v>20180326</v>
      </c>
      <c r="G632" s="111" t="str">
        <f t="shared" si="244"/>
        <v>CZCE</v>
      </c>
      <c r="H632" s="111" t="str">
        <f t="shared" si="245"/>
        <v>SR807C6500</v>
      </c>
      <c r="I632" s="111">
        <f t="shared" si="246"/>
        <v>10</v>
      </c>
      <c r="J632" s="111">
        <v>4</v>
      </c>
      <c r="K632" s="111">
        <f t="shared" si="247"/>
        <v>1</v>
      </c>
      <c r="L632" s="111">
        <f t="shared" si="248"/>
        <v>1</v>
      </c>
      <c r="M632" s="111">
        <f t="shared" si="249"/>
        <v>0</v>
      </c>
      <c r="N632" s="111">
        <v>0</v>
      </c>
      <c r="O632" s="111">
        <v>2</v>
      </c>
      <c r="P632" s="111">
        <f t="shared" si="250"/>
        <v>6500</v>
      </c>
      <c r="Q632" s="111">
        <f t="shared" si="251"/>
        <v>4.2000000000000002E-4</v>
      </c>
      <c r="R632" s="111">
        <f t="shared" si="252"/>
        <v>4.2</v>
      </c>
      <c r="S632" s="111">
        <f t="shared" si="253"/>
        <v>3.2000000000000003E-4</v>
      </c>
      <c r="T632" s="111">
        <f t="shared" si="254"/>
        <v>3.2</v>
      </c>
      <c r="U632" s="111">
        <f t="shared" si="262"/>
        <v>0</v>
      </c>
      <c r="V632" s="111">
        <f t="shared" si="263"/>
        <v>0</v>
      </c>
      <c r="W632" s="111">
        <f t="shared" si="264"/>
        <v>0</v>
      </c>
      <c r="X632" s="111" t="str">
        <f t="shared" si="255"/>
        <v>SR807C650014</v>
      </c>
      <c r="Y632" s="282">
        <f t="shared" si="256"/>
        <v>0</v>
      </c>
      <c r="Z632" s="111">
        <f t="shared" si="257"/>
        <v>1</v>
      </c>
      <c r="AA632" s="111">
        <f t="shared" si="258"/>
        <v>0</v>
      </c>
      <c r="AB632" s="111">
        <f t="shared" si="259"/>
        <v>0</v>
      </c>
      <c r="AC632" s="111" t="str">
        <f t="shared" si="260"/>
        <v>SR807</v>
      </c>
      <c r="AD632" s="381">
        <f t="shared" si="265"/>
        <v>3</v>
      </c>
    </row>
    <row r="633" spans="1:30" s="6" customFormat="1" x14ac:dyDescent="0.25">
      <c r="A633" s="167" t="str">
        <f t="shared" si="261"/>
        <v/>
      </c>
      <c r="B633" s="571" t="str">
        <f>C540</f>
        <v>2018032610000092</v>
      </c>
      <c r="C633" s="111" t="str">
        <f t="shared" si="240"/>
        <v>6001</v>
      </c>
      <c r="D633" s="111" t="str">
        <f t="shared" si="241"/>
        <v>B00101</v>
      </c>
      <c r="E633" s="111" t="str">
        <f t="shared" si="242"/>
        <v>6001</v>
      </c>
      <c r="F633" s="111">
        <f t="shared" si="243"/>
        <v>20180326</v>
      </c>
      <c r="G633" s="111" t="str">
        <f t="shared" si="244"/>
        <v>CZCE</v>
      </c>
      <c r="H633" s="111" t="str">
        <f t="shared" si="245"/>
        <v>SR807C6500</v>
      </c>
      <c r="I633" s="111">
        <f t="shared" si="246"/>
        <v>10</v>
      </c>
      <c r="J633" s="111">
        <v>4</v>
      </c>
      <c r="K633" s="111">
        <f t="shared" si="247"/>
        <v>1</v>
      </c>
      <c r="L633" s="111">
        <f t="shared" si="248"/>
        <v>1</v>
      </c>
      <c r="M633" s="111">
        <f t="shared" si="249"/>
        <v>13</v>
      </c>
      <c r="N633" s="111">
        <v>3</v>
      </c>
      <c r="O633" s="111">
        <v>0</v>
      </c>
      <c r="P633" s="111">
        <f t="shared" si="250"/>
        <v>6500</v>
      </c>
      <c r="Q633" s="111">
        <f t="shared" si="251"/>
        <v>4.2000000000000002E-4</v>
      </c>
      <c r="R633" s="111">
        <f t="shared" si="252"/>
        <v>4.2</v>
      </c>
      <c r="S633" s="111">
        <f t="shared" si="253"/>
        <v>3.2000000000000003E-4</v>
      </c>
      <c r="T633" s="111">
        <f t="shared" si="254"/>
        <v>3.2</v>
      </c>
      <c r="U633" s="111">
        <f t="shared" si="262"/>
        <v>94.5</v>
      </c>
      <c r="V633" s="111">
        <f t="shared" si="263"/>
        <v>72</v>
      </c>
      <c r="W633" s="111">
        <f t="shared" si="264"/>
        <v>195000</v>
      </c>
      <c r="X633" s="111" t="str">
        <f t="shared" si="255"/>
        <v>SR807C650014</v>
      </c>
      <c r="Y633" s="282">
        <f t="shared" si="256"/>
        <v>0</v>
      </c>
      <c r="Z633" s="111">
        <f t="shared" si="257"/>
        <v>1</v>
      </c>
      <c r="AA633" s="111">
        <f t="shared" si="258"/>
        <v>3</v>
      </c>
      <c r="AB633" s="111">
        <f t="shared" si="259"/>
        <v>0</v>
      </c>
      <c r="AC633" s="111" t="str">
        <f t="shared" si="260"/>
        <v>SR807</v>
      </c>
      <c r="AD633" s="381">
        <f t="shared" si="265"/>
        <v>3</v>
      </c>
    </row>
    <row r="634" spans="1:30" s="6" customFormat="1" x14ac:dyDescent="0.25">
      <c r="A634" s="167" t="str">
        <f t="shared" si="261"/>
        <v/>
      </c>
      <c r="B634" s="571" t="str">
        <f>B633</f>
        <v>2018032610000092</v>
      </c>
      <c r="C634" s="111" t="str">
        <f t="shared" si="240"/>
        <v>6001</v>
      </c>
      <c r="D634" s="111" t="str">
        <f t="shared" si="241"/>
        <v>B00101</v>
      </c>
      <c r="E634" s="111" t="str">
        <f t="shared" si="242"/>
        <v>6001</v>
      </c>
      <c r="F634" s="111">
        <f t="shared" si="243"/>
        <v>20180326</v>
      </c>
      <c r="G634" s="111" t="str">
        <f t="shared" si="244"/>
        <v>CZCE</v>
      </c>
      <c r="H634" s="111" t="str">
        <f t="shared" si="245"/>
        <v>SR807C6500</v>
      </c>
      <c r="I634" s="111">
        <f t="shared" si="246"/>
        <v>10</v>
      </c>
      <c r="J634" s="111">
        <v>4</v>
      </c>
      <c r="K634" s="111">
        <f t="shared" si="247"/>
        <v>1</v>
      </c>
      <c r="L634" s="111">
        <f t="shared" si="248"/>
        <v>1</v>
      </c>
      <c r="M634" s="111">
        <f t="shared" si="249"/>
        <v>13</v>
      </c>
      <c r="N634" s="111">
        <v>3</v>
      </c>
      <c r="O634" s="111">
        <v>1</v>
      </c>
      <c r="P634" s="111">
        <f t="shared" si="250"/>
        <v>6500</v>
      </c>
      <c r="Q634" s="111">
        <f t="shared" si="251"/>
        <v>4.2000000000000002E-4</v>
      </c>
      <c r="R634" s="111">
        <f t="shared" si="252"/>
        <v>4.2</v>
      </c>
      <c r="S634" s="111">
        <f t="shared" si="253"/>
        <v>3.2000000000000003E-4</v>
      </c>
      <c r="T634" s="111">
        <f t="shared" si="254"/>
        <v>3.2</v>
      </c>
      <c r="U634" s="111">
        <f t="shared" si="262"/>
        <v>0</v>
      </c>
      <c r="V634" s="111">
        <f t="shared" si="263"/>
        <v>0</v>
      </c>
      <c r="W634" s="111">
        <f t="shared" si="264"/>
        <v>0</v>
      </c>
      <c r="X634" s="111" t="str">
        <f t="shared" si="255"/>
        <v>SR807C650014</v>
      </c>
      <c r="Y634" s="282">
        <f t="shared" si="256"/>
        <v>0</v>
      </c>
      <c r="Z634" s="111">
        <f t="shared" si="257"/>
        <v>1</v>
      </c>
      <c r="AA634" s="111">
        <f t="shared" si="258"/>
        <v>0</v>
      </c>
      <c r="AB634" s="111">
        <f t="shared" si="259"/>
        <v>0</v>
      </c>
      <c r="AC634" s="111" t="str">
        <f t="shared" si="260"/>
        <v>SR807</v>
      </c>
      <c r="AD634" s="381">
        <f t="shared" si="265"/>
        <v>3</v>
      </c>
    </row>
    <row r="635" spans="1:30" s="6" customFormat="1" x14ac:dyDescent="0.25">
      <c r="A635" s="167" t="str">
        <f t="shared" si="261"/>
        <v>comment</v>
      </c>
      <c r="B635" s="571" t="str">
        <f t="shared" ref="B635:B641" si="266">C544</f>
        <v>2018032610000096</v>
      </c>
      <c r="C635" s="111" t="str">
        <f t="shared" si="240"/>
        <v>6001</v>
      </c>
      <c r="D635" s="111" t="str">
        <f t="shared" si="241"/>
        <v>B00101</v>
      </c>
      <c r="E635" s="111" t="str">
        <f t="shared" si="242"/>
        <v>6001</v>
      </c>
      <c r="F635" s="111">
        <f t="shared" si="243"/>
        <v>20180326</v>
      </c>
      <c r="G635" s="111" t="str">
        <f t="shared" si="244"/>
        <v>CZCE</v>
      </c>
      <c r="H635" s="111" t="str">
        <f t="shared" si="245"/>
        <v>SR807P6500</v>
      </c>
      <c r="I635" s="111">
        <f t="shared" si="246"/>
        <v>10</v>
      </c>
      <c r="J635" s="111">
        <v>4</v>
      </c>
      <c r="K635" s="111">
        <f t="shared" si="247"/>
        <v>0</v>
      </c>
      <c r="L635" s="111">
        <f t="shared" si="248"/>
        <v>1</v>
      </c>
      <c r="M635" s="111">
        <f t="shared" si="249"/>
        <v>1</v>
      </c>
      <c r="N635" s="111">
        <v>0</v>
      </c>
      <c r="O635" s="111">
        <v>2</v>
      </c>
      <c r="P635" s="111">
        <f t="shared" si="250"/>
        <v>6500</v>
      </c>
      <c r="Q635" s="111">
        <f t="shared" si="251"/>
        <v>4.2000000000000002E-4</v>
      </c>
      <c r="R635" s="111">
        <f t="shared" si="252"/>
        <v>4.2</v>
      </c>
      <c r="S635" s="111">
        <f t="shared" si="253"/>
        <v>3.2000000000000003E-4</v>
      </c>
      <c r="T635" s="111">
        <f t="shared" si="254"/>
        <v>3.2</v>
      </c>
      <c r="U635" s="111">
        <f t="shared" si="262"/>
        <v>0</v>
      </c>
      <c r="V635" s="111">
        <f t="shared" si="263"/>
        <v>0</v>
      </c>
      <c r="W635" s="111">
        <f t="shared" si="264"/>
        <v>0</v>
      </c>
      <c r="X635" s="111" t="str">
        <f t="shared" si="255"/>
        <v>SR807P650014</v>
      </c>
      <c r="Y635" s="282">
        <f t="shared" si="256"/>
        <v>1</v>
      </c>
      <c r="Z635" s="111">
        <f t="shared" si="257"/>
        <v>1</v>
      </c>
      <c r="AA635" s="111">
        <f t="shared" si="258"/>
        <v>0</v>
      </c>
      <c r="AB635" s="111">
        <f t="shared" si="259"/>
        <v>0</v>
      </c>
      <c r="AC635" s="111" t="str">
        <f t="shared" si="260"/>
        <v>SR807</v>
      </c>
      <c r="AD635" s="381">
        <f t="shared" si="265"/>
        <v>3</v>
      </c>
    </row>
    <row r="636" spans="1:30" s="6" customFormat="1" x14ac:dyDescent="0.25">
      <c r="A636" s="167" t="str">
        <f t="shared" si="261"/>
        <v>comment</v>
      </c>
      <c r="B636" s="571" t="str">
        <f t="shared" si="266"/>
        <v>2018032610000097</v>
      </c>
      <c r="C636" s="111" t="str">
        <f t="shared" si="240"/>
        <v>6001</v>
      </c>
      <c r="D636" s="111" t="str">
        <f t="shared" si="241"/>
        <v>B00101</v>
      </c>
      <c r="E636" s="111" t="str">
        <f t="shared" si="242"/>
        <v>6001</v>
      </c>
      <c r="F636" s="111">
        <f t="shared" si="243"/>
        <v>20180326</v>
      </c>
      <c r="G636" s="111" t="str">
        <f t="shared" si="244"/>
        <v>CZCE</v>
      </c>
      <c r="H636" s="111" t="str">
        <f t="shared" si="245"/>
        <v>SR807P6500</v>
      </c>
      <c r="I636" s="111">
        <f t="shared" si="246"/>
        <v>10</v>
      </c>
      <c r="J636" s="111">
        <v>4</v>
      </c>
      <c r="K636" s="111">
        <f t="shared" si="247"/>
        <v>1</v>
      </c>
      <c r="L636" s="111">
        <f t="shared" si="248"/>
        <v>1</v>
      </c>
      <c r="M636" s="111">
        <f t="shared" si="249"/>
        <v>5</v>
      </c>
      <c r="N636" s="111">
        <v>0</v>
      </c>
      <c r="O636" s="111">
        <v>2</v>
      </c>
      <c r="P636" s="111">
        <f t="shared" si="250"/>
        <v>6500</v>
      </c>
      <c r="Q636" s="111">
        <f t="shared" si="251"/>
        <v>4.2000000000000002E-4</v>
      </c>
      <c r="R636" s="111">
        <f t="shared" si="252"/>
        <v>4.2</v>
      </c>
      <c r="S636" s="111">
        <f t="shared" si="253"/>
        <v>3.2000000000000003E-4</v>
      </c>
      <c r="T636" s="111">
        <f t="shared" si="254"/>
        <v>3.2</v>
      </c>
      <c r="U636" s="111">
        <f t="shared" si="262"/>
        <v>0</v>
      </c>
      <c r="V636" s="111">
        <f t="shared" si="263"/>
        <v>0</v>
      </c>
      <c r="W636" s="111">
        <f t="shared" si="264"/>
        <v>0</v>
      </c>
      <c r="X636" s="111" t="str">
        <f t="shared" si="255"/>
        <v>SR807P650014</v>
      </c>
      <c r="Y636" s="282">
        <f t="shared" si="256"/>
        <v>1</v>
      </c>
      <c r="Z636" s="111">
        <f t="shared" si="257"/>
        <v>0</v>
      </c>
      <c r="AA636" s="111">
        <f t="shared" si="258"/>
        <v>0</v>
      </c>
      <c r="AB636" s="111">
        <f t="shared" si="259"/>
        <v>0</v>
      </c>
      <c r="AC636" s="111" t="str">
        <f t="shared" si="260"/>
        <v>SR807</v>
      </c>
      <c r="AD636" s="111">
        <f t="shared" si="265"/>
        <v>3</v>
      </c>
    </row>
    <row r="637" spans="1:30" x14ac:dyDescent="0.25">
      <c r="A637" s="126" t="str">
        <f t="shared" si="261"/>
        <v/>
      </c>
      <c r="B637" s="98" t="str">
        <f t="shared" si="266"/>
        <v>2018032610000098</v>
      </c>
      <c r="C637" s="111" t="str">
        <f t="shared" si="240"/>
        <v>6001</v>
      </c>
      <c r="D637" s="111" t="str">
        <f t="shared" si="241"/>
        <v>B00101</v>
      </c>
      <c r="E637" s="111" t="str">
        <f t="shared" si="242"/>
        <v>6001</v>
      </c>
      <c r="F637" s="111">
        <f t="shared" si="243"/>
        <v>20180326</v>
      </c>
      <c r="G637" s="111" t="str">
        <f t="shared" si="244"/>
        <v>CZCE</v>
      </c>
      <c r="H637" s="111" t="str">
        <f t="shared" si="245"/>
        <v>SR807P6500</v>
      </c>
      <c r="I637" s="111">
        <f t="shared" si="246"/>
        <v>10</v>
      </c>
      <c r="J637" s="111">
        <v>4</v>
      </c>
      <c r="K637" s="111">
        <f t="shared" si="247"/>
        <v>0</v>
      </c>
      <c r="L637" s="111">
        <f t="shared" si="248"/>
        <v>3</v>
      </c>
      <c r="M637" s="111">
        <f t="shared" si="249"/>
        <v>4</v>
      </c>
      <c r="N637" s="92">
        <v>2</v>
      </c>
      <c r="O637" s="92">
        <v>0</v>
      </c>
      <c r="P637" s="92">
        <f t="shared" si="250"/>
        <v>6500</v>
      </c>
      <c r="Q637" s="111">
        <f t="shared" si="251"/>
        <v>4.2000000000000002E-4</v>
      </c>
      <c r="R637" s="111">
        <f t="shared" si="252"/>
        <v>4.2</v>
      </c>
      <c r="S637" s="111">
        <f t="shared" si="253"/>
        <v>4.2000000000000002E-4</v>
      </c>
      <c r="T637" s="111">
        <f t="shared" si="254"/>
        <v>4.2</v>
      </c>
      <c r="U637" s="92">
        <f t="shared" si="262"/>
        <v>63</v>
      </c>
      <c r="V637" s="92">
        <f t="shared" si="263"/>
        <v>63</v>
      </c>
      <c r="W637" s="92">
        <f t="shared" si="264"/>
        <v>130000</v>
      </c>
      <c r="X637" s="92" t="str">
        <f t="shared" si="255"/>
        <v>SR807P650034</v>
      </c>
      <c r="Y637" s="129">
        <f t="shared" si="256"/>
        <v>1</v>
      </c>
      <c r="Z637" s="92">
        <f t="shared" si="257"/>
        <v>1</v>
      </c>
      <c r="AA637" s="92">
        <f t="shared" si="258"/>
        <v>2</v>
      </c>
      <c r="AB637" s="92">
        <f t="shared" si="259"/>
        <v>0</v>
      </c>
      <c r="AC637" s="92" t="str">
        <f t="shared" si="260"/>
        <v>SR807</v>
      </c>
      <c r="AD637" s="381">
        <f t="shared" si="265"/>
        <v>3</v>
      </c>
    </row>
    <row r="638" spans="1:30" x14ac:dyDescent="0.25">
      <c r="A638" s="126" t="str">
        <f t="shared" si="261"/>
        <v/>
      </c>
      <c r="B638" s="98" t="str">
        <f t="shared" si="266"/>
        <v>2018032610000099</v>
      </c>
      <c r="C638" s="111" t="str">
        <f t="shared" si="240"/>
        <v>6001</v>
      </c>
      <c r="D638" s="111" t="str">
        <f t="shared" si="241"/>
        <v>B00101</v>
      </c>
      <c r="E638" s="111" t="str">
        <f t="shared" si="242"/>
        <v>6001</v>
      </c>
      <c r="F638" s="111">
        <f t="shared" si="243"/>
        <v>20180326</v>
      </c>
      <c r="G638" s="111" t="str">
        <f t="shared" si="244"/>
        <v>CZCE</v>
      </c>
      <c r="H638" s="111" t="str">
        <f t="shared" si="245"/>
        <v>SR807P6500</v>
      </c>
      <c r="I638" s="111">
        <f t="shared" si="246"/>
        <v>10</v>
      </c>
      <c r="J638" s="111">
        <v>4</v>
      </c>
      <c r="K638" s="111">
        <f t="shared" si="247"/>
        <v>1</v>
      </c>
      <c r="L638" s="111">
        <f t="shared" si="248"/>
        <v>3</v>
      </c>
      <c r="M638" s="111">
        <f t="shared" si="249"/>
        <v>5</v>
      </c>
      <c r="N638" s="92">
        <v>2</v>
      </c>
      <c r="O638" s="92">
        <v>1</v>
      </c>
      <c r="P638" s="92">
        <f t="shared" si="250"/>
        <v>6500</v>
      </c>
      <c r="Q638" s="111">
        <f t="shared" si="251"/>
        <v>4.2000000000000002E-4</v>
      </c>
      <c r="R638" s="111">
        <f t="shared" si="252"/>
        <v>4.2</v>
      </c>
      <c r="S638" s="111">
        <f t="shared" si="253"/>
        <v>4.2000000000000002E-4</v>
      </c>
      <c r="T638" s="111">
        <f t="shared" si="254"/>
        <v>4.2</v>
      </c>
      <c r="U638" s="92">
        <f t="shared" si="262"/>
        <v>0</v>
      </c>
      <c r="V638" s="92">
        <f t="shared" si="263"/>
        <v>0</v>
      </c>
      <c r="W638" s="92">
        <f t="shared" si="264"/>
        <v>0</v>
      </c>
      <c r="X638" s="92" t="str">
        <f t="shared" si="255"/>
        <v>SR807P650034</v>
      </c>
      <c r="Y638" s="129">
        <f t="shared" si="256"/>
        <v>1</v>
      </c>
      <c r="Z638" s="92">
        <f t="shared" si="257"/>
        <v>0</v>
      </c>
      <c r="AA638" s="92">
        <f t="shared" si="258"/>
        <v>0</v>
      </c>
      <c r="AB638" s="92">
        <f t="shared" si="259"/>
        <v>0</v>
      </c>
      <c r="AC638" s="92" t="str">
        <f t="shared" si="260"/>
        <v>SR807</v>
      </c>
      <c r="AD638" s="381">
        <f t="shared" si="265"/>
        <v>3</v>
      </c>
    </row>
    <row r="639" spans="1:30" x14ac:dyDescent="0.25">
      <c r="A639" s="126" t="str">
        <f t="shared" si="261"/>
        <v>comment</v>
      </c>
      <c r="B639" s="98" t="str">
        <f t="shared" si="266"/>
        <v>2018032610000100</v>
      </c>
      <c r="C639" s="111" t="str">
        <f t="shared" si="240"/>
        <v>6001</v>
      </c>
      <c r="D639" s="111" t="str">
        <f t="shared" si="241"/>
        <v>B00101</v>
      </c>
      <c r="E639" s="111" t="str">
        <f t="shared" si="242"/>
        <v>6001</v>
      </c>
      <c r="F639" s="111">
        <f t="shared" si="243"/>
        <v>20180326</v>
      </c>
      <c r="G639" s="111" t="str">
        <f t="shared" si="244"/>
        <v>CZCE</v>
      </c>
      <c r="H639" s="111" t="str">
        <f t="shared" si="245"/>
        <v>SR807P6400</v>
      </c>
      <c r="I639" s="111">
        <f t="shared" si="246"/>
        <v>10</v>
      </c>
      <c r="J639" s="111">
        <v>4</v>
      </c>
      <c r="K639" s="111">
        <f t="shared" si="247"/>
        <v>0</v>
      </c>
      <c r="L639" s="111">
        <f t="shared" si="248"/>
        <v>1</v>
      </c>
      <c r="M639" s="111">
        <f t="shared" si="249"/>
        <v>1</v>
      </c>
      <c r="N639" s="92">
        <v>0</v>
      </c>
      <c r="O639" s="92">
        <v>2</v>
      </c>
      <c r="P639" s="92">
        <f t="shared" si="250"/>
        <v>6400</v>
      </c>
      <c r="Q639" s="111">
        <f t="shared" si="251"/>
        <v>4.2000000000000002E-4</v>
      </c>
      <c r="R639" s="111">
        <f t="shared" si="252"/>
        <v>4.2</v>
      </c>
      <c r="S639" s="111">
        <f t="shared" si="253"/>
        <v>3.2000000000000003E-4</v>
      </c>
      <c r="T639" s="111">
        <f t="shared" si="254"/>
        <v>3.2</v>
      </c>
      <c r="U639" s="92">
        <f t="shared" si="262"/>
        <v>0</v>
      </c>
      <c r="V639" s="92">
        <f t="shared" si="263"/>
        <v>0</v>
      </c>
      <c r="W639" s="92">
        <f t="shared" si="264"/>
        <v>0</v>
      </c>
      <c r="X639" s="92" t="str">
        <f t="shared" si="255"/>
        <v>SR807P640014</v>
      </c>
      <c r="Y639" s="129">
        <f t="shared" si="256"/>
        <v>1</v>
      </c>
      <c r="Z639" s="92">
        <f t="shared" si="257"/>
        <v>1</v>
      </c>
      <c r="AA639" s="92">
        <f t="shared" si="258"/>
        <v>0</v>
      </c>
      <c r="AB639" s="92">
        <f t="shared" si="259"/>
        <v>0</v>
      </c>
      <c r="AC639" s="92" t="str">
        <f t="shared" si="260"/>
        <v>SR807</v>
      </c>
      <c r="AD639" s="381">
        <f t="shared" si="265"/>
        <v>3</v>
      </c>
    </row>
    <row r="640" spans="1:30" x14ac:dyDescent="0.25">
      <c r="A640" s="126" t="str">
        <f t="shared" si="261"/>
        <v>comment</v>
      </c>
      <c r="B640" s="98" t="str">
        <f t="shared" si="266"/>
        <v>2018032610000101</v>
      </c>
      <c r="C640" s="111" t="str">
        <f t="shared" si="240"/>
        <v>6001</v>
      </c>
      <c r="D640" s="111" t="str">
        <f t="shared" si="241"/>
        <v>B00101</v>
      </c>
      <c r="E640" s="111" t="str">
        <f t="shared" si="242"/>
        <v>6001</v>
      </c>
      <c r="F640" s="111">
        <f t="shared" si="243"/>
        <v>20180326</v>
      </c>
      <c r="G640" s="111" t="str">
        <f t="shared" si="244"/>
        <v>CZCE</v>
      </c>
      <c r="H640" s="111" t="str">
        <f t="shared" si="245"/>
        <v>SR807P6400</v>
      </c>
      <c r="I640" s="111">
        <f t="shared" si="246"/>
        <v>10</v>
      </c>
      <c r="J640" s="111">
        <v>4</v>
      </c>
      <c r="K640" s="111">
        <f t="shared" si="247"/>
        <v>0</v>
      </c>
      <c r="L640" s="111">
        <f t="shared" si="248"/>
        <v>1</v>
      </c>
      <c r="M640" s="111">
        <f t="shared" si="249"/>
        <v>1</v>
      </c>
      <c r="N640" s="92">
        <v>0</v>
      </c>
      <c r="O640" s="92">
        <v>2</v>
      </c>
      <c r="P640" s="92">
        <f t="shared" ref="P640" si="267">VLOOKUP(H640,$C$22:$J$32,8,FALSE)</f>
        <v>6400</v>
      </c>
      <c r="Q640" s="111">
        <f t="shared" si="251"/>
        <v>4.2000000000000002E-4</v>
      </c>
      <c r="R640" s="111">
        <f t="shared" si="252"/>
        <v>4.2</v>
      </c>
      <c r="S640" s="111">
        <f t="shared" si="253"/>
        <v>3.2000000000000003E-4</v>
      </c>
      <c r="T640" s="111">
        <f t="shared" si="254"/>
        <v>3.2</v>
      </c>
      <c r="U640" s="92">
        <f t="shared" ref="U640" si="268">IF(O640=0,N640*P640*Q640*I640+N640*R640,0)</f>
        <v>0</v>
      </c>
      <c r="V640" s="92">
        <f t="shared" ref="V640" si="269">IF(O640=0,N640*P640*S640*I640+N640*T640,0)</f>
        <v>0</v>
      </c>
      <c r="W640" s="92">
        <f t="shared" ref="W640" si="270">IF(O640=0,N640*P640*I640,0)</f>
        <v>0</v>
      </c>
      <c r="X640" s="92" t="str">
        <f t="shared" ref="X640" si="271">H640&amp;L640&amp;J640</f>
        <v>SR807P640014</v>
      </c>
      <c r="Y640" s="129">
        <f t="shared" ref="Y640" si="272">VLOOKUP(H640,$C$22:$J$32,6,FALSE)</f>
        <v>1</v>
      </c>
      <c r="Z640" s="92">
        <f t="shared" ref="Z640" si="273">IF(Y640=0,IF(K640=0,0,1),IF(K640=0,1,0))</f>
        <v>1</v>
      </c>
      <c r="AA640" s="92">
        <f t="shared" ref="AA640" si="274">IF(O640=0,N640,0)</f>
        <v>0</v>
      </c>
      <c r="AB640" s="92">
        <f t="shared" ref="AB640" si="275">VLOOKUP(H640,$C$22:$L$32,9,FALSE)</f>
        <v>0</v>
      </c>
      <c r="AC640" s="92" t="str">
        <f t="shared" ref="AC640" si="276">VLOOKUP(H640,$C$22:$L$32,7,FALSE)</f>
        <v>SR807</v>
      </c>
      <c r="AD640" s="381">
        <f t="shared" si="265"/>
        <v>3</v>
      </c>
    </row>
    <row r="641" spans="1:49" x14ac:dyDescent="0.25">
      <c r="A641" s="126" t="str">
        <f t="shared" si="261"/>
        <v>comment</v>
      </c>
      <c r="B641" s="98" t="str">
        <f t="shared" si="266"/>
        <v>2018032610000102</v>
      </c>
      <c r="C641" s="111" t="str">
        <f t="shared" si="240"/>
        <v>6001</v>
      </c>
      <c r="D641" s="111" t="str">
        <f t="shared" si="241"/>
        <v>B00101</v>
      </c>
      <c r="E641" s="111" t="str">
        <f t="shared" si="242"/>
        <v>6001</v>
      </c>
      <c r="F641" s="111">
        <f t="shared" si="243"/>
        <v>20180326</v>
      </c>
      <c r="G641" s="111" t="str">
        <f t="shared" si="244"/>
        <v>CZCE</v>
      </c>
      <c r="H641" s="111" t="str">
        <f t="shared" si="245"/>
        <v>SR807P6400</v>
      </c>
      <c r="I641" s="111">
        <f t="shared" si="246"/>
        <v>10</v>
      </c>
      <c r="J641" s="111">
        <v>4</v>
      </c>
      <c r="K641" s="111">
        <f t="shared" si="247"/>
        <v>1</v>
      </c>
      <c r="L641" s="111">
        <f t="shared" si="248"/>
        <v>1</v>
      </c>
      <c r="M641" s="111">
        <f t="shared" si="249"/>
        <v>1</v>
      </c>
      <c r="N641" s="92">
        <v>0</v>
      </c>
      <c r="O641" s="92">
        <v>2</v>
      </c>
      <c r="P641" s="92">
        <f>VLOOKUP(H641,$C$22:$J$32,8,FALSE)</f>
        <v>6400</v>
      </c>
      <c r="Q641" s="111">
        <f t="shared" si="251"/>
        <v>4.2000000000000002E-4</v>
      </c>
      <c r="R641" s="111">
        <f t="shared" si="252"/>
        <v>4.2</v>
      </c>
      <c r="S641" s="111">
        <f t="shared" si="253"/>
        <v>3.2000000000000003E-4</v>
      </c>
      <c r="T641" s="111">
        <f t="shared" si="254"/>
        <v>3.2</v>
      </c>
      <c r="U641" s="92">
        <f t="shared" si="262"/>
        <v>0</v>
      </c>
      <c r="V641" s="92">
        <f t="shared" si="263"/>
        <v>0</v>
      </c>
      <c r="W641" s="92">
        <f t="shared" si="264"/>
        <v>0</v>
      </c>
      <c r="X641" s="92" t="str">
        <f t="shared" si="255"/>
        <v>SR807P640014</v>
      </c>
      <c r="Y641" s="129">
        <f>VLOOKUP(H641,$C$22:$J$32,6,FALSE)</f>
        <v>1</v>
      </c>
      <c r="Z641" s="92">
        <f t="shared" si="257"/>
        <v>0</v>
      </c>
      <c r="AA641" s="92">
        <f t="shared" si="258"/>
        <v>0</v>
      </c>
      <c r="AB641" s="92">
        <f>VLOOKUP(H641,$C$22:$L$32,9,FALSE)</f>
        <v>0</v>
      </c>
      <c r="AC641" s="92" t="str">
        <f>VLOOKUP(H641,$C$22:$L$32,7,FALSE)</f>
        <v>SR807</v>
      </c>
      <c r="AD641" s="381">
        <f t="shared" si="265"/>
        <v>3</v>
      </c>
    </row>
    <row r="642" spans="1:49" x14ac:dyDescent="0.25">
      <c r="A642" s="126" t="str">
        <f t="shared" si="261"/>
        <v/>
      </c>
      <c r="B642" s="599" t="str">
        <f t="shared" ref="B642" si="277">C552</f>
        <v>2018032610000103</v>
      </c>
      <c r="C642" s="111" t="str">
        <f t="shared" si="240"/>
        <v>6001</v>
      </c>
      <c r="D642" s="111" t="str">
        <f t="shared" si="241"/>
        <v>B00102</v>
      </c>
      <c r="E642" s="111" t="str">
        <f t="shared" si="242"/>
        <v>6001</v>
      </c>
      <c r="F642" s="111">
        <f t="shared" si="243"/>
        <v>20180326</v>
      </c>
      <c r="G642" s="111" t="str">
        <f t="shared" si="244"/>
        <v>CZCE</v>
      </c>
      <c r="H642" s="111" t="str">
        <f t="shared" si="245"/>
        <v>PTA807C6500</v>
      </c>
      <c r="I642" s="111">
        <f t="shared" si="246"/>
        <v>5</v>
      </c>
      <c r="J642" s="111">
        <v>4</v>
      </c>
      <c r="K642" s="111">
        <f t="shared" si="247"/>
        <v>0</v>
      </c>
      <c r="L642" s="111">
        <f t="shared" si="248"/>
        <v>1</v>
      </c>
      <c r="M642" s="111">
        <f t="shared" si="249"/>
        <v>10</v>
      </c>
      <c r="N642" s="260">
        <v>2</v>
      </c>
      <c r="O642" s="260">
        <v>0</v>
      </c>
      <c r="P642" s="260">
        <f>VLOOKUP(H642,$C$22:$J$32,8,FALSE)</f>
        <v>6500</v>
      </c>
      <c r="Q642" s="111">
        <f t="shared" si="251"/>
        <v>4.2000000000000002E-4</v>
      </c>
      <c r="R642" s="111">
        <f t="shared" si="252"/>
        <v>4.2</v>
      </c>
      <c r="S642" s="111">
        <f t="shared" si="253"/>
        <v>3.2000000000000003E-4</v>
      </c>
      <c r="T642" s="111">
        <f t="shared" si="254"/>
        <v>3.2</v>
      </c>
      <c r="U642" s="92">
        <f t="shared" ref="U642:U649" si="278">IF(O642=0,N642*P642*Q642*I642+N642*R642,0)</f>
        <v>35.700000000000003</v>
      </c>
      <c r="V642" s="92">
        <f t="shared" ref="V642:V649" si="279">IF(O642=0,N642*P642*S642*I642+N642*T642,0)</f>
        <v>27.200000000000003</v>
      </c>
      <c r="W642" s="92">
        <f t="shared" ref="W642:W649" si="280">IF(O642=0,N642*P642*I642,0)</f>
        <v>65000</v>
      </c>
      <c r="X642" s="92" t="str">
        <f t="shared" si="255"/>
        <v>PTA807C650014</v>
      </c>
      <c r="Y642" s="129">
        <f t="shared" ref="Y642:Y649" si="281">VLOOKUP(H642,$C$22:$J$32,6,FALSE)</f>
        <v>0</v>
      </c>
      <c r="Z642" s="92">
        <f t="shared" ref="Z642:Z649" si="282">IF(Y642=0,IF(K642=0,0,1),IF(K642=0,1,0))</f>
        <v>0</v>
      </c>
      <c r="AA642" s="92">
        <f t="shared" ref="AA642:AA649" si="283">IF(O642=0,N642,0)</f>
        <v>2</v>
      </c>
      <c r="AB642" s="92">
        <f t="shared" ref="AB642:AB649" si="284">VLOOKUP(H642,$C$22:$L$32,9,FALSE)</f>
        <v>0</v>
      </c>
      <c r="AC642" s="92" t="str">
        <f t="shared" ref="AC642:AC649" si="285">VLOOKUP(H642,$C$22:$L$32,7,FALSE)</f>
        <v>PTA807</v>
      </c>
      <c r="AD642" s="381">
        <f t="shared" si="265"/>
        <v>3</v>
      </c>
    </row>
    <row r="643" spans="1:49" x14ac:dyDescent="0.25">
      <c r="A643" s="126" t="str">
        <f t="shared" si="261"/>
        <v>comment</v>
      </c>
      <c r="B643" s="599" t="str">
        <f t="shared" ref="B643:B645" si="286">C553</f>
        <v>2018032610000104</v>
      </c>
      <c r="C643" s="111" t="str">
        <f t="shared" si="240"/>
        <v>6001</v>
      </c>
      <c r="D643" s="111" t="str">
        <f t="shared" si="241"/>
        <v>B00102</v>
      </c>
      <c r="E643" s="111" t="str">
        <f t="shared" si="242"/>
        <v>6001</v>
      </c>
      <c r="F643" s="111">
        <f t="shared" si="243"/>
        <v>20180326</v>
      </c>
      <c r="G643" s="111" t="str">
        <f t="shared" si="244"/>
        <v>CZCE</v>
      </c>
      <c r="H643" s="111" t="str">
        <f t="shared" si="245"/>
        <v>PTA807C6500</v>
      </c>
      <c r="I643" s="111">
        <f t="shared" si="246"/>
        <v>5</v>
      </c>
      <c r="J643" s="111">
        <v>4</v>
      </c>
      <c r="K643" s="111">
        <f t="shared" si="247"/>
        <v>1</v>
      </c>
      <c r="L643" s="111">
        <f t="shared" si="248"/>
        <v>1</v>
      </c>
      <c r="M643" s="111">
        <f t="shared" si="249"/>
        <v>8</v>
      </c>
      <c r="N643" s="260">
        <v>0</v>
      </c>
      <c r="O643" s="260">
        <v>2</v>
      </c>
      <c r="P643" s="260">
        <f t="shared" ref="P643:P649" si="287">VLOOKUP(H643,$C$22:$J$32,8,FALSE)</f>
        <v>6500</v>
      </c>
      <c r="Q643" s="111">
        <f t="shared" si="251"/>
        <v>4.2000000000000002E-4</v>
      </c>
      <c r="R643" s="111">
        <f t="shared" si="252"/>
        <v>4.2</v>
      </c>
      <c r="S643" s="111">
        <f t="shared" si="253"/>
        <v>3.2000000000000003E-4</v>
      </c>
      <c r="T643" s="111">
        <f t="shared" si="254"/>
        <v>3.2</v>
      </c>
      <c r="U643" s="92">
        <f t="shared" si="278"/>
        <v>0</v>
      </c>
      <c r="V643" s="92">
        <f t="shared" si="279"/>
        <v>0</v>
      </c>
      <c r="W643" s="92">
        <f t="shared" si="280"/>
        <v>0</v>
      </c>
      <c r="X643" s="92" t="str">
        <f t="shared" si="255"/>
        <v>PTA807C650014</v>
      </c>
      <c r="Y643" s="129">
        <f t="shared" si="281"/>
        <v>0</v>
      </c>
      <c r="Z643" s="92">
        <f t="shared" si="282"/>
        <v>1</v>
      </c>
      <c r="AA643" s="92">
        <f t="shared" si="283"/>
        <v>0</v>
      </c>
      <c r="AB643" s="92">
        <f t="shared" si="284"/>
        <v>0</v>
      </c>
      <c r="AC643" s="92" t="str">
        <f t="shared" si="285"/>
        <v>PTA807</v>
      </c>
      <c r="AD643" s="381">
        <f t="shared" si="265"/>
        <v>3</v>
      </c>
    </row>
    <row r="644" spans="1:49" s="4" customFormat="1" x14ac:dyDescent="0.25">
      <c r="A644" s="126" t="str">
        <f t="shared" si="261"/>
        <v/>
      </c>
      <c r="B644" s="600" t="str">
        <f t="shared" si="286"/>
        <v>2018032610000105</v>
      </c>
      <c r="C644" s="115" t="str">
        <f t="shared" si="240"/>
        <v>6001</v>
      </c>
      <c r="D644" s="115" t="str">
        <f t="shared" si="241"/>
        <v>B00102</v>
      </c>
      <c r="E644" s="115" t="str">
        <f t="shared" si="242"/>
        <v>6001</v>
      </c>
      <c r="F644" s="115">
        <f t="shared" si="243"/>
        <v>20180326</v>
      </c>
      <c r="G644" s="115" t="str">
        <f t="shared" si="244"/>
        <v>CZCE</v>
      </c>
      <c r="H644" s="115" t="str">
        <f t="shared" si="245"/>
        <v>PTA807C6500</v>
      </c>
      <c r="I644" s="115">
        <f t="shared" si="246"/>
        <v>5</v>
      </c>
      <c r="J644" s="115">
        <v>4</v>
      </c>
      <c r="K644" s="115">
        <f t="shared" si="247"/>
        <v>0</v>
      </c>
      <c r="L644" s="115">
        <f t="shared" si="248"/>
        <v>3</v>
      </c>
      <c r="M644" s="115">
        <f t="shared" si="249"/>
        <v>10</v>
      </c>
      <c r="N644" s="291">
        <v>5</v>
      </c>
      <c r="O644" s="291">
        <v>0</v>
      </c>
      <c r="P644" s="291">
        <f t="shared" si="287"/>
        <v>6500</v>
      </c>
      <c r="Q644" s="115">
        <f t="shared" si="251"/>
        <v>4.2000000000000002E-4</v>
      </c>
      <c r="R644" s="115">
        <f t="shared" si="252"/>
        <v>4.2</v>
      </c>
      <c r="S644" s="115">
        <f t="shared" si="253"/>
        <v>4.2000000000000002E-4</v>
      </c>
      <c r="T644" s="115">
        <f t="shared" si="254"/>
        <v>4.2</v>
      </c>
      <c r="U644" s="115">
        <f t="shared" si="278"/>
        <v>89.25</v>
      </c>
      <c r="V644" s="115">
        <f t="shared" si="279"/>
        <v>89.25</v>
      </c>
      <c r="W644" s="115">
        <f t="shared" si="280"/>
        <v>162500</v>
      </c>
      <c r="X644" s="115" t="str">
        <f t="shared" si="255"/>
        <v>PTA807C650034</v>
      </c>
      <c r="Y644" s="293">
        <f t="shared" si="281"/>
        <v>0</v>
      </c>
      <c r="Z644" s="115">
        <f t="shared" si="282"/>
        <v>0</v>
      </c>
      <c r="AA644" s="115">
        <f t="shared" si="283"/>
        <v>5</v>
      </c>
      <c r="AB644" s="115">
        <f t="shared" si="284"/>
        <v>0</v>
      </c>
      <c r="AC644" s="115" t="str">
        <f t="shared" si="285"/>
        <v>PTA807</v>
      </c>
      <c r="AD644" s="381">
        <f t="shared" si="265"/>
        <v>3</v>
      </c>
    </row>
    <row r="645" spans="1:49" s="388" customFormat="1" x14ac:dyDescent="0.25">
      <c r="A645" s="126" t="str">
        <f>IF( OR(N645=0,O645=2),"comment","")</f>
        <v>comment</v>
      </c>
      <c r="B645" s="601" t="str">
        <f t="shared" si="286"/>
        <v>2018032610000106</v>
      </c>
      <c r="C645" s="176" t="str">
        <f t="shared" si="240"/>
        <v>6001</v>
      </c>
      <c r="D645" s="176" t="str">
        <f t="shared" si="241"/>
        <v>B00102</v>
      </c>
      <c r="E645" s="176" t="str">
        <f t="shared" si="242"/>
        <v>6001</v>
      </c>
      <c r="F645" s="176">
        <f t="shared" si="243"/>
        <v>20180326</v>
      </c>
      <c r="G645" s="176" t="str">
        <f t="shared" si="244"/>
        <v>CZCE</v>
      </c>
      <c r="H645" s="176" t="str">
        <f t="shared" si="245"/>
        <v>PTA807C6500</v>
      </c>
      <c r="I645" s="176">
        <f t="shared" si="246"/>
        <v>5</v>
      </c>
      <c r="J645" s="176">
        <v>4</v>
      </c>
      <c r="K645" s="176">
        <f t="shared" si="247"/>
        <v>1</v>
      </c>
      <c r="L645" s="176">
        <f t="shared" si="248"/>
        <v>3</v>
      </c>
      <c r="M645" s="176">
        <f t="shared" si="249"/>
        <v>10</v>
      </c>
      <c r="N645" s="389">
        <v>0</v>
      </c>
      <c r="O645" s="389">
        <v>2</v>
      </c>
      <c r="P645" s="389">
        <f t="shared" si="287"/>
        <v>6500</v>
      </c>
      <c r="Q645" s="176">
        <f t="shared" si="251"/>
        <v>4.2000000000000002E-4</v>
      </c>
      <c r="R645" s="176">
        <f t="shared" si="252"/>
        <v>4.2</v>
      </c>
      <c r="S645" s="176">
        <f t="shared" si="253"/>
        <v>4.2000000000000002E-4</v>
      </c>
      <c r="T645" s="176">
        <f t="shared" si="254"/>
        <v>4.2</v>
      </c>
      <c r="U645" s="176">
        <f t="shared" si="278"/>
        <v>0</v>
      </c>
      <c r="V645" s="176">
        <f t="shared" si="279"/>
        <v>0</v>
      </c>
      <c r="W645" s="176">
        <f t="shared" si="280"/>
        <v>0</v>
      </c>
      <c r="X645" s="176" t="str">
        <f t="shared" si="255"/>
        <v>PTA807C650034</v>
      </c>
      <c r="Y645" s="390">
        <f t="shared" si="281"/>
        <v>0</v>
      </c>
      <c r="Z645" s="176">
        <f t="shared" si="282"/>
        <v>1</v>
      </c>
      <c r="AA645" s="176">
        <f t="shared" si="283"/>
        <v>0</v>
      </c>
      <c r="AB645" s="176">
        <f t="shared" si="284"/>
        <v>0</v>
      </c>
      <c r="AC645" s="176" t="str">
        <f t="shared" si="285"/>
        <v>PTA807</v>
      </c>
      <c r="AD645" s="176">
        <f t="shared" si="265"/>
        <v>3</v>
      </c>
    </row>
    <row r="646" spans="1:49" x14ac:dyDescent="0.25">
      <c r="A646" s="126" t="str">
        <f t="shared" si="261"/>
        <v>comment</v>
      </c>
      <c r="B646" s="599" t="str">
        <f>C558</f>
        <v>2018032610000109</v>
      </c>
      <c r="C646" s="111" t="str">
        <f t="shared" si="240"/>
        <v>6001</v>
      </c>
      <c r="D646" s="111" t="str">
        <f t="shared" si="241"/>
        <v>B00102</v>
      </c>
      <c r="E646" s="111" t="str">
        <f t="shared" si="242"/>
        <v>6001</v>
      </c>
      <c r="F646" s="111">
        <f t="shared" si="243"/>
        <v>20180326</v>
      </c>
      <c r="G646" s="111" t="str">
        <f t="shared" si="244"/>
        <v>CZCE</v>
      </c>
      <c r="H646" s="111" t="str">
        <f t="shared" si="245"/>
        <v>PTA807P6200</v>
      </c>
      <c r="I646" s="111">
        <f t="shared" si="246"/>
        <v>5</v>
      </c>
      <c r="J646" s="111">
        <v>4</v>
      </c>
      <c r="K646" s="111">
        <f t="shared" si="247"/>
        <v>0</v>
      </c>
      <c r="L646" s="111">
        <f t="shared" si="248"/>
        <v>1</v>
      </c>
      <c r="M646" s="111">
        <f t="shared" si="249"/>
        <v>1</v>
      </c>
      <c r="N646" s="260">
        <v>0</v>
      </c>
      <c r="O646" s="260">
        <v>2</v>
      </c>
      <c r="P646" s="260">
        <f t="shared" si="287"/>
        <v>6200</v>
      </c>
      <c r="Q646" s="111">
        <f t="shared" si="251"/>
        <v>4.2000000000000002E-4</v>
      </c>
      <c r="R646" s="111">
        <f t="shared" si="252"/>
        <v>4.2</v>
      </c>
      <c r="S646" s="111">
        <f t="shared" si="253"/>
        <v>3.2000000000000003E-4</v>
      </c>
      <c r="T646" s="111">
        <f t="shared" si="254"/>
        <v>3.2</v>
      </c>
      <c r="U646" s="92">
        <f t="shared" si="278"/>
        <v>0</v>
      </c>
      <c r="V646" s="92">
        <f t="shared" si="279"/>
        <v>0</v>
      </c>
      <c r="W646" s="92">
        <f t="shared" si="280"/>
        <v>0</v>
      </c>
      <c r="X646" s="92" t="str">
        <f t="shared" si="255"/>
        <v>PTA807P620014</v>
      </c>
      <c r="Y646" s="129">
        <f t="shared" si="281"/>
        <v>1</v>
      </c>
      <c r="Z646" s="92">
        <f t="shared" si="282"/>
        <v>1</v>
      </c>
      <c r="AA646" s="92">
        <f t="shared" si="283"/>
        <v>0</v>
      </c>
      <c r="AB646" s="92">
        <f t="shared" si="284"/>
        <v>0</v>
      </c>
      <c r="AC646" s="92" t="str">
        <f t="shared" si="285"/>
        <v>PTA807</v>
      </c>
      <c r="AD646" s="381">
        <f t="shared" si="265"/>
        <v>3</v>
      </c>
    </row>
    <row r="647" spans="1:49" s="6" customFormat="1" x14ac:dyDescent="0.25">
      <c r="A647" s="167" t="str">
        <f t="shared" si="261"/>
        <v>comment</v>
      </c>
      <c r="B647" s="599" t="str">
        <f>C559</f>
        <v>2018032610000110</v>
      </c>
      <c r="C647" s="111" t="str">
        <f t="shared" si="240"/>
        <v>6001</v>
      </c>
      <c r="D647" s="111" t="str">
        <f t="shared" si="241"/>
        <v>B00102</v>
      </c>
      <c r="E647" s="111" t="str">
        <f t="shared" si="242"/>
        <v>6001</v>
      </c>
      <c r="F647" s="111">
        <f t="shared" si="243"/>
        <v>20180326</v>
      </c>
      <c r="G647" s="111" t="str">
        <f t="shared" si="244"/>
        <v>CZCE</v>
      </c>
      <c r="H647" s="111" t="str">
        <f t="shared" si="245"/>
        <v>PTA807P6200</v>
      </c>
      <c r="I647" s="111">
        <f t="shared" si="246"/>
        <v>5</v>
      </c>
      <c r="J647" s="111">
        <v>4</v>
      </c>
      <c r="K647" s="111">
        <f t="shared" si="247"/>
        <v>1</v>
      </c>
      <c r="L647" s="111">
        <f t="shared" si="248"/>
        <v>1</v>
      </c>
      <c r="M647" s="111">
        <f t="shared" si="249"/>
        <v>3</v>
      </c>
      <c r="N647" s="260">
        <v>0</v>
      </c>
      <c r="O647" s="260">
        <v>2</v>
      </c>
      <c r="P647" s="260">
        <f t="shared" si="287"/>
        <v>6200</v>
      </c>
      <c r="Q647" s="111">
        <f t="shared" si="251"/>
        <v>4.2000000000000002E-4</v>
      </c>
      <c r="R647" s="111">
        <f t="shared" si="252"/>
        <v>4.2</v>
      </c>
      <c r="S647" s="111">
        <f t="shared" si="253"/>
        <v>3.2000000000000003E-4</v>
      </c>
      <c r="T647" s="111">
        <f t="shared" si="254"/>
        <v>3.2</v>
      </c>
      <c r="U647" s="111">
        <f t="shared" si="278"/>
        <v>0</v>
      </c>
      <c r="V647" s="111">
        <f t="shared" si="279"/>
        <v>0</v>
      </c>
      <c r="W647" s="111">
        <f t="shared" si="280"/>
        <v>0</v>
      </c>
      <c r="X647" s="111" t="str">
        <f t="shared" si="255"/>
        <v>PTA807P620014</v>
      </c>
      <c r="Y647" s="282">
        <f t="shared" si="281"/>
        <v>1</v>
      </c>
      <c r="Z647" s="111">
        <f t="shared" si="282"/>
        <v>0</v>
      </c>
      <c r="AA647" s="111">
        <f t="shared" si="283"/>
        <v>0</v>
      </c>
      <c r="AB647" s="111">
        <f t="shared" si="284"/>
        <v>0</v>
      </c>
      <c r="AC647" s="111" t="str">
        <f t="shared" si="285"/>
        <v>PTA807</v>
      </c>
      <c r="AD647" s="111">
        <f t="shared" si="265"/>
        <v>3</v>
      </c>
    </row>
    <row r="648" spans="1:49" s="6" customFormat="1" x14ac:dyDescent="0.25">
      <c r="A648" s="167" t="str">
        <f t="shared" si="261"/>
        <v>comment</v>
      </c>
      <c r="B648" s="599" t="str">
        <f>C560</f>
        <v>2018032610000111</v>
      </c>
      <c r="C648" s="111" t="str">
        <f t="shared" si="240"/>
        <v>6001</v>
      </c>
      <c r="D648" s="111" t="str">
        <f t="shared" si="241"/>
        <v>B00102</v>
      </c>
      <c r="E648" s="111" t="str">
        <f t="shared" si="242"/>
        <v>6001</v>
      </c>
      <c r="F648" s="111">
        <f t="shared" si="243"/>
        <v>20180326</v>
      </c>
      <c r="G648" s="111" t="str">
        <f t="shared" si="244"/>
        <v>CZCE</v>
      </c>
      <c r="H648" s="111" t="str">
        <f t="shared" si="245"/>
        <v>PTA807P6500</v>
      </c>
      <c r="I648" s="111">
        <f t="shared" si="246"/>
        <v>5</v>
      </c>
      <c r="J648" s="111">
        <v>4</v>
      </c>
      <c r="K648" s="111">
        <f t="shared" si="247"/>
        <v>0</v>
      </c>
      <c r="L648" s="111">
        <f t="shared" si="248"/>
        <v>1</v>
      </c>
      <c r="M648" s="111">
        <f t="shared" si="249"/>
        <v>1</v>
      </c>
      <c r="N648" s="260">
        <v>0</v>
      </c>
      <c r="O648" s="260">
        <v>2</v>
      </c>
      <c r="P648" s="260">
        <f t="shared" si="287"/>
        <v>6500</v>
      </c>
      <c r="Q648" s="111">
        <f t="shared" si="251"/>
        <v>4.2000000000000002E-4</v>
      </c>
      <c r="R648" s="111">
        <f t="shared" si="252"/>
        <v>4.2</v>
      </c>
      <c r="S648" s="111">
        <f t="shared" si="253"/>
        <v>3.2000000000000003E-4</v>
      </c>
      <c r="T648" s="111">
        <f t="shared" si="254"/>
        <v>3.2</v>
      </c>
      <c r="U648" s="111">
        <f t="shared" si="278"/>
        <v>0</v>
      </c>
      <c r="V648" s="111">
        <f t="shared" si="279"/>
        <v>0</v>
      </c>
      <c r="W648" s="111">
        <f t="shared" si="280"/>
        <v>0</v>
      </c>
      <c r="X648" s="111" t="str">
        <f t="shared" si="255"/>
        <v>PTA807P650014</v>
      </c>
      <c r="Y648" s="282">
        <f t="shared" si="281"/>
        <v>1</v>
      </c>
      <c r="Z648" s="111">
        <f t="shared" si="282"/>
        <v>1</v>
      </c>
      <c r="AA648" s="111">
        <f t="shared" si="283"/>
        <v>0</v>
      </c>
      <c r="AB648" s="111">
        <f t="shared" si="284"/>
        <v>0</v>
      </c>
      <c r="AC648" s="111" t="str">
        <f t="shared" si="285"/>
        <v>PTA807</v>
      </c>
      <c r="AD648" s="111">
        <f t="shared" si="265"/>
        <v>3</v>
      </c>
    </row>
    <row r="649" spans="1:49" x14ac:dyDescent="0.25">
      <c r="A649" s="126" t="str">
        <f t="shared" si="261"/>
        <v>comment</v>
      </c>
      <c r="B649" s="599" t="str">
        <f>C561</f>
        <v>2018032610000112</v>
      </c>
      <c r="C649" s="111" t="str">
        <f t="shared" si="240"/>
        <v>6001</v>
      </c>
      <c r="D649" s="111" t="str">
        <f t="shared" ref="D649" si="288">VLOOKUP(B649,$C$529:$AN$561,4,FALSE)</f>
        <v>B00102</v>
      </c>
      <c r="E649" s="111" t="str">
        <f t="shared" ref="E649" si="289">VLOOKUP(B649,$C$529:$AN$561,5,FALSE)</f>
        <v>6001</v>
      </c>
      <c r="F649" s="111">
        <f t="shared" ref="F649" si="290">VLOOKUP(B649,$C$529:$AN$561,7,FALSE)</f>
        <v>20180326</v>
      </c>
      <c r="G649" s="111" t="str">
        <f t="shared" ref="G649" si="291">VLOOKUP(B649,$C$529:$AN$561,9,FALSE)</f>
        <v>CZCE</v>
      </c>
      <c r="H649" s="111" t="str">
        <f t="shared" ref="H649" si="292">VLOOKUP(B649,$C$529:$AN$561,10,FALSE)</f>
        <v>PTA807P6500</v>
      </c>
      <c r="I649" s="111">
        <f t="shared" ref="I649" si="293">VLOOKUP(B649,$C$529:$AN$561,11,FALSE)</f>
        <v>5</v>
      </c>
      <c r="J649" s="111">
        <v>4</v>
      </c>
      <c r="K649" s="111">
        <f t="shared" ref="K649" si="294">VLOOKUP(B649,$C$529:$AN$561,13,FALSE)</f>
        <v>1</v>
      </c>
      <c r="L649" s="111">
        <f t="shared" ref="L649" si="295">VLOOKUP(B649,$C$529:$AN$561,14,FALSE)</f>
        <v>1</v>
      </c>
      <c r="M649" s="111">
        <f t="shared" ref="M649" si="296">SUMPRODUCT(($C$486:$C$561=B649)*($F$486:$F$561=D649)*($G$486:$G$561=E649)*($L$486:$L$561=H649)*($O$486:$O$561=K649)*($P$486:$P$561=L649)*($N$486:$N$561=0)*($Q$486:$Q$561))-SUMPRODUCT(($D$486:$D$561=B649)*($F$486:$F$561=D649)*($G$486:$G$561=E649)*($L$486:$L$561=H649)*($O$486:$O$561&lt;&gt;K649)*($P$486:$P$561=L649)*($N$486:$N$561&lt;&gt;0)*($Q$486:$Q$561))</f>
        <v>1</v>
      </c>
      <c r="N649" s="260">
        <v>0</v>
      </c>
      <c r="O649" s="260">
        <v>2</v>
      </c>
      <c r="P649" s="260">
        <f t="shared" si="287"/>
        <v>6500</v>
      </c>
      <c r="Q649" s="111">
        <f t="shared" si="251"/>
        <v>4.2000000000000002E-4</v>
      </c>
      <c r="R649" s="111">
        <f t="shared" si="252"/>
        <v>4.2</v>
      </c>
      <c r="S649" s="111">
        <f t="shared" si="253"/>
        <v>3.2000000000000003E-4</v>
      </c>
      <c r="T649" s="111">
        <f t="shared" si="254"/>
        <v>3.2</v>
      </c>
      <c r="U649" s="92">
        <f t="shared" si="278"/>
        <v>0</v>
      </c>
      <c r="V649" s="92">
        <f t="shared" si="279"/>
        <v>0</v>
      </c>
      <c r="W649" s="92">
        <f t="shared" si="280"/>
        <v>0</v>
      </c>
      <c r="X649" s="92" t="str">
        <f t="shared" si="255"/>
        <v>PTA807P650014</v>
      </c>
      <c r="Y649" s="129">
        <f t="shared" si="281"/>
        <v>1</v>
      </c>
      <c r="Z649" s="92">
        <f t="shared" si="282"/>
        <v>0</v>
      </c>
      <c r="AA649" s="92">
        <f t="shared" si="283"/>
        <v>0</v>
      </c>
      <c r="AB649" s="92">
        <f t="shared" si="284"/>
        <v>0</v>
      </c>
      <c r="AC649" s="92" t="str">
        <f t="shared" si="285"/>
        <v>PTA807</v>
      </c>
      <c r="AD649" s="381">
        <f t="shared" si="265"/>
        <v>3</v>
      </c>
    </row>
    <row r="650" spans="1:49" x14ac:dyDescent="0.25">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292"/>
      <c r="Z650" s="126"/>
      <c r="AA650" s="126"/>
      <c r="AB650" s="126"/>
      <c r="AC650" s="126"/>
    </row>
    <row r="651" spans="1:49" x14ac:dyDescent="0.25">
      <c r="A651" s="126" t="s">
        <v>173</v>
      </c>
      <c r="B651" t="s">
        <v>1358</v>
      </c>
    </row>
    <row r="652" spans="1:49" x14ac:dyDescent="0.25">
      <c r="A652" s="168" t="s">
        <v>1346</v>
      </c>
      <c r="B652" s="595" t="s">
        <v>1782</v>
      </c>
      <c r="C652" s="4"/>
    </row>
    <row r="653" spans="1:49" x14ac:dyDescent="0.25">
      <c r="A653" s="126" t="s">
        <v>973</v>
      </c>
      <c r="B653" s="719" t="s">
        <v>1083</v>
      </c>
      <c r="C653" s="720"/>
      <c r="D653" s="720"/>
      <c r="E653" s="720"/>
      <c r="F653" s="720"/>
      <c r="G653" s="720"/>
      <c r="H653" s="720"/>
      <c r="I653" s="720"/>
      <c r="J653" s="720"/>
      <c r="K653" s="720"/>
      <c r="L653" s="720"/>
      <c r="M653" s="720"/>
      <c r="N653" s="720"/>
      <c r="O653" s="720"/>
      <c r="P653" s="720"/>
      <c r="Q653" s="720"/>
      <c r="R653" s="720"/>
      <c r="S653" s="720"/>
      <c r="T653" s="720"/>
      <c r="U653" s="720"/>
      <c r="V653" s="720"/>
      <c r="W653" s="720"/>
      <c r="X653" s="720"/>
      <c r="Y653" s="720"/>
      <c r="Z653" s="720"/>
      <c r="AA653" s="720"/>
      <c r="AB653" s="720"/>
      <c r="AC653" s="720"/>
      <c r="AD653" s="720"/>
      <c r="AE653" s="720"/>
      <c r="AF653" s="720"/>
      <c r="AG653" s="720"/>
      <c r="AH653" s="720"/>
      <c r="AI653" s="720"/>
      <c r="AJ653" s="720"/>
      <c r="AK653" s="720"/>
      <c r="AL653" s="720"/>
      <c r="AM653" s="720"/>
      <c r="AN653" s="720"/>
      <c r="AO653" s="720"/>
      <c r="AP653" s="720"/>
      <c r="AQ653" s="720"/>
      <c r="AR653" s="720"/>
      <c r="AS653" s="720"/>
      <c r="AT653" s="720"/>
      <c r="AU653" s="720"/>
    </row>
    <row r="654" spans="1:49" ht="24" x14ac:dyDescent="0.25">
      <c r="A654" s="126" t="s">
        <v>359</v>
      </c>
      <c r="B654" s="582" t="s">
        <v>1299</v>
      </c>
      <c r="C654" s="7" t="s">
        <v>513</v>
      </c>
      <c r="D654" s="29" t="s">
        <v>492</v>
      </c>
      <c r="E654" s="100" t="s">
        <v>493</v>
      </c>
      <c r="F654" s="7" t="s">
        <v>286</v>
      </c>
      <c r="G654" s="7" t="s">
        <v>287</v>
      </c>
      <c r="H654" s="7" t="s">
        <v>288</v>
      </c>
      <c r="I654" s="100" t="s">
        <v>494</v>
      </c>
      <c r="J654" s="100" t="s">
        <v>495</v>
      </c>
      <c r="K654" s="7" t="s">
        <v>1300</v>
      </c>
      <c r="L654" s="100" t="s">
        <v>1372</v>
      </c>
      <c r="M654" s="100" t="s">
        <v>496</v>
      </c>
      <c r="N654" s="7" t="s">
        <v>497</v>
      </c>
      <c r="O654" s="7" t="s">
        <v>1302</v>
      </c>
      <c r="P654" s="100" t="s">
        <v>531</v>
      </c>
      <c r="Q654" s="100" t="s">
        <v>532</v>
      </c>
      <c r="R654" s="100" t="s">
        <v>1273</v>
      </c>
      <c r="S654" s="100" t="s">
        <v>1274</v>
      </c>
      <c r="T654" s="100" t="s">
        <v>7</v>
      </c>
      <c r="U654" s="7" t="s">
        <v>1276</v>
      </c>
      <c r="V654" s="7" t="s">
        <v>1316</v>
      </c>
      <c r="W654" s="7" t="s">
        <v>1317</v>
      </c>
      <c r="X654" s="7" t="s">
        <v>1281</v>
      </c>
      <c r="Y654" s="7" t="s">
        <v>1282</v>
      </c>
      <c r="Z654" s="7" t="s">
        <v>1303</v>
      </c>
      <c r="AA654" s="7" t="s">
        <v>1284</v>
      </c>
      <c r="AB654" s="7" t="s">
        <v>1323</v>
      </c>
      <c r="AC654" s="7" t="s">
        <v>1320</v>
      </c>
      <c r="AD654" s="7" t="s">
        <v>1304</v>
      </c>
      <c r="AE654" s="37" t="s">
        <v>1285</v>
      </c>
      <c r="AF654" s="220" t="s">
        <v>1321</v>
      </c>
      <c r="AG654" s="220" t="s">
        <v>1322</v>
      </c>
      <c r="AH654" s="7" t="s">
        <v>1286</v>
      </c>
      <c r="AI654" s="7" t="s">
        <v>1305</v>
      </c>
      <c r="AJ654" s="7" t="s">
        <v>1306</v>
      </c>
      <c r="AK654" s="7" t="s">
        <v>1307</v>
      </c>
      <c r="AL654" s="7" t="s">
        <v>1290</v>
      </c>
      <c r="AM654" s="7" t="s">
        <v>1291</v>
      </c>
      <c r="AN654" s="7" t="s">
        <v>1249</v>
      </c>
      <c r="AO654" s="7" t="s">
        <v>1329</v>
      </c>
      <c r="AP654" s="7" t="s">
        <v>1330</v>
      </c>
      <c r="AQ654" s="7" t="s">
        <v>1293</v>
      </c>
      <c r="AR654" s="7" t="s">
        <v>1308</v>
      </c>
      <c r="AS654" s="7" t="s">
        <v>1855</v>
      </c>
      <c r="AT654" s="100" t="s">
        <v>1327</v>
      </c>
      <c r="AU654" s="7" t="s">
        <v>1249</v>
      </c>
      <c r="AV654" s="123" t="s">
        <v>1766</v>
      </c>
      <c r="AW654" s="123" t="s">
        <v>1767</v>
      </c>
    </row>
    <row r="655" spans="1:49" ht="48" x14ac:dyDescent="0.25">
      <c r="B655" s="582" t="s">
        <v>1299</v>
      </c>
      <c r="C655" s="23" t="s">
        <v>1298</v>
      </c>
      <c r="D655" s="29" t="s">
        <v>1781</v>
      </c>
      <c r="E655" s="100" t="s">
        <v>1310</v>
      </c>
      <c r="F655" s="7" t="s">
        <v>1257</v>
      </c>
      <c r="G655" s="7" t="s">
        <v>1258</v>
      </c>
      <c r="H655" s="7" t="s">
        <v>1259</v>
      </c>
      <c r="I655" s="100" t="s">
        <v>1311</v>
      </c>
      <c r="J655" s="100" t="s">
        <v>1312</v>
      </c>
      <c r="K655" s="7" t="s">
        <v>1300</v>
      </c>
      <c r="L655" s="100" t="s">
        <v>1373</v>
      </c>
      <c r="M655" s="100" t="s">
        <v>1313</v>
      </c>
      <c r="N655" s="7" t="s">
        <v>1301</v>
      </c>
      <c r="O655" s="7" t="s">
        <v>1302</v>
      </c>
      <c r="P655" s="223" t="s">
        <v>1844</v>
      </c>
      <c r="Q655" s="223" t="s">
        <v>1783</v>
      </c>
      <c r="R655" s="100" t="s">
        <v>1273</v>
      </c>
      <c r="S655" s="100" t="s">
        <v>1274</v>
      </c>
      <c r="T655" s="100" t="s">
        <v>1326</v>
      </c>
      <c r="U655" s="7" t="s">
        <v>1276</v>
      </c>
      <c r="V655" s="7" t="s">
        <v>1316</v>
      </c>
      <c r="W655" s="7" t="s">
        <v>1317</v>
      </c>
      <c r="X655" s="7" t="s">
        <v>1281</v>
      </c>
      <c r="Y655" s="7" t="s">
        <v>1282</v>
      </c>
      <c r="Z655" s="7" t="s">
        <v>1303</v>
      </c>
      <c r="AA655" s="7" t="s">
        <v>1284</v>
      </c>
      <c r="AB655" s="7" t="s">
        <v>1324</v>
      </c>
      <c r="AC655" s="7" t="s">
        <v>1325</v>
      </c>
      <c r="AD655" s="7" t="s">
        <v>1304</v>
      </c>
      <c r="AE655" s="37" t="s">
        <v>1361</v>
      </c>
      <c r="AF655" s="220" t="s">
        <v>1318</v>
      </c>
      <c r="AG655" s="220" t="s">
        <v>1319</v>
      </c>
      <c r="AH655" s="7" t="s">
        <v>1286</v>
      </c>
      <c r="AI655" s="7" t="s">
        <v>1305</v>
      </c>
      <c r="AJ655" s="7" t="s">
        <v>1306</v>
      </c>
      <c r="AK655" s="7" t="s">
        <v>1307</v>
      </c>
      <c r="AL655" s="7" t="s">
        <v>1290</v>
      </c>
      <c r="AM655" s="7" t="s">
        <v>1291</v>
      </c>
      <c r="AN655" s="7" t="s">
        <v>1249</v>
      </c>
      <c r="AO655" s="7" t="s">
        <v>1331</v>
      </c>
      <c r="AP655" s="7" t="s">
        <v>1332</v>
      </c>
      <c r="AQ655" s="7" t="s">
        <v>1294</v>
      </c>
      <c r="AR655" s="7" t="s">
        <v>1309</v>
      </c>
      <c r="AS655" s="7" t="s">
        <v>1532</v>
      </c>
      <c r="AT655" s="100" t="s">
        <v>1328</v>
      </c>
      <c r="AU655" s="7" t="s">
        <v>1556</v>
      </c>
      <c r="AV655" s="123" t="s">
        <v>1766</v>
      </c>
      <c r="AW655" s="123" t="s">
        <v>1767</v>
      </c>
    </row>
    <row r="656" spans="1:49" s="6" customFormat="1" x14ac:dyDescent="0.25">
      <c r="A656" s="167"/>
      <c r="B656" s="578" t="str">
        <f>C36</f>
        <v>SR807&amp;SR809</v>
      </c>
      <c r="C656" s="6" t="s">
        <v>1103</v>
      </c>
      <c r="D656" s="12">
        <v>1</v>
      </c>
      <c r="E656" s="12" t="str">
        <f>C496</f>
        <v>2018032610000020</v>
      </c>
      <c r="F656" s="12" t="str">
        <f t="shared" ref="F656:F673" si="297">VLOOKUP(E656,$C$485:$AN$561,3,FALSE)</f>
        <v>6001</v>
      </c>
      <c r="G656" s="12" t="str">
        <f t="shared" ref="G656:G673" si="298">VLOOKUP(E656,$C$485:$AN$561,4,FALSE)</f>
        <v>B00101</v>
      </c>
      <c r="H656" s="12" t="str">
        <f t="shared" ref="H656:H673" si="299">VLOOKUP(E656,$C$485:$AN$561,5,FALSE)</f>
        <v>6001</v>
      </c>
      <c r="I656" s="12" t="str">
        <f t="shared" ref="I656:I673" si="300">VLOOKUP(E656,$C$485:$AN$561,10,FALSE)</f>
        <v>SR807</v>
      </c>
      <c r="J656" s="12">
        <v>1</v>
      </c>
      <c r="K656" s="725">
        <v>0</v>
      </c>
      <c r="L656" s="12">
        <f t="shared" ref="L656:L673" si="301">VLOOKUP(E656,$C$485:$AN$561,13,FALSE)</f>
        <v>0</v>
      </c>
      <c r="M656" s="12">
        <f>IF(L656=0,2,3)</f>
        <v>2</v>
      </c>
      <c r="N656" s="12">
        <v>2</v>
      </c>
      <c r="O656" s="12">
        <v>1</v>
      </c>
      <c r="P656" s="12">
        <f>IF(AI656=0, VLOOKUP(AM656,$F$56:$L$75,4,FALSE),VLOOKUP(AM656,$F$56:$L$75,4,FALSE)+VLOOKUP(AM656,$F$56:$L$75,6,FALSE) )</f>
        <v>0.05</v>
      </c>
      <c r="Q656" s="12">
        <f>IF(AI656=0, VLOOKUP(AM656,$F$56:$L$75,5,FALSE),VLOOKUP(AM656,$F$56:$L$75,5,FALSE)+VLOOKUP(AM656,$F$56:$L$75,7,FALSE) )</f>
        <v>5</v>
      </c>
      <c r="R656" s="12">
        <f>VLOOKUP(AM656,$F$56:$L$75,2,FALSE)</f>
        <v>0.04</v>
      </c>
      <c r="S656" s="12">
        <f>VLOOKUP(AM656,$F$56:$L$75,3,FALSE)</f>
        <v>4</v>
      </c>
      <c r="T656" s="12">
        <f t="shared" ref="T656:T673" si="302" xml:space="preserve"> VLOOKUP(I656,$C$22:$L$34,3,FALSE)</f>
        <v>10</v>
      </c>
      <c r="U656" s="12">
        <f t="shared" ref="U656:U673" si="303" xml:space="preserve"> VLOOKUP(I656,$C$237:$F$249,4,FALSE)</f>
        <v>0</v>
      </c>
      <c r="V656" s="12">
        <f t="shared" ref="V656:V673" si="304" xml:space="preserve"> VLOOKUP(I656,$C$237:$F$249,3,FALSE)</f>
        <v>6150</v>
      </c>
      <c r="W656" s="12">
        <f t="shared" ref="W656:W673" si="305" xml:space="preserve"> VLOOKUP(I656,$C$237:$G$249,5,FALSE)</f>
        <v>0</v>
      </c>
      <c r="X656" s="12">
        <f>$F$193</f>
        <v>0.5</v>
      </c>
      <c r="Y656" s="12">
        <f>$F$193</f>
        <v>0.5</v>
      </c>
      <c r="Z656" s="12">
        <f>IF(AA656=0,MAX((U656-W656)*T656,0),MAX((W656-U656)*T656,0))</f>
        <v>0</v>
      </c>
      <c r="AA656" s="12">
        <f t="shared" ref="AA656:AA673" si="306" xml:space="preserve"> VLOOKUP(I656,$C$22:$L$34,6,FALSE)</f>
        <v>9</v>
      </c>
      <c r="AB656" s="12">
        <f>IF(AI656=0,P656*T656*V656*N656+Q656*N656,IF(L656=0,0,MAX(AE656+(P656*T656*W656+Q656)*AH656-Z656*X656,AE656+(P656*T656*W656+Q656)*Y656*AV656)*N656))</f>
        <v>6160</v>
      </c>
      <c r="AC656" s="12">
        <f>IF(AI656=0,R656*T656*V656*N656+S656*N656,IF(L656=0,0,MAX(AE656+(R656*T656*W656+S656)*AH656-Z656*X656,AE656+(R656*T656*W656+S656)*AG50*Y656*AV656)*N656))</f>
        <v>4928</v>
      </c>
      <c r="AD656" s="12" t="b">
        <f t="shared" ref="AD656:AD664" si="307">IF(AA656=9,FALSE,N656*T656*V656)</f>
        <v>0</v>
      </c>
      <c r="AE656" s="12">
        <f>IF(AI656=1,1*T656*V656,0)</f>
        <v>0</v>
      </c>
      <c r="AF656" s="12">
        <f>IF(AC656&gt;=AC657,AB656,0)</f>
        <v>0</v>
      </c>
      <c r="AG656" s="12">
        <f>IF(AC656&gt;=AC657,AC656,0)</f>
        <v>0</v>
      </c>
      <c r="AH656" s="12">
        <v>1</v>
      </c>
      <c r="AI656" s="12">
        <f t="shared" ref="AI656:AI673" si="308" xml:space="preserve"> VLOOKUP(I656,$C$22:$L$34,10,FALSE)</f>
        <v>0</v>
      </c>
      <c r="AJ656" s="12" t="e">
        <f t="shared" ref="AJ656:AJ660" si="309">VLOOKUP(AK656,$B$94:$D$96,3,FALSE)</f>
        <v>#N/A</v>
      </c>
      <c r="AK656" s="339">
        <f t="shared" ref="AK656:AK673" si="310" xml:space="preserve"> VLOOKUP(I656,$C$22:$L$34,9,FALSE)</f>
        <v>0</v>
      </c>
      <c r="AL656" s="3" t="str">
        <f t="shared" ref="AL656:AL673" si="311" xml:space="preserve"> VLOOKUP(I656,$C$22:$L$34,7,FALSE)</f>
        <v>SR807</v>
      </c>
      <c r="AM656" s="3" t="str">
        <f>IF(AI656=0,AL656&amp;J656&amp;L656,IF(L656=0,AL656&amp;J656&amp;1,AL656&amp;J656&amp;0))</f>
        <v>SR80710</v>
      </c>
      <c r="AN656" s="6">
        <f t="shared" ref="AN656:AN673" si="312">VLOOKUP(E656,$C$485:$AN$561,17,FALSE)</f>
        <v>6110</v>
      </c>
      <c r="AO656" s="6">
        <f>$B$2</f>
        <v>20180326</v>
      </c>
      <c r="AP656" s="6" t="str">
        <f>$F$8</f>
        <v>9999</v>
      </c>
      <c r="AQ656" s="6" t="str">
        <f>$D$12</f>
        <v>CNY</v>
      </c>
      <c r="AR656" s="6" t="str">
        <f t="shared" ref="AR656:AR697" si="313">VLOOKUP(G656,$C$8:$G$9,5,FALSE)</f>
        <v>50010001</v>
      </c>
      <c r="AS656" s="6">
        <f>$B$2</f>
        <v>20180326</v>
      </c>
      <c r="AT656" s="6">
        <f t="shared" ref="AT656:AT673" si="314">VLOOKUP(E656,$C$485:$AN$561,7,FALSE)</f>
        <v>20180326</v>
      </c>
      <c r="AU656" s="310">
        <f t="shared" ref="AU656:AU673" si="315">VLOOKUP(E656,$C$485:$AN$561,17,FALSE)</f>
        <v>6110</v>
      </c>
      <c r="AV656" s="6">
        <f t="shared" ref="AV656:AV673" si="316">VLOOKUP(I656,$C$22:$M$34,11,FALSE)</f>
        <v>1</v>
      </c>
      <c r="AW656" s="6" t="str">
        <f t="shared" ref="AW656:AW673" si="317">VLOOKUP(I656,$C$22:$M$34,7,FALSE)</f>
        <v>SR807</v>
      </c>
    </row>
    <row r="657" spans="1:49" s="6" customFormat="1" x14ac:dyDescent="0.25">
      <c r="A657" s="167"/>
      <c r="B657" s="578" t="str">
        <f>B656</f>
        <v>SR807&amp;SR809</v>
      </c>
      <c r="C657" s="6" t="s">
        <v>1103</v>
      </c>
      <c r="D657" s="12">
        <v>1</v>
      </c>
      <c r="E657" s="12" t="str">
        <f>C500</f>
        <v>2018032610000024</v>
      </c>
      <c r="F657" s="12" t="str">
        <f t="shared" si="297"/>
        <v>6001</v>
      </c>
      <c r="G657" s="12" t="str">
        <f t="shared" si="298"/>
        <v>B00101</v>
      </c>
      <c r="H657" s="12" t="str">
        <f t="shared" si="299"/>
        <v>6001</v>
      </c>
      <c r="I657" s="12" t="str">
        <f t="shared" si="300"/>
        <v>SR809</v>
      </c>
      <c r="J657" s="12">
        <v>1</v>
      </c>
      <c r="K657" s="726"/>
      <c r="L657" s="12">
        <f t="shared" si="301"/>
        <v>1</v>
      </c>
      <c r="M657" s="12">
        <f t="shared" ref="M657:M697" si="318">IF(L657=0,2,3)</f>
        <v>3</v>
      </c>
      <c r="N657" s="12">
        <f>N656</f>
        <v>2</v>
      </c>
      <c r="O657" s="12">
        <v>1</v>
      </c>
      <c r="P657" s="12">
        <f t="shared" ref="P657:P687" si="319">IF(AI657=0, VLOOKUP(AM657,$F$56:$L$75,4,FALSE),VLOOKUP(AM657,$F$56:$L$75,4,FALSE)+VLOOKUP(AM657,$F$56:$L$75,6,FALSE) )</f>
        <v>5.0999999999999997E-2</v>
      </c>
      <c r="Q657" s="12">
        <f t="shared" ref="Q657:Q697" si="320">IF(AI657=0, VLOOKUP(AM657,$F$56:$L$75,5,FALSE),VLOOKUP(AM657,$F$56:$L$75,5,FALSE)+VLOOKUP(AM657,$F$56:$L$75,7,FALSE) )</f>
        <v>5.0999999999999996</v>
      </c>
      <c r="R657" s="12">
        <f t="shared" ref="R657:R697" si="321">VLOOKUP(AM657,$F$56:$L$75,2,FALSE)</f>
        <v>4.1000000000000002E-2</v>
      </c>
      <c r="S657" s="12">
        <f t="shared" ref="S657:S697" si="322">VLOOKUP(AM657,$F$56:$L$75,3,FALSE)</f>
        <v>4.0999999999999996</v>
      </c>
      <c r="T657" s="12">
        <f t="shared" si="302"/>
        <v>10</v>
      </c>
      <c r="U657" s="12">
        <f t="shared" si="303"/>
        <v>0</v>
      </c>
      <c r="V657" s="12">
        <f t="shared" si="304"/>
        <v>6155</v>
      </c>
      <c r="W657" s="12">
        <f t="shared" si="305"/>
        <v>0</v>
      </c>
      <c r="X657" s="12">
        <f t="shared" ref="X657:Y697" si="323">$F$193</f>
        <v>0.5</v>
      </c>
      <c r="Y657" s="12">
        <f t="shared" si="323"/>
        <v>0.5</v>
      </c>
      <c r="Z657" s="12">
        <f t="shared" ref="Z657:Z697" si="324">IF(AA657=0,MAX((U657-W657)*T657,0),MAX((W657-U657)*T657,0))</f>
        <v>0</v>
      </c>
      <c r="AA657" s="12">
        <f t="shared" si="306"/>
        <v>9</v>
      </c>
      <c r="AB657" s="12">
        <f t="shared" ref="AB657:AB697" si="325">IF(AI657=0,P657*T657*V657*N657+Q657*N657,IF(L657=0,0,MAX(AE657+(P657*T657*W657+Q657)*AH657-Z657*X657,AE657+(P657*T657*W657+Q657)*Y657*AV657)*N657))</f>
        <v>6288.3</v>
      </c>
      <c r="AC657" s="12">
        <f>IF(AI657=0,R657*T657*V657*N657+S657*N657,IF(L657=0,0,MAX(AE657+(R657*T657*W657+S657)*AH657-Z657*X657,AE657+(R657*T657*W657+S657)*AG51*Y657*AV657)*N657))</f>
        <v>5055.3</v>
      </c>
      <c r="AD657" s="12" t="b">
        <f t="shared" si="307"/>
        <v>0</v>
      </c>
      <c r="AE657" s="12">
        <f t="shared" ref="AE657:AE697" si="326">IF(AI657=1,1*T657*V657,0)</f>
        <v>0</v>
      </c>
      <c r="AF657" s="223">
        <f>IF(AC657&gt;AC656,AB657,0)</f>
        <v>6288.3</v>
      </c>
      <c r="AG657" s="223">
        <f>IF(AC657&gt;AC656,AC657,0)</f>
        <v>5055.3</v>
      </c>
      <c r="AH657" s="12">
        <v>1</v>
      </c>
      <c r="AI657" s="12">
        <f t="shared" si="308"/>
        <v>0</v>
      </c>
      <c r="AJ657" s="12" t="e">
        <f t="shared" si="309"/>
        <v>#N/A</v>
      </c>
      <c r="AK657" s="12">
        <f t="shared" si="310"/>
        <v>0</v>
      </c>
      <c r="AL657" s="3" t="str">
        <f t="shared" si="311"/>
        <v>SR809</v>
      </c>
      <c r="AM657" s="3" t="str">
        <f t="shared" ref="AM657:AM697" si="327">IF(AI657=0,AL657&amp;J657&amp;L657,IF(L657=0,AL657&amp;J657&amp;1,AL657&amp;J657&amp;0))</f>
        <v>SR80911</v>
      </c>
      <c r="AN657" s="6">
        <f t="shared" si="312"/>
        <v>6114</v>
      </c>
      <c r="AO657" s="6">
        <f t="shared" ref="AO657:AO697" si="328">$B$2</f>
        <v>20180326</v>
      </c>
      <c r="AP657" s="6" t="str">
        <f t="shared" ref="AP657:AP697" si="329">$F$8</f>
        <v>9999</v>
      </c>
      <c r="AQ657" s="6" t="str">
        <f t="shared" ref="AQ657:AQ697" si="330">$D$12</f>
        <v>CNY</v>
      </c>
      <c r="AR657" s="6" t="str">
        <f t="shared" si="313"/>
        <v>50010001</v>
      </c>
      <c r="AS657" s="6">
        <f t="shared" ref="AS657:AS697" si="331">$B$2</f>
        <v>20180326</v>
      </c>
      <c r="AT657" s="6">
        <f t="shared" si="314"/>
        <v>20180326</v>
      </c>
      <c r="AU657" s="310">
        <f t="shared" si="315"/>
        <v>6114</v>
      </c>
      <c r="AV657" s="6">
        <f t="shared" si="316"/>
        <v>1</v>
      </c>
      <c r="AW657" s="6" t="str">
        <f t="shared" si="317"/>
        <v>SR809</v>
      </c>
    </row>
    <row r="658" spans="1:49" s="6" customFormat="1" x14ac:dyDescent="0.25">
      <c r="A658" s="167"/>
      <c r="B658" s="578" t="str">
        <f>C38</f>
        <v>SR807&amp;OI811</v>
      </c>
      <c r="C658" s="6" t="s">
        <v>1103</v>
      </c>
      <c r="D658" s="12">
        <v>2</v>
      </c>
      <c r="E658" s="12" t="str">
        <f>E656</f>
        <v>2018032610000020</v>
      </c>
      <c r="F658" s="12" t="str">
        <f t="shared" si="297"/>
        <v>6001</v>
      </c>
      <c r="G658" s="12" t="str">
        <f t="shared" si="298"/>
        <v>B00101</v>
      </c>
      <c r="H658" s="12" t="str">
        <f t="shared" si="299"/>
        <v>6001</v>
      </c>
      <c r="I658" s="12" t="str">
        <f t="shared" si="300"/>
        <v>SR807</v>
      </c>
      <c r="J658" s="12">
        <v>1</v>
      </c>
      <c r="K658" s="725">
        <v>0</v>
      </c>
      <c r="L658" s="12">
        <f t="shared" si="301"/>
        <v>0</v>
      </c>
      <c r="M658" s="12">
        <f t="shared" si="318"/>
        <v>2</v>
      </c>
      <c r="N658" s="12">
        <v>2</v>
      </c>
      <c r="O658" s="12">
        <v>1</v>
      </c>
      <c r="P658" s="12">
        <f t="shared" si="319"/>
        <v>0.05</v>
      </c>
      <c r="Q658" s="12">
        <f t="shared" si="320"/>
        <v>5</v>
      </c>
      <c r="R658" s="12">
        <f t="shared" si="321"/>
        <v>0.04</v>
      </c>
      <c r="S658" s="12">
        <f t="shared" si="322"/>
        <v>4</v>
      </c>
      <c r="T658" s="12">
        <f t="shared" si="302"/>
        <v>10</v>
      </c>
      <c r="U658" s="12">
        <f t="shared" si="303"/>
        <v>0</v>
      </c>
      <c r="V658" s="12">
        <f t="shared" si="304"/>
        <v>6150</v>
      </c>
      <c r="W658" s="12">
        <f t="shared" si="305"/>
        <v>0</v>
      </c>
      <c r="X658" s="12">
        <f t="shared" si="323"/>
        <v>0.5</v>
      </c>
      <c r="Y658" s="12">
        <f t="shared" si="323"/>
        <v>0.5</v>
      </c>
      <c r="Z658" s="12">
        <f t="shared" si="324"/>
        <v>0</v>
      </c>
      <c r="AA658" s="12">
        <f t="shared" si="306"/>
        <v>9</v>
      </c>
      <c r="AB658" s="12">
        <f t="shared" si="325"/>
        <v>6160</v>
      </c>
      <c r="AC658" s="12">
        <f>IF(AI658=0,R658*T658*V658*N658+S658*N658,IF(L658=0,0,MAX(AE658+(R658*T658*W658+S658)*AH658-Z658*X658,AE658+(R658*T658*W658+S658)*AG52*Y658*AV658)*N658))</f>
        <v>4928</v>
      </c>
      <c r="AD658" s="12" t="b">
        <f t="shared" si="307"/>
        <v>0</v>
      </c>
      <c r="AE658" s="12">
        <f t="shared" si="326"/>
        <v>0</v>
      </c>
      <c r="AF658" s="12">
        <f>IF(AC658&gt;=AC659,AB658,0)</f>
        <v>0</v>
      </c>
      <c r="AG658" s="12">
        <f>IF(AC658&gt;=AC659,AC658,0)</f>
        <v>0</v>
      </c>
      <c r="AH658" s="12">
        <v>1</v>
      </c>
      <c r="AI658" s="12">
        <f t="shared" si="308"/>
        <v>0</v>
      </c>
      <c r="AJ658" s="12" t="e">
        <f t="shared" si="309"/>
        <v>#N/A</v>
      </c>
      <c r="AK658" s="12">
        <f t="shared" si="310"/>
        <v>0</v>
      </c>
      <c r="AL658" s="3" t="str">
        <f t="shared" si="311"/>
        <v>SR807</v>
      </c>
      <c r="AM658" s="3" t="str">
        <f t="shared" si="327"/>
        <v>SR80710</v>
      </c>
      <c r="AN658" s="6">
        <f t="shared" si="312"/>
        <v>6110</v>
      </c>
      <c r="AO658" s="6">
        <f t="shared" si="328"/>
        <v>20180326</v>
      </c>
      <c r="AP658" s="6" t="str">
        <f t="shared" si="329"/>
        <v>9999</v>
      </c>
      <c r="AQ658" s="6" t="str">
        <f t="shared" si="330"/>
        <v>CNY</v>
      </c>
      <c r="AR658" s="6" t="str">
        <f t="shared" si="313"/>
        <v>50010001</v>
      </c>
      <c r="AS658" s="6">
        <f t="shared" si="331"/>
        <v>20180326</v>
      </c>
      <c r="AT658" s="6">
        <f t="shared" si="314"/>
        <v>20180326</v>
      </c>
      <c r="AU658" s="310">
        <f t="shared" si="315"/>
        <v>6110</v>
      </c>
      <c r="AV658" s="6">
        <f t="shared" si="316"/>
        <v>1</v>
      </c>
      <c r="AW658" s="6" t="str">
        <f t="shared" si="317"/>
        <v>SR807</v>
      </c>
    </row>
    <row r="659" spans="1:49" s="6" customFormat="1" x14ac:dyDescent="0.25">
      <c r="A659" s="167"/>
      <c r="B659" s="578" t="str">
        <f>B658</f>
        <v>SR807&amp;OI811</v>
      </c>
      <c r="C659" s="6" t="s">
        <v>1103</v>
      </c>
      <c r="D659" s="12">
        <v>2</v>
      </c>
      <c r="E659" s="12" t="str">
        <f>C502</f>
        <v>2018032610000026</v>
      </c>
      <c r="F659" s="12" t="str">
        <f t="shared" si="297"/>
        <v>6001</v>
      </c>
      <c r="G659" s="12" t="str">
        <f t="shared" si="298"/>
        <v>B00101</v>
      </c>
      <c r="H659" s="12" t="str">
        <f t="shared" si="299"/>
        <v>6001</v>
      </c>
      <c r="I659" s="12" t="str">
        <f t="shared" si="300"/>
        <v>OI811</v>
      </c>
      <c r="J659" s="12">
        <v>1</v>
      </c>
      <c r="K659" s="726"/>
      <c r="L659" s="12">
        <f t="shared" si="301"/>
        <v>1</v>
      </c>
      <c r="M659" s="12">
        <f t="shared" si="318"/>
        <v>3</v>
      </c>
      <c r="N659" s="12">
        <f>N658</f>
        <v>2</v>
      </c>
      <c r="O659" s="12">
        <v>1</v>
      </c>
      <c r="P659" s="12">
        <f t="shared" si="319"/>
        <v>5.0999999999999997E-2</v>
      </c>
      <c r="Q659" s="12">
        <f t="shared" si="320"/>
        <v>5.0999999999999996</v>
      </c>
      <c r="R659" s="12">
        <f t="shared" si="321"/>
        <v>4.1000000000000002E-2</v>
      </c>
      <c r="S659" s="12">
        <f t="shared" si="322"/>
        <v>4.0999999999999996</v>
      </c>
      <c r="T659" s="12">
        <f t="shared" si="302"/>
        <v>10</v>
      </c>
      <c r="U659" s="12">
        <f t="shared" si="303"/>
        <v>0</v>
      </c>
      <c r="V659" s="12">
        <f t="shared" si="304"/>
        <v>6160</v>
      </c>
      <c r="W659" s="12">
        <f t="shared" si="305"/>
        <v>0</v>
      </c>
      <c r="X659" s="12">
        <f t="shared" si="323"/>
        <v>0.5</v>
      </c>
      <c r="Y659" s="12">
        <f t="shared" si="323"/>
        <v>0.5</v>
      </c>
      <c r="Z659" s="12">
        <f t="shared" si="324"/>
        <v>0</v>
      </c>
      <c r="AA659" s="12">
        <f t="shared" si="306"/>
        <v>9</v>
      </c>
      <c r="AB659" s="12">
        <f t="shared" si="325"/>
        <v>6293.4</v>
      </c>
      <c r="AC659" s="12">
        <f>IF(AI659=0,R659*T659*V659*N659+S659*N659,IF(L659=0,0,MAX(AE659+(R659*T659*W659+S659)*AH659-Z659*X659,AE659+(R659*T659*W659+S659)*AG53*Y659*AV659)*N659))</f>
        <v>5059.4000000000005</v>
      </c>
      <c r="AD659" s="12" t="b">
        <f t="shared" si="307"/>
        <v>0</v>
      </c>
      <c r="AE659" s="12">
        <f t="shared" si="326"/>
        <v>0</v>
      </c>
      <c r="AF659" s="223">
        <f>IF(AC659&gt;AC658,AB659,0)</f>
        <v>6293.4</v>
      </c>
      <c r="AG659" s="223">
        <f>IF(AC659&gt;AC658,AC659,0)</f>
        <v>5059.4000000000005</v>
      </c>
      <c r="AH659" s="12">
        <v>1</v>
      </c>
      <c r="AI659" s="12">
        <f t="shared" si="308"/>
        <v>0</v>
      </c>
      <c r="AJ659" s="12" t="e">
        <f t="shared" si="309"/>
        <v>#N/A</v>
      </c>
      <c r="AK659" s="12">
        <f t="shared" si="310"/>
        <v>0</v>
      </c>
      <c r="AL659" s="3" t="str">
        <f t="shared" si="311"/>
        <v>OI811</v>
      </c>
      <c r="AM659" s="3" t="str">
        <f t="shared" si="327"/>
        <v>OI81111</v>
      </c>
      <c r="AN659" s="6">
        <f t="shared" si="312"/>
        <v>6116</v>
      </c>
      <c r="AO659" s="6">
        <f t="shared" si="328"/>
        <v>20180326</v>
      </c>
      <c r="AP659" s="6" t="str">
        <f t="shared" si="329"/>
        <v>9999</v>
      </c>
      <c r="AQ659" s="6" t="str">
        <f t="shared" si="330"/>
        <v>CNY</v>
      </c>
      <c r="AR659" s="6" t="str">
        <f t="shared" si="313"/>
        <v>50010001</v>
      </c>
      <c r="AS659" s="6">
        <f t="shared" si="331"/>
        <v>20180326</v>
      </c>
      <c r="AT659" s="6">
        <f t="shared" si="314"/>
        <v>20180326</v>
      </c>
      <c r="AU659" s="310">
        <f t="shared" si="315"/>
        <v>6116</v>
      </c>
      <c r="AV659" s="6">
        <f t="shared" si="316"/>
        <v>1</v>
      </c>
      <c r="AW659" s="6" t="str">
        <f t="shared" si="317"/>
        <v>OI811</v>
      </c>
    </row>
    <row r="660" spans="1:49" s="13" customFormat="1" x14ac:dyDescent="0.25">
      <c r="A660" s="470"/>
      <c r="B660" s="602" t="str">
        <f>B656</f>
        <v>SR807&amp;SR809</v>
      </c>
      <c r="C660" s="13" t="s">
        <v>1103</v>
      </c>
      <c r="D660" s="100">
        <v>3</v>
      </c>
      <c r="E660" s="100" t="str">
        <f>C488</f>
        <v>2018032610000012</v>
      </c>
      <c r="F660" s="100" t="str">
        <f t="shared" si="297"/>
        <v>6001</v>
      </c>
      <c r="G660" s="100" t="str">
        <f t="shared" si="298"/>
        <v>B00101</v>
      </c>
      <c r="H660" s="100" t="str">
        <f t="shared" si="299"/>
        <v>6001</v>
      </c>
      <c r="I660" s="100" t="str">
        <f t="shared" si="300"/>
        <v>SR807</v>
      </c>
      <c r="J660" s="100">
        <v>1</v>
      </c>
      <c r="K660" s="735">
        <v>1</v>
      </c>
      <c r="L660" s="100">
        <f t="shared" si="301"/>
        <v>1</v>
      </c>
      <c r="M660" s="100">
        <f t="shared" si="318"/>
        <v>3</v>
      </c>
      <c r="N660" s="100">
        <v>1</v>
      </c>
      <c r="O660" s="100">
        <v>1</v>
      </c>
      <c r="P660" s="100">
        <f t="shared" si="319"/>
        <v>5.0999999999999997E-2</v>
      </c>
      <c r="Q660" s="100">
        <f t="shared" si="320"/>
        <v>5.0999999999999996</v>
      </c>
      <c r="R660" s="100">
        <f t="shared" si="321"/>
        <v>4.1000000000000002E-2</v>
      </c>
      <c r="S660" s="100">
        <f t="shared" si="322"/>
        <v>4.0999999999999996</v>
      </c>
      <c r="T660" s="100">
        <f t="shared" si="302"/>
        <v>10</v>
      </c>
      <c r="U660" s="100">
        <f t="shared" si="303"/>
        <v>0</v>
      </c>
      <c r="V660" s="100">
        <f t="shared" si="304"/>
        <v>6150</v>
      </c>
      <c r="W660" s="100">
        <f t="shared" si="305"/>
        <v>0</v>
      </c>
      <c r="X660" s="100">
        <f t="shared" si="323"/>
        <v>0.5</v>
      </c>
      <c r="Y660" s="100">
        <f t="shared" si="323"/>
        <v>0.5</v>
      </c>
      <c r="Z660" s="100">
        <f t="shared" si="324"/>
        <v>0</v>
      </c>
      <c r="AA660" s="100">
        <f t="shared" si="306"/>
        <v>9</v>
      </c>
      <c r="AB660" s="100">
        <f t="shared" si="325"/>
        <v>3141.6</v>
      </c>
      <c r="AC660" s="100">
        <f>IF(AI660=0,R660*T660*V660*N660+S660*N660,IF(L660=0,0,MAX(AE660+(R660*T660*W660+S660)*AH660-Z660*X660,AE660+(R660*T660*W660+S660)*AG54*Y660*AV660)*N660))</f>
        <v>2525.6</v>
      </c>
      <c r="AD660" s="100" t="b">
        <f t="shared" si="307"/>
        <v>0</v>
      </c>
      <c r="AE660" s="100">
        <f t="shared" si="326"/>
        <v>0</v>
      </c>
      <c r="AF660" s="100">
        <f>IF(AC660&gt;=AC661,AB660,0)</f>
        <v>3141.6</v>
      </c>
      <c r="AG660" s="100">
        <f>IF(AC660&gt;=AC661,AC660,0)</f>
        <v>2525.6</v>
      </c>
      <c r="AH660" s="100">
        <v>1</v>
      </c>
      <c r="AI660" s="100">
        <f t="shared" si="308"/>
        <v>0</v>
      </c>
      <c r="AJ660" s="100" t="e">
        <f t="shared" si="309"/>
        <v>#N/A</v>
      </c>
      <c r="AK660" s="100">
        <f t="shared" si="310"/>
        <v>0</v>
      </c>
      <c r="AL660" s="221" t="str">
        <f t="shared" si="311"/>
        <v>SR807</v>
      </c>
      <c r="AM660" s="3" t="str">
        <f t="shared" si="327"/>
        <v>SR80711</v>
      </c>
      <c r="AN660" s="13">
        <f t="shared" si="312"/>
        <v>6102</v>
      </c>
      <c r="AO660" s="13">
        <f t="shared" si="328"/>
        <v>20180326</v>
      </c>
      <c r="AP660" s="13" t="str">
        <f t="shared" si="329"/>
        <v>9999</v>
      </c>
      <c r="AQ660" s="13" t="str">
        <f t="shared" si="330"/>
        <v>CNY</v>
      </c>
      <c r="AR660" s="13" t="str">
        <f t="shared" si="313"/>
        <v>50010001</v>
      </c>
      <c r="AS660" s="13">
        <f t="shared" si="331"/>
        <v>20180326</v>
      </c>
      <c r="AT660" s="13">
        <f t="shared" si="314"/>
        <v>20180326</v>
      </c>
      <c r="AU660" s="480">
        <f t="shared" si="315"/>
        <v>6102</v>
      </c>
      <c r="AV660" s="13">
        <f t="shared" si="316"/>
        <v>1</v>
      </c>
      <c r="AW660" s="13" t="str">
        <f t="shared" si="317"/>
        <v>SR807</v>
      </c>
    </row>
    <row r="661" spans="1:49" s="13" customFormat="1" x14ac:dyDescent="0.25">
      <c r="A661" s="470"/>
      <c r="B661" s="602" t="str">
        <f>B660</f>
        <v>SR807&amp;SR809</v>
      </c>
      <c r="C661" s="13" t="s">
        <v>1103</v>
      </c>
      <c r="D661" s="100">
        <v>3</v>
      </c>
      <c r="E661" s="100" t="str">
        <f>C501</f>
        <v>2018032610000025</v>
      </c>
      <c r="F661" s="100" t="str">
        <f t="shared" si="297"/>
        <v>6001</v>
      </c>
      <c r="G661" s="100" t="str">
        <f t="shared" si="298"/>
        <v>B00101</v>
      </c>
      <c r="H661" s="100" t="str">
        <f t="shared" si="299"/>
        <v>6001</v>
      </c>
      <c r="I661" s="100" t="str">
        <f t="shared" si="300"/>
        <v>SR809</v>
      </c>
      <c r="J661" s="100">
        <v>1</v>
      </c>
      <c r="K661" s="736">
        <f>L661</f>
        <v>0</v>
      </c>
      <c r="L661" s="100">
        <f t="shared" si="301"/>
        <v>0</v>
      </c>
      <c r="M661" s="100">
        <f t="shared" si="318"/>
        <v>2</v>
      </c>
      <c r="N661" s="100">
        <f>N660</f>
        <v>1</v>
      </c>
      <c r="O661" s="100">
        <v>1</v>
      </c>
      <c r="P661" s="100">
        <f t="shared" si="319"/>
        <v>0.05</v>
      </c>
      <c r="Q661" s="100">
        <f t="shared" si="320"/>
        <v>5</v>
      </c>
      <c r="R661" s="100">
        <f t="shared" si="321"/>
        <v>0.04</v>
      </c>
      <c r="S661" s="100">
        <f t="shared" si="322"/>
        <v>4</v>
      </c>
      <c r="T661" s="100">
        <f t="shared" si="302"/>
        <v>10</v>
      </c>
      <c r="U661" s="100">
        <f t="shared" si="303"/>
        <v>0</v>
      </c>
      <c r="V661" s="100">
        <f t="shared" si="304"/>
        <v>6155</v>
      </c>
      <c r="W661" s="100">
        <f t="shared" si="305"/>
        <v>0</v>
      </c>
      <c r="X661" s="100">
        <f t="shared" si="323"/>
        <v>0.5</v>
      </c>
      <c r="Y661" s="100">
        <f t="shared" si="323"/>
        <v>0.5</v>
      </c>
      <c r="Z661" s="100">
        <f t="shared" si="324"/>
        <v>0</v>
      </c>
      <c r="AA661" s="100">
        <f t="shared" si="306"/>
        <v>9</v>
      </c>
      <c r="AB661" s="100">
        <f t="shared" si="325"/>
        <v>3082.5</v>
      </c>
      <c r="AC661" s="100">
        <f>IF(AI661=0,R661*T661*V661*N661+S661*N661,IF(L661=0,0,MAX(AE661+(R661*T661*W661+S661)*AH661-Z661*X661,AE661+(R661*T661*W661+S661)*#REF!*Y661*AV661)*N661))</f>
        <v>2466</v>
      </c>
      <c r="AD661" s="100" t="b">
        <f t="shared" si="307"/>
        <v>0</v>
      </c>
      <c r="AE661" s="100">
        <f t="shared" si="326"/>
        <v>0</v>
      </c>
      <c r="AF661" s="100">
        <f>IF(AC661&gt;AC660,AB661,0)</f>
        <v>0</v>
      </c>
      <c r="AG661" s="100">
        <f>IF(AC661&gt;AC660,AC661,0)</f>
        <v>0</v>
      </c>
      <c r="AH661" s="100">
        <v>1</v>
      </c>
      <c r="AI661" s="100">
        <f t="shared" si="308"/>
        <v>0</v>
      </c>
      <c r="AJ661" s="100" t="e">
        <f t="shared" ref="AJ661:AJ697" si="332">VLOOKUP(AK661,$B$94:$D$96,3,FALSE)</f>
        <v>#N/A</v>
      </c>
      <c r="AK661" s="100">
        <f t="shared" si="310"/>
        <v>0</v>
      </c>
      <c r="AL661" s="221" t="str">
        <f t="shared" si="311"/>
        <v>SR809</v>
      </c>
      <c r="AM661" s="3" t="str">
        <f t="shared" si="327"/>
        <v>SR80910</v>
      </c>
      <c r="AN661" s="13">
        <f t="shared" si="312"/>
        <v>6115</v>
      </c>
      <c r="AO661" s="13">
        <f t="shared" si="328"/>
        <v>20180326</v>
      </c>
      <c r="AP661" s="13" t="str">
        <f t="shared" si="329"/>
        <v>9999</v>
      </c>
      <c r="AQ661" s="13" t="str">
        <f t="shared" si="330"/>
        <v>CNY</v>
      </c>
      <c r="AR661" s="13" t="str">
        <f t="shared" si="313"/>
        <v>50010001</v>
      </c>
      <c r="AS661" s="13">
        <f t="shared" si="331"/>
        <v>20180326</v>
      </c>
      <c r="AT661" s="13">
        <f t="shared" si="314"/>
        <v>20180326</v>
      </c>
      <c r="AU661" s="480">
        <f t="shared" si="315"/>
        <v>6115</v>
      </c>
      <c r="AV661" s="13">
        <f t="shared" si="316"/>
        <v>1</v>
      </c>
      <c r="AW661" s="13" t="str">
        <f t="shared" si="317"/>
        <v>SR809</v>
      </c>
    </row>
    <row r="662" spans="1:49" s="13" customFormat="1" x14ac:dyDescent="0.25">
      <c r="A662" s="470"/>
      <c r="B662" s="602" t="str">
        <f>B660</f>
        <v>SR807&amp;SR809</v>
      </c>
      <c r="C662" s="13" t="s">
        <v>1103</v>
      </c>
      <c r="D662" s="100">
        <v>4</v>
      </c>
      <c r="E662" s="100" t="str">
        <f>C489</f>
        <v>2018032610000013</v>
      </c>
      <c r="F662" s="100" t="str">
        <f t="shared" si="297"/>
        <v>6001</v>
      </c>
      <c r="G662" s="100" t="str">
        <f t="shared" si="298"/>
        <v>B00101</v>
      </c>
      <c r="H662" s="100" t="str">
        <f t="shared" si="299"/>
        <v>6001</v>
      </c>
      <c r="I662" s="100" t="str">
        <f t="shared" si="300"/>
        <v>SR807</v>
      </c>
      <c r="J662" s="100">
        <v>1</v>
      </c>
      <c r="K662" s="735">
        <v>1</v>
      </c>
      <c r="L662" s="100">
        <f t="shared" si="301"/>
        <v>1</v>
      </c>
      <c r="M662" s="100">
        <f t="shared" si="318"/>
        <v>3</v>
      </c>
      <c r="N662" s="100">
        <v>1</v>
      </c>
      <c r="O662" s="100">
        <v>1</v>
      </c>
      <c r="P662" s="100">
        <f t="shared" si="319"/>
        <v>5.0999999999999997E-2</v>
      </c>
      <c r="Q662" s="100">
        <f t="shared" si="320"/>
        <v>5.0999999999999996</v>
      </c>
      <c r="R662" s="100">
        <f t="shared" si="321"/>
        <v>4.1000000000000002E-2</v>
      </c>
      <c r="S662" s="100">
        <f t="shared" si="322"/>
        <v>4.0999999999999996</v>
      </c>
      <c r="T662" s="100">
        <f t="shared" si="302"/>
        <v>10</v>
      </c>
      <c r="U662" s="100">
        <f t="shared" si="303"/>
        <v>0</v>
      </c>
      <c r="V662" s="100">
        <f t="shared" si="304"/>
        <v>6150</v>
      </c>
      <c r="W662" s="100">
        <f t="shared" si="305"/>
        <v>0</v>
      </c>
      <c r="X662" s="100">
        <f t="shared" si="323"/>
        <v>0.5</v>
      </c>
      <c r="Y662" s="100">
        <f t="shared" si="323"/>
        <v>0.5</v>
      </c>
      <c r="Z662" s="100">
        <f t="shared" si="324"/>
        <v>0</v>
      </c>
      <c r="AA662" s="100">
        <f t="shared" si="306"/>
        <v>9</v>
      </c>
      <c r="AB662" s="100">
        <f t="shared" si="325"/>
        <v>3141.6</v>
      </c>
      <c r="AC662" s="100">
        <f>IF(AI662=0,R662*T662*V662*N662+S662*N662,IF(L662=0,0,MAX(AE662+(R662*T662*W662+S662)*AH662-Z662*X662,AE662+(R662*T662*W662+S662)*#REF!*Y662*AV662)*N662))</f>
        <v>2525.6</v>
      </c>
      <c r="AD662" s="100" t="b">
        <f t="shared" si="307"/>
        <v>0</v>
      </c>
      <c r="AE662" s="100">
        <f t="shared" si="326"/>
        <v>0</v>
      </c>
      <c r="AF662" s="100">
        <f>IF(AC662&gt;=AC663,AB662,0)</f>
        <v>3141.6</v>
      </c>
      <c r="AG662" s="100">
        <f>IF(AC662&gt;=AC663,AC662,0)</f>
        <v>2525.6</v>
      </c>
      <c r="AH662" s="100">
        <v>1</v>
      </c>
      <c r="AI662" s="100">
        <f t="shared" si="308"/>
        <v>0</v>
      </c>
      <c r="AJ662" s="100"/>
      <c r="AK662" s="100">
        <f t="shared" si="310"/>
        <v>0</v>
      </c>
      <c r="AL662" s="221" t="str">
        <f t="shared" si="311"/>
        <v>SR807</v>
      </c>
      <c r="AM662" s="3" t="str">
        <f t="shared" si="327"/>
        <v>SR80711</v>
      </c>
      <c r="AN662" s="13">
        <f t="shared" si="312"/>
        <v>6103</v>
      </c>
      <c r="AO662" s="13">
        <f t="shared" si="328"/>
        <v>20180326</v>
      </c>
      <c r="AP662" s="13" t="str">
        <f t="shared" si="329"/>
        <v>9999</v>
      </c>
      <c r="AQ662" s="13" t="str">
        <f t="shared" si="330"/>
        <v>CNY</v>
      </c>
      <c r="AR662" s="13" t="str">
        <f t="shared" si="313"/>
        <v>50010001</v>
      </c>
      <c r="AS662" s="13">
        <f t="shared" si="331"/>
        <v>20180326</v>
      </c>
      <c r="AT662" s="13">
        <f t="shared" si="314"/>
        <v>20180326</v>
      </c>
      <c r="AU662" s="480">
        <f t="shared" si="315"/>
        <v>6103</v>
      </c>
      <c r="AV662" s="13">
        <f t="shared" si="316"/>
        <v>1</v>
      </c>
      <c r="AW662" s="13" t="str">
        <f t="shared" si="317"/>
        <v>SR807</v>
      </c>
    </row>
    <row r="663" spans="1:49" s="13" customFormat="1" x14ac:dyDescent="0.25">
      <c r="A663" s="470"/>
      <c r="B663" s="602" t="str">
        <f>B662</f>
        <v>SR807&amp;SR809</v>
      </c>
      <c r="C663" s="13" t="s">
        <v>1103</v>
      </c>
      <c r="D663" s="100">
        <f>D662</f>
        <v>4</v>
      </c>
      <c r="E663" s="100" t="str">
        <f>E661</f>
        <v>2018032610000025</v>
      </c>
      <c r="F663" s="100" t="str">
        <f t="shared" si="297"/>
        <v>6001</v>
      </c>
      <c r="G663" s="100" t="str">
        <f t="shared" si="298"/>
        <v>B00101</v>
      </c>
      <c r="H663" s="100" t="str">
        <f t="shared" si="299"/>
        <v>6001</v>
      </c>
      <c r="I663" s="100" t="str">
        <f t="shared" si="300"/>
        <v>SR809</v>
      </c>
      <c r="J663" s="100">
        <v>1</v>
      </c>
      <c r="K663" s="736"/>
      <c r="L663" s="100">
        <f t="shared" si="301"/>
        <v>0</v>
      </c>
      <c r="M663" s="100">
        <f t="shared" si="318"/>
        <v>2</v>
      </c>
      <c r="N663" s="100">
        <f>N662</f>
        <v>1</v>
      </c>
      <c r="O663" s="100">
        <v>1</v>
      </c>
      <c r="P663" s="100">
        <f t="shared" si="319"/>
        <v>0.05</v>
      </c>
      <c r="Q663" s="100">
        <f t="shared" si="320"/>
        <v>5</v>
      </c>
      <c r="R663" s="100">
        <f t="shared" si="321"/>
        <v>0.04</v>
      </c>
      <c r="S663" s="100">
        <f t="shared" si="322"/>
        <v>4</v>
      </c>
      <c r="T663" s="100">
        <f t="shared" si="302"/>
        <v>10</v>
      </c>
      <c r="U663" s="100">
        <f t="shared" si="303"/>
        <v>0</v>
      </c>
      <c r="V663" s="100">
        <f t="shared" si="304"/>
        <v>6155</v>
      </c>
      <c r="W663" s="100">
        <f t="shared" si="305"/>
        <v>0</v>
      </c>
      <c r="X663" s="100">
        <f t="shared" si="323"/>
        <v>0.5</v>
      </c>
      <c r="Y663" s="100">
        <f t="shared" si="323"/>
        <v>0.5</v>
      </c>
      <c r="Z663" s="100">
        <f t="shared" si="324"/>
        <v>0</v>
      </c>
      <c r="AA663" s="100">
        <f t="shared" si="306"/>
        <v>9</v>
      </c>
      <c r="AB663" s="100">
        <f t="shared" si="325"/>
        <v>3082.5</v>
      </c>
      <c r="AC663" s="100">
        <f t="shared" ref="AC663:AC675" si="333">IF(AI663=0,R663*T663*V663*N663+S663*N663,IF(L663=0,0,MAX(AE663+(R663*T663*W663+S663)*AH663-Z663*X663,AE663+(R663*T663*W663+S663)*AG55*Y663*AV663)*N663))</f>
        <v>2466</v>
      </c>
      <c r="AD663" s="100" t="b">
        <f t="shared" si="307"/>
        <v>0</v>
      </c>
      <c r="AE663" s="100">
        <f t="shared" si="326"/>
        <v>0</v>
      </c>
      <c r="AF663" s="100">
        <f>IF(AC663&gt;AC662,AB663,0)</f>
        <v>0</v>
      </c>
      <c r="AG663" s="100">
        <f>IF(AC663&gt;AC662,AC663,0)</f>
        <v>0</v>
      </c>
      <c r="AH663" s="100">
        <v>1</v>
      </c>
      <c r="AI663" s="100">
        <f t="shared" si="308"/>
        <v>0</v>
      </c>
      <c r="AJ663" s="100"/>
      <c r="AK663" s="100">
        <f t="shared" si="310"/>
        <v>0</v>
      </c>
      <c r="AL663" s="221" t="str">
        <f t="shared" si="311"/>
        <v>SR809</v>
      </c>
      <c r="AM663" s="3" t="str">
        <f t="shared" si="327"/>
        <v>SR80910</v>
      </c>
      <c r="AN663" s="13">
        <f t="shared" si="312"/>
        <v>6115</v>
      </c>
      <c r="AO663" s="13">
        <f t="shared" si="328"/>
        <v>20180326</v>
      </c>
      <c r="AP663" s="13" t="str">
        <f t="shared" si="329"/>
        <v>9999</v>
      </c>
      <c r="AQ663" s="13" t="str">
        <f t="shared" si="330"/>
        <v>CNY</v>
      </c>
      <c r="AR663" s="13" t="str">
        <f t="shared" si="313"/>
        <v>50010001</v>
      </c>
      <c r="AS663" s="13">
        <f t="shared" si="331"/>
        <v>20180326</v>
      </c>
      <c r="AT663" s="13">
        <f t="shared" si="314"/>
        <v>20180326</v>
      </c>
      <c r="AU663" s="480">
        <f t="shared" si="315"/>
        <v>6115</v>
      </c>
      <c r="AV663" s="13">
        <f t="shared" si="316"/>
        <v>1</v>
      </c>
      <c r="AW663" s="13" t="str">
        <f t="shared" si="317"/>
        <v>SR809</v>
      </c>
    </row>
    <row r="664" spans="1:49" s="6" customFormat="1" x14ac:dyDescent="0.25">
      <c r="A664" s="167"/>
      <c r="B664" s="578" t="str">
        <f>C38</f>
        <v>SR807&amp;OI811</v>
      </c>
      <c r="C664" s="6" t="s">
        <v>1103</v>
      </c>
      <c r="D664" s="12">
        <v>5</v>
      </c>
      <c r="E664" s="12" t="str">
        <f>E662</f>
        <v>2018032610000013</v>
      </c>
      <c r="F664" s="12" t="str">
        <f t="shared" si="297"/>
        <v>6001</v>
      </c>
      <c r="G664" s="12" t="str">
        <f t="shared" si="298"/>
        <v>B00101</v>
      </c>
      <c r="H664" s="12" t="str">
        <f t="shared" si="299"/>
        <v>6001</v>
      </c>
      <c r="I664" s="12" t="str">
        <f t="shared" si="300"/>
        <v>SR807</v>
      </c>
      <c r="J664" s="12">
        <v>1</v>
      </c>
      <c r="K664" s="725">
        <v>1</v>
      </c>
      <c r="L664" s="12">
        <f t="shared" si="301"/>
        <v>1</v>
      </c>
      <c r="M664" s="12">
        <f t="shared" si="318"/>
        <v>3</v>
      </c>
      <c r="N664" s="12">
        <v>2</v>
      </c>
      <c r="O664" s="12">
        <v>1</v>
      </c>
      <c r="P664" s="12">
        <f t="shared" si="319"/>
        <v>5.0999999999999997E-2</v>
      </c>
      <c r="Q664" s="12">
        <f t="shared" si="320"/>
        <v>5.0999999999999996</v>
      </c>
      <c r="R664" s="12">
        <f t="shared" si="321"/>
        <v>4.1000000000000002E-2</v>
      </c>
      <c r="S664" s="12">
        <f t="shared" si="322"/>
        <v>4.0999999999999996</v>
      </c>
      <c r="T664" s="12">
        <f t="shared" si="302"/>
        <v>10</v>
      </c>
      <c r="U664" s="12">
        <f t="shared" si="303"/>
        <v>0</v>
      </c>
      <c r="V664" s="12">
        <f t="shared" si="304"/>
        <v>6150</v>
      </c>
      <c r="W664" s="12">
        <f t="shared" si="305"/>
        <v>0</v>
      </c>
      <c r="X664" s="12">
        <f t="shared" si="323"/>
        <v>0.5</v>
      </c>
      <c r="Y664" s="12">
        <f t="shared" si="323"/>
        <v>0.5</v>
      </c>
      <c r="Z664" s="12">
        <f t="shared" si="324"/>
        <v>0</v>
      </c>
      <c r="AA664" s="12">
        <f t="shared" si="306"/>
        <v>9</v>
      </c>
      <c r="AB664" s="12">
        <f t="shared" si="325"/>
        <v>6283.2</v>
      </c>
      <c r="AC664" s="12">
        <f t="shared" si="333"/>
        <v>5051.2</v>
      </c>
      <c r="AD664" s="12" t="b">
        <f t="shared" si="307"/>
        <v>0</v>
      </c>
      <c r="AE664" s="12">
        <f t="shared" si="326"/>
        <v>0</v>
      </c>
      <c r="AF664" s="12">
        <f>IF(AC664&gt;=AC665,AB664,0)</f>
        <v>6283.2</v>
      </c>
      <c r="AG664" s="12">
        <f>IF(AC664&gt;=AC665,AC664,0)</f>
        <v>5051.2</v>
      </c>
      <c r="AH664" s="12">
        <v>1</v>
      </c>
      <c r="AI664" s="12">
        <f t="shared" si="308"/>
        <v>0</v>
      </c>
      <c r="AJ664" s="12" t="e">
        <f t="shared" si="332"/>
        <v>#N/A</v>
      </c>
      <c r="AK664" s="12">
        <f t="shared" si="310"/>
        <v>0</v>
      </c>
      <c r="AL664" s="3" t="str">
        <f t="shared" si="311"/>
        <v>SR807</v>
      </c>
      <c r="AM664" s="3" t="str">
        <f t="shared" si="327"/>
        <v>SR80711</v>
      </c>
      <c r="AN664" s="6">
        <f t="shared" si="312"/>
        <v>6103</v>
      </c>
      <c r="AO664" s="6">
        <f t="shared" si="328"/>
        <v>20180326</v>
      </c>
      <c r="AP664" s="6" t="str">
        <f t="shared" si="329"/>
        <v>9999</v>
      </c>
      <c r="AQ664" s="6" t="str">
        <f t="shared" si="330"/>
        <v>CNY</v>
      </c>
      <c r="AR664" s="6" t="str">
        <f t="shared" si="313"/>
        <v>50010001</v>
      </c>
      <c r="AS664" s="6">
        <f t="shared" si="331"/>
        <v>20180326</v>
      </c>
      <c r="AT664" s="6">
        <f t="shared" si="314"/>
        <v>20180326</v>
      </c>
      <c r="AU664" s="310">
        <f t="shared" si="315"/>
        <v>6103</v>
      </c>
      <c r="AV664" s="6">
        <f t="shared" si="316"/>
        <v>1</v>
      </c>
      <c r="AW664" s="6" t="str">
        <f t="shared" si="317"/>
        <v>SR807</v>
      </c>
    </row>
    <row r="665" spans="1:49" s="6" customFormat="1" x14ac:dyDescent="0.25">
      <c r="A665" s="167"/>
      <c r="B665" s="578" t="str">
        <f>B664</f>
        <v>SR807&amp;OI811</v>
      </c>
      <c r="C665" s="6" t="s">
        <v>1103</v>
      </c>
      <c r="D665" s="12">
        <f>D664</f>
        <v>5</v>
      </c>
      <c r="E665" s="12" t="str">
        <f>C503</f>
        <v>2018032610000027</v>
      </c>
      <c r="F665" s="12" t="str">
        <f t="shared" si="297"/>
        <v>6001</v>
      </c>
      <c r="G665" s="12" t="str">
        <f t="shared" si="298"/>
        <v>B00101</v>
      </c>
      <c r="H665" s="12" t="str">
        <f t="shared" si="299"/>
        <v>6001</v>
      </c>
      <c r="I665" s="12" t="str">
        <f t="shared" si="300"/>
        <v>OI811</v>
      </c>
      <c r="J665" s="12">
        <v>1</v>
      </c>
      <c r="K665" s="737"/>
      <c r="L665" s="12">
        <f t="shared" si="301"/>
        <v>0</v>
      </c>
      <c r="M665" s="12">
        <f t="shared" si="318"/>
        <v>2</v>
      </c>
      <c r="N665" s="12">
        <f>N664</f>
        <v>2</v>
      </c>
      <c r="O665" s="12">
        <v>1</v>
      </c>
      <c r="P665" s="12">
        <f t="shared" si="319"/>
        <v>0.05</v>
      </c>
      <c r="Q665" s="12">
        <f t="shared" si="320"/>
        <v>5</v>
      </c>
      <c r="R665" s="12">
        <f t="shared" si="321"/>
        <v>0.04</v>
      </c>
      <c r="S665" s="12">
        <f t="shared" si="322"/>
        <v>4</v>
      </c>
      <c r="T665" s="12">
        <f t="shared" si="302"/>
        <v>10</v>
      </c>
      <c r="U665" s="12">
        <f t="shared" si="303"/>
        <v>0</v>
      </c>
      <c r="V665" s="12">
        <f t="shared" si="304"/>
        <v>6160</v>
      </c>
      <c r="W665" s="12">
        <f t="shared" si="305"/>
        <v>0</v>
      </c>
      <c r="X665" s="12">
        <f t="shared" si="323"/>
        <v>0.5</v>
      </c>
      <c r="Y665" s="12">
        <f t="shared" si="323"/>
        <v>0.5</v>
      </c>
      <c r="Z665" s="12">
        <f t="shared" si="324"/>
        <v>0</v>
      </c>
      <c r="AA665" s="12">
        <f t="shared" si="306"/>
        <v>9</v>
      </c>
      <c r="AB665" s="12">
        <f t="shared" si="325"/>
        <v>6170</v>
      </c>
      <c r="AC665" s="12">
        <f t="shared" si="333"/>
        <v>4936</v>
      </c>
      <c r="AD665" s="12" t="b">
        <f t="shared" ref="AD665:AD697" si="334">IF(AA665=9,FALSE,N665*T665*V665)</f>
        <v>0</v>
      </c>
      <c r="AE665" s="12">
        <f t="shared" si="326"/>
        <v>0</v>
      </c>
      <c r="AF665" s="12">
        <f>IF(AC665&gt;AC664,AB665,0)</f>
        <v>0</v>
      </c>
      <c r="AG665" s="12">
        <f>IF(AC665&gt;AC664,AC665,0)</f>
        <v>0</v>
      </c>
      <c r="AH665" s="12">
        <v>1</v>
      </c>
      <c r="AI665" s="12">
        <f t="shared" si="308"/>
        <v>0</v>
      </c>
      <c r="AJ665" s="12" t="e">
        <f t="shared" si="332"/>
        <v>#N/A</v>
      </c>
      <c r="AK665" s="12">
        <f t="shared" si="310"/>
        <v>0</v>
      </c>
      <c r="AL665" s="3" t="str">
        <f t="shared" si="311"/>
        <v>OI811</v>
      </c>
      <c r="AM665" s="3" t="str">
        <f t="shared" si="327"/>
        <v>OI81110</v>
      </c>
      <c r="AN665" s="6">
        <f t="shared" si="312"/>
        <v>6117</v>
      </c>
      <c r="AO665" s="6">
        <f t="shared" si="328"/>
        <v>20180326</v>
      </c>
      <c r="AP665" s="6" t="str">
        <f t="shared" si="329"/>
        <v>9999</v>
      </c>
      <c r="AQ665" s="6" t="str">
        <f t="shared" si="330"/>
        <v>CNY</v>
      </c>
      <c r="AR665" s="6" t="str">
        <f t="shared" si="313"/>
        <v>50010001</v>
      </c>
      <c r="AS665" s="6">
        <f t="shared" si="331"/>
        <v>20180326</v>
      </c>
      <c r="AT665" s="6">
        <f t="shared" si="314"/>
        <v>20180326</v>
      </c>
      <c r="AU665" s="310">
        <f t="shared" si="315"/>
        <v>6117</v>
      </c>
      <c r="AV665" s="6">
        <f t="shared" si="316"/>
        <v>1</v>
      </c>
      <c r="AW665" s="6" t="str">
        <f t="shared" si="317"/>
        <v>OI811</v>
      </c>
    </row>
    <row r="666" spans="1:49" s="6" customFormat="1" x14ac:dyDescent="0.25">
      <c r="A666" s="167"/>
      <c r="B666" s="578" t="str">
        <f>C53</f>
        <v>PTA807&amp;PTA809</v>
      </c>
      <c r="C666" s="6" t="s">
        <v>512</v>
      </c>
      <c r="D666" s="12">
        <v>13</v>
      </c>
      <c r="E666" s="12" t="str">
        <f>C506</f>
        <v>2018032610000030</v>
      </c>
      <c r="F666" s="12" t="str">
        <f t="shared" si="297"/>
        <v>6001</v>
      </c>
      <c r="G666" s="12" t="str">
        <f t="shared" si="298"/>
        <v>B00102</v>
      </c>
      <c r="H666" s="12" t="str">
        <f t="shared" si="299"/>
        <v>6001</v>
      </c>
      <c r="I666" s="12" t="str">
        <f t="shared" si="300"/>
        <v>PTA807</v>
      </c>
      <c r="J666" s="12">
        <v>1</v>
      </c>
      <c r="K666" s="272">
        <v>0</v>
      </c>
      <c r="L666" s="12">
        <f t="shared" si="301"/>
        <v>0</v>
      </c>
      <c r="M666" s="12">
        <f t="shared" ref="M666:M669" si="335">IF(L666=0,2,3)</f>
        <v>2</v>
      </c>
      <c r="N666" s="12">
        <f t="shared" ref="N666:N669" si="336">N665</f>
        <v>2</v>
      </c>
      <c r="O666" s="12">
        <v>1</v>
      </c>
      <c r="P666" s="12">
        <f t="shared" si="319"/>
        <v>0.05</v>
      </c>
      <c r="Q666" s="12">
        <f t="shared" ref="Q666:Q669" si="337">IF(AI666=0, VLOOKUP(AM666,$F$56:$L$75,5,FALSE),VLOOKUP(AM666,$F$56:$L$75,5,FALSE)+VLOOKUP(AM666,$F$56:$L$75,7,FALSE) )</f>
        <v>5</v>
      </c>
      <c r="R666" s="12">
        <f t="shared" ref="R666:R669" si="338">VLOOKUP(AM666,$F$56:$L$75,2,FALSE)</f>
        <v>0.04</v>
      </c>
      <c r="S666" s="12">
        <f t="shared" ref="S666:S669" si="339">VLOOKUP(AM666,$F$56:$L$75,3,FALSE)</f>
        <v>4</v>
      </c>
      <c r="T666" s="12">
        <f t="shared" si="302"/>
        <v>5</v>
      </c>
      <c r="U666" s="12">
        <f t="shared" si="303"/>
        <v>0</v>
      </c>
      <c r="V666" s="12">
        <f t="shared" si="304"/>
        <v>6165</v>
      </c>
      <c r="W666" s="12">
        <f t="shared" si="305"/>
        <v>0</v>
      </c>
      <c r="X666" s="12">
        <f t="shared" si="323"/>
        <v>0.5</v>
      </c>
      <c r="Y666" s="12">
        <f t="shared" si="323"/>
        <v>0.5</v>
      </c>
      <c r="Z666" s="12">
        <f t="shared" ref="Z666:Z669" si="340">IF(AA666=0,MAX((U666-W666)*T666,0),MAX((W666-U666)*T666,0))</f>
        <v>0</v>
      </c>
      <c r="AA666" s="12">
        <f t="shared" si="306"/>
        <v>9</v>
      </c>
      <c r="AB666" s="12">
        <f t="shared" si="325"/>
        <v>3092.5</v>
      </c>
      <c r="AC666" s="12">
        <f t="shared" si="333"/>
        <v>2474</v>
      </c>
      <c r="AD666" s="12" t="b">
        <f t="shared" ref="AD666:AD669" si="341">IF(AA666=9,FALSE,N666*T666*V666)</f>
        <v>0</v>
      </c>
      <c r="AE666" s="12">
        <f t="shared" ref="AE666:AE669" si="342">IF(AI666=1,1*T666*V666,0)</f>
        <v>0</v>
      </c>
      <c r="AF666" s="12">
        <f>IF(AC666&gt;AC667,AB666,0)</f>
        <v>0</v>
      </c>
      <c r="AG666" s="12">
        <f>IF(AC666&gt;AC665,AC666,0)</f>
        <v>0</v>
      </c>
      <c r="AH666" s="12">
        <v>1</v>
      </c>
      <c r="AI666" s="12">
        <f t="shared" si="308"/>
        <v>0</v>
      </c>
      <c r="AJ666" s="12" t="e">
        <f t="shared" ref="AJ666:AJ669" si="343">VLOOKUP(AK666,$B$94:$D$96,3,FALSE)</f>
        <v>#N/A</v>
      </c>
      <c r="AK666" s="12">
        <f t="shared" si="310"/>
        <v>1</v>
      </c>
      <c r="AL666" s="3" t="str">
        <f t="shared" si="311"/>
        <v>PTA807</v>
      </c>
      <c r="AM666" s="3" t="str">
        <f t="shared" si="327"/>
        <v>PTA80710</v>
      </c>
      <c r="AN666" s="6">
        <f t="shared" si="312"/>
        <v>6120</v>
      </c>
      <c r="AO666" s="6">
        <f t="shared" si="328"/>
        <v>20180326</v>
      </c>
      <c r="AP666" s="6" t="str">
        <f t="shared" si="329"/>
        <v>9999</v>
      </c>
      <c r="AQ666" s="6" t="str">
        <f t="shared" si="330"/>
        <v>CNY</v>
      </c>
      <c r="AR666" s="6" t="str">
        <f t="shared" ref="AR666:AR669" si="344">VLOOKUP(G666,$C$8:$G$9,5,FALSE)</f>
        <v>50010002</v>
      </c>
      <c r="AS666" s="6">
        <f t="shared" si="331"/>
        <v>20180326</v>
      </c>
      <c r="AT666" s="6">
        <f t="shared" si="314"/>
        <v>20180326</v>
      </c>
      <c r="AU666" s="310">
        <f t="shared" si="315"/>
        <v>6120</v>
      </c>
      <c r="AV666" s="6">
        <f t="shared" si="316"/>
        <v>1</v>
      </c>
      <c r="AW666" s="6" t="str">
        <f t="shared" si="317"/>
        <v>PTA807</v>
      </c>
    </row>
    <row r="667" spans="1:49" s="6" customFormat="1" x14ac:dyDescent="0.25">
      <c r="A667" s="167"/>
      <c r="B667" s="578" t="str">
        <f>B666</f>
        <v>PTA807&amp;PTA809</v>
      </c>
      <c r="C667" s="6" t="s">
        <v>512</v>
      </c>
      <c r="D667" s="12">
        <v>13</v>
      </c>
      <c r="E667" s="12" t="str">
        <f>C511</f>
        <v>2018032610000035</v>
      </c>
      <c r="F667" s="12" t="str">
        <f t="shared" si="297"/>
        <v>6001</v>
      </c>
      <c r="G667" s="12" t="str">
        <f t="shared" si="298"/>
        <v>B00102</v>
      </c>
      <c r="H667" s="12" t="str">
        <f t="shared" si="299"/>
        <v>6001</v>
      </c>
      <c r="I667" s="12" t="str">
        <f t="shared" si="300"/>
        <v>PTA809</v>
      </c>
      <c r="J667" s="12">
        <v>1</v>
      </c>
      <c r="K667" s="272"/>
      <c r="L667" s="12">
        <f t="shared" si="301"/>
        <v>1</v>
      </c>
      <c r="M667" s="12">
        <f t="shared" si="335"/>
        <v>3</v>
      </c>
      <c r="N667" s="12">
        <f t="shared" si="336"/>
        <v>2</v>
      </c>
      <c r="O667" s="12">
        <v>1</v>
      </c>
      <c r="P667" s="12">
        <f t="shared" si="319"/>
        <v>5.0999999999999997E-2</v>
      </c>
      <c r="Q667" s="12">
        <f t="shared" si="337"/>
        <v>5.0999999999999996</v>
      </c>
      <c r="R667" s="12">
        <f t="shared" si="338"/>
        <v>4.1000000000000002E-2</v>
      </c>
      <c r="S667" s="12">
        <f t="shared" si="339"/>
        <v>4.0999999999999996</v>
      </c>
      <c r="T667" s="12">
        <f t="shared" si="302"/>
        <v>5</v>
      </c>
      <c r="U667" s="12">
        <f t="shared" si="303"/>
        <v>0</v>
      </c>
      <c r="V667" s="12">
        <f t="shared" si="304"/>
        <v>6170</v>
      </c>
      <c r="W667" s="12">
        <f t="shared" si="305"/>
        <v>0</v>
      </c>
      <c r="X667" s="12">
        <f t="shared" si="323"/>
        <v>0.5</v>
      </c>
      <c r="Y667" s="12">
        <f t="shared" si="323"/>
        <v>0.5</v>
      </c>
      <c r="Z667" s="12">
        <f t="shared" si="340"/>
        <v>0</v>
      </c>
      <c r="AA667" s="12">
        <f t="shared" si="306"/>
        <v>9</v>
      </c>
      <c r="AB667" s="12">
        <f t="shared" si="325"/>
        <v>3156.9</v>
      </c>
      <c r="AC667" s="12">
        <f t="shared" si="333"/>
        <v>2537.9</v>
      </c>
      <c r="AD667" s="12" t="b">
        <f t="shared" si="341"/>
        <v>0</v>
      </c>
      <c r="AE667" s="12">
        <f t="shared" si="342"/>
        <v>0</v>
      </c>
      <c r="AF667" s="12">
        <f>IF(AC667&gt;AC666,AB667,0)</f>
        <v>3156.9</v>
      </c>
      <c r="AG667" s="12">
        <f>IF(AC667&gt;AC666,AC667,0)</f>
        <v>2537.9</v>
      </c>
      <c r="AH667" s="12">
        <v>1</v>
      </c>
      <c r="AI667" s="12">
        <f t="shared" si="308"/>
        <v>0</v>
      </c>
      <c r="AJ667" s="12" t="e">
        <f t="shared" si="343"/>
        <v>#N/A</v>
      </c>
      <c r="AK667" s="12">
        <f t="shared" si="310"/>
        <v>1</v>
      </c>
      <c r="AL667" s="3" t="str">
        <f t="shared" si="311"/>
        <v>PTA809</v>
      </c>
      <c r="AM667" s="3" t="str">
        <f t="shared" si="327"/>
        <v>PTA80911</v>
      </c>
      <c r="AN667" s="6">
        <f t="shared" si="312"/>
        <v>6125</v>
      </c>
      <c r="AO667" s="6">
        <f t="shared" si="328"/>
        <v>20180326</v>
      </c>
      <c r="AP667" s="6" t="str">
        <f t="shared" si="329"/>
        <v>9999</v>
      </c>
      <c r="AQ667" s="6" t="str">
        <f t="shared" si="330"/>
        <v>CNY</v>
      </c>
      <c r="AR667" s="6" t="str">
        <f t="shared" si="344"/>
        <v>50010002</v>
      </c>
      <c r="AS667" s="6">
        <f t="shared" si="331"/>
        <v>20180326</v>
      </c>
      <c r="AT667" s="6">
        <f t="shared" si="314"/>
        <v>20180326</v>
      </c>
      <c r="AU667" s="310">
        <f t="shared" si="315"/>
        <v>6125</v>
      </c>
      <c r="AV667" s="6">
        <f t="shared" si="316"/>
        <v>1</v>
      </c>
      <c r="AW667" s="6" t="str">
        <f t="shared" si="317"/>
        <v>PTA809</v>
      </c>
    </row>
    <row r="668" spans="1:49" s="6" customFormat="1" x14ac:dyDescent="0.25">
      <c r="A668" s="167"/>
      <c r="B668" s="578" t="str">
        <f>B666</f>
        <v>PTA807&amp;PTA809</v>
      </c>
      <c r="C668" s="6" t="s">
        <v>512</v>
      </c>
      <c r="D668" s="12">
        <v>14</v>
      </c>
      <c r="E668" s="12" t="str">
        <f>C507</f>
        <v>2018032610000031</v>
      </c>
      <c r="F668" s="12" t="str">
        <f t="shared" si="297"/>
        <v>6001</v>
      </c>
      <c r="G668" s="12" t="str">
        <f t="shared" si="298"/>
        <v>B00102</v>
      </c>
      <c r="H668" s="12" t="str">
        <f t="shared" si="299"/>
        <v>6001</v>
      </c>
      <c r="I668" s="12" t="str">
        <f t="shared" si="300"/>
        <v>PTA807</v>
      </c>
      <c r="J668" s="12">
        <v>1</v>
      </c>
      <c r="K668" s="272">
        <v>1</v>
      </c>
      <c r="L668" s="12">
        <f t="shared" si="301"/>
        <v>1</v>
      </c>
      <c r="M668" s="12">
        <f t="shared" si="335"/>
        <v>3</v>
      </c>
      <c r="N668" s="12">
        <f t="shared" si="336"/>
        <v>2</v>
      </c>
      <c r="O668" s="12">
        <v>1</v>
      </c>
      <c r="P668" s="12">
        <f t="shared" si="319"/>
        <v>5.0999999999999997E-2</v>
      </c>
      <c r="Q668" s="12">
        <f t="shared" si="337"/>
        <v>5.0999999999999996</v>
      </c>
      <c r="R668" s="12">
        <f t="shared" si="338"/>
        <v>4.1000000000000002E-2</v>
      </c>
      <c r="S668" s="12">
        <f t="shared" si="339"/>
        <v>4.0999999999999996</v>
      </c>
      <c r="T668" s="12">
        <f t="shared" si="302"/>
        <v>5</v>
      </c>
      <c r="U668" s="12">
        <f t="shared" si="303"/>
        <v>0</v>
      </c>
      <c r="V668" s="12">
        <f t="shared" si="304"/>
        <v>6165</v>
      </c>
      <c r="W668" s="12">
        <f t="shared" si="305"/>
        <v>0</v>
      </c>
      <c r="X668" s="12">
        <f t="shared" si="323"/>
        <v>0.5</v>
      </c>
      <c r="Y668" s="12">
        <f t="shared" si="323"/>
        <v>0.5</v>
      </c>
      <c r="Z668" s="12">
        <f t="shared" si="340"/>
        <v>0</v>
      </c>
      <c r="AA668" s="12">
        <f t="shared" si="306"/>
        <v>9</v>
      </c>
      <c r="AB668" s="12">
        <f t="shared" si="325"/>
        <v>3154.35</v>
      </c>
      <c r="AC668" s="12">
        <f t="shared" si="333"/>
        <v>2535.85</v>
      </c>
      <c r="AD668" s="12" t="b">
        <f t="shared" si="341"/>
        <v>0</v>
      </c>
      <c r="AE668" s="12">
        <f t="shared" si="342"/>
        <v>0</v>
      </c>
      <c r="AF668" s="12">
        <f>IF(AC668&gt;AC669,AB668,0)</f>
        <v>3154.35</v>
      </c>
      <c r="AG668" s="12">
        <f>IF(AC668&gt;AC669,AC668,0)</f>
        <v>2535.85</v>
      </c>
      <c r="AH668" s="12">
        <v>1</v>
      </c>
      <c r="AI668" s="12">
        <f t="shared" si="308"/>
        <v>0</v>
      </c>
      <c r="AJ668" s="12" t="e">
        <f t="shared" si="343"/>
        <v>#N/A</v>
      </c>
      <c r="AK668" s="12">
        <f t="shared" si="310"/>
        <v>1</v>
      </c>
      <c r="AL668" s="3" t="str">
        <f t="shared" si="311"/>
        <v>PTA807</v>
      </c>
      <c r="AM668" s="3" t="str">
        <f t="shared" si="327"/>
        <v>PTA80711</v>
      </c>
      <c r="AN668" s="6">
        <f t="shared" si="312"/>
        <v>6121</v>
      </c>
      <c r="AO668" s="6">
        <f t="shared" si="328"/>
        <v>20180326</v>
      </c>
      <c r="AP668" s="6" t="str">
        <f t="shared" si="329"/>
        <v>9999</v>
      </c>
      <c r="AQ668" s="6" t="str">
        <f t="shared" si="330"/>
        <v>CNY</v>
      </c>
      <c r="AR668" s="6" t="str">
        <f t="shared" si="344"/>
        <v>50010002</v>
      </c>
      <c r="AS668" s="6">
        <f t="shared" si="331"/>
        <v>20180326</v>
      </c>
      <c r="AT668" s="6">
        <f t="shared" si="314"/>
        <v>20180326</v>
      </c>
      <c r="AU668" s="310">
        <f t="shared" si="315"/>
        <v>6121</v>
      </c>
      <c r="AV668" s="6">
        <f t="shared" si="316"/>
        <v>1</v>
      </c>
      <c r="AW668" s="6" t="str">
        <f t="shared" si="317"/>
        <v>PTA807</v>
      </c>
    </row>
    <row r="669" spans="1:49" s="6" customFormat="1" x14ac:dyDescent="0.25">
      <c r="A669" s="167"/>
      <c r="B669" s="578" t="str">
        <f>B668</f>
        <v>PTA807&amp;PTA809</v>
      </c>
      <c r="C669" s="6" t="s">
        <v>512</v>
      </c>
      <c r="D669" s="12">
        <v>14</v>
      </c>
      <c r="E669" s="12" t="str">
        <f>C510</f>
        <v>2018032610000034</v>
      </c>
      <c r="F669" s="12" t="str">
        <f t="shared" si="297"/>
        <v>6001</v>
      </c>
      <c r="G669" s="12" t="str">
        <f t="shared" si="298"/>
        <v>B00102</v>
      </c>
      <c r="H669" s="12" t="str">
        <f t="shared" si="299"/>
        <v>6001</v>
      </c>
      <c r="I669" s="12" t="str">
        <f t="shared" si="300"/>
        <v>PTA809</v>
      </c>
      <c r="J669" s="12">
        <v>1</v>
      </c>
      <c r="K669" s="272"/>
      <c r="L669" s="12">
        <f t="shared" si="301"/>
        <v>0</v>
      </c>
      <c r="M669" s="12">
        <f t="shared" si="335"/>
        <v>2</v>
      </c>
      <c r="N669" s="12">
        <f t="shared" si="336"/>
        <v>2</v>
      </c>
      <c r="O669" s="12">
        <v>1</v>
      </c>
      <c r="P669" s="12">
        <f t="shared" si="319"/>
        <v>0.05</v>
      </c>
      <c r="Q669" s="12">
        <f t="shared" si="337"/>
        <v>5</v>
      </c>
      <c r="R669" s="12">
        <f t="shared" si="338"/>
        <v>0.04</v>
      </c>
      <c r="S669" s="12">
        <f t="shared" si="339"/>
        <v>4</v>
      </c>
      <c r="T669" s="12">
        <f t="shared" si="302"/>
        <v>5</v>
      </c>
      <c r="U669" s="12">
        <f t="shared" si="303"/>
        <v>0</v>
      </c>
      <c r="V669" s="12">
        <f t="shared" si="304"/>
        <v>6170</v>
      </c>
      <c r="W669" s="12">
        <f t="shared" si="305"/>
        <v>0</v>
      </c>
      <c r="X669" s="12">
        <f t="shared" si="323"/>
        <v>0.5</v>
      </c>
      <c r="Y669" s="12">
        <f t="shared" si="323"/>
        <v>0.5</v>
      </c>
      <c r="Z669" s="12">
        <f t="shared" si="340"/>
        <v>0</v>
      </c>
      <c r="AA669" s="12">
        <f t="shared" si="306"/>
        <v>9</v>
      </c>
      <c r="AB669" s="12">
        <f t="shared" si="325"/>
        <v>3095</v>
      </c>
      <c r="AC669" s="12">
        <f t="shared" si="333"/>
        <v>2476</v>
      </c>
      <c r="AD669" s="12" t="b">
        <f t="shared" si="341"/>
        <v>0</v>
      </c>
      <c r="AE669" s="12">
        <f t="shared" si="342"/>
        <v>0</v>
      </c>
      <c r="AF669" s="12">
        <f>IF(AC669&gt;AC668,AB669,0)</f>
        <v>0</v>
      </c>
      <c r="AG669" s="12">
        <f>IF(AC669&gt;AC668,AC669,0)</f>
        <v>0</v>
      </c>
      <c r="AH669" s="12">
        <v>1</v>
      </c>
      <c r="AI669" s="12">
        <f t="shared" si="308"/>
        <v>0</v>
      </c>
      <c r="AJ669" s="12" t="e">
        <f t="shared" si="343"/>
        <v>#N/A</v>
      </c>
      <c r="AK669" s="12">
        <f t="shared" si="310"/>
        <v>1</v>
      </c>
      <c r="AL669" s="3" t="str">
        <f t="shared" si="311"/>
        <v>PTA809</v>
      </c>
      <c r="AM669" s="3" t="str">
        <f t="shared" si="327"/>
        <v>PTA80910</v>
      </c>
      <c r="AN669" s="6">
        <f t="shared" si="312"/>
        <v>6124</v>
      </c>
      <c r="AO669" s="6">
        <f t="shared" si="328"/>
        <v>20180326</v>
      </c>
      <c r="AP669" s="6" t="str">
        <f t="shared" si="329"/>
        <v>9999</v>
      </c>
      <c r="AQ669" s="6" t="str">
        <f t="shared" si="330"/>
        <v>CNY</v>
      </c>
      <c r="AR669" s="6" t="str">
        <f t="shared" si="344"/>
        <v>50010002</v>
      </c>
      <c r="AS669" s="6">
        <f t="shared" si="331"/>
        <v>20180326</v>
      </c>
      <c r="AT669" s="6">
        <f t="shared" si="314"/>
        <v>20180326</v>
      </c>
      <c r="AU669" s="310">
        <f t="shared" si="315"/>
        <v>6124</v>
      </c>
      <c r="AV669" s="6">
        <f t="shared" si="316"/>
        <v>1</v>
      </c>
      <c r="AW669" s="6" t="str">
        <f t="shared" si="317"/>
        <v>PTA809</v>
      </c>
    </row>
    <row r="670" spans="1:49" s="6" customFormat="1" x14ac:dyDescent="0.25">
      <c r="A670" s="167"/>
      <c r="B670" s="578" t="str">
        <f>C40</f>
        <v>SR807&amp;SR807C6500</v>
      </c>
      <c r="C670" s="12" t="s">
        <v>1104</v>
      </c>
      <c r="D670" s="12">
        <v>6</v>
      </c>
      <c r="E670" s="12" t="str">
        <f>C496</f>
        <v>2018032610000020</v>
      </c>
      <c r="F670" s="12" t="str">
        <f t="shared" si="297"/>
        <v>6001</v>
      </c>
      <c r="G670" s="12" t="str">
        <f t="shared" si="298"/>
        <v>B00101</v>
      </c>
      <c r="H670" s="12" t="str">
        <f t="shared" si="299"/>
        <v>6001</v>
      </c>
      <c r="I670" s="12" t="str">
        <f t="shared" si="300"/>
        <v>SR807</v>
      </c>
      <c r="J670" s="12">
        <v>1</v>
      </c>
      <c r="K670" s="725">
        <v>0</v>
      </c>
      <c r="L670" s="12">
        <f t="shared" si="301"/>
        <v>0</v>
      </c>
      <c r="M670" s="12">
        <f t="shared" si="318"/>
        <v>2</v>
      </c>
      <c r="N670" s="12">
        <v>1</v>
      </c>
      <c r="O670" s="12">
        <v>1</v>
      </c>
      <c r="P670" s="303">
        <f>IF(AI670=0, VLOOKUP(AM670,$F$56:$L$75,4,FALSE),VLOOKUP(AM670,$F$56:$L$75,4,FALSE)+VLOOKUP(AM670,$F$56:$L$75,6,FALSE) )+VLOOKUP(AM670,$F$56:$L$75,6,FALSE)</f>
        <v>6.0000000000000005E-2</v>
      </c>
      <c r="Q670" s="12">
        <f>IF(AI670=0, VLOOKUP(AM670,$F$56:$L$75,5,FALSE),VLOOKUP(AM670,$F$56:$L$75,5,FALSE)+VLOOKUP(AM670,$F$56:$L$75,7,FALSE) )+L56</f>
        <v>6</v>
      </c>
      <c r="R670" s="12">
        <f>VLOOKUP(AM670,$F$56:$L$75,2,FALSE)</f>
        <v>0.04</v>
      </c>
      <c r="S670" s="12">
        <f t="shared" si="322"/>
        <v>4</v>
      </c>
      <c r="T670" s="12">
        <f t="shared" si="302"/>
        <v>10</v>
      </c>
      <c r="U670" s="12">
        <f t="shared" si="303"/>
        <v>0</v>
      </c>
      <c r="V670" s="12">
        <f t="shared" si="304"/>
        <v>6150</v>
      </c>
      <c r="W670" s="12">
        <f t="shared" si="305"/>
        <v>0</v>
      </c>
      <c r="X670" s="12">
        <f>$F$193</f>
        <v>0.5</v>
      </c>
      <c r="Y670" s="12">
        <f t="shared" si="323"/>
        <v>0.5</v>
      </c>
      <c r="Z670" s="12">
        <f t="shared" si="324"/>
        <v>0</v>
      </c>
      <c r="AA670" s="12">
        <f t="shared" si="306"/>
        <v>9</v>
      </c>
      <c r="AB670" s="12">
        <f t="shared" si="325"/>
        <v>3696.0000000000005</v>
      </c>
      <c r="AC670" s="12">
        <f t="shared" si="333"/>
        <v>2464</v>
      </c>
      <c r="AD670" s="12" t="b">
        <f t="shared" si="334"/>
        <v>0</v>
      </c>
      <c r="AE670" s="12">
        <f t="shared" si="326"/>
        <v>0</v>
      </c>
      <c r="AF670" s="12">
        <f>AB670+N671*AE671</f>
        <v>9846</v>
      </c>
      <c r="AG670" s="12">
        <f>AC670+N671*AE671</f>
        <v>8614</v>
      </c>
      <c r="AH670" s="12">
        <v>1</v>
      </c>
      <c r="AI670" s="12">
        <f t="shared" si="308"/>
        <v>0</v>
      </c>
      <c r="AJ670" s="12" t="e">
        <f t="shared" si="332"/>
        <v>#N/A</v>
      </c>
      <c r="AK670" s="12">
        <f t="shared" si="310"/>
        <v>0</v>
      </c>
      <c r="AL670" s="3" t="str">
        <f t="shared" si="311"/>
        <v>SR807</v>
      </c>
      <c r="AM670" s="3" t="str">
        <f t="shared" si="327"/>
        <v>SR80710</v>
      </c>
      <c r="AN670" s="6">
        <f t="shared" si="312"/>
        <v>6110</v>
      </c>
      <c r="AO670" s="6">
        <f t="shared" si="328"/>
        <v>20180326</v>
      </c>
      <c r="AP670" s="6" t="str">
        <f t="shared" si="329"/>
        <v>9999</v>
      </c>
      <c r="AQ670" s="6" t="str">
        <f t="shared" si="330"/>
        <v>CNY</v>
      </c>
      <c r="AR670" s="6" t="str">
        <f t="shared" si="313"/>
        <v>50010001</v>
      </c>
      <c r="AS670" s="6">
        <f t="shared" si="331"/>
        <v>20180326</v>
      </c>
      <c r="AT670" s="6">
        <f t="shared" si="314"/>
        <v>20180326</v>
      </c>
      <c r="AU670" s="310">
        <f t="shared" si="315"/>
        <v>6110</v>
      </c>
      <c r="AV670" s="6">
        <f t="shared" si="316"/>
        <v>1</v>
      </c>
      <c r="AW670" s="6" t="str">
        <f t="shared" si="317"/>
        <v>SR807</v>
      </c>
    </row>
    <row r="671" spans="1:49" s="6" customFormat="1" x14ac:dyDescent="0.25">
      <c r="A671" s="167"/>
      <c r="B671" s="578" t="str">
        <f>B670</f>
        <v>SR807&amp;SR807C6500</v>
      </c>
      <c r="C671" s="12" t="s">
        <v>1104</v>
      </c>
      <c r="D671" s="12">
        <f>D670</f>
        <v>6</v>
      </c>
      <c r="E671" s="12" t="str">
        <f>C540</f>
        <v>2018032610000092</v>
      </c>
      <c r="F671" s="12" t="str">
        <f t="shared" si="297"/>
        <v>6001</v>
      </c>
      <c r="G671" s="12" t="str">
        <f t="shared" si="298"/>
        <v>B00101</v>
      </c>
      <c r="H671" s="12" t="str">
        <f t="shared" si="299"/>
        <v>6001</v>
      </c>
      <c r="I671" s="12" t="str">
        <f t="shared" si="300"/>
        <v>SR807C6500</v>
      </c>
      <c r="J671" s="12">
        <v>1</v>
      </c>
      <c r="K671" s="726"/>
      <c r="L671" s="12">
        <f t="shared" si="301"/>
        <v>1</v>
      </c>
      <c r="M671" s="12">
        <f t="shared" si="318"/>
        <v>3</v>
      </c>
      <c r="N671" s="12">
        <v>1</v>
      </c>
      <c r="O671" s="12">
        <v>1</v>
      </c>
      <c r="P671" s="12">
        <f>IF(AI671=0, VLOOKUP(AM671,$F$56:$L$75,4,FALSE),VLOOKUP(AM671,$F$56:$L$75,4,FALSE)+VLOOKUP(AM671,$F$56:$L$75,6,FALSE) )</f>
        <v>6.0000000000000005E-2</v>
      </c>
      <c r="Q671" s="12">
        <f>IF(AI671=0, VLOOKUP(AM671,$F$56:$L$75,5,FALSE),VLOOKUP(AM671,$F$56:$L$75,5,FALSE)+VLOOKUP(AM671,$F$56:$L$75,7,FALSE) )</f>
        <v>6</v>
      </c>
      <c r="R671" s="12">
        <f t="shared" si="321"/>
        <v>0.04</v>
      </c>
      <c r="S671" s="12">
        <f t="shared" si="322"/>
        <v>4</v>
      </c>
      <c r="T671" s="12">
        <f t="shared" si="302"/>
        <v>10</v>
      </c>
      <c r="U671" s="12">
        <f t="shared" si="303"/>
        <v>6500</v>
      </c>
      <c r="V671" s="12">
        <f t="shared" si="304"/>
        <v>615</v>
      </c>
      <c r="W671" s="12">
        <f t="shared" si="305"/>
        <v>6150</v>
      </c>
      <c r="X671" s="12">
        <f t="shared" si="323"/>
        <v>0.5</v>
      </c>
      <c r="Y671" s="12">
        <f t="shared" si="323"/>
        <v>0.5</v>
      </c>
      <c r="Z671" s="12">
        <f t="shared" si="324"/>
        <v>3500</v>
      </c>
      <c r="AA671" s="12">
        <f t="shared" si="306"/>
        <v>0</v>
      </c>
      <c r="AB671" s="12">
        <f t="shared" si="325"/>
        <v>8096</v>
      </c>
      <c r="AC671" s="12">
        <f t="shared" si="333"/>
        <v>6864</v>
      </c>
      <c r="AD671" s="12">
        <f t="shared" si="334"/>
        <v>6150</v>
      </c>
      <c r="AE671" s="12">
        <f>IF(AI671=1,1*T671*V671,0)</f>
        <v>6150</v>
      </c>
      <c r="AF671" s="12">
        <v>0</v>
      </c>
      <c r="AG671" s="12">
        <v>0</v>
      </c>
      <c r="AH671" s="12">
        <v>1</v>
      </c>
      <c r="AI671" s="12">
        <f t="shared" si="308"/>
        <v>1</v>
      </c>
      <c r="AJ671" s="12" t="e">
        <f t="shared" si="332"/>
        <v>#N/A</v>
      </c>
      <c r="AK671" s="12">
        <f t="shared" si="310"/>
        <v>0</v>
      </c>
      <c r="AL671" s="3" t="str">
        <f t="shared" si="311"/>
        <v>SR807</v>
      </c>
      <c r="AM671" s="3" t="str">
        <f t="shared" si="327"/>
        <v>SR80710</v>
      </c>
      <c r="AN671" s="6">
        <f t="shared" si="312"/>
        <v>612</v>
      </c>
      <c r="AO671" s="6">
        <f t="shared" si="328"/>
        <v>20180326</v>
      </c>
      <c r="AP671" s="6" t="str">
        <f t="shared" si="329"/>
        <v>9999</v>
      </c>
      <c r="AQ671" s="6" t="str">
        <f t="shared" si="330"/>
        <v>CNY</v>
      </c>
      <c r="AR671" s="6" t="str">
        <f t="shared" si="313"/>
        <v>50010001</v>
      </c>
      <c r="AS671" s="6">
        <f t="shared" si="331"/>
        <v>20180326</v>
      </c>
      <c r="AT671" s="6">
        <f t="shared" si="314"/>
        <v>20180326</v>
      </c>
      <c r="AU671" s="310">
        <f t="shared" si="315"/>
        <v>612</v>
      </c>
      <c r="AV671" s="6">
        <f t="shared" si="316"/>
        <v>1</v>
      </c>
      <c r="AW671" s="6" t="str">
        <f t="shared" si="317"/>
        <v>SR807</v>
      </c>
    </row>
    <row r="672" spans="1:49" s="6" customFormat="1" x14ac:dyDescent="0.25">
      <c r="A672" s="167"/>
      <c r="B672" s="578" t="str">
        <f>C41</f>
        <v>SR807&amp;SR807P6500</v>
      </c>
      <c r="C672" s="12" t="s">
        <v>1104</v>
      </c>
      <c r="D672" s="12">
        <v>7</v>
      </c>
      <c r="E672" s="12" t="str">
        <f>C489</f>
        <v>2018032610000013</v>
      </c>
      <c r="F672" s="12" t="str">
        <f t="shared" si="297"/>
        <v>6001</v>
      </c>
      <c r="G672" s="12" t="str">
        <f t="shared" si="298"/>
        <v>B00101</v>
      </c>
      <c r="H672" s="12" t="str">
        <f t="shared" si="299"/>
        <v>6001</v>
      </c>
      <c r="I672" s="12" t="str">
        <f t="shared" si="300"/>
        <v>SR807</v>
      </c>
      <c r="J672" s="12">
        <v>1</v>
      </c>
      <c r="K672" s="725">
        <v>1</v>
      </c>
      <c r="L672" s="12">
        <f t="shared" si="301"/>
        <v>1</v>
      </c>
      <c r="M672" s="12">
        <f t="shared" si="318"/>
        <v>3</v>
      </c>
      <c r="N672" s="12">
        <v>1</v>
      </c>
      <c r="O672" s="12">
        <v>1</v>
      </c>
      <c r="P672" s="304">
        <f>IF(AI672=0, VLOOKUP(AM672,$F$56:$L$75,4,FALSE),VLOOKUP(AM672,$F$56:$L$75,4,FALSE)+VLOOKUP(AM672,$F$56:$L$75,6,FALSE) )+VLOOKUP(AM672,$F$56:$L$75,6,FALSE)</f>
        <v>6.2E-2</v>
      </c>
      <c r="Q672" s="250">
        <f>IF(AI672=0, VLOOKUP(AM672,$F$56:$L$75,5,FALSE),VLOOKUP(AM672,$F$56:$L$75,5,FALSE)+VLOOKUP(AM672,$F$56:$L$75,7,FALSE) )+VLOOKUP(AM672,$F$56:$L$75,7,FALSE)</f>
        <v>6.21</v>
      </c>
      <c r="R672" s="12">
        <f t="shared" si="321"/>
        <v>4.1000000000000002E-2</v>
      </c>
      <c r="S672" s="12">
        <f t="shared" si="322"/>
        <v>4.0999999999999996</v>
      </c>
      <c r="T672" s="12">
        <f t="shared" si="302"/>
        <v>10</v>
      </c>
      <c r="U672" s="12">
        <f t="shared" si="303"/>
        <v>0</v>
      </c>
      <c r="V672" s="12">
        <f t="shared" si="304"/>
        <v>6150</v>
      </c>
      <c r="W672" s="12">
        <f t="shared" si="305"/>
        <v>0</v>
      </c>
      <c r="X672" s="12">
        <f t="shared" si="323"/>
        <v>0.5</v>
      </c>
      <c r="Y672" s="12">
        <f t="shared" si="323"/>
        <v>0.5</v>
      </c>
      <c r="Z672" s="12">
        <f t="shared" si="324"/>
        <v>0</v>
      </c>
      <c r="AA672" s="12">
        <f t="shared" si="306"/>
        <v>9</v>
      </c>
      <c r="AB672" s="12">
        <f t="shared" si="325"/>
        <v>3819.21</v>
      </c>
      <c r="AC672" s="12">
        <f t="shared" si="333"/>
        <v>2525.6</v>
      </c>
      <c r="AD672" s="12" t="b">
        <f t="shared" si="334"/>
        <v>0</v>
      </c>
      <c r="AE672" s="12">
        <f t="shared" si="326"/>
        <v>0</v>
      </c>
      <c r="AF672" s="12">
        <f>AB672+N673*AE673</f>
        <v>10019.209999999999</v>
      </c>
      <c r="AG672" s="12">
        <f>AC672+N673*AE673</f>
        <v>8725.6</v>
      </c>
      <c r="AH672" s="12">
        <v>1</v>
      </c>
      <c r="AI672" s="12">
        <f t="shared" si="308"/>
        <v>0</v>
      </c>
      <c r="AJ672" s="12" t="e">
        <f t="shared" si="332"/>
        <v>#N/A</v>
      </c>
      <c r="AK672" s="12">
        <f t="shared" si="310"/>
        <v>0</v>
      </c>
      <c r="AL672" s="3" t="str">
        <f t="shared" si="311"/>
        <v>SR807</v>
      </c>
      <c r="AM672" s="3" t="str">
        <f t="shared" si="327"/>
        <v>SR80711</v>
      </c>
      <c r="AN672" s="6">
        <f t="shared" si="312"/>
        <v>6103</v>
      </c>
      <c r="AO672" s="6">
        <f t="shared" si="328"/>
        <v>20180326</v>
      </c>
      <c r="AP672" s="6" t="str">
        <f t="shared" si="329"/>
        <v>9999</v>
      </c>
      <c r="AQ672" s="6" t="str">
        <f t="shared" si="330"/>
        <v>CNY</v>
      </c>
      <c r="AR672" s="6" t="str">
        <f t="shared" si="313"/>
        <v>50010001</v>
      </c>
      <c r="AS672" s="6">
        <f t="shared" si="331"/>
        <v>20180326</v>
      </c>
      <c r="AT672" s="6">
        <f t="shared" si="314"/>
        <v>20180326</v>
      </c>
      <c r="AU672" s="310">
        <f t="shared" si="315"/>
        <v>6103</v>
      </c>
      <c r="AV672" s="6">
        <f t="shared" si="316"/>
        <v>1</v>
      </c>
      <c r="AW672" s="6" t="str">
        <f t="shared" si="317"/>
        <v>SR807</v>
      </c>
    </row>
    <row r="673" spans="1:49" s="6" customFormat="1" x14ac:dyDescent="0.25">
      <c r="A673" s="167"/>
      <c r="B673" s="578" t="str">
        <f>B672</f>
        <v>SR807&amp;SR807P6500</v>
      </c>
      <c r="C673" s="12" t="s">
        <v>2002</v>
      </c>
      <c r="D673" s="12">
        <f>D672</f>
        <v>7</v>
      </c>
      <c r="E673" s="12" t="str">
        <f>C545</f>
        <v>2018032610000097</v>
      </c>
      <c r="F673" s="12" t="str">
        <f t="shared" si="297"/>
        <v>6001</v>
      </c>
      <c r="G673" s="12" t="str">
        <f t="shared" si="298"/>
        <v>B00101</v>
      </c>
      <c r="H673" s="12" t="str">
        <f t="shared" si="299"/>
        <v>6001</v>
      </c>
      <c r="I673" s="12" t="str">
        <f t="shared" si="300"/>
        <v>SR807P6500</v>
      </c>
      <c r="J673" s="12">
        <v>1</v>
      </c>
      <c r="K673" s="726"/>
      <c r="L673" s="12">
        <f t="shared" si="301"/>
        <v>1</v>
      </c>
      <c r="M673" s="12">
        <f t="shared" si="318"/>
        <v>3</v>
      </c>
      <c r="N673" s="12">
        <v>1</v>
      </c>
      <c r="O673" s="12">
        <v>1</v>
      </c>
      <c r="P673" s="12">
        <f>IF(AI673=0, VLOOKUP(AM673,$F$56:$L$75,4,FALSE),VLOOKUP(AM673,$F$56:$L$75,4,FALSE)+VLOOKUP(AM673,$F$56:$L$75,6,FALSE) )</f>
        <v>6.0000000000000005E-2</v>
      </c>
      <c r="Q673" s="12">
        <f t="shared" si="320"/>
        <v>6</v>
      </c>
      <c r="R673" s="12">
        <f t="shared" si="321"/>
        <v>0.04</v>
      </c>
      <c r="S673" s="12">
        <f t="shared" si="322"/>
        <v>4</v>
      </c>
      <c r="T673" s="12">
        <f t="shared" si="302"/>
        <v>10</v>
      </c>
      <c r="U673" s="12">
        <f t="shared" si="303"/>
        <v>6500</v>
      </c>
      <c r="V673" s="12">
        <f t="shared" si="304"/>
        <v>620</v>
      </c>
      <c r="W673" s="12">
        <f t="shared" si="305"/>
        <v>6150</v>
      </c>
      <c r="X673" s="12">
        <f t="shared" si="323"/>
        <v>0.5</v>
      </c>
      <c r="Y673" s="12">
        <f t="shared" si="323"/>
        <v>0.5</v>
      </c>
      <c r="Z673" s="12">
        <f t="shared" si="324"/>
        <v>0</v>
      </c>
      <c r="AA673" s="12">
        <f t="shared" si="306"/>
        <v>1</v>
      </c>
      <c r="AB673" s="12">
        <f t="shared" si="325"/>
        <v>9896</v>
      </c>
      <c r="AC673" s="12">
        <f t="shared" si="333"/>
        <v>8664</v>
      </c>
      <c r="AD673" s="12">
        <f t="shared" si="334"/>
        <v>6200</v>
      </c>
      <c r="AE673" s="12">
        <f t="shared" si="326"/>
        <v>6200</v>
      </c>
      <c r="AF673" s="12">
        <v>0</v>
      </c>
      <c r="AG673" s="12">
        <v>0</v>
      </c>
      <c r="AH673" s="12">
        <v>1</v>
      </c>
      <c r="AI673" s="12">
        <f t="shared" si="308"/>
        <v>1</v>
      </c>
      <c r="AJ673" s="12" t="e">
        <f t="shared" si="332"/>
        <v>#N/A</v>
      </c>
      <c r="AK673" s="12">
        <f t="shared" si="310"/>
        <v>0</v>
      </c>
      <c r="AL673" s="3" t="str">
        <f t="shared" si="311"/>
        <v>SR807</v>
      </c>
      <c r="AM673" s="3" t="str">
        <f t="shared" si="327"/>
        <v>SR80710</v>
      </c>
      <c r="AN673" s="6">
        <f t="shared" si="312"/>
        <v>617</v>
      </c>
      <c r="AO673" s="6">
        <f t="shared" si="328"/>
        <v>20180326</v>
      </c>
      <c r="AP673" s="6" t="str">
        <f t="shared" si="329"/>
        <v>9999</v>
      </c>
      <c r="AQ673" s="6" t="str">
        <f t="shared" si="330"/>
        <v>CNY</v>
      </c>
      <c r="AR673" s="6" t="str">
        <f t="shared" si="313"/>
        <v>50010001</v>
      </c>
      <c r="AS673" s="6">
        <f t="shared" si="331"/>
        <v>20180326</v>
      </c>
      <c r="AT673" s="6">
        <f t="shared" si="314"/>
        <v>20180326</v>
      </c>
      <c r="AU673" s="310">
        <f t="shared" si="315"/>
        <v>617</v>
      </c>
      <c r="AV673" s="6">
        <f t="shared" si="316"/>
        <v>1</v>
      </c>
      <c r="AW673" s="6" t="str">
        <f t="shared" si="317"/>
        <v>SR807</v>
      </c>
    </row>
    <row r="674" spans="1:49" s="13" customFormat="1" x14ac:dyDescent="0.25">
      <c r="A674" s="470"/>
      <c r="B674" s="602" t="str">
        <f>C44</f>
        <v>SR809&amp;SR809C6600</v>
      </c>
      <c r="C674" s="100" t="s">
        <v>2003</v>
      </c>
      <c r="D674" s="100">
        <v>30</v>
      </c>
      <c r="E674" s="100" t="str">
        <f>C501</f>
        <v>2018032610000025</v>
      </c>
      <c r="F674" s="100" t="str">
        <f t="shared" ref="F674:F675" si="345">VLOOKUP(E674,$C$485:$AN$561,3,FALSE)</f>
        <v>6001</v>
      </c>
      <c r="G674" s="100" t="str">
        <f t="shared" ref="G674:G675" si="346">VLOOKUP(E674,$C$485:$AN$561,4,FALSE)</f>
        <v>B00101</v>
      </c>
      <c r="H674" s="100" t="str">
        <f t="shared" ref="H674:H675" si="347">VLOOKUP(E674,$C$485:$AN$561,5,FALSE)</f>
        <v>6001</v>
      </c>
      <c r="I674" s="100" t="str">
        <f t="shared" ref="I674:I675" si="348">VLOOKUP(E674,$C$485:$AN$561,10,FALSE)</f>
        <v>SR809</v>
      </c>
      <c r="J674" s="100">
        <v>1</v>
      </c>
      <c r="K674" s="738">
        <v>0</v>
      </c>
      <c r="L674" s="100">
        <f t="shared" ref="L674:L675" si="349">VLOOKUP(E674,$C$485:$AN$561,13,FALSE)</f>
        <v>0</v>
      </c>
      <c r="M674" s="100">
        <f t="shared" ref="M674:M675" si="350">IF(L674=0,2,3)</f>
        <v>2</v>
      </c>
      <c r="N674" s="100">
        <v>2</v>
      </c>
      <c r="O674" s="100">
        <v>1</v>
      </c>
      <c r="P674" s="303">
        <f>IF(AI674=0, VLOOKUP(AM674,$F$56:$L$75,4,FALSE),VLOOKUP(AM674,$F$56:$L$75,4,FALSE)+VLOOKUP(AM674,$F$56:$L$75,6,FALSE) )++VLOOKUP(AM674,$F$56:$L$75,6,FALSE)</f>
        <v>6.0000000000000005E-2</v>
      </c>
      <c r="Q674" s="12">
        <f>IF(AI674=0, VLOOKUP(AM674,$F$56:$L$75,5,FALSE),VLOOKUP(AM674,$F$56:$L$75,5,FALSE)+VLOOKUP(AM674,$F$56:$L$75,7,FALSE) )++VLOOKUP(AM674,$F$56:$L$75,7,FALSE)</f>
        <v>6</v>
      </c>
      <c r="R674" s="100">
        <f t="shared" ref="R674:R675" si="351">VLOOKUP(AM674,$F$56:$L$75,2,FALSE)</f>
        <v>0.04</v>
      </c>
      <c r="S674" s="100">
        <f t="shared" ref="S674:S675" si="352">VLOOKUP(AM674,$F$56:$L$75,3,FALSE)</f>
        <v>4</v>
      </c>
      <c r="T674" s="100">
        <f t="shared" ref="T674:T675" si="353" xml:space="preserve"> VLOOKUP(I674,$C$22:$L$34,3,FALSE)</f>
        <v>10</v>
      </c>
      <c r="U674" s="100">
        <f t="shared" ref="U674:U675" si="354" xml:space="preserve"> VLOOKUP(I674,$C$237:$F$249,4,FALSE)</f>
        <v>0</v>
      </c>
      <c r="V674" s="100">
        <f t="shared" ref="V674:V675" si="355" xml:space="preserve"> VLOOKUP(I674,$C$237:$F$249,3,FALSE)</f>
        <v>6155</v>
      </c>
      <c r="W674" s="100">
        <f t="shared" ref="W674:W675" si="356" xml:space="preserve"> VLOOKUP(I674,$C$237:$G$249,5,FALSE)</f>
        <v>0</v>
      </c>
      <c r="X674" s="100">
        <f t="shared" si="323"/>
        <v>0.5</v>
      </c>
      <c r="Y674" s="100">
        <f t="shared" si="323"/>
        <v>0.5</v>
      </c>
      <c r="Z674" s="100">
        <f t="shared" ref="Z674:Z675" si="357">IF(AA674=0,MAX((U674-W674)*T674,0),MAX((W674-U674)*T674,0))</f>
        <v>0</v>
      </c>
      <c r="AA674" s="100">
        <f t="shared" ref="AA674:AA675" si="358" xml:space="preserve"> VLOOKUP(I674,$C$22:$L$34,6,FALSE)</f>
        <v>9</v>
      </c>
      <c r="AB674" s="100">
        <f t="shared" ref="AB674:AB675" si="359">IF(AI674=0,P674*T674*V674*N674+Q674*N674,IF(L674=0,0,MAX(AE674+(P674*T674*W674+Q674)*AH674-Z674*X674,AE674+(P674*T674*W674+Q674)*Y674*AV674)*N674))</f>
        <v>7398.0000000000009</v>
      </c>
      <c r="AC674" s="100">
        <f t="shared" si="333"/>
        <v>4932</v>
      </c>
      <c r="AD674" s="100" t="b">
        <f t="shared" ref="AD674:AD675" si="360">IF(AA674=9,FALSE,N674*T674*V674)</f>
        <v>0</v>
      </c>
      <c r="AE674" s="100">
        <f t="shared" ref="AE674:AE675" si="361">IF(AI674=1,1*T674*V674,0)</f>
        <v>0</v>
      </c>
      <c r="AF674" s="100">
        <f>AB674+N675*AE675</f>
        <v>20298</v>
      </c>
      <c r="AG674" s="100">
        <f>AC674+N675*AE675</f>
        <v>17832</v>
      </c>
      <c r="AH674" s="100">
        <v>1</v>
      </c>
      <c r="AI674" s="100">
        <f t="shared" ref="AI674:AI675" si="362" xml:space="preserve"> VLOOKUP(I674,$C$22:$L$34,10,FALSE)</f>
        <v>0</v>
      </c>
      <c r="AJ674" s="100" t="e">
        <f t="shared" ref="AJ674:AJ675" si="363">VLOOKUP(AK674,$B$94:$D$96,3,FALSE)</f>
        <v>#N/A</v>
      </c>
      <c r="AK674" s="100">
        <f t="shared" ref="AK674:AK675" si="364" xml:space="preserve"> VLOOKUP(I674,$C$22:$L$34,9,FALSE)</f>
        <v>0</v>
      </c>
      <c r="AL674" s="221" t="str">
        <f t="shared" ref="AL674:AL675" si="365" xml:space="preserve"> VLOOKUP(I674,$C$22:$L$34,7,FALSE)</f>
        <v>SR809</v>
      </c>
      <c r="AM674" s="3" t="str">
        <f t="shared" si="327"/>
        <v>SR80910</v>
      </c>
      <c r="AN674" s="13">
        <f t="shared" ref="AN674:AN675" si="366">VLOOKUP(E674,$C$485:$AN$561,17,FALSE)</f>
        <v>6115</v>
      </c>
      <c r="AO674" s="13">
        <f t="shared" si="328"/>
        <v>20180326</v>
      </c>
      <c r="AP674" s="13" t="str">
        <f t="shared" si="329"/>
        <v>9999</v>
      </c>
      <c r="AQ674" s="13" t="str">
        <f t="shared" si="330"/>
        <v>CNY</v>
      </c>
      <c r="AR674" s="13" t="str">
        <f t="shared" ref="AR674:AR675" si="367">VLOOKUP(G674,$C$8:$G$9,5,FALSE)</f>
        <v>50010001</v>
      </c>
      <c r="AS674" s="13">
        <f t="shared" si="331"/>
        <v>20180326</v>
      </c>
      <c r="AT674" s="13">
        <f t="shared" ref="AT674:AT675" si="368">VLOOKUP(E674,$C$485:$AN$561,7,FALSE)</f>
        <v>20180326</v>
      </c>
      <c r="AU674" s="480">
        <f t="shared" ref="AU674:AU675" si="369">VLOOKUP(E674,$C$485:$AN$561,17,FALSE)</f>
        <v>6115</v>
      </c>
      <c r="AV674" s="13">
        <f t="shared" ref="AV674:AV675" si="370">VLOOKUP(I674,$C$22:$M$34,11,FALSE)</f>
        <v>1</v>
      </c>
      <c r="AW674" s="13" t="str">
        <f t="shared" ref="AW674:AW675" si="371">VLOOKUP(I674,$C$22:$M$34,7,FALSE)</f>
        <v>SR809</v>
      </c>
    </row>
    <row r="675" spans="1:49" s="13" customFormat="1" x14ac:dyDescent="0.25">
      <c r="A675" s="470"/>
      <c r="B675" s="602" t="str">
        <f>B674</f>
        <v>SR809&amp;SR809C6600</v>
      </c>
      <c r="C675" s="100" t="s">
        <v>2003</v>
      </c>
      <c r="D675" s="100">
        <v>30</v>
      </c>
      <c r="E675" s="100" t="str">
        <f>C551</f>
        <v>2018032610000150</v>
      </c>
      <c r="F675" s="100" t="str">
        <f t="shared" si="345"/>
        <v>6001</v>
      </c>
      <c r="G675" s="100" t="str">
        <f t="shared" si="346"/>
        <v>B00101</v>
      </c>
      <c r="H675" s="100" t="str">
        <f t="shared" si="347"/>
        <v>6001</v>
      </c>
      <c r="I675" s="100" t="str">
        <f t="shared" si="348"/>
        <v>SR809C6600</v>
      </c>
      <c r="J675" s="100">
        <v>1</v>
      </c>
      <c r="K675" s="739"/>
      <c r="L675" s="100">
        <f t="shared" si="349"/>
        <v>1</v>
      </c>
      <c r="M675" s="100">
        <f t="shared" si="350"/>
        <v>3</v>
      </c>
      <c r="N675" s="100">
        <v>2</v>
      </c>
      <c r="O675" s="100">
        <v>1</v>
      </c>
      <c r="P675" s="100">
        <f t="shared" ref="P675" si="372">IF(AI675=0, VLOOKUP(AM675,$F$56:$L$75,4,FALSE),VLOOKUP(AM675,$F$56:$L$75,4,FALSE)+VLOOKUP(AM675,$F$56:$L$75,6,FALSE) )</f>
        <v>6.0000000000000005E-2</v>
      </c>
      <c r="Q675" s="100">
        <f t="shared" ref="Q675" si="373">IF(AI675=0, VLOOKUP(AM675,$F$56:$L$75,5,FALSE),VLOOKUP(AM675,$F$56:$L$75,5,FALSE)+VLOOKUP(AM675,$F$56:$L$75,7,FALSE) )</f>
        <v>6</v>
      </c>
      <c r="R675" s="100">
        <f t="shared" si="351"/>
        <v>0.04</v>
      </c>
      <c r="S675" s="100">
        <f t="shared" si="352"/>
        <v>4</v>
      </c>
      <c r="T675" s="100">
        <f t="shared" si="353"/>
        <v>10</v>
      </c>
      <c r="U675" s="100">
        <f t="shared" si="354"/>
        <v>6600</v>
      </c>
      <c r="V675" s="100">
        <f t="shared" si="355"/>
        <v>645</v>
      </c>
      <c r="W675" s="100">
        <f t="shared" si="356"/>
        <v>6155</v>
      </c>
      <c r="X675" s="100">
        <f t="shared" si="323"/>
        <v>0.5</v>
      </c>
      <c r="Y675" s="100">
        <f t="shared" si="323"/>
        <v>0.5</v>
      </c>
      <c r="Z675" s="100">
        <f t="shared" si="357"/>
        <v>4450</v>
      </c>
      <c r="AA675" s="100">
        <f t="shared" si="358"/>
        <v>0</v>
      </c>
      <c r="AB675" s="100">
        <f t="shared" si="359"/>
        <v>16599</v>
      </c>
      <c r="AC675" s="100">
        <f t="shared" si="333"/>
        <v>13382</v>
      </c>
      <c r="AD675" s="100">
        <f t="shared" si="360"/>
        <v>12900</v>
      </c>
      <c r="AE675" s="100">
        <f t="shared" si="361"/>
        <v>6450</v>
      </c>
      <c r="AF675" s="100">
        <v>0</v>
      </c>
      <c r="AG675" s="100">
        <v>0</v>
      </c>
      <c r="AH675" s="100">
        <v>1</v>
      </c>
      <c r="AI675" s="100">
        <f t="shared" si="362"/>
        <v>1</v>
      </c>
      <c r="AJ675" s="100" t="e">
        <f t="shared" si="363"/>
        <v>#N/A</v>
      </c>
      <c r="AK675" s="100">
        <f t="shared" si="364"/>
        <v>0</v>
      </c>
      <c r="AL675" s="221" t="str">
        <f t="shared" si="365"/>
        <v>SR809</v>
      </c>
      <c r="AM675" s="3" t="str">
        <f t="shared" si="327"/>
        <v>SR80910</v>
      </c>
      <c r="AN675" s="13">
        <f t="shared" si="366"/>
        <v>630</v>
      </c>
      <c r="AO675" s="13">
        <f t="shared" si="328"/>
        <v>20180326</v>
      </c>
      <c r="AP675" s="13" t="str">
        <f t="shared" si="329"/>
        <v>9999</v>
      </c>
      <c r="AQ675" s="13" t="str">
        <f t="shared" si="330"/>
        <v>CNY</v>
      </c>
      <c r="AR675" s="13" t="str">
        <f t="shared" si="367"/>
        <v>50010001</v>
      </c>
      <c r="AS675" s="13">
        <f t="shared" si="331"/>
        <v>20180326</v>
      </c>
      <c r="AT675" s="13">
        <f t="shared" si="368"/>
        <v>20180326</v>
      </c>
      <c r="AU675" s="480">
        <f t="shared" si="369"/>
        <v>630</v>
      </c>
      <c r="AV675" s="13">
        <f t="shared" si="370"/>
        <v>1</v>
      </c>
      <c r="AW675" s="13" t="str">
        <f t="shared" si="371"/>
        <v>SR809</v>
      </c>
    </row>
    <row r="676" spans="1:49" s="6" customFormat="1" x14ac:dyDescent="0.25">
      <c r="A676" s="167"/>
      <c r="B676" s="578" t="str">
        <f>C42</f>
        <v>PTA807&amp;PTA807C6500</v>
      </c>
      <c r="C676" s="12" t="s">
        <v>511</v>
      </c>
      <c r="D676" s="12">
        <v>15</v>
      </c>
      <c r="E676" s="12" t="str">
        <f>C506</f>
        <v>2018032610000030</v>
      </c>
      <c r="F676" s="12" t="str">
        <f t="shared" ref="F676:F687" si="374">VLOOKUP(E676,$C$485:$AN$561,3,FALSE)</f>
        <v>6001</v>
      </c>
      <c r="G676" s="12" t="str">
        <f t="shared" ref="G676:G687" si="375">VLOOKUP(E676,$C$485:$AN$561,4,FALSE)</f>
        <v>B00102</v>
      </c>
      <c r="H676" s="12" t="str">
        <f t="shared" ref="H676:H687" si="376">VLOOKUP(E676,$C$485:$AN$561,5,FALSE)</f>
        <v>6001</v>
      </c>
      <c r="I676" s="12" t="str">
        <f t="shared" ref="I676:I687" si="377">VLOOKUP(E676,$C$485:$AN$561,10,FALSE)</f>
        <v>PTA807</v>
      </c>
      <c r="J676" s="12">
        <v>1</v>
      </c>
      <c r="K676" s="222">
        <v>0</v>
      </c>
      <c r="L676" s="12">
        <f t="shared" ref="L676:L687" si="378">VLOOKUP(E676,$C$485:$AN$561,13,FALSE)</f>
        <v>0</v>
      </c>
      <c r="M676" s="12">
        <f t="shared" si="318"/>
        <v>2</v>
      </c>
      <c r="N676" s="12">
        <v>1</v>
      </c>
      <c r="O676" s="12">
        <v>1</v>
      </c>
      <c r="P676" s="250">
        <f>IF(AI676=0, VLOOKUP(AM676,$F$56:$L$75,4,FALSE),VLOOKUP(AM676,$F$56:$L$75,4,FALSE)+VLOOKUP(AM676,$F$56:$L$75,6,FALSE) )+VLOOKUP(AM676,$F$56:$L$75,6,FALSE)</f>
        <v>6.0000000000000005E-2</v>
      </c>
      <c r="Q676" s="12">
        <f>IF(AI676=0, VLOOKUP(AM676,$F$56:$L$75,5,FALSE),VLOOKUP(AM676,$F$56:$L$75,5,FALSE)+VLOOKUP(AM676,$F$56:$L$75,7,FALSE) )+VLOOKUP(AM676,$F$56:$L$75,7,FALSE)</f>
        <v>6</v>
      </c>
      <c r="R676" s="12">
        <f t="shared" ref="R676:R687" si="379">VLOOKUP(AM676,$F$56:$L$75,2,FALSE)</f>
        <v>0.04</v>
      </c>
      <c r="S676" s="12">
        <f t="shared" ref="S676:S687" si="380">VLOOKUP(AM676,$F$56:$L$75,3,FALSE)</f>
        <v>4</v>
      </c>
      <c r="T676" s="12">
        <f t="shared" ref="T676:T697" si="381" xml:space="preserve"> VLOOKUP(I676,$C$22:$L$34,3,FALSE)</f>
        <v>5</v>
      </c>
      <c r="U676" s="250">
        <f t="shared" ref="U676:U697" si="382" xml:space="preserve"> VLOOKUP(I676,$C$237:$F$249,4,FALSE)</f>
        <v>0</v>
      </c>
      <c r="V676" s="250">
        <f t="shared" ref="V676:V697" si="383" xml:space="preserve"> VLOOKUP(I676,$C$237:$F$249,3,FALSE)</f>
        <v>6165</v>
      </c>
      <c r="W676" s="250">
        <f t="shared" ref="W676:W697" si="384" xml:space="preserve"> VLOOKUP(I676,$C$237:$G$249,5,FALSE)</f>
        <v>0</v>
      </c>
      <c r="X676" s="12">
        <f t="shared" si="323"/>
        <v>0.5</v>
      </c>
      <c r="Y676" s="12">
        <f t="shared" si="323"/>
        <v>0.5</v>
      </c>
      <c r="Z676" s="12">
        <f t="shared" ref="Z676:Z687" si="385">IF(AA676=0,MAX((U676-W676)*T676,0),MAX((W676-U676)*T676,0))</f>
        <v>0</v>
      </c>
      <c r="AA676" s="12">
        <f t="shared" ref="AA676:AA697" si="386" xml:space="preserve"> VLOOKUP(I676,$C$22:$L$34,6,FALSE)</f>
        <v>9</v>
      </c>
      <c r="AB676" s="12">
        <f t="shared" si="325"/>
        <v>1855.5000000000002</v>
      </c>
      <c r="AC676" s="12">
        <f t="shared" ref="AC676:AC697" si="387">IF(AI676=0,R676*T676*V676*N676+S676*N676,IF(L676=0,0,MAX(AE676+(R676*T676*W676+S676)*AH676-Z676*X676,AE676+(R676*T676*W676+S676)*AG66*Y676*AV676)*N676))</f>
        <v>1237</v>
      </c>
      <c r="AD676" s="12" t="b">
        <f t="shared" si="334"/>
        <v>0</v>
      </c>
      <c r="AE676" s="12">
        <f>IF(AI676=1,1*T676*V676,0)</f>
        <v>0</v>
      </c>
      <c r="AF676" s="250">
        <f>AB676+AE677*N677</f>
        <v>4855.5</v>
      </c>
      <c r="AG676" s="250">
        <f>AC676+AE677*N677</f>
        <v>4237</v>
      </c>
      <c r="AH676" s="12">
        <v>1</v>
      </c>
      <c r="AI676" s="12">
        <f t="shared" ref="AI676:AI697" si="388" xml:space="preserve"> VLOOKUP(I676,$C$22:$L$34,10,FALSE)</f>
        <v>0</v>
      </c>
      <c r="AJ676" s="12"/>
      <c r="AK676" s="12"/>
      <c r="AL676" s="3" t="str">
        <f t="shared" ref="AL676:AL697" si="389" xml:space="preserve"> VLOOKUP(I676,$C$22:$L$34,7,FALSE)</f>
        <v>PTA807</v>
      </c>
      <c r="AM676" s="3" t="str">
        <f t="shared" si="327"/>
        <v>PTA80710</v>
      </c>
      <c r="AN676" s="6">
        <f t="shared" ref="AN676:AN687" si="390">VLOOKUP(E676,$C$485:$AN$561,17,FALSE)</f>
        <v>6120</v>
      </c>
      <c r="AO676" s="6">
        <f t="shared" si="328"/>
        <v>20180326</v>
      </c>
      <c r="AP676" s="6" t="str">
        <f t="shared" si="329"/>
        <v>9999</v>
      </c>
      <c r="AQ676" s="6" t="str">
        <f t="shared" si="330"/>
        <v>CNY</v>
      </c>
      <c r="AR676" s="6" t="str">
        <f t="shared" ref="AR676:AR687" si="391">VLOOKUP(G676,$C$8:$G$9,5,FALSE)</f>
        <v>50010002</v>
      </c>
      <c r="AS676" s="6">
        <f t="shared" si="331"/>
        <v>20180326</v>
      </c>
      <c r="AT676" s="6">
        <f t="shared" ref="AT676:AT697" si="392">VLOOKUP(E676,$C$485:$AN$561,7,FALSE)</f>
        <v>20180326</v>
      </c>
      <c r="AU676" s="310">
        <f t="shared" ref="AU676:AU697" si="393">VLOOKUP(E676,$C$485:$AN$561,17,FALSE)</f>
        <v>6120</v>
      </c>
      <c r="AV676" s="6">
        <f t="shared" ref="AV676:AV697" si="394">VLOOKUP(I676,$C$22:$M$34,11,FALSE)</f>
        <v>1</v>
      </c>
      <c r="AW676" s="6" t="str">
        <f t="shared" ref="AW676:AW697" si="395">VLOOKUP(I676,$C$22:$M$34,7,FALSE)</f>
        <v>PTA807</v>
      </c>
    </row>
    <row r="677" spans="1:49" s="6" customFormat="1" x14ac:dyDescent="0.25">
      <c r="A677" s="167"/>
      <c r="B677" s="578" t="str">
        <f>B676</f>
        <v>PTA807&amp;PTA807C6500</v>
      </c>
      <c r="C677" s="12" t="s">
        <v>511</v>
      </c>
      <c r="D677" s="12">
        <f>D676</f>
        <v>15</v>
      </c>
      <c r="E677" s="12" t="str">
        <f>C553</f>
        <v>2018032610000104</v>
      </c>
      <c r="F677" s="12" t="str">
        <f t="shared" si="374"/>
        <v>6001</v>
      </c>
      <c r="G677" s="12" t="str">
        <f t="shared" si="375"/>
        <v>B00102</v>
      </c>
      <c r="H677" s="12" t="str">
        <f t="shared" si="376"/>
        <v>6001</v>
      </c>
      <c r="I677" s="12" t="str">
        <f t="shared" si="377"/>
        <v>PTA807C6500</v>
      </c>
      <c r="J677" s="12">
        <v>1</v>
      </c>
      <c r="K677" s="222">
        <v>0</v>
      </c>
      <c r="L677" s="12">
        <f t="shared" si="378"/>
        <v>1</v>
      </c>
      <c r="M677" s="12">
        <f t="shared" si="318"/>
        <v>3</v>
      </c>
      <c r="N677" s="12">
        <v>1</v>
      </c>
      <c r="O677" s="12">
        <v>1</v>
      </c>
      <c r="P677" s="12">
        <f t="shared" si="319"/>
        <v>6.0000000000000005E-2</v>
      </c>
      <c r="Q677" s="12">
        <f t="shared" ref="Q677:Q687" si="396">IF(AI677=0, VLOOKUP(AM677,$F$56:$L$75,5,FALSE),VLOOKUP(AM677,$F$56:$L$75,5,FALSE)+VLOOKUP(AM677,$F$56:$L$75,7,FALSE) )</f>
        <v>6</v>
      </c>
      <c r="R677" s="12">
        <f t="shared" si="379"/>
        <v>0.04</v>
      </c>
      <c r="S677" s="12">
        <f t="shared" si="380"/>
        <v>4</v>
      </c>
      <c r="T677" s="12">
        <f t="shared" si="381"/>
        <v>5</v>
      </c>
      <c r="U677" s="250">
        <f t="shared" si="382"/>
        <v>6500</v>
      </c>
      <c r="V677" s="250">
        <f t="shared" si="383"/>
        <v>600</v>
      </c>
      <c r="W677" s="250">
        <f t="shared" si="384"/>
        <v>6165</v>
      </c>
      <c r="X677" s="12">
        <f t="shared" si="323"/>
        <v>0.5</v>
      </c>
      <c r="Y677" s="12">
        <f t="shared" si="323"/>
        <v>0.5</v>
      </c>
      <c r="Z677" s="12">
        <f t="shared" si="385"/>
        <v>1675</v>
      </c>
      <c r="AA677" s="12">
        <f t="shared" si="386"/>
        <v>0</v>
      </c>
      <c r="AB677" s="12">
        <f t="shared" si="325"/>
        <v>4018</v>
      </c>
      <c r="AC677" s="12">
        <f t="shared" si="387"/>
        <v>3399.5</v>
      </c>
      <c r="AD677" s="12">
        <f t="shared" si="334"/>
        <v>3000</v>
      </c>
      <c r="AE677" s="12">
        <f t="shared" si="326"/>
        <v>3000</v>
      </c>
      <c r="AF677" s="250">
        <v>0</v>
      </c>
      <c r="AG677" s="250">
        <v>0</v>
      </c>
      <c r="AH677" s="12">
        <v>1</v>
      </c>
      <c r="AI677" s="12">
        <f t="shared" si="388"/>
        <v>1</v>
      </c>
      <c r="AJ677" s="12"/>
      <c r="AK677" s="12"/>
      <c r="AL677" s="3" t="str">
        <f t="shared" si="389"/>
        <v>PTA807</v>
      </c>
      <c r="AM677" s="3" t="str">
        <f t="shared" si="327"/>
        <v>PTA80710</v>
      </c>
      <c r="AN677" s="6">
        <f t="shared" si="390"/>
        <v>624</v>
      </c>
      <c r="AO677" s="6">
        <f t="shared" si="328"/>
        <v>20180326</v>
      </c>
      <c r="AP677" s="6" t="str">
        <f t="shared" si="329"/>
        <v>9999</v>
      </c>
      <c r="AQ677" s="6" t="str">
        <f t="shared" si="330"/>
        <v>CNY</v>
      </c>
      <c r="AR677" s="6" t="str">
        <f t="shared" si="391"/>
        <v>50010002</v>
      </c>
      <c r="AS677" s="6">
        <f t="shared" si="331"/>
        <v>20180326</v>
      </c>
      <c r="AT677" s="6">
        <f t="shared" si="392"/>
        <v>20180326</v>
      </c>
      <c r="AU677" s="310">
        <f t="shared" si="393"/>
        <v>624</v>
      </c>
      <c r="AV677" s="6">
        <f t="shared" si="394"/>
        <v>1</v>
      </c>
      <c r="AW677" s="6" t="str">
        <f t="shared" si="395"/>
        <v>PTA807</v>
      </c>
    </row>
    <row r="678" spans="1:49" s="6" customFormat="1" x14ac:dyDescent="0.25">
      <c r="A678" s="167"/>
      <c r="B678" s="578" t="str">
        <f>C43</f>
        <v>PTA807&amp;PTA807C6500</v>
      </c>
      <c r="C678" s="12" t="s">
        <v>511</v>
      </c>
      <c r="D678" s="12">
        <v>16</v>
      </c>
      <c r="E678" s="12" t="str">
        <f>C507</f>
        <v>2018032610000031</v>
      </c>
      <c r="F678" s="12" t="str">
        <f t="shared" si="374"/>
        <v>6001</v>
      </c>
      <c r="G678" s="12" t="str">
        <f t="shared" si="375"/>
        <v>B00102</v>
      </c>
      <c r="H678" s="12" t="str">
        <f t="shared" si="376"/>
        <v>6001</v>
      </c>
      <c r="I678" s="12" t="str">
        <f t="shared" si="377"/>
        <v>PTA807</v>
      </c>
      <c r="J678" s="12">
        <v>1</v>
      </c>
      <c r="K678" s="222">
        <v>1</v>
      </c>
      <c r="L678" s="12">
        <f t="shared" si="378"/>
        <v>1</v>
      </c>
      <c r="M678" s="12">
        <f t="shared" si="318"/>
        <v>3</v>
      </c>
      <c r="N678" s="12">
        <v>1</v>
      </c>
      <c r="O678" s="12">
        <v>1</v>
      </c>
      <c r="P678" s="479">
        <f>IF(AI678=0, VLOOKUP(AM678,$F$56:$L$75,4,FALSE),VLOOKUP(AM678,$F$56:$L$75,4,FALSE)+VLOOKUP(AM678,$F$56:$L$75,6,FALSE) )+VLOOKUP(AM678,$F$56:$L$75,6,FALSE)</f>
        <v>6.2E-2</v>
      </c>
      <c r="Q678" s="250">
        <f>IF(AI678=0, VLOOKUP(AM678,$F$56:$L$75,5,FALSE),VLOOKUP(AM678,$F$56:$L$75,5,FALSE)+VLOOKUP(AM678,$F$56:$L$75,7,FALSE) )+VLOOKUP(AM678,$F$56:$L$75,7,FALSE)</f>
        <v>6.21</v>
      </c>
      <c r="R678" s="12">
        <f t="shared" si="379"/>
        <v>4.1000000000000002E-2</v>
      </c>
      <c r="S678" s="12">
        <f t="shared" si="380"/>
        <v>4.0999999999999996</v>
      </c>
      <c r="T678" s="12">
        <f t="shared" si="381"/>
        <v>5</v>
      </c>
      <c r="U678" s="250">
        <f t="shared" si="382"/>
        <v>0</v>
      </c>
      <c r="V678" s="250">
        <f t="shared" si="383"/>
        <v>6165</v>
      </c>
      <c r="W678" s="250">
        <f t="shared" si="384"/>
        <v>0</v>
      </c>
      <c r="X678" s="12">
        <f t="shared" si="323"/>
        <v>0.5</v>
      </c>
      <c r="Y678" s="12">
        <f t="shared" si="323"/>
        <v>0.5</v>
      </c>
      <c r="Z678" s="12">
        <f t="shared" si="385"/>
        <v>0</v>
      </c>
      <c r="AA678" s="12">
        <f t="shared" si="386"/>
        <v>9</v>
      </c>
      <c r="AB678" s="12">
        <f t="shared" si="325"/>
        <v>1917.3600000000001</v>
      </c>
      <c r="AC678" s="12">
        <f t="shared" si="387"/>
        <v>1267.925</v>
      </c>
      <c r="AD678" s="12" t="b">
        <f t="shared" si="334"/>
        <v>0</v>
      </c>
      <c r="AE678" s="12">
        <f t="shared" si="326"/>
        <v>0</v>
      </c>
      <c r="AF678" s="250">
        <f>ROUND(AB678+AE679*N679,2)</f>
        <v>4917.3599999999997</v>
      </c>
      <c r="AG678" s="250">
        <f>ROUND(AC678+AE679*N679,2)</f>
        <v>4267.93</v>
      </c>
      <c r="AH678" s="12">
        <v>1</v>
      </c>
      <c r="AI678" s="12">
        <f t="shared" si="388"/>
        <v>0</v>
      </c>
      <c r="AJ678" s="12"/>
      <c r="AK678" s="12"/>
      <c r="AL678" s="3" t="str">
        <f t="shared" si="389"/>
        <v>PTA807</v>
      </c>
      <c r="AM678" s="3" t="str">
        <f t="shared" si="327"/>
        <v>PTA80711</v>
      </c>
      <c r="AN678" s="6">
        <f t="shared" si="390"/>
        <v>6121</v>
      </c>
      <c r="AO678" s="6">
        <f t="shared" si="328"/>
        <v>20180326</v>
      </c>
      <c r="AP678" s="6" t="str">
        <f t="shared" si="329"/>
        <v>9999</v>
      </c>
      <c r="AQ678" s="6" t="str">
        <f t="shared" si="330"/>
        <v>CNY</v>
      </c>
      <c r="AR678" s="6" t="str">
        <f t="shared" si="391"/>
        <v>50010002</v>
      </c>
      <c r="AS678" s="6">
        <f t="shared" si="331"/>
        <v>20180326</v>
      </c>
      <c r="AT678" s="6">
        <f t="shared" si="392"/>
        <v>20180326</v>
      </c>
      <c r="AU678" s="310">
        <f t="shared" si="393"/>
        <v>6121</v>
      </c>
      <c r="AV678" s="6">
        <f t="shared" si="394"/>
        <v>1</v>
      </c>
      <c r="AW678" s="6" t="str">
        <f t="shared" si="395"/>
        <v>PTA807</v>
      </c>
    </row>
    <row r="679" spans="1:49" s="6" customFormat="1" x14ac:dyDescent="0.25">
      <c r="A679" s="167"/>
      <c r="B679" s="578" t="str">
        <f>B678</f>
        <v>PTA807&amp;PTA807C6500</v>
      </c>
      <c r="C679" s="12" t="s">
        <v>1555</v>
      </c>
      <c r="D679" s="12">
        <f>D678</f>
        <v>16</v>
      </c>
      <c r="E679" s="12" t="str">
        <f>C553</f>
        <v>2018032610000104</v>
      </c>
      <c r="F679" s="12" t="str">
        <f t="shared" si="374"/>
        <v>6001</v>
      </c>
      <c r="G679" s="12" t="str">
        <f t="shared" si="375"/>
        <v>B00102</v>
      </c>
      <c r="H679" s="12" t="str">
        <f t="shared" si="376"/>
        <v>6001</v>
      </c>
      <c r="I679" s="12" t="str">
        <f t="shared" si="377"/>
        <v>PTA807C6500</v>
      </c>
      <c r="J679" s="12">
        <v>1</v>
      </c>
      <c r="K679" s="222">
        <v>1</v>
      </c>
      <c r="L679" s="12">
        <f t="shared" si="378"/>
        <v>1</v>
      </c>
      <c r="M679" s="12">
        <f t="shared" si="318"/>
        <v>3</v>
      </c>
      <c r="N679" s="12">
        <v>1</v>
      </c>
      <c r="O679" s="12">
        <v>1</v>
      </c>
      <c r="P679" s="12">
        <f t="shared" si="319"/>
        <v>6.0000000000000005E-2</v>
      </c>
      <c r="Q679" s="12">
        <f t="shared" si="396"/>
        <v>6</v>
      </c>
      <c r="R679" s="12">
        <f t="shared" si="379"/>
        <v>0.04</v>
      </c>
      <c r="S679" s="12">
        <f t="shared" si="380"/>
        <v>4</v>
      </c>
      <c r="T679" s="12">
        <f t="shared" si="381"/>
        <v>5</v>
      </c>
      <c r="U679" s="250">
        <f t="shared" si="382"/>
        <v>6500</v>
      </c>
      <c r="V679" s="250">
        <f t="shared" si="383"/>
        <v>600</v>
      </c>
      <c r="W679" s="250">
        <f t="shared" si="384"/>
        <v>6165</v>
      </c>
      <c r="X679" s="12">
        <f t="shared" si="323"/>
        <v>0.5</v>
      </c>
      <c r="Y679" s="12">
        <f t="shared" si="323"/>
        <v>0.5</v>
      </c>
      <c r="Z679" s="12">
        <f t="shared" si="385"/>
        <v>1675</v>
      </c>
      <c r="AA679" s="12">
        <f t="shared" si="386"/>
        <v>0</v>
      </c>
      <c r="AB679" s="12">
        <f t="shared" si="325"/>
        <v>4018</v>
      </c>
      <c r="AC679" s="12">
        <f t="shared" si="387"/>
        <v>3399.5</v>
      </c>
      <c r="AD679" s="12">
        <f t="shared" si="334"/>
        <v>3000</v>
      </c>
      <c r="AE679" s="12">
        <f t="shared" si="326"/>
        <v>3000</v>
      </c>
      <c r="AF679" s="250">
        <v>0</v>
      </c>
      <c r="AG679" s="250">
        <v>0</v>
      </c>
      <c r="AH679" s="12">
        <v>1</v>
      </c>
      <c r="AI679" s="12">
        <f t="shared" si="388"/>
        <v>1</v>
      </c>
      <c r="AJ679" s="12"/>
      <c r="AK679" s="12"/>
      <c r="AL679" s="3" t="str">
        <f t="shared" si="389"/>
        <v>PTA807</v>
      </c>
      <c r="AM679" s="3" t="str">
        <f t="shared" si="327"/>
        <v>PTA80710</v>
      </c>
      <c r="AN679" s="6">
        <f t="shared" si="390"/>
        <v>624</v>
      </c>
      <c r="AO679" s="6">
        <f t="shared" si="328"/>
        <v>20180326</v>
      </c>
      <c r="AP679" s="6" t="str">
        <f t="shared" si="329"/>
        <v>9999</v>
      </c>
      <c r="AQ679" s="6" t="str">
        <f t="shared" si="330"/>
        <v>CNY</v>
      </c>
      <c r="AR679" s="6" t="str">
        <f t="shared" si="391"/>
        <v>50010002</v>
      </c>
      <c r="AS679" s="6">
        <f t="shared" si="331"/>
        <v>20180326</v>
      </c>
      <c r="AT679" s="6">
        <f t="shared" si="392"/>
        <v>20180326</v>
      </c>
      <c r="AU679" s="310">
        <f t="shared" si="393"/>
        <v>624</v>
      </c>
      <c r="AV679" s="6">
        <f t="shared" si="394"/>
        <v>1</v>
      </c>
      <c r="AW679" s="6" t="str">
        <f t="shared" si="395"/>
        <v>PTA807</v>
      </c>
    </row>
    <row r="680" spans="1:49" s="6" customFormat="1" x14ac:dyDescent="0.25">
      <c r="A680" s="167"/>
      <c r="B680" s="578" t="str">
        <f>C45</f>
        <v>PTA807C6500&amp;PTA807P6500</v>
      </c>
      <c r="C680" s="12" t="s">
        <v>509</v>
      </c>
      <c r="D680" s="12">
        <v>17</v>
      </c>
      <c r="E680" s="12" t="str">
        <f>C552</f>
        <v>2018032610000103</v>
      </c>
      <c r="F680" s="12" t="str">
        <f t="shared" si="374"/>
        <v>6001</v>
      </c>
      <c r="G680" s="12" t="str">
        <f t="shared" si="375"/>
        <v>B00102</v>
      </c>
      <c r="H680" s="12" t="str">
        <f t="shared" si="376"/>
        <v>6001</v>
      </c>
      <c r="I680" s="12" t="str">
        <f t="shared" si="377"/>
        <v>PTA807C6500</v>
      </c>
      <c r="J680" s="12">
        <v>1</v>
      </c>
      <c r="K680" s="222">
        <v>0</v>
      </c>
      <c r="L680" s="12">
        <f t="shared" si="378"/>
        <v>0</v>
      </c>
      <c r="M680" s="12">
        <f t="shared" si="318"/>
        <v>2</v>
      </c>
      <c r="N680" s="12">
        <v>1</v>
      </c>
      <c r="O680" s="12">
        <v>1</v>
      </c>
      <c r="P680" s="12">
        <f t="shared" si="319"/>
        <v>6.2E-2</v>
      </c>
      <c r="Q680" s="12">
        <f t="shared" si="396"/>
        <v>6.21</v>
      </c>
      <c r="R680" s="12">
        <f t="shared" si="379"/>
        <v>4.1000000000000002E-2</v>
      </c>
      <c r="S680" s="12">
        <f t="shared" si="380"/>
        <v>4.0999999999999996</v>
      </c>
      <c r="T680" s="12">
        <f t="shared" si="381"/>
        <v>5</v>
      </c>
      <c r="U680" s="250">
        <f t="shared" si="382"/>
        <v>6500</v>
      </c>
      <c r="V680" s="250">
        <f t="shared" si="383"/>
        <v>600</v>
      </c>
      <c r="W680" s="250">
        <f t="shared" si="384"/>
        <v>6165</v>
      </c>
      <c r="X680" s="12">
        <f t="shared" si="323"/>
        <v>0.5</v>
      </c>
      <c r="Y680" s="12">
        <f t="shared" si="323"/>
        <v>0.5</v>
      </c>
      <c r="Z680" s="12">
        <f t="shared" si="385"/>
        <v>1675</v>
      </c>
      <c r="AA680" s="12">
        <f t="shared" si="386"/>
        <v>0</v>
      </c>
      <c r="AB680" s="12">
        <f t="shared" si="325"/>
        <v>0</v>
      </c>
      <c r="AC680" s="12">
        <f t="shared" si="387"/>
        <v>0</v>
      </c>
      <c r="AD680" s="12">
        <f t="shared" si="334"/>
        <v>3000</v>
      </c>
      <c r="AE680" s="12">
        <f t="shared" si="326"/>
        <v>3000</v>
      </c>
      <c r="AF680" s="250">
        <v>0</v>
      </c>
      <c r="AG680" s="250">
        <v>0</v>
      </c>
      <c r="AH680" s="12">
        <v>1</v>
      </c>
      <c r="AI680" s="12">
        <f t="shared" si="388"/>
        <v>1</v>
      </c>
      <c r="AJ680" s="12"/>
      <c r="AK680" s="12"/>
      <c r="AL680" s="3" t="str">
        <f t="shared" si="389"/>
        <v>PTA807</v>
      </c>
      <c r="AM680" s="3" t="str">
        <f t="shared" si="327"/>
        <v>PTA80711</v>
      </c>
      <c r="AN680" s="6">
        <f t="shared" si="390"/>
        <v>623</v>
      </c>
      <c r="AO680" s="6">
        <f t="shared" si="328"/>
        <v>20180326</v>
      </c>
      <c r="AP680" s="6" t="str">
        <f t="shared" si="329"/>
        <v>9999</v>
      </c>
      <c r="AQ680" s="6" t="str">
        <f t="shared" si="330"/>
        <v>CNY</v>
      </c>
      <c r="AR680" s="6" t="str">
        <f t="shared" si="391"/>
        <v>50010002</v>
      </c>
      <c r="AS680" s="6">
        <f t="shared" si="331"/>
        <v>20180326</v>
      </c>
      <c r="AT680" s="6">
        <f t="shared" si="392"/>
        <v>20180326</v>
      </c>
      <c r="AU680" s="310">
        <f t="shared" si="393"/>
        <v>623</v>
      </c>
      <c r="AV680" s="6">
        <f t="shared" si="394"/>
        <v>1</v>
      </c>
      <c r="AW680" s="6" t="str">
        <f t="shared" si="395"/>
        <v>PTA807</v>
      </c>
    </row>
    <row r="681" spans="1:49" s="6" customFormat="1" x14ac:dyDescent="0.25">
      <c r="A681" s="167"/>
      <c r="B681" s="578" t="str">
        <f>B680</f>
        <v>PTA807C6500&amp;PTA807P6500</v>
      </c>
      <c r="C681" s="12" t="s">
        <v>509</v>
      </c>
      <c r="D681" s="12">
        <f>D680</f>
        <v>17</v>
      </c>
      <c r="E681" s="12" t="str">
        <f>C560</f>
        <v>2018032610000111</v>
      </c>
      <c r="F681" s="12" t="str">
        <f t="shared" si="374"/>
        <v>6001</v>
      </c>
      <c r="G681" s="12" t="str">
        <f t="shared" si="375"/>
        <v>B00102</v>
      </c>
      <c r="H681" s="12" t="str">
        <f t="shared" si="376"/>
        <v>6001</v>
      </c>
      <c r="I681" s="12" t="str">
        <f t="shared" si="377"/>
        <v>PTA807P6500</v>
      </c>
      <c r="J681" s="12">
        <v>1</v>
      </c>
      <c r="K681" s="222">
        <v>0</v>
      </c>
      <c r="L681" s="12">
        <f t="shared" si="378"/>
        <v>0</v>
      </c>
      <c r="M681" s="12">
        <f t="shared" si="318"/>
        <v>2</v>
      </c>
      <c r="N681" s="12">
        <v>1</v>
      </c>
      <c r="O681" s="12">
        <v>1</v>
      </c>
      <c r="P681" s="12">
        <f t="shared" si="319"/>
        <v>6.2E-2</v>
      </c>
      <c r="Q681" s="12">
        <f t="shared" si="396"/>
        <v>6.21</v>
      </c>
      <c r="R681" s="12">
        <f t="shared" si="379"/>
        <v>4.1000000000000002E-2</v>
      </c>
      <c r="S681" s="12">
        <f t="shared" si="380"/>
        <v>4.0999999999999996</v>
      </c>
      <c r="T681" s="12">
        <f t="shared" si="381"/>
        <v>5</v>
      </c>
      <c r="U681" s="250">
        <f t="shared" si="382"/>
        <v>6500</v>
      </c>
      <c r="V681" s="250">
        <f t="shared" si="383"/>
        <v>610</v>
      </c>
      <c r="W681" s="250">
        <f t="shared" si="384"/>
        <v>6165</v>
      </c>
      <c r="X681" s="12">
        <f t="shared" si="323"/>
        <v>0.5</v>
      </c>
      <c r="Y681" s="12">
        <f t="shared" si="323"/>
        <v>0.5</v>
      </c>
      <c r="Z681" s="12">
        <f t="shared" si="385"/>
        <v>0</v>
      </c>
      <c r="AA681" s="12">
        <f t="shared" si="386"/>
        <v>1</v>
      </c>
      <c r="AB681" s="12">
        <f t="shared" si="325"/>
        <v>0</v>
      </c>
      <c r="AC681" s="12">
        <f t="shared" si="387"/>
        <v>0</v>
      </c>
      <c r="AD681" s="12">
        <f t="shared" si="334"/>
        <v>3050</v>
      </c>
      <c r="AE681" s="12">
        <f t="shared" si="326"/>
        <v>3050</v>
      </c>
      <c r="AF681" s="250">
        <v>0</v>
      </c>
      <c r="AG681" s="250">
        <v>0</v>
      </c>
      <c r="AH681" s="12">
        <v>1</v>
      </c>
      <c r="AI681" s="12">
        <f t="shared" si="388"/>
        <v>1</v>
      </c>
      <c r="AJ681" s="12"/>
      <c r="AK681" s="12"/>
      <c r="AL681" s="3" t="str">
        <f t="shared" si="389"/>
        <v>PTA807</v>
      </c>
      <c r="AM681" s="3" t="str">
        <f t="shared" si="327"/>
        <v>PTA80711</v>
      </c>
      <c r="AN681" s="6">
        <f t="shared" si="390"/>
        <v>631</v>
      </c>
      <c r="AO681" s="6">
        <f t="shared" si="328"/>
        <v>20180326</v>
      </c>
      <c r="AP681" s="6" t="str">
        <f t="shared" si="329"/>
        <v>9999</v>
      </c>
      <c r="AQ681" s="6" t="str">
        <f t="shared" si="330"/>
        <v>CNY</v>
      </c>
      <c r="AR681" s="6" t="str">
        <f t="shared" si="391"/>
        <v>50010002</v>
      </c>
      <c r="AS681" s="6">
        <f t="shared" si="331"/>
        <v>20180326</v>
      </c>
      <c r="AT681" s="6">
        <f t="shared" si="392"/>
        <v>20180326</v>
      </c>
      <c r="AU681" s="310">
        <f t="shared" si="393"/>
        <v>631</v>
      </c>
      <c r="AV681" s="6">
        <f t="shared" si="394"/>
        <v>1</v>
      </c>
      <c r="AW681" s="6" t="str">
        <f t="shared" si="395"/>
        <v>PTA807</v>
      </c>
    </row>
    <row r="682" spans="1:49" s="6" customFormat="1" x14ac:dyDescent="0.25">
      <c r="A682" s="167"/>
      <c r="B682" s="578" t="str">
        <f>C46</f>
        <v>PTA807C6500&amp;PTA807P6500</v>
      </c>
      <c r="C682" s="12" t="s">
        <v>509</v>
      </c>
      <c r="D682" s="12">
        <v>18</v>
      </c>
      <c r="E682" s="12" t="str">
        <f>C553</f>
        <v>2018032610000104</v>
      </c>
      <c r="F682" s="12" t="str">
        <f t="shared" si="374"/>
        <v>6001</v>
      </c>
      <c r="G682" s="12" t="str">
        <f t="shared" si="375"/>
        <v>B00102</v>
      </c>
      <c r="H682" s="12" t="str">
        <f t="shared" si="376"/>
        <v>6001</v>
      </c>
      <c r="I682" s="12" t="str">
        <f t="shared" si="377"/>
        <v>PTA807C6500</v>
      </c>
      <c r="J682" s="12">
        <v>1</v>
      </c>
      <c r="K682" s="222">
        <v>1</v>
      </c>
      <c r="L682" s="12">
        <f t="shared" si="378"/>
        <v>1</v>
      </c>
      <c r="M682" s="12">
        <f t="shared" si="318"/>
        <v>3</v>
      </c>
      <c r="N682" s="12">
        <v>1</v>
      </c>
      <c r="O682" s="12">
        <v>1</v>
      </c>
      <c r="P682" s="12">
        <f>IF(AI682=0, VLOOKUP(AM682,$F$56:$L$75,4,FALSE),VLOOKUP(AM682,$F$56:$L$75,4,FALSE)+VLOOKUP(AM682,$F$56:$L$75,6,FALSE) )</f>
        <v>6.0000000000000005E-2</v>
      </c>
      <c r="Q682" s="12">
        <f t="shared" si="396"/>
        <v>6</v>
      </c>
      <c r="R682" s="12">
        <f t="shared" si="379"/>
        <v>0.04</v>
      </c>
      <c r="S682" s="12">
        <f t="shared" si="380"/>
        <v>4</v>
      </c>
      <c r="T682" s="12">
        <f t="shared" si="381"/>
        <v>5</v>
      </c>
      <c r="U682" s="250">
        <f t="shared" si="382"/>
        <v>6500</v>
      </c>
      <c r="V682" s="250">
        <f t="shared" si="383"/>
        <v>600</v>
      </c>
      <c r="W682" s="250">
        <f t="shared" si="384"/>
        <v>6165</v>
      </c>
      <c r="X682" s="12">
        <f t="shared" si="323"/>
        <v>0.5</v>
      </c>
      <c r="Y682" s="12">
        <f t="shared" si="323"/>
        <v>0.5</v>
      </c>
      <c r="Z682" s="12">
        <f t="shared" si="385"/>
        <v>1675</v>
      </c>
      <c r="AA682" s="12">
        <f t="shared" si="386"/>
        <v>0</v>
      </c>
      <c r="AB682" s="12">
        <f t="shared" si="325"/>
        <v>4018</v>
      </c>
      <c r="AC682" s="12">
        <f t="shared" si="387"/>
        <v>3399.5</v>
      </c>
      <c r="AD682" s="12">
        <f t="shared" si="334"/>
        <v>3000</v>
      </c>
      <c r="AE682" s="12">
        <f t="shared" si="326"/>
        <v>3000</v>
      </c>
      <c r="AF682" s="250">
        <f>IF(AC682&gt;=AC683,AB682+AE683*N683,0)</f>
        <v>0</v>
      </c>
      <c r="AG682" s="250">
        <f>IF(AC682&gt;=AC683,AC682+AE683*N683,0)</f>
        <v>0</v>
      </c>
      <c r="AH682" s="12">
        <v>1</v>
      </c>
      <c r="AI682" s="12">
        <f t="shared" si="388"/>
        <v>1</v>
      </c>
      <c r="AJ682" s="12"/>
      <c r="AK682" s="12"/>
      <c r="AL682" s="3" t="str">
        <f t="shared" si="389"/>
        <v>PTA807</v>
      </c>
      <c r="AM682" s="3" t="str">
        <f t="shared" si="327"/>
        <v>PTA80710</v>
      </c>
      <c r="AN682" s="6">
        <f t="shared" si="390"/>
        <v>624</v>
      </c>
      <c r="AO682" s="6">
        <f t="shared" si="328"/>
        <v>20180326</v>
      </c>
      <c r="AP682" s="6" t="str">
        <f t="shared" si="329"/>
        <v>9999</v>
      </c>
      <c r="AQ682" s="6" t="str">
        <f t="shared" si="330"/>
        <v>CNY</v>
      </c>
      <c r="AR682" s="6" t="str">
        <f t="shared" si="391"/>
        <v>50010002</v>
      </c>
      <c r="AS682" s="6">
        <f t="shared" si="331"/>
        <v>20180326</v>
      </c>
      <c r="AT682" s="6">
        <f t="shared" si="392"/>
        <v>20180326</v>
      </c>
      <c r="AU682" s="310">
        <f t="shared" si="393"/>
        <v>624</v>
      </c>
      <c r="AV682" s="6">
        <f t="shared" si="394"/>
        <v>1</v>
      </c>
      <c r="AW682" s="6" t="str">
        <f t="shared" si="395"/>
        <v>PTA807</v>
      </c>
    </row>
    <row r="683" spans="1:49" s="6" customFormat="1" x14ac:dyDescent="0.25">
      <c r="A683" s="167"/>
      <c r="B683" s="578" t="str">
        <f>B682</f>
        <v>PTA807C6500&amp;PTA807P6500</v>
      </c>
      <c r="C683" s="12" t="s">
        <v>509</v>
      </c>
      <c r="D683" s="12">
        <f>D682</f>
        <v>18</v>
      </c>
      <c r="E683" s="12" t="str">
        <f>C561</f>
        <v>2018032610000112</v>
      </c>
      <c r="F683" s="12" t="str">
        <f t="shared" si="374"/>
        <v>6001</v>
      </c>
      <c r="G683" s="12" t="str">
        <f t="shared" si="375"/>
        <v>B00102</v>
      </c>
      <c r="H683" s="12" t="str">
        <f t="shared" si="376"/>
        <v>6001</v>
      </c>
      <c r="I683" s="12" t="str">
        <f t="shared" si="377"/>
        <v>PTA807P6500</v>
      </c>
      <c r="J683" s="12">
        <v>1</v>
      </c>
      <c r="K683" s="222">
        <v>1</v>
      </c>
      <c r="L683" s="12">
        <f t="shared" si="378"/>
        <v>1</v>
      </c>
      <c r="M683" s="12">
        <f t="shared" si="318"/>
        <v>3</v>
      </c>
      <c r="N683" s="12">
        <v>1</v>
      </c>
      <c r="O683" s="12">
        <v>1</v>
      </c>
      <c r="P683" s="12">
        <f>IF(AI683=0, VLOOKUP(AM683,$F$56:$L$75,4,FALSE),VLOOKUP(AM683,$F$56:$L$75,4,FALSE)+VLOOKUP(AM683,$F$56:$L$75,6,FALSE) )</f>
        <v>6.0000000000000005E-2</v>
      </c>
      <c r="Q683" s="12">
        <f t="shared" si="396"/>
        <v>6</v>
      </c>
      <c r="R683" s="12">
        <f t="shared" si="379"/>
        <v>0.04</v>
      </c>
      <c r="S683" s="12">
        <f t="shared" si="380"/>
        <v>4</v>
      </c>
      <c r="T683" s="12">
        <f t="shared" si="381"/>
        <v>5</v>
      </c>
      <c r="U683" s="250">
        <f t="shared" si="382"/>
        <v>6500</v>
      </c>
      <c r="V683" s="250">
        <f t="shared" si="383"/>
        <v>610</v>
      </c>
      <c r="W683" s="250">
        <f t="shared" si="384"/>
        <v>6165</v>
      </c>
      <c r="X683" s="12">
        <f t="shared" si="323"/>
        <v>0.5</v>
      </c>
      <c r="Y683" s="12">
        <f t="shared" si="323"/>
        <v>0.5</v>
      </c>
      <c r="Z683" s="12">
        <f t="shared" si="385"/>
        <v>0</v>
      </c>
      <c r="AA683" s="12">
        <f t="shared" si="386"/>
        <v>1</v>
      </c>
      <c r="AB683" s="12">
        <f t="shared" si="325"/>
        <v>4905.5</v>
      </c>
      <c r="AC683" s="12">
        <f t="shared" si="387"/>
        <v>4287</v>
      </c>
      <c r="AD683" s="12">
        <f t="shared" si="334"/>
        <v>3050</v>
      </c>
      <c r="AE683" s="12">
        <f t="shared" si="326"/>
        <v>3050</v>
      </c>
      <c r="AF683" s="250">
        <f>IF(AC683&gt;AC682,AB683+AE682*N682,0)</f>
        <v>7905.5</v>
      </c>
      <c r="AG683" s="250">
        <f>IF(AC683&gt;AC682,AC683+AE682*N682,0)</f>
        <v>7287</v>
      </c>
      <c r="AH683" s="12">
        <v>1</v>
      </c>
      <c r="AI683" s="12">
        <f t="shared" si="388"/>
        <v>1</v>
      </c>
      <c r="AJ683" s="12"/>
      <c r="AK683" s="12"/>
      <c r="AL683" s="3" t="str">
        <f t="shared" si="389"/>
        <v>PTA807</v>
      </c>
      <c r="AM683" s="3" t="str">
        <f t="shared" si="327"/>
        <v>PTA80710</v>
      </c>
      <c r="AN683" s="6">
        <f t="shared" si="390"/>
        <v>632</v>
      </c>
      <c r="AO683" s="6">
        <f t="shared" si="328"/>
        <v>20180326</v>
      </c>
      <c r="AP683" s="6" t="str">
        <f t="shared" si="329"/>
        <v>9999</v>
      </c>
      <c r="AQ683" s="6" t="str">
        <f t="shared" si="330"/>
        <v>CNY</v>
      </c>
      <c r="AR683" s="6" t="str">
        <f t="shared" si="391"/>
        <v>50010002</v>
      </c>
      <c r="AS683" s="6">
        <f t="shared" si="331"/>
        <v>20180326</v>
      </c>
      <c r="AT683" s="6">
        <f t="shared" si="392"/>
        <v>20180326</v>
      </c>
      <c r="AU683" s="310">
        <f t="shared" si="393"/>
        <v>632</v>
      </c>
      <c r="AV683" s="6">
        <f t="shared" si="394"/>
        <v>1</v>
      </c>
      <c r="AW683" s="6" t="str">
        <f t="shared" si="395"/>
        <v>PTA807</v>
      </c>
    </row>
    <row r="684" spans="1:49" s="6" customFormat="1" x14ac:dyDescent="0.25">
      <c r="A684" s="167"/>
      <c r="B684" s="578" t="str">
        <f>C47</f>
        <v>PTA807C6500&amp;PTA807P6200</v>
      </c>
      <c r="C684" s="12" t="s">
        <v>510</v>
      </c>
      <c r="D684" s="12">
        <v>19</v>
      </c>
      <c r="E684" s="12" t="str">
        <f>E680</f>
        <v>2018032610000103</v>
      </c>
      <c r="F684" s="12" t="str">
        <f t="shared" si="374"/>
        <v>6001</v>
      </c>
      <c r="G684" s="12" t="str">
        <f t="shared" si="375"/>
        <v>B00102</v>
      </c>
      <c r="H684" s="12" t="str">
        <f t="shared" si="376"/>
        <v>6001</v>
      </c>
      <c r="I684" s="12" t="str">
        <f t="shared" si="377"/>
        <v>PTA807C6500</v>
      </c>
      <c r="J684" s="12">
        <v>1</v>
      </c>
      <c r="K684" s="222">
        <v>0</v>
      </c>
      <c r="L684" s="12">
        <f t="shared" si="378"/>
        <v>0</v>
      </c>
      <c r="M684" s="12">
        <f t="shared" si="318"/>
        <v>2</v>
      </c>
      <c r="N684" s="12">
        <v>1</v>
      </c>
      <c r="O684" s="12">
        <v>1</v>
      </c>
      <c r="P684" s="12">
        <f t="shared" si="319"/>
        <v>6.2E-2</v>
      </c>
      <c r="Q684" s="12">
        <f t="shared" si="396"/>
        <v>6.21</v>
      </c>
      <c r="R684" s="12">
        <f t="shared" si="379"/>
        <v>4.1000000000000002E-2</v>
      </c>
      <c r="S684" s="12">
        <f t="shared" si="380"/>
        <v>4.0999999999999996</v>
      </c>
      <c r="T684" s="12">
        <f t="shared" si="381"/>
        <v>5</v>
      </c>
      <c r="U684" s="250">
        <f t="shared" si="382"/>
        <v>6500</v>
      </c>
      <c r="V684" s="250">
        <f t="shared" si="383"/>
        <v>600</v>
      </c>
      <c r="W684" s="250">
        <f t="shared" si="384"/>
        <v>6165</v>
      </c>
      <c r="X684" s="12">
        <f t="shared" si="323"/>
        <v>0.5</v>
      </c>
      <c r="Y684" s="12">
        <f t="shared" si="323"/>
        <v>0.5</v>
      </c>
      <c r="Z684" s="12">
        <f t="shared" si="385"/>
        <v>1675</v>
      </c>
      <c r="AA684" s="12">
        <f t="shared" si="386"/>
        <v>0</v>
      </c>
      <c r="AB684" s="12">
        <f t="shared" si="325"/>
        <v>0</v>
      </c>
      <c r="AC684" s="12">
        <f t="shared" si="387"/>
        <v>0</v>
      </c>
      <c r="AD684" s="12">
        <f t="shared" si="334"/>
        <v>3000</v>
      </c>
      <c r="AE684" s="12">
        <f t="shared" si="326"/>
        <v>3000</v>
      </c>
      <c r="AF684" s="250">
        <v>0</v>
      </c>
      <c r="AG684" s="250">
        <v>0</v>
      </c>
      <c r="AH684" s="12">
        <v>1</v>
      </c>
      <c r="AI684" s="12">
        <f t="shared" si="388"/>
        <v>1</v>
      </c>
      <c r="AJ684" s="12"/>
      <c r="AK684" s="12"/>
      <c r="AL684" s="3" t="str">
        <f t="shared" si="389"/>
        <v>PTA807</v>
      </c>
      <c r="AM684" s="3" t="str">
        <f t="shared" si="327"/>
        <v>PTA80711</v>
      </c>
      <c r="AN684" s="6">
        <f t="shared" si="390"/>
        <v>623</v>
      </c>
      <c r="AO684" s="6">
        <f t="shared" si="328"/>
        <v>20180326</v>
      </c>
      <c r="AP684" s="6" t="str">
        <f t="shared" si="329"/>
        <v>9999</v>
      </c>
      <c r="AQ684" s="6" t="str">
        <f t="shared" si="330"/>
        <v>CNY</v>
      </c>
      <c r="AR684" s="6" t="str">
        <f t="shared" si="391"/>
        <v>50010002</v>
      </c>
      <c r="AS684" s="6">
        <f t="shared" si="331"/>
        <v>20180326</v>
      </c>
      <c r="AT684" s="6">
        <f t="shared" si="392"/>
        <v>20180326</v>
      </c>
      <c r="AU684" s="310">
        <f t="shared" si="393"/>
        <v>623</v>
      </c>
      <c r="AV684" s="6">
        <f t="shared" si="394"/>
        <v>1</v>
      </c>
      <c r="AW684" s="6" t="str">
        <f t="shared" si="395"/>
        <v>PTA807</v>
      </c>
    </row>
    <row r="685" spans="1:49" s="6" customFormat="1" x14ac:dyDescent="0.25">
      <c r="A685" s="167"/>
      <c r="B685" s="578" t="str">
        <f>B684</f>
        <v>PTA807C6500&amp;PTA807P6200</v>
      </c>
      <c r="C685" s="12" t="s">
        <v>510</v>
      </c>
      <c r="D685" s="12">
        <f>D684</f>
        <v>19</v>
      </c>
      <c r="E685" s="12" t="str">
        <f>C558</f>
        <v>2018032610000109</v>
      </c>
      <c r="F685" s="12" t="str">
        <f t="shared" si="374"/>
        <v>6001</v>
      </c>
      <c r="G685" s="12" t="str">
        <f t="shared" si="375"/>
        <v>B00102</v>
      </c>
      <c r="H685" s="12" t="str">
        <f t="shared" si="376"/>
        <v>6001</v>
      </c>
      <c r="I685" s="12" t="str">
        <f t="shared" si="377"/>
        <v>PTA807P6200</v>
      </c>
      <c r="J685" s="12">
        <v>1</v>
      </c>
      <c r="K685" s="222">
        <v>0</v>
      </c>
      <c r="L685" s="12">
        <f t="shared" si="378"/>
        <v>0</v>
      </c>
      <c r="M685" s="12">
        <f t="shared" si="318"/>
        <v>2</v>
      </c>
      <c r="N685" s="12">
        <v>1</v>
      </c>
      <c r="O685" s="12">
        <v>1</v>
      </c>
      <c r="P685" s="12">
        <f t="shared" si="319"/>
        <v>6.2E-2</v>
      </c>
      <c r="Q685" s="12">
        <f t="shared" si="396"/>
        <v>6.21</v>
      </c>
      <c r="R685" s="12">
        <f t="shared" si="379"/>
        <v>4.1000000000000002E-2</v>
      </c>
      <c r="S685" s="12">
        <f t="shared" si="380"/>
        <v>4.0999999999999996</v>
      </c>
      <c r="T685" s="12">
        <f t="shared" si="381"/>
        <v>5</v>
      </c>
      <c r="U685" s="250">
        <f t="shared" si="382"/>
        <v>6200</v>
      </c>
      <c r="V685" s="250">
        <f t="shared" si="383"/>
        <v>605</v>
      </c>
      <c r="W685" s="250">
        <f t="shared" si="384"/>
        <v>6165</v>
      </c>
      <c r="X685" s="12">
        <f t="shared" si="323"/>
        <v>0.5</v>
      </c>
      <c r="Y685" s="12">
        <f t="shared" si="323"/>
        <v>0.5</v>
      </c>
      <c r="Z685" s="12">
        <f t="shared" si="385"/>
        <v>0</v>
      </c>
      <c r="AA685" s="12">
        <f t="shared" si="386"/>
        <v>1</v>
      </c>
      <c r="AB685" s="12">
        <f t="shared" si="325"/>
        <v>0</v>
      </c>
      <c r="AC685" s="12">
        <f t="shared" si="387"/>
        <v>0</v>
      </c>
      <c r="AD685" s="12">
        <f t="shared" si="334"/>
        <v>3025</v>
      </c>
      <c r="AE685" s="12">
        <f t="shared" si="326"/>
        <v>3025</v>
      </c>
      <c r="AF685" s="250">
        <v>0</v>
      </c>
      <c r="AG685" s="250">
        <v>0</v>
      </c>
      <c r="AH685" s="12">
        <v>1</v>
      </c>
      <c r="AI685" s="12">
        <f t="shared" si="388"/>
        <v>1</v>
      </c>
      <c r="AJ685" s="12"/>
      <c r="AK685" s="12"/>
      <c r="AL685" s="3" t="str">
        <f t="shared" si="389"/>
        <v>PTA807</v>
      </c>
      <c r="AM685" s="3" t="str">
        <f t="shared" si="327"/>
        <v>PTA80711</v>
      </c>
      <c r="AN685" s="6">
        <f t="shared" si="390"/>
        <v>629</v>
      </c>
      <c r="AO685" s="6">
        <f t="shared" si="328"/>
        <v>20180326</v>
      </c>
      <c r="AP685" s="6" t="str">
        <f t="shared" si="329"/>
        <v>9999</v>
      </c>
      <c r="AQ685" s="6" t="str">
        <f t="shared" si="330"/>
        <v>CNY</v>
      </c>
      <c r="AR685" s="6" t="str">
        <f t="shared" si="391"/>
        <v>50010002</v>
      </c>
      <c r="AS685" s="6">
        <f t="shared" si="331"/>
        <v>20180326</v>
      </c>
      <c r="AT685" s="6">
        <f t="shared" si="392"/>
        <v>20180326</v>
      </c>
      <c r="AU685" s="310">
        <f t="shared" si="393"/>
        <v>629</v>
      </c>
      <c r="AV685" s="6">
        <f t="shared" si="394"/>
        <v>1</v>
      </c>
      <c r="AW685" s="6" t="str">
        <f t="shared" si="395"/>
        <v>PTA807</v>
      </c>
    </row>
    <row r="686" spans="1:49" s="6" customFormat="1" x14ac:dyDescent="0.25">
      <c r="A686" s="167"/>
      <c r="B686" s="578" t="str">
        <f>C48</f>
        <v>PTA807C6500&amp;PTA807P6200</v>
      </c>
      <c r="C686" s="12" t="s">
        <v>510</v>
      </c>
      <c r="D686" s="12">
        <v>20</v>
      </c>
      <c r="E686" s="12" t="str">
        <f>E682</f>
        <v>2018032610000104</v>
      </c>
      <c r="F686" s="12" t="str">
        <f t="shared" si="374"/>
        <v>6001</v>
      </c>
      <c r="G686" s="12" t="str">
        <f t="shared" si="375"/>
        <v>B00102</v>
      </c>
      <c r="H686" s="12" t="str">
        <f t="shared" si="376"/>
        <v>6001</v>
      </c>
      <c r="I686" s="12" t="str">
        <f t="shared" si="377"/>
        <v>PTA807C6500</v>
      </c>
      <c r="J686" s="12">
        <v>1</v>
      </c>
      <c r="K686" s="222">
        <v>1</v>
      </c>
      <c r="L686" s="12">
        <f t="shared" si="378"/>
        <v>1</v>
      </c>
      <c r="M686" s="12">
        <f t="shared" si="318"/>
        <v>3</v>
      </c>
      <c r="N686" s="12">
        <v>1</v>
      </c>
      <c r="O686" s="12">
        <v>1</v>
      </c>
      <c r="P686" s="12">
        <f t="shared" si="319"/>
        <v>6.0000000000000005E-2</v>
      </c>
      <c r="Q686" s="12">
        <f t="shared" si="396"/>
        <v>6</v>
      </c>
      <c r="R686" s="12">
        <f t="shared" si="379"/>
        <v>0.04</v>
      </c>
      <c r="S686" s="12">
        <f t="shared" si="380"/>
        <v>4</v>
      </c>
      <c r="T686" s="12">
        <f t="shared" si="381"/>
        <v>5</v>
      </c>
      <c r="U686" s="250">
        <f t="shared" si="382"/>
        <v>6500</v>
      </c>
      <c r="V686" s="250">
        <f t="shared" si="383"/>
        <v>600</v>
      </c>
      <c r="W686" s="250">
        <f t="shared" si="384"/>
        <v>6165</v>
      </c>
      <c r="X686" s="12">
        <f t="shared" si="323"/>
        <v>0.5</v>
      </c>
      <c r="Y686" s="12">
        <f t="shared" si="323"/>
        <v>0.5</v>
      </c>
      <c r="Z686" s="12">
        <f t="shared" si="385"/>
        <v>1675</v>
      </c>
      <c r="AA686" s="12">
        <f t="shared" si="386"/>
        <v>0</v>
      </c>
      <c r="AB686" s="12">
        <f t="shared" si="325"/>
        <v>4018</v>
      </c>
      <c r="AC686" s="12">
        <f t="shared" si="387"/>
        <v>3399.5</v>
      </c>
      <c r="AD686" s="12">
        <f t="shared" si="334"/>
        <v>3000</v>
      </c>
      <c r="AE686" s="12">
        <f t="shared" si="326"/>
        <v>3000</v>
      </c>
      <c r="AF686" s="250">
        <f>IF(AC686&gt;=AC687,AB686+AE687*N687,0)</f>
        <v>0</v>
      </c>
      <c r="AG686" s="250">
        <f>IF(AC686&gt;=AC687,AC686+AE687*N687,0)</f>
        <v>0</v>
      </c>
      <c r="AH686" s="12">
        <v>1</v>
      </c>
      <c r="AI686" s="12">
        <f t="shared" si="388"/>
        <v>1</v>
      </c>
      <c r="AJ686" s="12"/>
      <c r="AK686" s="12"/>
      <c r="AL686" s="3" t="str">
        <f t="shared" si="389"/>
        <v>PTA807</v>
      </c>
      <c r="AM686" s="3" t="str">
        <f t="shared" si="327"/>
        <v>PTA80710</v>
      </c>
      <c r="AN686" s="6">
        <f t="shared" si="390"/>
        <v>624</v>
      </c>
      <c r="AO686" s="6">
        <f t="shared" si="328"/>
        <v>20180326</v>
      </c>
      <c r="AP686" s="6" t="str">
        <f t="shared" si="329"/>
        <v>9999</v>
      </c>
      <c r="AQ686" s="6" t="str">
        <f t="shared" si="330"/>
        <v>CNY</v>
      </c>
      <c r="AR686" s="6" t="str">
        <f t="shared" si="391"/>
        <v>50010002</v>
      </c>
      <c r="AS686" s="6">
        <f t="shared" si="331"/>
        <v>20180326</v>
      </c>
      <c r="AT686" s="6">
        <f t="shared" si="392"/>
        <v>20180326</v>
      </c>
      <c r="AU686" s="310">
        <f t="shared" si="393"/>
        <v>624</v>
      </c>
      <c r="AV686" s="6">
        <f t="shared" si="394"/>
        <v>1</v>
      </c>
      <c r="AW686" s="6" t="str">
        <f t="shared" si="395"/>
        <v>PTA807</v>
      </c>
    </row>
    <row r="687" spans="1:49" s="6" customFormat="1" x14ac:dyDescent="0.25">
      <c r="A687" s="167"/>
      <c r="B687" s="578" t="str">
        <f>B686</f>
        <v>PTA807C6500&amp;PTA807P6200</v>
      </c>
      <c r="C687" s="12" t="s">
        <v>510</v>
      </c>
      <c r="D687" s="12">
        <f>D686</f>
        <v>20</v>
      </c>
      <c r="E687" s="12" t="str">
        <f>C559</f>
        <v>2018032610000110</v>
      </c>
      <c r="F687" s="12" t="str">
        <f t="shared" si="374"/>
        <v>6001</v>
      </c>
      <c r="G687" s="12" t="str">
        <f t="shared" si="375"/>
        <v>B00102</v>
      </c>
      <c r="H687" s="12" t="str">
        <f t="shared" si="376"/>
        <v>6001</v>
      </c>
      <c r="I687" s="12" t="str">
        <f t="shared" si="377"/>
        <v>PTA807P6200</v>
      </c>
      <c r="J687" s="12">
        <v>1</v>
      </c>
      <c r="K687" s="222">
        <v>1</v>
      </c>
      <c r="L687" s="12">
        <f t="shared" si="378"/>
        <v>1</v>
      </c>
      <c r="M687" s="12">
        <f t="shared" si="318"/>
        <v>3</v>
      </c>
      <c r="N687" s="12">
        <v>1</v>
      </c>
      <c r="O687" s="12">
        <v>1</v>
      </c>
      <c r="P687" s="12">
        <f t="shared" si="319"/>
        <v>6.0000000000000005E-2</v>
      </c>
      <c r="Q687" s="12">
        <f t="shared" si="396"/>
        <v>6</v>
      </c>
      <c r="R687" s="12">
        <f t="shared" si="379"/>
        <v>0.04</v>
      </c>
      <c r="S687" s="12">
        <f t="shared" si="380"/>
        <v>4</v>
      </c>
      <c r="T687" s="12">
        <f t="shared" si="381"/>
        <v>5</v>
      </c>
      <c r="U687" s="250">
        <f t="shared" si="382"/>
        <v>6200</v>
      </c>
      <c r="V687" s="250">
        <f t="shared" si="383"/>
        <v>605</v>
      </c>
      <c r="W687" s="250">
        <f t="shared" si="384"/>
        <v>6165</v>
      </c>
      <c r="X687" s="12">
        <f t="shared" si="323"/>
        <v>0.5</v>
      </c>
      <c r="Y687" s="12">
        <f t="shared" si="323"/>
        <v>0.5</v>
      </c>
      <c r="Z687" s="12">
        <f t="shared" si="385"/>
        <v>0</v>
      </c>
      <c r="AA687" s="12">
        <f t="shared" si="386"/>
        <v>1</v>
      </c>
      <c r="AB687" s="12">
        <f t="shared" si="325"/>
        <v>4880.5</v>
      </c>
      <c r="AC687" s="12">
        <f t="shared" si="387"/>
        <v>4262</v>
      </c>
      <c r="AD687" s="12">
        <f t="shared" si="334"/>
        <v>3025</v>
      </c>
      <c r="AE687" s="12">
        <f t="shared" si="326"/>
        <v>3025</v>
      </c>
      <c r="AF687" s="250">
        <f>IF(AC687&gt;AC686,AB687+AE686*N686,0)</f>
        <v>7880.5</v>
      </c>
      <c r="AG687" s="250">
        <f>IF(AC687&gt;AC686,AC687+AE686*N686,0)</f>
        <v>7262</v>
      </c>
      <c r="AH687" s="12">
        <v>1</v>
      </c>
      <c r="AI687" s="12">
        <f t="shared" si="388"/>
        <v>1</v>
      </c>
      <c r="AJ687" s="12"/>
      <c r="AK687" s="12"/>
      <c r="AL687" s="3" t="str">
        <f t="shared" si="389"/>
        <v>PTA807</v>
      </c>
      <c r="AM687" s="3" t="str">
        <f t="shared" si="327"/>
        <v>PTA80710</v>
      </c>
      <c r="AN687" s="6">
        <f t="shared" si="390"/>
        <v>630</v>
      </c>
      <c r="AO687" s="6">
        <f t="shared" si="328"/>
        <v>20180326</v>
      </c>
      <c r="AP687" s="6" t="str">
        <f t="shared" si="329"/>
        <v>9999</v>
      </c>
      <c r="AQ687" s="6" t="str">
        <f t="shared" si="330"/>
        <v>CNY</v>
      </c>
      <c r="AR687" s="6" t="str">
        <f t="shared" si="391"/>
        <v>50010002</v>
      </c>
      <c r="AS687" s="6">
        <f t="shared" si="331"/>
        <v>20180326</v>
      </c>
      <c r="AT687" s="6">
        <f t="shared" si="392"/>
        <v>20180326</v>
      </c>
      <c r="AU687" s="310">
        <f t="shared" si="393"/>
        <v>630</v>
      </c>
      <c r="AV687" s="6">
        <f t="shared" si="394"/>
        <v>1</v>
      </c>
      <c r="AW687" s="6" t="str">
        <f t="shared" si="395"/>
        <v>PTA807</v>
      </c>
    </row>
    <row r="688" spans="1:49" s="6" customFormat="1" x14ac:dyDescent="0.25">
      <c r="A688" s="167"/>
      <c r="B688" s="578" t="str">
        <f>C49</f>
        <v>SR807C6500&amp;SR807P6500</v>
      </c>
      <c r="C688" s="12" t="s">
        <v>1105</v>
      </c>
      <c r="D688" s="12">
        <v>8</v>
      </c>
      <c r="E688" s="12" t="str">
        <f>C537</f>
        <v>2018032610000089</v>
      </c>
      <c r="F688" s="12" t="str">
        <f t="shared" ref="F688:F697" si="397">VLOOKUP(E688,$C$485:$AN$550,3,FALSE)</f>
        <v>6001</v>
      </c>
      <c r="G688" s="12" t="str">
        <f t="shared" ref="G688:G697" si="398">VLOOKUP(E688,$C$485:$AN$550,4,FALSE)</f>
        <v>B00101</v>
      </c>
      <c r="H688" s="12" t="str">
        <f t="shared" ref="H688:H697" si="399">VLOOKUP(E688,$C$485:$AN$550,5,FALSE)</f>
        <v>6001</v>
      </c>
      <c r="I688" s="12" t="str">
        <f t="shared" ref="I688:I697" si="400">VLOOKUP(E688,$C$485:$AN$550,10,FALSE)</f>
        <v>SR807C6500</v>
      </c>
      <c r="J688" s="12">
        <v>1</v>
      </c>
      <c r="K688" s="725">
        <v>0</v>
      </c>
      <c r="L688" s="12">
        <f t="shared" ref="L688:L693" si="401">VLOOKUP(E688,$C$485:$AN$550,13,FALSE)</f>
        <v>0</v>
      </c>
      <c r="M688" s="12">
        <f t="shared" si="318"/>
        <v>2</v>
      </c>
      <c r="N688" s="12">
        <v>1</v>
      </c>
      <c r="O688" s="12">
        <v>1</v>
      </c>
      <c r="P688" s="12">
        <f t="shared" ref="P688:P697" si="402">IF(AI688=0, VLOOKUP(AM688,$F$56:$L$75,4,FALSE),VLOOKUP(AM688,$F$56:$L$75,4,FALSE)+VLOOKUP(AM688,$F$56:$L$75,6,FALSE) )</f>
        <v>6.2E-2</v>
      </c>
      <c r="Q688" s="12">
        <f t="shared" si="320"/>
        <v>6.21</v>
      </c>
      <c r="R688" s="12">
        <f t="shared" si="321"/>
        <v>4.1000000000000002E-2</v>
      </c>
      <c r="S688" s="12">
        <f t="shared" si="322"/>
        <v>4.0999999999999996</v>
      </c>
      <c r="T688" s="12">
        <f t="shared" si="381"/>
        <v>10</v>
      </c>
      <c r="U688" s="12">
        <f t="shared" si="382"/>
        <v>6500</v>
      </c>
      <c r="V688" s="12">
        <f t="shared" si="383"/>
        <v>615</v>
      </c>
      <c r="W688" s="12">
        <f t="shared" si="384"/>
        <v>6150</v>
      </c>
      <c r="X688" s="12">
        <f t="shared" si="323"/>
        <v>0.5</v>
      </c>
      <c r="Y688" s="12">
        <f t="shared" si="323"/>
        <v>0.5</v>
      </c>
      <c r="Z688" s="12">
        <f t="shared" si="324"/>
        <v>3500</v>
      </c>
      <c r="AA688" s="12">
        <f t="shared" si="386"/>
        <v>0</v>
      </c>
      <c r="AB688" s="12">
        <f t="shared" si="325"/>
        <v>0</v>
      </c>
      <c r="AC688" s="12">
        <f t="shared" si="387"/>
        <v>0</v>
      </c>
      <c r="AD688" s="12">
        <f t="shared" si="334"/>
        <v>6150</v>
      </c>
      <c r="AE688" s="12">
        <f t="shared" si="326"/>
        <v>6150</v>
      </c>
      <c r="AF688" s="12">
        <v>0</v>
      </c>
      <c r="AG688" s="12">
        <v>0</v>
      </c>
      <c r="AH688" s="12">
        <v>1</v>
      </c>
      <c r="AI688" s="12">
        <f t="shared" si="388"/>
        <v>1</v>
      </c>
      <c r="AJ688" s="12" t="e">
        <f t="shared" si="332"/>
        <v>#N/A</v>
      </c>
      <c r="AK688" s="12">
        <f t="shared" ref="AK688:AK697" si="403" xml:space="preserve"> VLOOKUP(I688,$C$22:$L$34,9,FALSE)</f>
        <v>0</v>
      </c>
      <c r="AL688" s="3" t="str">
        <f t="shared" si="389"/>
        <v>SR807</v>
      </c>
      <c r="AM688" s="3" t="str">
        <f t="shared" si="327"/>
        <v>SR80711</v>
      </c>
      <c r="AN688" s="6">
        <f t="shared" ref="AN688:AN697" si="404">VLOOKUP(E688,$C$485:$AN$550,17,FALSE)</f>
        <v>609</v>
      </c>
      <c r="AO688" s="6">
        <f t="shared" si="328"/>
        <v>20180326</v>
      </c>
      <c r="AP688" s="6" t="str">
        <f t="shared" si="329"/>
        <v>9999</v>
      </c>
      <c r="AQ688" s="6" t="str">
        <f t="shared" si="330"/>
        <v>CNY</v>
      </c>
      <c r="AR688" s="6" t="str">
        <f t="shared" si="313"/>
        <v>50010001</v>
      </c>
      <c r="AS688" s="6">
        <f t="shared" si="331"/>
        <v>20180326</v>
      </c>
      <c r="AT688" s="6">
        <f t="shared" si="392"/>
        <v>20180326</v>
      </c>
      <c r="AU688" s="310">
        <f t="shared" si="393"/>
        <v>609</v>
      </c>
      <c r="AV688" s="6">
        <f t="shared" si="394"/>
        <v>1</v>
      </c>
      <c r="AW688" s="6" t="str">
        <f t="shared" si="395"/>
        <v>SR807</v>
      </c>
    </row>
    <row r="689" spans="1:50" s="6" customFormat="1" x14ac:dyDescent="0.25">
      <c r="A689" s="167"/>
      <c r="B689" s="578" t="str">
        <f>B688</f>
        <v>SR807C6500&amp;SR807P6500</v>
      </c>
      <c r="C689" s="12" t="s">
        <v>1105</v>
      </c>
      <c r="D689" s="12">
        <f>D688</f>
        <v>8</v>
      </c>
      <c r="E689" s="12" t="str">
        <f>C544</f>
        <v>2018032610000096</v>
      </c>
      <c r="F689" s="12" t="str">
        <f t="shared" si="397"/>
        <v>6001</v>
      </c>
      <c r="G689" s="12" t="str">
        <f t="shared" si="398"/>
        <v>B00101</v>
      </c>
      <c r="H689" s="12" t="str">
        <f t="shared" si="399"/>
        <v>6001</v>
      </c>
      <c r="I689" s="12" t="str">
        <f t="shared" si="400"/>
        <v>SR807P6500</v>
      </c>
      <c r="J689" s="12">
        <v>1</v>
      </c>
      <c r="K689" s="726"/>
      <c r="L689" s="12">
        <f t="shared" si="401"/>
        <v>0</v>
      </c>
      <c r="M689" s="12">
        <f t="shared" si="318"/>
        <v>2</v>
      </c>
      <c r="N689" s="12">
        <v>1</v>
      </c>
      <c r="O689" s="12">
        <v>1</v>
      </c>
      <c r="P689" s="12">
        <f t="shared" si="402"/>
        <v>6.2E-2</v>
      </c>
      <c r="Q689" s="12">
        <f t="shared" si="320"/>
        <v>6.21</v>
      </c>
      <c r="R689" s="12">
        <f t="shared" si="321"/>
        <v>4.1000000000000002E-2</v>
      </c>
      <c r="S689" s="12">
        <f t="shared" si="322"/>
        <v>4.0999999999999996</v>
      </c>
      <c r="T689" s="12">
        <f t="shared" si="381"/>
        <v>10</v>
      </c>
      <c r="U689" s="12">
        <f t="shared" si="382"/>
        <v>6500</v>
      </c>
      <c r="V689" s="12">
        <f t="shared" si="383"/>
        <v>620</v>
      </c>
      <c r="W689" s="12">
        <f t="shared" si="384"/>
        <v>6150</v>
      </c>
      <c r="X689" s="12">
        <f t="shared" si="323"/>
        <v>0.5</v>
      </c>
      <c r="Y689" s="12">
        <f t="shared" si="323"/>
        <v>0.5</v>
      </c>
      <c r="Z689" s="12">
        <f t="shared" si="324"/>
        <v>0</v>
      </c>
      <c r="AA689" s="12">
        <f t="shared" si="386"/>
        <v>1</v>
      </c>
      <c r="AB689" s="12">
        <f t="shared" si="325"/>
        <v>0</v>
      </c>
      <c r="AC689" s="12">
        <f t="shared" si="387"/>
        <v>0</v>
      </c>
      <c r="AD689" s="12">
        <f t="shared" si="334"/>
        <v>6200</v>
      </c>
      <c r="AE689" s="12">
        <f t="shared" si="326"/>
        <v>6200</v>
      </c>
      <c r="AF689" s="12">
        <v>0</v>
      </c>
      <c r="AG689" s="12">
        <v>0</v>
      </c>
      <c r="AH689" s="12">
        <v>1</v>
      </c>
      <c r="AI689" s="12">
        <f t="shared" si="388"/>
        <v>1</v>
      </c>
      <c r="AJ689" s="12" t="e">
        <f t="shared" si="332"/>
        <v>#N/A</v>
      </c>
      <c r="AK689" s="12">
        <f t="shared" si="403"/>
        <v>0</v>
      </c>
      <c r="AL689" s="3" t="str">
        <f t="shared" si="389"/>
        <v>SR807</v>
      </c>
      <c r="AM689" s="3" t="str">
        <f t="shared" si="327"/>
        <v>SR80711</v>
      </c>
      <c r="AN689" s="6">
        <f t="shared" si="404"/>
        <v>616</v>
      </c>
      <c r="AO689" s="6">
        <f t="shared" si="328"/>
        <v>20180326</v>
      </c>
      <c r="AP689" s="6" t="str">
        <f t="shared" si="329"/>
        <v>9999</v>
      </c>
      <c r="AQ689" s="6" t="str">
        <f t="shared" si="330"/>
        <v>CNY</v>
      </c>
      <c r="AR689" s="6" t="str">
        <f t="shared" si="313"/>
        <v>50010001</v>
      </c>
      <c r="AS689" s="6">
        <f t="shared" si="331"/>
        <v>20180326</v>
      </c>
      <c r="AT689" s="6">
        <f t="shared" si="392"/>
        <v>20180326</v>
      </c>
      <c r="AU689" s="310">
        <f t="shared" si="393"/>
        <v>616</v>
      </c>
      <c r="AV689" s="6">
        <f t="shared" si="394"/>
        <v>1</v>
      </c>
      <c r="AW689" s="6" t="str">
        <f t="shared" si="395"/>
        <v>SR807</v>
      </c>
    </row>
    <row r="690" spans="1:50" s="6" customFormat="1" x14ac:dyDescent="0.25">
      <c r="A690" s="167"/>
      <c r="B690" s="578" t="str">
        <f>C50</f>
        <v>SR807C6500&amp;SR807P6500</v>
      </c>
      <c r="C690" s="12" t="s">
        <v>1105</v>
      </c>
      <c r="D690" s="12">
        <v>9</v>
      </c>
      <c r="E690" s="12" t="str">
        <f>C540</f>
        <v>2018032610000092</v>
      </c>
      <c r="F690" s="12" t="str">
        <f t="shared" si="397"/>
        <v>6001</v>
      </c>
      <c r="G690" s="12" t="str">
        <f t="shared" si="398"/>
        <v>B00101</v>
      </c>
      <c r="H690" s="12" t="str">
        <f t="shared" si="399"/>
        <v>6001</v>
      </c>
      <c r="I690" s="12" t="str">
        <f>VLOOKUP(E690,$C$485:$AN$550,10,FALSE)</f>
        <v>SR807C6500</v>
      </c>
      <c r="J690" s="12">
        <v>1</v>
      </c>
      <c r="K690" s="725">
        <v>1</v>
      </c>
      <c r="L690" s="12">
        <f t="shared" si="401"/>
        <v>1</v>
      </c>
      <c r="M690" s="12">
        <f t="shared" si="318"/>
        <v>3</v>
      </c>
      <c r="N690" s="12">
        <v>1</v>
      </c>
      <c r="O690" s="12">
        <v>1</v>
      </c>
      <c r="P690" s="12">
        <f t="shared" si="402"/>
        <v>6.0000000000000005E-2</v>
      </c>
      <c r="Q690" s="12">
        <f t="shared" si="320"/>
        <v>6</v>
      </c>
      <c r="R690" s="12">
        <f t="shared" si="321"/>
        <v>0.04</v>
      </c>
      <c r="S690" s="12">
        <f t="shared" si="322"/>
        <v>4</v>
      </c>
      <c r="T690" s="12">
        <f t="shared" si="381"/>
        <v>10</v>
      </c>
      <c r="U690" s="12">
        <f t="shared" si="382"/>
        <v>6500</v>
      </c>
      <c r="V690" s="12">
        <f t="shared" si="383"/>
        <v>615</v>
      </c>
      <c r="W690" s="12">
        <f t="shared" si="384"/>
        <v>6150</v>
      </c>
      <c r="X690" s="12">
        <f t="shared" si="323"/>
        <v>0.5</v>
      </c>
      <c r="Y690" s="12">
        <f t="shared" si="323"/>
        <v>0.5</v>
      </c>
      <c r="Z690" s="12">
        <f t="shared" si="324"/>
        <v>3500</v>
      </c>
      <c r="AA690" s="12">
        <f t="shared" si="386"/>
        <v>0</v>
      </c>
      <c r="AB690" s="12">
        <f t="shared" si="325"/>
        <v>8096</v>
      </c>
      <c r="AC690" s="12">
        <f t="shared" si="387"/>
        <v>6864</v>
      </c>
      <c r="AD690" s="12">
        <f t="shared" si="334"/>
        <v>6150</v>
      </c>
      <c r="AE690" s="12">
        <f t="shared" si="326"/>
        <v>6150</v>
      </c>
      <c r="AF690" s="12">
        <f>IF(AC690&gt;=AC691,AB690+AE691*L691,0)</f>
        <v>0</v>
      </c>
      <c r="AG690" s="12">
        <f>IF(AC690&gt;=AC691,AC690+N691*AE691,0)</f>
        <v>0</v>
      </c>
      <c r="AH690" s="12">
        <v>1</v>
      </c>
      <c r="AI690" s="12">
        <f t="shared" si="388"/>
        <v>1</v>
      </c>
      <c r="AJ690" s="12" t="e">
        <f t="shared" si="332"/>
        <v>#N/A</v>
      </c>
      <c r="AK690" s="12">
        <f t="shared" si="403"/>
        <v>0</v>
      </c>
      <c r="AL690" s="3" t="str">
        <f t="shared" si="389"/>
        <v>SR807</v>
      </c>
      <c r="AM690" s="3" t="str">
        <f t="shared" si="327"/>
        <v>SR80710</v>
      </c>
      <c r="AN690" s="6">
        <f t="shared" si="404"/>
        <v>612</v>
      </c>
      <c r="AO690" s="6">
        <f t="shared" si="328"/>
        <v>20180326</v>
      </c>
      <c r="AP690" s="6" t="str">
        <f t="shared" si="329"/>
        <v>9999</v>
      </c>
      <c r="AQ690" s="6" t="str">
        <f t="shared" si="330"/>
        <v>CNY</v>
      </c>
      <c r="AR690" s="6" t="str">
        <f t="shared" si="313"/>
        <v>50010001</v>
      </c>
      <c r="AS690" s="6">
        <f t="shared" si="331"/>
        <v>20180326</v>
      </c>
      <c r="AT690" s="6">
        <f t="shared" si="392"/>
        <v>20180326</v>
      </c>
      <c r="AU690" s="310">
        <f t="shared" si="393"/>
        <v>612</v>
      </c>
      <c r="AV690" s="6">
        <f t="shared" si="394"/>
        <v>1</v>
      </c>
      <c r="AW690" s="6" t="str">
        <f t="shared" si="395"/>
        <v>SR807</v>
      </c>
    </row>
    <row r="691" spans="1:50" s="6" customFormat="1" x14ac:dyDescent="0.25">
      <c r="A691" s="167"/>
      <c r="B691" s="578" t="str">
        <f>B690</f>
        <v>SR807C6500&amp;SR807P6500</v>
      </c>
      <c r="C691" s="12" t="s">
        <v>1105</v>
      </c>
      <c r="D691" s="12">
        <f>D690</f>
        <v>9</v>
      </c>
      <c r="E691" s="12" t="str">
        <f>C545</f>
        <v>2018032610000097</v>
      </c>
      <c r="F691" s="12" t="str">
        <f t="shared" si="397"/>
        <v>6001</v>
      </c>
      <c r="G691" s="12" t="str">
        <f t="shared" si="398"/>
        <v>B00101</v>
      </c>
      <c r="H691" s="12" t="str">
        <f t="shared" si="399"/>
        <v>6001</v>
      </c>
      <c r="I691" s="12" t="str">
        <f t="shared" si="400"/>
        <v>SR807P6500</v>
      </c>
      <c r="J691" s="12">
        <v>1</v>
      </c>
      <c r="K691" s="726"/>
      <c r="L691" s="12">
        <f t="shared" si="401"/>
        <v>1</v>
      </c>
      <c r="M691" s="12">
        <f t="shared" si="318"/>
        <v>3</v>
      </c>
      <c r="N691" s="12">
        <v>1</v>
      </c>
      <c r="O691" s="12">
        <v>1</v>
      </c>
      <c r="P691" s="12">
        <f t="shared" si="402"/>
        <v>6.0000000000000005E-2</v>
      </c>
      <c r="Q691" s="12">
        <f t="shared" si="320"/>
        <v>6</v>
      </c>
      <c r="R691" s="12">
        <f t="shared" si="321"/>
        <v>0.04</v>
      </c>
      <c r="S691" s="12">
        <f t="shared" si="322"/>
        <v>4</v>
      </c>
      <c r="T691" s="12">
        <f t="shared" si="381"/>
        <v>10</v>
      </c>
      <c r="U691" s="12">
        <f t="shared" si="382"/>
        <v>6500</v>
      </c>
      <c r="V691" s="12">
        <f t="shared" si="383"/>
        <v>620</v>
      </c>
      <c r="W691" s="12">
        <f t="shared" si="384"/>
        <v>6150</v>
      </c>
      <c r="X691" s="12">
        <f t="shared" si="323"/>
        <v>0.5</v>
      </c>
      <c r="Y691" s="12">
        <f t="shared" si="323"/>
        <v>0.5</v>
      </c>
      <c r="Z691" s="12">
        <f t="shared" si="324"/>
        <v>0</v>
      </c>
      <c r="AA691" s="12">
        <f t="shared" si="386"/>
        <v>1</v>
      </c>
      <c r="AB691" s="12">
        <f t="shared" si="325"/>
        <v>9896</v>
      </c>
      <c r="AC691" s="12">
        <f t="shared" si="387"/>
        <v>8664</v>
      </c>
      <c r="AD691" s="12">
        <f t="shared" si="334"/>
        <v>6200</v>
      </c>
      <c r="AE691" s="12">
        <f t="shared" si="326"/>
        <v>6200</v>
      </c>
      <c r="AF691" s="12">
        <f>IF(AC690&lt;AC691,AB691+AE690*L690,0)</f>
        <v>16046</v>
      </c>
      <c r="AG691" s="12">
        <f>IF(AC690&lt;AC691,AC691+N690*AE690,0)</f>
        <v>14814</v>
      </c>
      <c r="AH691" s="12">
        <v>1</v>
      </c>
      <c r="AI691" s="12">
        <f t="shared" si="388"/>
        <v>1</v>
      </c>
      <c r="AJ691" s="12" t="e">
        <f t="shared" si="332"/>
        <v>#N/A</v>
      </c>
      <c r="AK691" s="12">
        <f t="shared" si="403"/>
        <v>0</v>
      </c>
      <c r="AL691" s="3" t="str">
        <f t="shared" si="389"/>
        <v>SR807</v>
      </c>
      <c r="AM691" s="3" t="str">
        <f t="shared" si="327"/>
        <v>SR80710</v>
      </c>
      <c r="AN691" s="6">
        <f t="shared" si="404"/>
        <v>617</v>
      </c>
      <c r="AO691" s="6">
        <f t="shared" si="328"/>
        <v>20180326</v>
      </c>
      <c r="AP691" s="6" t="str">
        <f t="shared" si="329"/>
        <v>9999</v>
      </c>
      <c r="AQ691" s="6" t="str">
        <f t="shared" si="330"/>
        <v>CNY</v>
      </c>
      <c r="AR691" s="6" t="str">
        <f t="shared" si="313"/>
        <v>50010001</v>
      </c>
      <c r="AS691" s="6">
        <f t="shared" si="331"/>
        <v>20180326</v>
      </c>
      <c r="AT691" s="6">
        <f t="shared" si="392"/>
        <v>20180326</v>
      </c>
      <c r="AU691" s="310">
        <f t="shared" si="393"/>
        <v>617</v>
      </c>
      <c r="AV691" s="6">
        <f t="shared" si="394"/>
        <v>1</v>
      </c>
      <c r="AW691" s="6" t="str">
        <f t="shared" si="395"/>
        <v>SR807</v>
      </c>
    </row>
    <row r="692" spans="1:50" s="6" customFormat="1" x14ac:dyDescent="0.25">
      <c r="A692" s="167"/>
      <c r="B692" s="578" t="str">
        <f>C51</f>
        <v>SR807C6500&amp;SR807P6400</v>
      </c>
      <c r="C692" s="12" t="s">
        <v>1106</v>
      </c>
      <c r="D692" s="12">
        <v>10</v>
      </c>
      <c r="E692" s="12" t="str">
        <f>C537</f>
        <v>2018032610000089</v>
      </c>
      <c r="F692" s="12" t="str">
        <f t="shared" si="397"/>
        <v>6001</v>
      </c>
      <c r="G692" s="12" t="str">
        <f t="shared" si="398"/>
        <v>B00101</v>
      </c>
      <c r="H692" s="12" t="str">
        <f t="shared" si="399"/>
        <v>6001</v>
      </c>
      <c r="I692" s="12" t="str">
        <f t="shared" si="400"/>
        <v>SR807C6500</v>
      </c>
      <c r="J692" s="12">
        <v>1</v>
      </c>
      <c r="K692" s="725">
        <v>0</v>
      </c>
      <c r="L692" s="12">
        <f t="shared" si="401"/>
        <v>0</v>
      </c>
      <c r="M692" s="12">
        <f t="shared" si="318"/>
        <v>2</v>
      </c>
      <c r="N692" s="12">
        <v>1</v>
      </c>
      <c r="O692" s="12">
        <v>1</v>
      </c>
      <c r="P692" s="12">
        <f t="shared" si="402"/>
        <v>6.2E-2</v>
      </c>
      <c r="Q692" s="12">
        <f t="shared" si="320"/>
        <v>6.21</v>
      </c>
      <c r="R692" s="12">
        <f t="shared" si="321"/>
        <v>4.1000000000000002E-2</v>
      </c>
      <c r="S692" s="12">
        <f t="shared" si="322"/>
        <v>4.0999999999999996</v>
      </c>
      <c r="T692" s="12">
        <f t="shared" si="381"/>
        <v>10</v>
      </c>
      <c r="U692" s="12">
        <f t="shared" si="382"/>
        <v>6500</v>
      </c>
      <c r="V692" s="12">
        <f t="shared" si="383"/>
        <v>615</v>
      </c>
      <c r="W692" s="12">
        <f t="shared" si="384"/>
        <v>6150</v>
      </c>
      <c r="X692" s="12">
        <f t="shared" si="323"/>
        <v>0.5</v>
      </c>
      <c r="Y692" s="12">
        <f t="shared" si="323"/>
        <v>0.5</v>
      </c>
      <c r="Z692" s="12">
        <f t="shared" si="324"/>
        <v>3500</v>
      </c>
      <c r="AA692" s="12">
        <f t="shared" si="386"/>
        <v>0</v>
      </c>
      <c r="AB692" s="12">
        <f t="shared" si="325"/>
        <v>0</v>
      </c>
      <c r="AC692" s="12">
        <f t="shared" si="387"/>
        <v>0</v>
      </c>
      <c r="AD692" s="12">
        <f t="shared" si="334"/>
        <v>6150</v>
      </c>
      <c r="AE692" s="12">
        <f t="shared" si="326"/>
        <v>6150</v>
      </c>
      <c r="AF692" s="12">
        <v>0</v>
      </c>
      <c r="AG692" s="12">
        <v>0</v>
      </c>
      <c r="AH692" s="12">
        <v>1</v>
      </c>
      <c r="AI692" s="12">
        <f t="shared" si="388"/>
        <v>1</v>
      </c>
      <c r="AJ692" s="12" t="e">
        <f t="shared" si="332"/>
        <v>#N/A</v>
      </c>
      <c r="AK692" s="12">
        <f t="shared" si="403"/>
        <v>0</v>
      </c>
      <c r="AL692" s="3" t="str">
        <f t="shared" si="389"/>
        <v>SR807</v>
      </c>
      <c r="AM692" s="3" t="str">
        <f t="shared" si="327"/>
        <v>SR80711</v>
      </c>
      <c r="AN692" s="6">
        <f t="shared" si="404"/>
        <v>609</v>
      </c>
      <c r="AO692" s="6">
        <f t="shared" si="328"/>
        <v>20180326</v>
      </c>
      <c r="AP692" s="6" t="str">
        <f t="shared" si="329"/>
        <v>9999</v>
      </c>
      <c r="AQ692" s="6" t="str">
        <f t="shared" si="330"/>
        <v>CNY</v>
      </c>
      <c r="AR692" s="6" t="str">
        <f t="shared" si="313"/>
        <v>50010001</v>
      </c>
      <c r="AS692" s="6">
        <f t="shared" si="331"/>
        <v>20180326</v>
      </c>
      <c r="AT692" s="6">
        <f t="shared" si="392"/>
        <v>20180326</v>
      </c>
      <c r="AU692" s="310">
        <f t="shared" si="393"/>
        <v>609</v>
      </c>
      <c r="AV692" s="6">
        <f t="shared" si="394"/>
        <v>1</v>
      </c>
      <c r="AW692" s="6" t="str">
        <f t="shared" si="395"/>
        <v>SR807</v>
      </c>
    </row>
    <row r="693" spans="1:50" s="6" customFormat="1" x14ac:dyDescent="0.25">
      <c r="A693" s="167"/>
      <c r="B693" s="578" t="str">
        <f>B692</f>
        <v>SR807C6500&amp;SR807P6400</v>
      </c>
      <c r="C693" s="12" t="s">
        <v>1106</v>
      </c>
      <c r="D693" s="12">
        <f>D692</f>
        <v>10</v>
      </c>
      <c r="E693" s="12" t="str">
        <f>C548</f>
        <v>2018032610000100</v>
      </c>
      <c r="F693" s="12" t="str">
        <f t="shared" si="397"/>
        <v>6001</v>
      </c>
      <c r="G693" s="12" t="str">
        <f t="shared" si="398"/>
        <v>B00101</v>
      </c>
      <c r="H693" s="12" t="str">
        <f t="shared" si="399"/>
        <v>6001</v>
      </c>
      <c r="I693" s="12" t="str">
        <f t="shared" si="400"/>
        <v>SR807P6400</v>
      </c>
      <c r="J693" s="12">
        <v>1</v>
      </c>
      <c r="K693" s="726"/>
      <c r="L693" s="12">
        <f t="shared" si="401"/>
        <v>0</v>
      </c>
      <c r="M693" s="12">
        <f t="shared" si="318"/>
        <v>2</v>
      </c>
      <c r="N693" s="12">
        <v>1</v>
      </c>
      <c r="O693" s="12">
        <v>1</v>
      </c>
      <c r="P693" s="12">
        <f t="shared" si="402"/>
        <v>6.2E-2</v>
      </c>
      <c r="Q693" s="12">
        <f t="shared" si="320"/>
        <v>6.21</v>
      </c>
      <c r="R693" s="12">
        <f t="shared" si="321"/>
        <v>4.1000000000000002E-2</v>
      </c>
      <c r="S693" s="12">
        <f t="shared" si="322"/>
        <v>4.0999999999999996</v>
      </c>
      <c r="T693" s="12">
        <f t="shared" si="381"/>
        <v>10</v>
      </c>
      <c r="U693" s="12">
        <f t="shared" si="382"/>
        <v>6400</v>
      </c>
      <c r="V693" s="12">
        <f t="shared" si="383"/>
        <v>625</v>
      </c>
      <c r="W693" s="12">
        <f t="shared" si="384"/>
        <v>6150</v>
      </c>
      <c r="X693" s="12">
        <f t="shared" si="323"/>
        <v>0.5</v>
      </c>
      <c r="Y693" s="12">
        <f t="shared" si="323"/>
        <v>0.5</v>
      </c>
      <c r="Z693" s="12">
        <f t="shared" si="324"/>
        <v>0</v>
      </c>
      <c r="AA693" s="12">
        <f t="shared" si="386"/>
        <v>1</v>
      </c>
      <c r="AB693" s="12">
        <f t="shared" si="325"/>
        <v>0</v>
      </c>
      <c r="AC693" s="12">
        <f t="shared" si="387"/>
        <v>0</v>
      </c>
      <c r="AD693" s="12">
        <f t="shared" si="334"/>
        <v>6250</v>
      </c>
      <c r="AE693" s="12">
        <f t="shared" si="326"/>
        <v>6250</v>
      </c>
      <c r="AF693" s="12">
        <v>0</v>
      </c>
      <c r="AG693" s="12">
        <v>0</v>
      </c>
      <c r="AH693" s="12">
        <v>1</v>
      </c>
      <c r="AI693" s="12">
        <f t="shared" si="388"/>
        <v>1</v>
      </c>
      <c r="AJ693" s="12" t="e">
        <f t="shared" si="332"/>
        <v>#N/A</v>
      </c>
      <c r="AK693" s="12">
        <f t="shared" si="403"/>
        <v>0</v>
      </c>
      <c r="AL693" s="3" t="str">
        <f t="shared" si="389"/>
        <v>SR807</v>
      </c>
      <c r="AM693" s="3" t="str">
        <f t="shared" si="327"/>
        <v>SR80711</v>
      </c>
      <c r="AN693" s="6">
        <f t="shared" si="404"/>
        <v>620</v>
      </c>
      <c r="AO693" s="6">
        <f t="shared" si="328"/>
        <v>20180326</v>
      </c>
      <c r="AP693" s="6" t="str">
        <f t="shared" si="329"/>
        <v>9999</v>
      </c>
      <c r="AQ693" s="6" t="str">
        <f t="shared" si="330"/>
        <v>CNY</v>
      </c>
      <c r="AR693" s="6" t="str">
        <f t="shared" si="313"/>
        <v>50010001</v>
      </c>
      <c r="AS693" s="6">
        <f t="shared" si="331"/>
        <v>20180326</v>
      </c>
      <c r="AT693" s="6">
        <f t="shared" si="392"/>
        <v>20180326</v>
      </c>
      <c r="AU693" s="310">
        <f t="shared" si="393"/>
        <v>620</v>
      </c>
      <c r="AV693" s="6">
        <f t="shared" si="394"/>
        <v>1</v>
      </c>
      <c r="AW693" s="6" t="str">
        <f t="shared" si="395"/>
        <v>SR807</v>
      </c>
    </row>
    <row r="694" spans="1:50" s="6" customFormat="1" x14ac:dyDescent="0.25">
      <c r="A694" s="167"/>
      <c r="B694" s="578" t="str">
        <f>B692</f>
        <v>SR807C6500&amp;SR807P6400</v>
      </c>
      <c r="C694" s="12" t="s">
        <v>1106</v>
      </c>
      <c r="D694" s="12">
        <v>11</v>
      </c>
      <c r="E694" s="12" t="str">
        <f>E692</f>
        <v>2018032610000089</v>
      </c>
      <c r="F694" s="12" t="str">
        <f t="shared" si="397"/>
        <v>6001</v>
      </c>
      <c r="G694" s="12" t="str">
        <f t="shared" si="398"/>
        <v>B00101</v>
      </c>
      <c r="H694" s="12" t="str">
        <f t="shared" si="399"/>
        <v>6001</v>
      </c>
      <c r="I694" s="12" t="str">
        <f t="shared" si="400"/>
        <v>SR807C6500</v>
      </c>
      <c r="J694" s="12">
        <v>1</v>
      </c>
      <c r="K694" s="222">
        <v>0</v>
      </c>
      <c r="L694" s="12">
        <v>0</v>
      </c>
      <c r="M694" s="12">
        <f t="shared" si="318"/>
        <v>2</v>
      </c>
      <c r="N694" s="12">
        <v>1</v>
      </c>
      <c r="O694" s="12">
        <v>1</v>
      </c>
      <c r="P694" s="12">
        <f t="shared" ref="P694:P695" si="405">IF(AI694=0, VLOOKUP(AM694,$F$56:$L$75,4,FALSE),VLOOKUP(AM694,$F$56:$L$75,4,FALSE)+VLOOKUP(AM694,$F$56:$L$75,6,FALSE) )</f>
        <v>6.2E-2</v>
      </c>
      <c r="Q694" s="12">
        <f t="shared" ref="Q694:Q695" si="406">IF(AI694=0, VLOOKUP(AM694,$F$56:$L$75,5,FALSE),VLOOKUP(AM694,$F$56:$L$75,5,FALSE)+VLOOKUP(AM694,$F$56:$L$75,7,FALSE) )</f>
        <v>6.21</v>
      </c>
      <c r="R694" s="12">
        <f t="shared" ref="R694:R695" si="407">VLOOKUP(AM694,$F$56:$L$75,2,FALSE)</f>
        <v>4.1000000000000002E-2</v>
      </c>
      <c r="S694" s="12">
        <f t="shared" ref="S694:S695" si="408">VLOOKUP(AM694,$F$56:$L$75,3,FALSE)</f>
        <v>4.0999999999999996</v>
      </c>
      <c r="T694" s="12">
        <f t="shared" si="381"/>
        <v>10</v>
      </c>
      <c r="U694" s="12">
        <f t="shared" si="382"/>
        <v>6500</v>
      </c>
      <c r="V694" s="12">
        <f t="shared" si="383"/>
        <v>615</v>
      </c>
      <c r="W694" s="12">
        <f t="shared" si="384"/>
        <v>6150</v>
      </c>
      <c r="X694" s="12">
        <f t="shared" si="323"/>
        <v>0.5</v>
      </c>
      <c r="Y694" s="12">
        <f t="shared" si="323"/>
        <v>0.5</v>
      </c>
      <c r="Z694" s="12">
        <f t="shared" ref="Z694:Z695" si="409">IF(AA694=0,MAX((U694-W694)*T694,0),MAX((W694-U694)*T694,0))</f>
        <v>3500</v>
      </c>
      <c r="AA694" s="12">
        <f t="shared" si="386"/>
        <v>0</v>
      </c>
      <c r="AB694" s="12">
        <f t="shared" si="325"/>
        <v>0</v>
      </c>
      <c r="AC694" s="12">
        <f t="shared" si="387"/>
        <v>0</v>
      </c>
      <c r="AD694" s="12">
        <f t="shared" ref="AD694:AD695" si="410">IF(AA694=9,FALSE,N694*T694*V694)</f>
        <v>6150</v>
      </c>
      <c r="AE694" s="12">
        <f t="shared" ref="AE694:AE695" si="411">IF(AI694=1,1*T694*V694,0)</f>
        <v>6150</v>
      </c>
      <c r="AF694" s="12">
        <v>0</v>
      </c>
      <c r="AG694" s="12">
        <v>0</v>
      </c>
      <c r="AH694" s="12">
        <v>1</v>
      </c>
      <c r="AI694" s="12">
        <f t="shared" si="388"/>
        <v>1</v>
      </c>
      <c r="AJ694" s="12" t="e">
        <f t="shared" ref="AJ694:AJ695" si="412">VLOOKUP(AK694,$B$94:$D$96,3,FALSE)</f>
        <v>#N/A</v>
      </c>
      <c r="AK694" s="12">
        <f t="shared" si="403"/>
        <v>0</v>
      </c>
      <c r="AL694" s="3" t="str">
        <f t="shared" si="389"/>
        <v>SR807</v>
      </c>
      <c r="AM694" s="3" t="str">
        <f t="shared" si="327"/>
        <v>SR80711</v>
      </c>
      <c r="AN694" s="6">
        <f t="shared" si="404"/>
        <v>609</v>
      </c>
      <c r="AO694" s="6">
        <f t="shared" si="328"/>
        <v>20180326</v>
      </c>
      <c r="AP694" s="6" t="str">
        <f t="shared" si="329"/>
        <v>9999</v>
      </c>
      <c r="AQ694" s="6" t="str">
        <f t="shared" si="330"/>
        <v>CNY</v>
      </c>
      <c r="AR694" s="6" t="str">
        <f t="shared" si="313"/>
        <v>50010001</v>
      </c>
      <c r="AS694" s="6">
        <f t="shared" si="331"/>
        <v>20180326</v>
      </c>
      <c r="AT694" s="6">
        <f t="shared" si="392"/>
        <v>20180326</v>
      </c>
      <c r="AU694" s="310">
        <f t="shared" si="393"/>
        <v>609</v>
      </c>
      <c r="AV694" s="6">
        <f t="shared" si="394"/>
        <v>1</v>
      </c>
      <c r="AW694" s="6" t="str">
        <f t="shared" si="395"/>
        <v>SR807</v>
      </c>
    </row>
    <row r="695" spans="1:50" s="6" customFormat="1" x14ac:dyDescent="0.25">
      <c r="A695" s="167"/>
      <c r="B695" s="578" t="str">
        <f>B692</f>
        <v>SR807C6500&amp;SR807P6400</v>
      </c>
      <c r="C695" s="12" t="s">
        <v>1106</v>
      </c>
      <c r="D695" s="12">
        <f>D694</f>
        <v>11</v>
      </c>
      <c r="E695" s="12" t="str">
        <f>C549</f>
        <v>2018032610000101</v>
      </c>
      <c r="F695" s="12" t="str">
        <f t="shared" si="397"/>
        <v>6001</v>
      </c>
      <c r="G695" s="12" t="str">
        <f t="shared" si="398"/>
        <v>B00101</v>
      </c>
      <c r="H695" s="12" t="str">
        <f t="shared" si="399"/>
        <v>6001</v>
      </c>
      <c r="I695" s="12" t="str">
        <f t="shared" si="400"/>
        <v>SR807P6400</v>
      </c>
      <c r="J695" s="12">
        <v>1</v>
      </c>
      <c r="K695" s="222"/>
      <c r="L695" s="12">
        <v>0</v>
      </c>
      <c r="M695" s="12">
        <f t="shared" si="318"/>
        <v>2</v>
      </c>
      <c r="N695" s="12">
        <v>1</v>
      </c>
      <c r="O695" s="12">
        <v>1</v>
      </c>
      <c r="P695" s="12">
        <f t="shared" si="405"/>
        <v>6.2E-2</v>
      </c>
      <c r="Q695" s="12">
        <f t="shared" si="406"/>
        <v>6.21</v>
      </c>
      <c r="R695" s="12">
        <f t="shared" si="407"/>
        <v>4.1000000000000002E-2</v>
      </c>
      <c r="S695" s="12">
        <f t="shared" si="408"/>
        <v>4.0999999999999996</v>
      </c>
      <c r="T695" s="12">
        <f t="shared" si="381"/>
        <v>10</v>
      </c>
      <c r="U695" s="12">
        <f t="shared" si="382"/>
        <v>6400</v>
      </c>
      <c r="V695" s="12">
        <f t="shared" si="383"/>
        <v>625</v>
      </c>
      <c r="W695" s="12">
        <f t="shared" si="384"/>
        <v>6150</v>
      </c>
      <c r="X695" s="12">
        <f t="shared" si="323"/>
        <v>0.5</v>
      </c>
      <c r="Y695" s="12">
        <f t="shared" si="323"/>
        <v>0.5</v>
      </c>
      <c r="Z695" s="12">
        <f t="shared" si="409"/>
        <v>0</v>
      </c>
      <c r="AA695" s="12">
        <f t="shared" si="386"/>
        <v>1</v>
      </c>
      <c r="AB695" s="12">
        <f t="shared" si="325"/>
        <v>0</v>
      </c>
      <c r="AC695" s="12">
        <f t="shared" si="387"/>
        <v>0</v>
      </c>
      <c r="AD695" s="12">
        <f t="shared" si="410"/>
        <v>6250</v>
      </c>
      <c r="AE695" s="12">
        <f t="shared" si="411"/>
        <v>6250</v>
      </c>
      <c r="AF695" s="12">
        <v>0</v>
      </c>
      <c r="AG695" s="12">
        <v>0</v>
      </c>
      <c r="AH695" s="12">
        <v>1</v>
      </c>
      <c r="AI695" s="12">
        <f t="shared" si="388"/>
        <v>1</v>
      </c>
      <c r="AJ695" s="12" t="e">
        <f t="shared" si="412"/>
        <v>#N/A</v>
      </c>
      <c r="AK695" s="12">
        <f t="shared" si="403"/>
        <v>0</v>
      </c>
      <c r="AL695" s="3" t="str">
        <f t="shared" si="389"/>
        <v>SR807</v>
      </c>
      <c r="AM695" s="3" t="str">
        <f t="shared" si="327"/>
        <v>SR80711</v>
      </c>
      <c r="AN695" s="6">
        <f t="shared" si="404"/>
        <v>621</v>
      </c>
      <c r="AO695" s="6">
        <f t="shared" si="328"/>
        <v>20180326</v>
      </c>
      <c r="AP695" s="6" t="str">
        <f t="shared" si="329"/>
        <v>9999</v>
      </c>
      <c r="AQ695" s="6" t="str">
        <f t="shared" si="330"/>
        <v>CNY</v>
      </c>
      <c r="AR695" s="6" t="str">
        <f t="shared" si="313"/>
        <v>50010001</v>
      </c>
      <c r="AS695" s="6">
        <f t="shared" si="331"/>
        <v>20180326</v>
      </c>
      <c r="AT695" s="6">
        <f t="shared" si="392"/>
        <v>20180326</v>
      </c>
      <c r="AU695" s="310">
        <f t="shared" si="393"/>
        <v>621</v>
      </c>
      <c r="AV695" s="6">
        <f t="shared" si="394"/>
        <v>1</v>
      </c>
      <c r="AW695" s="6" t="str">
        <f t="shared" si="395"/>
        <v>SR807</v>
      </c>
    </row>
    <row r="696" spans="1:50" s="6" customFormat="1" x14ac:dyDescent="0.25">
      <c r="A696" s="167"/>
      <c r="B696" s="578" t="str">
        <f>C52</f>
        <v>SR807C6500&amp;SR807P6400</v>
      </c>
      <c r="C696" s="12" t="s">
        <v>1106</v>
      </c>
      <c r="D696" s="12">
        <v>12</v>
      </c>
      <c r="E696" s="12" t="str">
        <f>C540</f>
        <v>2018032610000092</v>
      </c>
      <c r="F696" s="12" t="str">
        <f t="shared" si="397"/>
        <v>6001</v>
      </c>
      <c r="G696" s="12" t="str">
        <f t="shared" si="398"/>
        <v>B00101</v>
      </c>
      <c r="H696" s="12" t="str">
        <f t="shared" si="399"/>
        <v>6001</v>
      </c>
      <c r="I696" s="12" t="str">
        <f t="shared" si="400"/>
        <v>SR807C6500</v>
      </c>
      <c r="J696" s="12">
        <v>1</v>
      </c>
      <c r="K696" s="725">
        <v>1</v>
      </c>
      <c r="L696" s="12">
        <f>VLOOKUP(E696,$C$485:$AN$550,13,FALSE)</f>
        <v>1</v>
      </c>
      <c r="M696" s="12">
        <f t="shared" si="318"/>
        <v>3</v>
      </c>
      <c r="N696" s="12">
        <v>1</v>
      </c>
      <c r="O696" s="12">
        <v>1</v>
      </c>
      <c r="P696" s="12">
        <f>IF(AI696=0, VLOOKUP(AM696,$F$56:$L$75,4,FALSE),VLOOKUP(AM696,$F$56:$L$75,4,FALSE)+VLOOKUP(AM696,$F$56:$L$75,6,FALSE) )</f>
        <v>6.0000000000000005E-2</v>
      </c>
      <c r="Q696" s="12">
        <f>IF(AI696=0, VLOOKUP(AM696,$F$56:$L$75,5,FALSE),VLOOKUP(AM696,$F$56:$L$75,5,FALSE)+VLOOKUP(AM696,$F$56:$L$75,7,FALSE) )</f>
        <v>6</v>
      </c>
      <c r="R696" s="12">
        <f t="shared" si="321"/>
        <v>0.04</v>
      </c>
      <c r="S696" s="12">
        <f t="shared" si="322"/>
        <v>4</v>
      </c>
      <c r="T696" s="12">
        <f t="shared" si="381"/>
        <v>10</v>
      </c>
      <c r="U696" s="12">
        <f t="shared" si="382"/>
        <v>6500</v>
      </c>
      <c r="V696" s="12">
        <f t="shared" si="383"/>
        <v>615</v>
      </c>
      <c r="W696" s="12">
        <f t="shared" si="384"/>
        <v>6150</v>
      </c>
      <c r="X696" s="12">
        <f t="shared" si="323"/>
        <v>0.5</v>
      </c>
      <c r="Y696" s="12">
        <f t="shared" si="323"/>
        <v>0.5</v>
      </c>
      <c r="Z696" s="12">
        <f t="shared" si="324"/>
        <v>3500</v>
      </c>
      <c r="AA696" s="12">
        <f t="shared" si="386"/>
        <v>0</v>
      </c>
      <c r="AB696" s="12">
        <f t="shared" si="325"/>
        <v>8096</v>
      </c>
      <c r="AC696" s="12">
        <f t="shared" si="387"/>
        <v>6864</v>
      </c>
      <c r="AD696" s="12">
        <f t="shared" si="334"/>
        <v>6150</v>
      </c>
      <c r="AE696" s="12">
        <f t="shared" si="326"/>
        <v>6150</v>
      </c>
      <c r="AF696" s="12">
        <f>IF(AC696&gt;=AC697,AB696+N697*AE697,0)</f>
        <v>0</v>
      </c>
      <c r="AG696" s="12">
        <f>IF(AC696&gt;=AC697,AC696+N697*AE697,0)</f>
        <v>0</v>
      </c>
      <c r="AH696" s="12">
        <v>1</v>
      </c>
      <c r="AI696" s="12">
        <f t="shared" si="388"/>
        <v>1</v>
      </c>
      <c r="AJ696" s="12" t="e">
        <f t="shared" si="332"/>
        <v>#N/A</v>
      </c>
      <c r="AK696" s="12">
        <f t="shared" si="403"/>
        <v>0</v>
      </c>
      <c r="AL696" s="3" t="str">
        <f t="shared" si="389"/>
        <v>SR807</v>
      </c>
      <c r="AM696" s="3" t="str">
        <f t="shared" si="327"/>
        <v>SR80710</v>
      </c>
      <c r="AN696" s="6">
        <f t="shared" si="404"/>
        <v>612</v>
      </c>
      <c r="AO696" s="6">
        <f t="shared" si="328"/>
        <v>20180326</v>
      </c>
      <c r="AP696" s="6" t="str">
        <f t="shared" si="329"/>
        <v>9999</v>
      </c>
      <c r="AQ696" s="6" t="str">
        <f t="shared" si="330"/>
        <v>CNY</v>
      </c>
      <c r="AR696" s="6" t="str">
        <f t="shared" si="313"/>
        <v>50010001</v>
      </c>
      <c r="AS696" s="6">
        <f t="shared" si="331"/>
        <v>20180326</v>
      </c>
      <c r="AT696" s="6">
        <f t="shared" si="392"/>
        <v>20180326</v>
      </c>
      <c r="AU696" s="310">
        <f t="shared" si="393"/>
        <v>612</v>
      </c>
      <c r="AV696" s="6">
        <f t="shared" si="394"/>
        <v>1</v>
      </c>
      <c r="AW696" s="6" t="str">
        <f t="shared" si="395"/>
        <v>SR807</v>
      </c>
    </row>
    <row r="697" spans="1:50" s="6" customFormat="1" x14ac:dyDescent="0.25">
      <c r="A697" s="167"/>
      <c r="B697" s="578" t="str">
        <f>B696</f>
        <v>SR807C6500&amp;SR807P6400</v>
      </c>
      <c r="C697" s="12" t="s">
        <v>1106</v>
      </c>
      <c r="D697" s="12">
        <f>D696</f>
        <v>12</v>
      </c>
      <c r="E697" s="12" t="str">
        <f>C550</f>
        <v>2018032610000102</v>
      </c>
      <c r="F697" s="12" t="str">
        <f t="shared" si="397"/>
        <v>6001</v>
      </c>
      <c r="G697" s="12" t="str">
        <f t="shared" si="398"/>
        <v>B00101</v>
      </c>
      <c r="H697" s="12" t="str">
        <f t="shared" si="399"/>
        <v>6001</v>
      </c>
      <c r="I697" s="12" t="str">
        <f t="shared" si="400"/>
        <v>SR807P6400</v>
      </c>
      <c r="J697" s="12">
        <v>1</v>
      </c>
      <c r="K697" s="726"/>
      <c r="L697" s="12">
        <f>VLOOKUP(E697,$C$485:$AN$550,13,FALSE)</f>
        <v>1</v>
      </c>
      <c r="M697" s="12">
        <f t="shared" si="318"/>
        <v>3</v>
      </c>
      <c r="N697" s="12">
        <v>1</v>
      </c>
      <c r="O697" s="12">
        <v>1</v>
      </c>
      <c r="P697" s="12">
        <f t="shared" si="402"/>
        <v>6.0000000000000005E-2</v>
      </c>
      <c r="Q697" s="12">
        <f t="shared" si="320"/>
        <v>6</v>
      </c>
      <c r="R697" s="12">
        <f t="shared" si="321"/>
        <v>0.04</v>
      </c>
      <c r="S697" s="12">
        <f t="shared" si="322"/>
        <v>4</v>
      </c>
      <c r="T697" s="12">
        <f t="shared" si="381"/>
        <v>10</v>
      </c>
      <c r="U697" s="12">
        <f t="shared" si="382"/>
        <v>6400</v>
      </c>
      <c r="V697" s="12">
        <f t="shared" si="383"/>
        <v>625</v>
      </c>
      <c r="W697" s="12">
        <f t="shared" si="384"/>
        <v>6150</v>
      </c>
      <c r="X697" s="12">
        <f t="shared" si="323"/>
        <v>0.5</v>
      </c>
      <c r="Y697" s="12">
        <f t="shared" si="323"/>
        <v>0.5</v>
      </c>
      <c r="Z697" s="12">
        <f t="shared" si="324"/>
        <v>0</v>
      </c>
      <c r="AA697" s="12">
        <f t="shared" si="386"/>
        <v>1</v>
      </c>
      <c r="AB697" s="12">
        <f t="shared" si="325"/>
        <v>9946</v>
      </c>
      <c r="AC697" s="12">
        <f t="shared" si="387"/>
        <v>8714</v>
      </c>
      <c r="AD697" s="12">
        <f t="shared" si="334"/>
        <v>6250</v>
      </c>
      <c r="AE697" s="12">
        <f t="shared" si="326"/>
        <v>6250</v>
      </c>
      <c r="AF697" s="223">
        <f>IF(AC696&lt;AC697,AB697+N696*AE696,0)</f>
        <v>16096</v>
      </c>
      <c r="AG697" s="223">
        <f>IF(AC696&lt;AC697,AC697+N696*AE696,0)</f>
        <v>14864</v>
      </c>
      <c r="AH697" s="12">
        <v>1</v>
      </c>
      <c r="AI697" s="12">
        <f t="shared" si="388"/>
        <v>1</v>
      </c>
      <c r="AJ697" s="12" t="e">
        <f t="shared" si="332"/>
        <v>#N/A</v>
      </c>
      <c r="AK697" s="12">
        <f t="shared" si="403"/>
        <v>0</v>
      </c>
      <c r="AL697" s="3" t="str">
        <f t="shared" si="389"/>
        <v>SR807</v>
      </c>
      <c r="AM697" s="3" t="str">
        <f t="shared" si="327"/>
        <v>SR80710</v>
      </c>
      <c r="AN697" s="6">
        <f t="shared" si="404"/>
        <v>622</v>
      </c>
      <c r="AO697" s="6">
        <f t="shared" si="328"/>
        <v>20180326</v>
      </c>
      <c r="AP697" s="6" t="str">
        <f t="shared" si="329"/>
        <v>9999</v>
      </c>
      <c r="AQ697" s="6" t="str">
        <f t="shared" si="330"/>
        <v>CNY</v>
      </c>
      <c r="AR697" s="6" t="str">
        <f t="shared" si="313"/>
        <v>50010001</v>
      </c>
      <c r="AS697" s="6">
        <f t="shared" si="331"/>
        <v>20180326</v>
      </c>
      <c r="AT697" s="6">
        <f t="shared" si="392"/>
        <v>20180326</v>
      </c>
      <c r="AU697" s="310">
        <f t="shared" si="393"/>
        <v>622</v>
      </c>
      <c r="AV697" s="6">
        <f t="shared" si="394"/>
        <v>1</v>
      </c>
      <c r="AW697" s="6" t="str">
        <f t="shared" si="395"/>
        <v>SR807</v>
      </c>
    </row>
    <row r="698" spans="1:50" x14ac:dyDescent="0.25">
      <c r="AE698" s="207"/>
      <c r="AF698" s="207"/>
    </row>
    <row r="699" spans="1:50" x14ac:dyDescent="0.25">
      <c r="A699" s="126" t="s">
        <v>991</v>
      </c>
      <c r="B699" t="s">
        <v>524</v>
      </c>
      <c r="F699" s="3"/>
      <c r="Y699" s="19"/>
      <c r="Z699" s="6"/>
      <c r="AA699" s="6"/>
      <c r="AB699" s="6"/>
      <c r="AC699" s="6"/>
      <c r="AD699" s="6"/>
      <c r="AE699" s="6"/>
      <c r="AF699" s="229"/>
      <c r="AG699" s="6"/>
      <c r="AH699" s="6"/>
      <c r="AI699" s="6"/>
      <c r="AJ699" s="6"/>
    </row>
    <row r="700" spans="1:50" x14ac:dyDescent="0.25">
      <c r="A700" s="168" t="s">
        <v>970</v>
      </c>
      <c r="B700" s="595" t="s">
        <v>1335</v>
      </c>
      <c r="C700" s="4"/>
      <c r="AE700" s="142"/>
    </row>
    <row r="701" spans="1:50" x14ac:dyDescent="0.25">
      <c r="A701" s="126" t="s">
        <v>977</v>
      </c>
      <c r="B701" s="719" t="s">
        <v>1084</v>
      </c>
      <c r="C701" s="720"/>
      <c r="D701" s="720"/>
      <c r="E701" s="720"/>
      <c r="F701" s="720"/>
      <c r="G701" s="720"/>
      <c r="H701" s="720"/>
      <c r="I701" s="720"/>
      <c r="J701" s="720"/>
      <c r="K701" s="720"/>
      <c r="L701" s="720"/>
      <c r="M701" s="720"/>
      <c r="N701" s="720"/>
      <c r="O701" s="720"/>
      <c r="P701" s="720"/>
      <c r="Q701" s="720"/>
      <c r="R701" s="720"/>
      <c r="S701" s="720"/>
      <c r="T701" s="720"/>
      <c r="U701" s="720"/>
      <c r="V701" s="720"/>
      <c r="W701" s="720"/>
      <c r="X701" s="720"/>
      <c r="Y701" s="720"/>
      <c r="Z701" s="720"/>
      <c r="AA701" s="720"/>
      <c r="AB701" s="720"/>
      <c r="AC701" s="720"/>
      <c r="AD701" s="720"/>
      <c r="AE701" s="720"/>
      <c r="AF701" s="720"/>
      <c r="AG701" s="720"/>
      <c r="AH701" s="720"/>
      <c r="AI701" s="720"/>
      <c r="AJ701" s="720"/>
      <c r="AK701" s="720"/>
      <c r="AL701" s="720"/>
      <c r="AM701" s="720"/>
      <c r="AN701" s="720"/>
      <c r="AO701" s="720"/>
      <c r="AP701" s="720"/>
      <c r="AQ701" s="720"/>
      <c r="AR701" s="720"/>
      <c r="AS701" s="720"/>
      <c r="AT701" s="720"/>
      <c r="AU701" s="720"/>
    </row>
    <row r="702" spans="1:50" ht="24" x14ac:dyDescent="0.25">
      <c r="A702" s="126" t="s">
        <v>359</v>
      </c>
      <c r="B702" s="582" t="s">
        <v>289</v>
      </c>
      <c r="C702" s="7" t="s">
        <v>286</v>
      </c>
      <c r="D702" s="7" t="s">
        <v>287</v>
      </c>
      <c r="E702" s="7" t="s">
        <v>288</v>
      </c>
      <c r="F702" s="29" t="s">
        <v>365</v>
      </c>
      <c r="G702" s="29" t="s">
        <v>676</v>
      </c>
      <c r="H702" s="12" t="s">
        <v>290</v>
      </c>
      <c r="I702" s="7" t="s">
        <v>291</v>
      </c>
      <c r="J702" s="12" t="s">
        <v>1268</v>
      </c>
      <c r="K702" s="12" t="s">
        <v>1267</v>
      </c>
      <c r="L702" s="7" t="s">
        <v>9</v>
      </c>
      <c r="M702" s="29" t="s">
        <v>295</v>
      </c>
      <c r="N702" s="29" t="s">
        <v>534</v>
      </c>
      <c r="O702" s="100" t="s">
        <v>1269</v>
      </c>
      <c r="P702" s="7" t="s">
        <v>1270</v>
      </c>
      <c r="Q702" s="223" t="s">
        <v>531</v>
      </c>
      <c r="R702" s="223" t="s">
        <v>532</v>
      </c>
      <c r="S702" s="7" t="s">
        <v>1273</v>
      </c>
      <c r="T702" s="7" t="s">
        <v>1274</v>
      </c>
      <c r="U702" s="7" t="s">
        <v>7</v>
      </c>
      <c r="V702" s="7" t="s">
        <v>1276</v>
      </c>
      <c r="W702" s="7" t="s">
        <v>498</v>
      </c>
      <c r="X702" s="7" t="s">
        <v>1278</v>
      </c>
      <c r="Y702" s="7" t="s">
        <v>682</v>
      </c>
      <c r="Z702" s="7" t="s">
        <v>681</v>
      </c>
      <c r="AA702" s="7" t="s">
        <v>1281</v>
      </c>
      <c r="AB702" s="7" t="s">
        <v>1282</v>
      </c>
      <c r="AC702" s="7" t="s">
        <v>1283</v>
      </c>
      <c r="AD702" s="7" t="s">
        <v>1284</v>
      </c>
      <c r="AE702" s="29" t="s">
        <v>536</v>
      </c>
      <c r="AF702" s="29" t="s">
        <v>537</v>
      </c>
      <c r="AG702" s="158" t="s">
        <v>535</v>
      </c>
      <c r="AH702" s="158" t="s">
        <v>538</v>
      </c>
      <c r="AI702" s="37" t="s">
        <v>1285</v>
      </c>
      <c r="AJ702" s="7" t="s">
        <v>1286</v>
      </c>
      <c r="AK702" s="7" t="s">
        <v>1287</v>
      </c>
      <c r="AL702" s="29" t="s">
        <v>677</v>
      </c>
      <c r="AM702" s="29" t="s">
        <v>678</v>
      </c>
      <c r="AN702" s="29" t="s">
        <v>679</v>
      </c>
      <c r="AO702" s="29" t="s">
        <v>680</v>
      </c>
      <c r="AP702" s="7" t="s">
        <v>1289</v>
      </c>
      <c r="AQ702" s="23" t="s">
        <v>1290</v>
      </c>
      <c r="AR702" s="23" t="s">
        <v>1291</v>
      </c>
      <c r="AS702" s="23" t="s">
        <v>1292</v>
      </c>
      <c r="AT702" s="23" t="s">
        <v>1293</v>
      </c>
      <c r="AU702" s="23" t="s">
        <v>1295</v>
      </c>
      <c r="AV702" s="123" t="s">
        <v>1766</v>
      </c>
      <c r="AW702" s="123" t="s">
        <v>1767</v>
      </c>
    </row>
    <row r="703" spans="1:50" ht="15" customHeight="1" x14ac:dyDescent="0.25">
      <c r="B703" s="23" t="s">
        <v>1256</v>
      </c>
      <c r="C703" s="23" t="s">
        <v>1257</v>
      </c>
      <c r="D703" s="23" t="s">
        <v>1258</v>
      </c>
      <c r="E703" s="23" t="s">
        <v>1259</v>
      </c>
      <c r="F703" s="36" t="s">
        <v>1260</v>
      </c>
      <c r="G703" s="36" t="s">
        <v>1261</v>
      </c>
      <c r="H703" s="3" t="s">
        <v>1262</v>
      </c>
      <c r="I703" s="23" t="s">
        <v>1263</v>
      </c>
      <c r="J703" s="3" t="s">
        <v>1266</v>
      </c>
      <c r="K703" s="3" t="s">
        <v>1264</v>
      </c>
      <c r="L703" s="23" t="s">
        <v>1265</v>
      </c>
      <c r="M703" s="36" t="s">
        <v>1337</v>
      </c>
      <c r="N703" s="36" t="s">
        <v>1336</v>
      </c>
      <c r="O703" s="100" t="s">
        <v>1269</v>
      </c>
      <c r="P703" s="7" t="s">
        <v>1270</v>
      </c>
      <c r="Q703" s="223" t="s">
        <v>1784</v>
      </c>
      <c r="R703" s="223" t="s">
        <v>1785</v>
      </c>
      <c r="S703" s="7" t="s">
        <v>1273</v>
      </c>
      <c r="T703" s="7" t="s">
        <v>1274</v>
      </c>
      <c r="U703" s="7" t="s">
        <v>1275</v>
      </c>
      <c r="V703" s="7" t="s">
        <v>1276</v>
      </c>
      <c r="W703" s="7" t="s">
        <v>1277</v>
      </c>
      <c r="X703" s="7" t="s">
        <v>1278</v>
      </c>
      <c r="Y703" s="7" t="s">
        <v>1279</v>
      </c>
      <c r="Z703" s="7" t="s">
        <v>1280</v>
      </c>
      <c r="AA703" s="7" t="s">
        <v>1281</v>
      </c>
      <c r="AB703" s="7" t="s">
        <v>1282</v>
      </c>
      <c r="AC703" s="7" t="s">
        <v>1283</v>
      </c>
      <c r="AD703" s="7" t="s">
        <v>1284</v>
      </c>
      <c r="AE703" s="29" t="s">
        <v>1338</v>
      </c>
      <c r="AF703" s="29" t="s">
        <v>1339</v>
      </c>
      <c r="AG703" s="29" t="s">
        <v>1340</v>
      </c>
      <c r="AH703" s="29" t="s">
        <v>1341</v>
      </c>
      <c r="AI703" s="37" t="s">
        <v>1288</v>
      </c>
      <c r="AJ703" s="7" t="s">
        <v>1286</v>
      </c>
      <c r="AK703" s="7" t="s">
        <v>1287</v>
      </c>
      <c r="AL703" s="29" t="s">
        <v>1342</v>
      </c>
      <c r="AM703" s="29" t="s">
        <v>1343</v>
      </c>
      <c r="AN703" s="29" t="s">
        <v>1344</v>
      </c>
      <c r="AO703" s="29" t="s">
        <v>1345</v>
      </c>
      <c r="AP703" s="7" t="s">
        <v>1289</v>
      </c>
      <c r="AQ703" s="23" t="s">
        <v>1290</v>
      </c>
      <c r="AR703" s="23" t="s">
        <v>1291</v>
      </c>
      <c r="AS703" s="23" t="s">
        <v>1362</v>
      </c>
      <c r="AT703" s="23" t="s">
        <v>1294</v>
      </c>
      <c r="AU703" s="23" t="s">
        <v>1296</v>
      </c>
      <c r="AV703" s="123" t="s">
        <v>1766</v>
      </c>
      <c r="AW703" s="123" t="s">
        <v>1767</v>
      </c>
      <c r="AX703" s="23" t="s">
        <v>1786</v>
      </c>
    </row>
    <row r="704" spans="1:50" s="6" customFormat="1" x14ac:dyDescent="0.25">
      <c r="A704" s="167" t="str">
        <f>IF( AND(M704=0,N704=0),"comment","")</f>
        <v/>
      </c>
      <c r="B704" s="140" t="str">
        <f>C486</f>
        <v>2018032610000010</v>
      </c>
      <c r="C704" s="6" t="str">
        <f>VLOOKUP(B704,C486:AN550, 3,FALSE)</f>
        <v>6001</v>
      </c>
      <c r="D704" s="6" t="str">
        <f>VLOOKUP(B704,C486:AN550, 4,FALSE)</f>
        <v>B00101</v>
      </c>
      <c r="E704" s="6" t="str">
        <f>VLOOKUP(B704,C486:AN550, 5,FALSE)</f>
        <v>6001</v>
      </c>
      <c r="F704" s="6">
        <f>$B$2</f>
        <v>20180326</v>
      </c>
      <c r="G704" s="6">
        <f>$B$2</f>
        <v>20180326</v>
      </c>
      <c r="H704" s="6" t="str">
        <f>$B$22</f>
        <v>CZCE</v>
      </c>
      <c r="I704" s="6" t="str">
        <f t="shared" ref="I704:I728" si="413">VLOOKUP(B704, $C$486:$AN$550, 10,FALSE)</f>
        <v>SR807</v>
      </c>
      <c r="J704" s="6">
        <f t="shared" ref="J704:J735" si="414">VLOOKUP(B704,$C$486:$AN$561, 13,FALSE)</f>
        <v>1</v>
      </c>
      <c r="K704" s="6">
        <f>IF(J704=0,2,3)</f>
        <v>3</v>
      </c>
      <c r="L704" s="6">
        <f>VLOOKUP(B704,$C$486:$AN$561, 14,FALSE)</f>
        <v>3</v>
      </c>
      <c r="M704" s="6">
        <f t="shared" ref="M704:M735" si="415">SUMPRODUCT(($C$486:$C$561=B704)*($E$486:$E$561=C704)*($F$486:$F$561=D704)*($G$486:$G$561=E704)*($L$486:$L$561=I704)*($O$486:$O$561=J704)*($P$486:$P$561=L704)*($N$486:$N$561=0)*($Q$486:$Q$561))-SUMPRODUCT(($D$486:$D$561=B704)*($E$486:$E$561=C704)*($F$486:$F$561=D704)*($G$486:$G$561=E704)*($L$486:$L$561=I704)*($O$486:$O$561&lt;&gt;J704)*($P$486:$P$561=L704)*($N$486:$N$561&lt;&gt;0)*($Q$486:$Q$561))-SUMPRODUCT(($B$626:$B$649=B704)*($C$626:$C$649=C704)*($D$626:$D$649=D704)*($O$626:$O$649&lt;&gt;2)*($N$626:$N$649))-N704</f>
        <v>4</v>
      </c>
      <c r="N704" s="6">
        <f t="shared" ref="N704:N735" si="416">SUMPRODUCT(($E$656:$E$697=B704)*($F$656:$F$697=C704)*($G$656:$G$697=D704)*($I$656:$I$697=I704)*($J$656:$J$697=L704)*($L$656:$L$697=J704)*($N$656:$N$697))</f>
        <v>0</v>
      </c>
      <c r="O704" s="6">
        <f>IF(AK704=0,0,M704*U704*W704)</f>
        <v>0</v>
      </c>
      <c r="P704" s="12">
        <f>IF(AK704=0,0,(M704+N704)*U704*W704)</f>
        <v>0</v>
      </c>
      <c r="Q704" s="12">
        <f t="shared" ref="Q704:Q745" si="417">IF(AK704=0, VLOOKUP(AR704,$F$56:$L$75,4,FALSE),VLOOKUP(AR704,$F$56:$L$75,4,FALSE)+VLOOKUP(AR704,$F$56:$L$75,6,FALSE) )</f>
        <v>5.2999999999999999E-2</v>
      </c>
      <c r="R704" s="12">
        <f t="shared" ref="R704:R745" si="418">IF(AK704=0, VLOOKUP(AR704,$F$56:$L$75,5,FALSE),VLOOKUP(AR704,$F$56:$L$75,5,FALSE)+VLOOKUP(AR704,$F$56:$L$75,7,FALSE) )</f>
        <v>5.3</v>
      </c>
      <c r="S704" s="12">
        <f t="shared" ref="S704:S745" si="419">VLOOKUP(AR704,$F$56:$L$75,2,FALSE)</f>
        <v>4.2999999999999997E-2</v>
      </c>
      <c r="T704" s="12">
        <f t="shared" ref="T704:T745" si="420">VLOOKUP(AR704,$F$56:$L$75,3,FALSE)</f>
        <v>4.3</v>
      </c>
      <c r="U704" s="12">
        <f t="shared" ref="U704:U743" si="421" xml:space="preserve"> VLOOKUP(I704,$C$22:$L$34,3,FALSE)</f>
        <v>10</v>
      </c>
      <c r="V704" s="12">
        <f t="shared" ref="V704:V735" si="422" xml:space="preserve"> VLOOKUP(I704,$C$237:$F$249,4,FALSE)</f>
        <v>0</v>
      </c>
      <c r="W704" s="12">
        <f t="shared" ref="W704:W735" si="423" xml:space="preserve"> VLOOKUP(I704,$C$237:$F$249,3,FALSE)</f>
        <v>6150</v>
      </c>
      <c r="X704" s="12">
        <f t="shared" ref="X704:X735" si="424" xml:space="preserve"> VLOOKUP(I704,$C$237:$G$249,5,FALSE)</f>
        <v>0</v>
      </c>
      <c r="Y704" s="12">
        <f>VLOOKUP(B704,$C$486:$AN$561, 17,FALSE)</f>
        <v>6100</v>
      </c>
      <c r="Z704" s="12">
        <f t="shared" ref="Z704:Z735" si="425" xml:space="preserve"> VLOOKUP(I704,$C$237:$F$249,2,FALSE)</f>
        <v>6150</v>
      </c>
      <c r="AA704" s="12">
        <f>$F$193</f>
        <v>0.5</v>
      </c>
      <c r="AB704" s="12">
        <f>$F$193</f>
        <v>0.5</v>
      </c>
      <c r="AC704" s="12">
        <f>IF(AD704=0,MAX((V704-X704)*U704,0),MAX((X704-V704)*U704,0))</f>
        <v>0</v>
      </c>
      <c r="AD704" s="12">
        <f t="shared" ref="AD704:AD743" si="426" xml:space="preserve"> VLOOKUP(I704,$C$22:$L$34,6,FALSE)</f>
        <v>9</v>
      </c>
      <c r="AE704" s="12">
        <f>ROUND(IF(AK704=0,Q704*U704*W704*M704+R704*M704,IF(J704=0,0,MAX(AI704+(Q704*U704*X704+R704)*AJ704-AC704*AA704,AI704+(Q704*U704*X704+R704)*AB704*AV704)*M704)),2)</f>
        <v>13059.2</v>
      </c>
      <c r="AF704" s="12">
        <f>ROUND(IF(AK704=0,S704*U704*W704*M704+T704*M704,IF(J704=0,0,MAX(AI704+(S704*U704*X704+T704)*AJ704-AC704*AA704,AI704+(S704*U704*X704+T704)*AB704*AV704)*M704)),2)</f>
        <v>10595.2</v>
      </c>
      <c r="AG704" s="12">
        <f>ROUND(IF(AK704=0,Q704*U704*W704*N704+R704*N704,IF(J704=0,0,MAX(AI704+(Q704*U704*X704+R704)*AJ704-AC704*AA704,AI704+(Q704*U704*X704+R704)*AB704*AV704)*N704)),2)</f>
        <v>0</v>
      </c>
      <c r="AH704" s="12">
        <f>ROUND(IF(AK704=0,S704*U704*W704*N704+T704*N704,IF(J704=0,0,MAX(AI704+(S704*U704*X704+T704)*AJ704-AC704*AA704,AI704+(S704*U704*X704+T704)*AB704*AV704)*N704)),2)</f>
        <v>0</v>
      </c>
      <c r="AI704" s="12">
        <f t="shared" ref="AI704:AI745" si="427">IF(AK704=1,1*U704*W704,0)</f>
        <v>0</v>
      </c>
      <c r="AJ704" s="12">
        <v>1</v>
      </c>
      <c r="AK704" s="12">
        <f t="shared" ref="AK704:AK743" si="428" xml:space="preserve"> VLOOKUP(I704,$C$22:$L$34,10,FALSE)</f>
        <v>0</v>
      </c>
      <c r="AL704" s="12">
        <f t="shared" ref="AL704:AL745" si="429">IF(AK704=0,IF(F704=G704,IF(J704=0,(W704-Y704)*U704*M704,-(W704-Y704)*U704*M704),IF(J704=0,(W704-Z704)*U704*M704,-(W704-Z704)*U704*M704)),0)</f>
        <v>-2000</v>
      </c>
      <c r="AM704" s="12">
        <f t="shared" ref="AM704:AM745" si="430">IF(AK704=0,IF(J704=0,(W704-Y704)*U704*M704,-(W704-Y704)*U704*M704),0)</f>
        <v>-2000</v>
      </c>
      <c r="AN704" s="12">
        <f t="shared" ref="AN704:AN745" si="431">IF(AK704=0,IF(F704=G704,IF(J704=0,(W704-Y704)*U704*N704,-(W704-Y704)*U704*N704),IF(J704=0,(W704-Z704)*U704*N704,-(W704-Z704)*U704*N704)),0)</f>
        <v>0</v>
      </c>
      <c r="AO704" s="12">
        <f t="shared" ref="AO704:AO745" si="432">IF(AK704=0,IF(J704=0,(W704-Y704)*U704*N704,-(W704-Y704)*U704*N704),0)</f>
        <v>0</v>
      </c>
      <c r="AP704" s="12">
        <f t="shared" ref="AP704:AP743" si="433" xml:space="preserve"> VLOOKUP(I704,$C$22:$L$34,9,FALSE)</f>
        <v>0</v>
      </c>
      <c r="AQ704" s="3" t="str">
        <f t="shared" ref="AQ704:AQ743" si="434" xml:space="preserve"> VLOOKUP(I704,$C$22:$L$34,7,FALSE)</f>
        <v>SR807</v>
      </c>
      <c r="AR704" s="3" t="str">
        <f>IF(AK704=0,AQ704&amp;L704&amp;J704,IF(AD704=0,AQ704&amp;L704&amp;1,AQ704&amp;L704&amp;0))</f>
        <v>SR80731</v>
      </c>
      <c r="AS704" s="6" t="str">
        <f>$F$8</f>
        <v>9999</v>
      </c>
      <c r="AT704" s="6" t="str">
        <f>$D$12</f>
        <v>CNY</v>
      </c>
      <c r="AU704" s="6" t="str">
        <f>VLOOKUP(D704,$C$8:$G$9,5,FALSE)</f>
        <v>50010001</v>
      </c>
      <c r="AV704" s="6">
        <f t="shared" ref="AV704:AV735" si="435">VLOOKUP(I704,$C$22:$M$34,11,FALSE)</f>
        <v>1</v>
      </c>
      <c r="AW704" s="6" t="str">
        <f t="shared" ref="AW704:AW735" si="436">VLOOKUP(I704,$C$22:$M$34,7,FALSE)</f>
        <v>SR807</v>
      </c>
      <c r="AX704" s="6">
        <f>(M704+N704)*U704*Y704</f>
        <v>244000</v>
      </c>
    </row>
    <row r="705" spans="1:50" s="6" customFormat="1" x14ac:dyDescent="0.25">
      <c r="A705" s="167" t="str">
        <f t="shared" ref="A705:A745" si="437">IF( AND(M705=0,N705=0),"comment","")</f>
        <v/>
      </c>
      <c r="B705" s="140" t="str">
        <f>C487</f>
        <v>2018032610000011</v>
      </c>
      <c r="C705" s="6" t="str">
        <f>VLOOKUP(B705,C487:AN550, 3,FALSE)</f>
        <v>6001</v>
      </c>
      <c r="D705" s="6" t="str">
        <f>VLOOKUP(B705,C487:AN550, 4,FALSE)</f>
        <v>B00101</v>
      </c>
      <c r="E705" s="6" t="str">
        <f>VLOOKUP(B705,C487:AN550, 5,FALSE)</f>
        <v>6001</v>
      </c>
      <c r="F705" s="6">
        <f t="shared" ref="F705:G747" si="438">$B$2</f>
        <v>20180326</v>
      </c>
      <c r="G705" s="6">
        <f t="shared" si="438"/>
        <v>20180326</v>
      </c>
      <c r="H705" s="6" t="str">
        <f t="shared" ref="H705:H754" si="439">$B$22</f>
        <v>CZCE</v>
      </c>
      <c r="I705" s="6" t="str">
        <f t="shared" si="413"/>
        <v>SR807</v>
      </c>
      <c r="J705" s="6">
        <f t="shared" si="414"/>
        <v>1</v>
      </c>
      <c r="K705" s="6">
        <f t="shared" ref="K705:K754" si="440">IF(J705=0,2,3)</f>
        <v>3</v>
      </c>
      <c r="L705" s="6">
        <f t="shared" ref="L705:L728" si="441">VLOOKUP(B705,$C$486:$AN$550, 14,FALSE)</f>
        <v>3</v>
      </c>
      <c r="M705" s="6">
        <f t="shared" si="415"/>
        <v>5</v>
      </c>
      <c r="N705" s="6">
        <f t="shared" si="416"/>
        <v>0</v>
      </c>
      <c r="O705" s="6">
        <f t="shared" ref="O705:O754" si="442">IF(AK705=0,0,M705*U705*W705)</f>
        <v>0</v>
      </c>
      <c r="P705" s="12">
        <f t="shared" ref="P705:P745" si="443">IF(AK705=0,0,(M705+N705)*U705*W705)</f>
        <v>0</v>
      </c>
      <c r="Q705" s="12">
        <f t="shared" si="417"/>
        <v>5.2999999999999999E-2</v>
      </c>
      <c r="R705" s="12">
        <f t="shared" si="418"/>
        <v>5.3</v>
      </c>
      <c r="S705" s="12">
        <f t="shared" si="419"/>
        <v>4.2999999999999997E-2</v>
      </c>
      <c r="T705" s="12">
        <f t="shared" si="420"/>
        <v>4.3</v>
      </c>
      <c r="U705" s="12">
        <f t="shared" si="421"/>
        <v>10</v>
      </c>
      <c r="V705" s="12">
        <f t="shared" si="422"/>
        <v>0</v>
      </c>
      <c r="W705" s="12">
        <f t="shared" si="423"/>
        <v>6150</v>
      </c>
      <c r="X705" s="12">
        <f t="shared" si="424"/>
        <v>0</v>
      </c>
      <c r="Y705" s="12">
        <f t="shared" ref="Y705:Y754" si="444">VLOOKUP(B705,$C$486:$AN$561, 17,FALSE)</f>
        <v>6101</v>
      </c>
      <c r="Z705" s="12">
        <f t="shared" si="425"/>
        <v>6150</v>
      </c>
      <c r="AA705" s="12">
        <f t="shared" ref="AA705:AB747" si="445">$F$193</f>
        <v>0.5</v>
      </c>
      <c r="AB705" s="12">
        <f t="shared" si="445"/>
        <v>0.5</v>
      </c>
      <c r="AC705" s="12">
        <f t="shared" ref="AC705:AC745" si="446">IF(AD705=0,MAX((V705-X705)*U705,0),MAX((X705-V705)*U705,0))</f>
        <v>0</v>
      </c>
      <c r="AD705" s="12">
        <f t="shared" si="426"/>
        <v>9</v>
      </c>
      <c r="AE705" s="12">
        <f t="shared" ref="AE705:AE754" si="447">ROUND(IF(AK705=0,Q705*U705*W705*M705+R705*M705,IF(J705=0,0,MAX(AI705+(Q705*U705*X705+R705)*AJ705-AC705*AA705,AI705+(Q705*U705*X705+R705)*AB705*AV705)*M705)),2)</f>
        <v>16324</v>
      </c>
      <c r="AF705" s="12">
        <f t="shared" ref="AF705:AF754" si="448">ROUND(IF(AK705=0,S705*U705*W705*M705+T705*M705,IF(J705=0,0,MAX(AI705+(S705*U705*X705+T705)*AJ705-AC705*AA705,AI705+(S705*U705*X705+T705)*AB705*AV705)*M705)),2)</f>
        <v>13244</v>
      </c>
      <c r="AG705" s="12">
        <f t="shared" ref="AG705:AG754" si="449">ROUND(IF(AK705=0,Q705*U705*W705*N705+R705*N705,IF(J705=0,0,MAX(AI705+(Q705*U705*X705+R705)*AJ705-AC705*AA705,AI705+(Q705*U705*X705+R705)*AB705*AV705)*N705)),2)</f>
        <v>0</v>
      </c>
      <c r="AH705" s="12">
        <f t="shared" ref="AH705:AH754" si="450">ROUND(IF(AK705=0,S705*U705*W705*N705+T705*N705,IF(J705=0,0,MAX(AI705+(S705*U705*X705+T705)*AJ705-AC705*AA705,AI705+(S705*U705*X705+T705)*AB705*AV705)*N705)),2)</f>
        <v>0</v>
      </c>
      <c r="AI705" s="12">
        <f t="shared" si="427"/>
        <v>0</v>
      </c>
      <c r="AJ705" s="12">
        <v>1</v>
      </c>
      <c r="AK705" s="12">
        <f t="shared" si="428"/>
        <v>0</v>
      </c>
      <c r="AL705" s="12">
        <f t="shared" si="429"/>
        <v>-2450</v>
      </c>
      <c r="AM705" s="12">
        <f t="shared" si="430"/>
        <v>-2450</v>
      </c>
      <c r="AN705" s="12">
        <f t="shared" si="431"/>
        <v>0</v>
      </c>
      <c r="AO705" s="12">
        <f t="shared" si="432"/>
        <v>0</v>
      </c>
      <c r="AP705" s="12">
        <f t="shared" si="433"/>
        <v>0</v>
      </c>
      <c r="AQ705" s="3" t="str">
        <f t="shared" si="434"/>
        <v>SR807</v>
      </c>
      <c r="AR705" s="3" t="str">
        <f t="shared" ref="AR705:AR754" si="451">IF(AK705=0,AQ705&amp;L705&amp;J705,IF(AD705=0,AQ705&amp;L705&amp;1,AQ705&amp;L705&amp;0))</f>
        <v>SR80731</v>
      </c>
      <c r="AS705" s="6" t="str">
        <f t="shared" ref="AS705:AS754" si="452">$F$8</f>
        <v>9999</v>
      </c>
      <c r="AT705" s="6" t="str">
        <f t="shared" ref="AT705:AT754" si="453">$D$12</f>
        <v>CNY</v>
      </c>
      <c r="AU705" s="6" t="str">
        <f t="shared" ref="AU705:AU745" si="454">VLOOKUP(D705,$C$8:$G$9,5,FALSE)</f>
        <v>50010001</v>
      </c>
      <c r="AV705" s="6">
        <f t="shared" si="435"/>
        <v>1</v>
      </c>
      <c r="AW705" s="6" t="str">
        <f t="shared" si="436"/>
        <v>SR807</v>
      </c>
      <c r="AX705" s="6">
        <f t="shared" ref="AX705:AX754" si="455">(M705+N705)*U705*Y705</f>
        <v>305050</v>
      </c>
    </row>
    <row r="706" spans="1:50" s="6" customFormat="1" x14ac:dyDescent="0.25">
      <c r="A706" s="167" t="str">
        <f t="shared" si="437"/>
        <v/>
      </c>
      <c r="B706" s="140" t="str">
        <f>C488</f>
        <v>2018032610000012</v>
      </c>
      <c r="C706" s="6" t="str">
        <f>VLOOKUP(B706,C488:AN564, 3,FALSE)</f>
        <v>6001</v>
      </c>
      <c r="D706" s="6" t="str">
        <f>VLOOKUP(B706,C488:AN564, 4,FALSE)</f>
        <v>B00101</v>
      </c>
      <c r="E706" s="6" t="str">
        <f>VLOOKUP(B706,C488:AN564, 5,FALSE)</f>
        <v>6001</v>
      </c>
      <c r="F706" s="6">
        <f t="shared" si="438"/>
        <v>20180326</v>
      </c>
      <c r="G706" s="6">
        <f t="shared" si="438"/>
        <v>20180326</v>
      </c>
      <c r="H706" s="6" t="str">
        <f t="shared" si="439"/>
        <v>CZCE</v>
      </c>
      <c r="I706" s="6" t="str">
        <f t="shared" si="413"/>
        <v>SR807</v>
      </c>
      <c r="J706" s="6">
        <f t="shared" si="414"/>
        <v>1</v>
      </c>
      <c r="K706" s="6">
        <f t="shared" si="440"/>
        <v>3</v>
      </c>
      <c r="L706" s="6">
        <f t="shared" si="441"/>
        <v>1</v>
      </c>
      <c r="M706" s="6">
        <f t="shared" si="415"/>
        <v>0</v>
      </c>
      <c r="N706" s="6">
        <f t="shared" si="416"/>
        <v>1</v>
      </c>
      <c r="O706" s="6">
        <f t="shared" si="442"/>
        <v>0</v>
      </c>
      <c r="P706" s="12">
        <f t="shared" si="443"/>
        <v>0</v>
      </c>
      <c r="Q706" s="12">
        <f t="shared" si="417"/>
        <v>5.0999999999999997E-2</v>
      </c>
      <c r="R706" s="12">
        <f t="shared" si="418"/>
        <v>5.0999999999999996</v>
      </c>
      <c r="S706" s="12">
        <f t="shared" si="419"/>
        <v>4.1000000000000002E-2</v>
      </c>
      <c r="T706" s="12">
        <f t="shared" si="420"/>
        <v>4.0999999999999996</v>
      </c>
      <c r="U706" s="12">
        <f t="shared" si="421"/>
        <v>10</v>
      </c>
      <c r="V706" s="12">
        <f t="shared" si="422"/>
        <v>0</v>
      </c>
      <c r="W706" s="12">
        <f t="shared" si="423"/>
        <v>6150</v>
      </c>
      <c r="X706" s="12">
        <f t="shared" si="424"/>
        <v>0</v>
      </c>
      <c r="Y706" s="12">
        <f t="shared" si="444"/>
        <v>6102</v>
      </c>
      <c r="Z706" s="12">
        <f t="shared" si="425"/>
        <v>6150</v>
      </c>
      <c r="AA706" s="12">
        <f t="shared" si="445"/>
        <v>0.5</v>
      </c>
      <c r="AB706" s="12">
        <f t="shared" si="445"/>
        <v>0.5</v>
      </c>
      <c r="AC706" s="12">
        <f t="shared" si="446"/>
        <v>0</v>
      </c>
      <c r="AD706" s="12">
        <f t="shared" si="426"/>
        <v>9</v>
      </c>
      <c r="AE706" s="12">
        <f t="shared" si="447"/>
        <v>0</v>
      </c>
      <c r="AF706" s="12">
        <f t="shared" si="448"/>
        <v>0</v>
      </c>
      <c r="AG706" s="12">
        <f t="shared" si="449"/>
        <v>3141.6</v>
      </c>
      <c r="AH706" s="12">
        <f t="shared" si="450"/>
        <v>2525.6</v>
      </c>
      <c r="AI706" s="12">
        <f t="shared" si="427"/>
        <v>0</v>
      </c>
      <c r="AJ706" s="12">
        <v>1</v>
      </c>
      <c r="AK706" s="12">
        <f t="shared" si="428"/>
        <v>0</v>
      </c>
      <c r="AL706" s="12">
        <f t="shared" si="429"/>
        <v>0</v>
      </c>
      <c r="AM706" s="12">
        <f t="shared" si="430"/>
        <v>0</v>
      </c>
      <c r="AN706" s="12">
        <f t="shared" si="431"/>
        <v>-480</v>
      </c>
      <c r="AO706" s="12">
        <f t="shared" si="432"/>
        <v>-480</v>
      </c>
      <c r="AP706" s="12">
        <f t="shared" si="433"/>
        <v>0</v>
      </c>
      <c r="AQ706" s="3" t="str">
        <f t="shared" si="434"/>
        <v>SR807</v>
      </c>
      <c r="AR706" s="3" t="str">
        <f t="shared" si="451"/>
        <v>SR80711</v>
      </c>
      <c r="AS706" s="6" t="str">
        <f t="shared" si="452"/>
        <v>9999</v>
      </c>
      <c r="AT706" s="6" t="str">
        <f t="shared" si="453"/>
        <v>CNY</v>
      </c>
      <c r="AU706" s="6" t="str">
        <f t="shared" si="454"/>
        <v>50010001</v>
      </c>
      <c r="AV706" s="6">
        <f t="shared" si="435"/>
        <v>1</v>
      </c>
      <c r="AW706" s="6" t="str">
        <f t="shared" si="436"/>
        <v>SR807</v>
      </c>
      <c r="AX706" s="6">
        <f t="shared" si="455"/>
        <v>61020</v>
      </c>
    </row>
    <row r="707" spans="1:50" s="6" customFormat="1" x14ac:dyDescent="0.25">
      <c r="A707" s="167" t="str">
        <f t="shared" si="437"/>
        <v/>
      </c>
      <c r="B707" s="140" t="str">
        <f>C489</f>
        <v>2018032610000013</v>
      </c>
      <c r="C707" s="6" t="str">
        <f>VLOOKUP(B707,C489:AN565, 3,FALSE)</f>
        <v>6001</v>
      </c>
      <c r="D707" s="6" t="str">
        <f>VLOOKUP(B707,C489:AN565, 4,FALSE)</f>
        <v>B00101</v>
      </c>
      <c r="E707" s="6" t="str">
        <f>VLOOKUP(B707,C489:AN565, 5,FALSE)</f>
        <v>6001</v>
      </c>
      <c r="F707" s="6">
        <f t="shared" si="438"/>
        <v>20180326</v>
      </c>
      <c r="G707" s="6">
        <f t="shared" si="438"/>
        <v>20180326</v>
      </c>
      <c r="H707" s="6" t="str">
        <f t="shared" si="439"/>
        <v>CZCE</v>
      </c>
      <c r="I707" s="6" t="str">
        <f t="shared" si="413"/>
        <v>SR807</v>
      </c>
      <c r="J707" s="6">
        <f t="shared" si="414"/>
        <v>1</v>
      </c>
      <c r="K707" s="6">
        <f t="shared" si="440"/>
        <v>3</v>
      </c>
      <c r="L707" s="6">
        <f t="shared" si="441"/>
        <v>1</v>
      </c>
      <c r="M707" s="6">
        <f t="shared" si="415"/>
        <v>3</v>
      </c>
      <c r="N707" s="6">
        <f t="shared" si="416"/>
        <v>4</v>
      </c>
      <c r="O707" s="6">
        <f t="shared" si="442"/>
        <v>0</v>
      </c>
      <c r="P707" s="12">
        <f t="shared" si="443"/>
        <v>0</v>
      </c>
      <c r="Q707" s="12">
        <f t="shared" si="417"/>
        <v>5.0999999999999997E-2</v>
      </c>
      <c r="R707" s="12">
        <f t="shared" si="418"/>
        <v>5.0999999999999996</v>
      </c>
      <c r="S707" s="12">
        <f t="shared" si="419"/>
        <v>4.1000000000000002E-2</v>
      </c>
      <c r="T707" s="12">
        <f t="shared" si="420"/>
        <v>4.0999999999999996</v>
      </c>
      <c r="U707" s="12">
        <f t="shared" si="421"/>
        <v>10</v>
      </c>
      <c r="V707" s="12">
        <f t="shared" si="422"/>
        <v>0</v>
      </c>
      <c r="W707" s="12">
        <f t="shared" si="423"/>
        <v>6150</v>
      </c>
      <c r="X707" s="12">
        <f t="shared" si="424"/>
        <v>0</v>
      </c>
      <c r="Y707" s="12">
        <f t="shared" si="444"/>
        <v>6103</v>
      </c>
      <c r="Z707" s="12">
        <f t="shared" si="425"/>
        <v>6150</v>
      </c>
      <c r="AA707" s="12">
        <f t="shared" si="445"/>
        <v>0.5</v>
      </c>
      <c r="AB707" s="12">
        <f t="shared" si="445"/>
        <v>0.5</v>
      </c>
      <c r="AC707" s="12">
        <f t="shared" si="446"/>
        <v>0</v>
      </c>
      <c r="AD707" s="12">
        <f t="shared" si="426"/>
        <v>9</v>
      </c>
      <c r="AE707" s="12">
        <f t="shared" si="447"/>
        <v>9424.7999999999993</v>
      </c>
      <c r="AF707" s="12">
        <f t="shared" si="448"/>
        <v>7576.8</v>
      </c>
      <c r="AG707" s="12">
        <f t="shared" si="449"/>
        <v>12566.4</v>
      </c>
      <c r="AH707" s="12">
        <f t="shared" si="450"/>
        <v>10102.4</v>
      </c>
      <c r="AI707" s="12">
        <f t="shared" si="427"/>
        <v>0</v>
      </c>
      <c r="AJ707" s="12">
        <v>1</v>
      </c>
      <c r="AK707" s="12">
        <f t="shared" si="428"/>
        <v>0</v>
      </c>
      <c r="AL707" s="12">
        <f t="shared" si="429"/>
        <v>-1410</v>
      </c>
      <c r="AM707" s="12">
        <f t="shared" si="430"/>
        <v>-1410</v>
      </c>
      <c r="AN707" s="12">
        <f t="shared" si="431"/>
        <v>-1880</v>
      </c>
      <c r="AO707" s="12">
        <f t="shared" si="432"/>
        <v>-1880</v>
      </c>
      <c r="AP707" s="12">
        <f t="shared" si="433"/>
        <v>0</v>
      </c>
      <c r="AQ707" s="3" t="str">
        <f t="shared" si="434"/>
        <v>SR807</v>
      </c>
      <c r="AR707" s="3" t="str">
        <f t="shared" si="451"/>
        <v>SR80711</v>
      </c>
      <c r="AS707" s="6" t="str">
        <f t="shared" si="452"/>
        <v>9999</v>
      </c>
      <c r="AT707" s="6" t="str">
        <f t="shared" si="453"/>
        <v>CNY</v>
      </c>
      <c r="AU707" s="6" t="str">
        <f t="shared" si="454"/>
        <v>50010001</v>
      </c>
      <c r="AV707" s="6">
        <f t="shared" si="435"/>
        <v>1</v>
      </c>
      <c r="AW707" s="6" t="str">
        <f t="shared" si="436"/>
        <v>SR807</v>
      </c>
      <c r="AX707" s="6">
        <f t="shared" si="455"/>
        <v>427210</v>
      </c>
    </row>
    <row r="708" spans="1:50" s="6" customFormat="1" x14ac:dyDescent="0.25">
      <c r="A708" s="167" t="str">
        <f t="shared" si="437"/>
        <v/>
      </c>
      <c r="B708" s="140" t="str">
        <f>C494</f>
        <v>2018032610000018</v>
      </c>
      <c r="C708" s="6" t="str">
        <f>VLOOKUP(B708,C491:AN567, 3,FALSE)</f>
        <v>6001</v>
      </c>
      <c r="D708" s="6" t="str">
        <f>VLOOKUP(B708,C494:AN570, 4,FALSE)</f>
        <v>B00101</v>
      </c>
      <c r="E708" s="6" t="str">
        <f>VLOOKUP(B708,C494:AN570, 5,FALSE)</f>
        <v>6001</v>
      </c>
      <c r="F708" s="6">
        <f t="shared" si="438"/>
        <v>20180326</v>
      </c>
      <c r="G708" s="6">
        <f t="shared" si="438"/>
        <v>20180326</v>
      </c>
      <c r="H708" s="6" t="str">
        <f t="shared" si="439"/>
        <v>CZCE</v>
      </c>
      <c r="I708" s="6" t="str">
        <f t="shared" si="413"/>
        <v>SR807</v>
      </c>
      <c r="J708" s="6">
        <f t="shared" si="414"/>
        <v>0</v>
      </c>
      <c r="K708" s="6">
        <f t="shared" si="440"/>
        <v>2</v>
      </c>
      <c r="L708" s="6">
        <f t="shared" si="441"/>
        <v>3</v>
      </c>
      <c r="M708" s="6">
        <f t="shared" si="415"/>
        <v>5</v>
      </c>
      <c r="N708" s="6">
        <f t="shared" si="416"/>
        <v>0</v>
      </c>
      <c r="O708" s="6">
        <f t="shared" si="442"/>
        <v>0</v>
      </c>
      <c r="P708" s="12">
        <f t="shared" si="443"/>
        <v>0</v>
      </c>
      <c r="Q708" s="12">
        <f t="shared" si="417"/>
        <v>5.1999999999999998E-2</v>
      </c>
      <c r="R708" s="12">
        <f t="shared" si="418"/>
        <v>5.2</v>
      </c>
      <c r="S708" s="12">
        <f t="shared" si="419"/>
        <v>4.2000000000000003E-2</v>
      </c>
      <c r="T708" s="12">
        <f t="shared" si="420"/>
        <v>4.2</v>
      </c>
      <c r="U708" s="12">
        <f t="shared" si="421"/>
        <v>10</v>
      </c>
      <c r="V708" s="12">
        <f t="shared" si="422"/>
        <v>0</v>
      </c>
      <c r="W708" s="12">
        <f t="shared" si="423"/>
        <v>6150</v>
      </c>
      <c r="X708" s="12">
        <f t="shared" si="424"/>
        <v>0</v>
      </c>
      <c r="Y708" s="12">
        <f t="shared" si="444"/>
        <v>6108</v>
      </c>
      <c r="Z708" s="12">
        <f t="shared" si="425"/>
        <v>6150</v>
      </c>
      <c r="AA708" s="12">
        <f t="shared" si="445"/>
        <v>0.5</v>
      </c>
      <c r="AB708" s="12">
        <f t="shared" si="445"/>
        <v>0.5</v>
      </c>
      <c r="AC708" s="12">
        <f t="shared" si="446"/>
        <v>0</v>
      </c>
      <c r="AD708" s="12">
        <f t="shared" si="426"/>
        <v>9</v>
      </c>
      <c r="AE708" s="12">
        <f t="shared" si="447"/>
        <v>16016</v>
      </c>
      <c r="AF708" s="12">
        <f t="shared" si="448"/>
        <v>12936</v>
      </c>
      <c r="AG708" s="12">
        <f t="shared" si="449"/>
        <v>0</v>
      </c>
      <c r="AH708" s="12">
        <f t="shared" si="450"/>
        <v>0</v>
      </c>
      <c r="AI708" s="12">
        <f t="shared" si="427"/>
        <v>0</v>
      </c>
      <c r="AJ708" s="12">
        <v>1</v>
      </c>
      <c r="AK708" s="12">
        <f t="shared" si="428"/>
        <v>0</v>
      </c>
      <c r="AL708" s="12">
        <f t="shared" si="429"/>
        <v>2100</v>
      </c>
      <c r="AM708" s="12">
        <f t="shared" si="430"/>
        <v>2100</v>
      </c>
      <c r="AN708" s="12">
        <f t="shared" si="431"/>
        <v>0</v>
      </c>
      <c r="AO708" s="12">
        <f t="shared" si="432"/>
        <v>0</v>
      </c>
      <c r="AP708" s="12">
        <f t="shared" si="433"/>
        <v>0</v>
      </c>
      <c r="AQ708" s="3" t="str">
        <f t="shared" si="434"/>
        <v>SR807</v>
      </c>
      <c r="AR708" s="3" t="str">
        <f t="shared" si="451"/>
        <v>SR80730</v>
      </c>
      <c r="AS708" s="6" t="str">
        <f t="shared" si="452"/>
        <v>9999</v>
      </c>
      <c r="AT708" s="6" t="str">
        <f t="shared" si="453"/>
        <v>CNY</v>
      </c>
      <c r="AU708" s="6" t="str">
        <f t="shared" si="454"/>
        <v>50010001</v>
      </c>
      <c r="AV708" s="6">
        <f t="shared" si="435"/>
        <v>1</v>
      </c>
      <c r="AW708" s="6" t="str">
        <f t="shared" si="436"/>
        <v>SR807</v>
      </c>
      <c r="AX708" s="6">
        <f t="shared" si="455"/>
        <v>305400</v>
      </c>
    </row>
    <row r="709" spans="1:50" s="6" customFormat="1" x14ac:dyDescent="0.25">
      <c r="A709" s="167" t="str">
        <f t="shared" si="437"/>
        <v>comment</v>
      </c>
      <c r="B709" s="140" t="str">
        <f>C495</f>
        <v>2018032610000019</v>
      </c>
      <c r="C709" s="6" t="str">
        <f>VLOOKUP(B709,C492:AN568, 3,FALSE)</f>
        <v>6001</v>
      </c>
      <c r="D709" s="6" t="str">
        <f>VLOOKUP(B709,C495:AN571, 4,FALSE)</f>
        <v>B00101</v>
      </c>
      <c r="E709" s="6" t="str">
        <f>VLOOKUP(B709,C495:AN571, 5,FALSE)</f>
        <v>6001</v>
      </c>
      <c r="F709" s="6">
        <f t="shared" si="438"/>
        <v>20180326</v>
      </c>
      <c r="G709" s="6">
        <f t="shared" si="438"/>
        <v>20180326</v>
      </c>
      <c r="H709" s="6" t="str">
        <f t="shared" si="439"/>
        <v>CZCE</v>
      </c>
      <c r="I709" s="6" t="str">
        <f t="shared" si="413"/>
        <v>SR807</v>
      </c>
      <c r="J709" s="6">
        <f t="shared" si="414"/>
        <v>0</v>
      </c>
      <c r="K709" s="6">
        <f t="shared" si="440"/>
        <v>2</v>
      </c>
      <c r="L709" s="6">
        <f t="shared" si="441"/>
        <v>1</v>
      </c>
      <c r="M709" s="6">
        <f t="shared" si="415"/>
        <v>0</v>
      </c>
      <c r="N709" s="6">
        <f t="shared" si="416"/>
        <v>0</v>
      </c>
      <c r="O709" s="6">
        <f t="shared" si="442"/>
        <v>0</v>
      </c>
      <c r="P709" s="12">
        <f t="shared" si="443"/>
        <v>0</v>
      </c>
      <c r="Q709" s="12">
        <f t="shared" si="417"/>
        <v>0.05</v>
      </c>
      <c r="R709" s="12">
        <f t="shared" si="418"/>
        <v>5</v>
      </c>
      <c r="S709" s="12">
        <f t="shared" si="419"/>
        <v>0.04</v>
      </c>
      <c r="T709" s="12">
        <f t="shared" si="420"/>
        <v>4</v>
      </c>
      <c r="U709" s="12">
        <f t="shared" si="421"/>
        <v>10</v>
      </c>
      <c r="V709" s="12">
        <f t="shared" si="422"/>
        <v>0</v>
      </c>
      <c r="W709" s="12">
        <f t="shared" si="423"/>
        <v>6150</v>
      </c>
      <c r="X709" s="12">
        <f t="shared" si="424"/>
        <v>0</v>
      </c>
      <c r="Y709" s="12">
        <f t="shared" si="444"/>
        <v>6109</v>
      </c>
      <c r="Z709" s="12">
        <f t="shared" si="425"/>
        <v>6150</v>
      </c>
      <c r="AA709" s="12">
        <f t="shared" si="445"/>
        <v>0.5</v>
      </c>
      <c r="AB709" s="12">
        <f t="shared" si="445"/>
        <v>0.5</v>
      </c>
      <c r="AC709" s="12">
        <f t="shared" si="446"/>
        <v>0</v>
      </c>
      <c r="AD709" s="12">
        <f t="shared" si="426"/>
        <v>9</v>
      </c>
      <c r="AE709" s="12">
        <f t="shared" si="447"/>
        <v>0</v>
      </c>
      <c r="AF709" s="12">
        <f t="shared" si="448"/>
        <v>0</v>
      </c>
      <c r="AG709" s="12">
        <f t="shared" si="449"/>
        <v>0</v>
      </c>
      <c r="AH709" s="12">
        <f t="shared" si="450"/>
        <v>0</v>
      </c>
      <c r="AI709" s="12">
        <f t="shared" si="427"/>
        <v>0</v>
      </c>
      <c r="AJ709" s="12">
        <v>1</v>
      </c>
      <c r="AK709" s="12">
        <f t="shared" si="428"/>
        <v>0</v>
      </c>
      <c r="AL709" s="12">
        <f t="shared" si="429"/>
        <v>0</v>
      </c>
      <c r="AM709" s="12">
        <f t="shared" si="430"/>
        <v>0</v>
      </c>
      <c r="AN709" s="12">
        <f t="shared" si="431"/>
        <v>0</v>
      </c>
      <c r="AO709" s="12">
        <f t="shared" si="432"/>
        <v>0</v>
      </c>
      <c r="AP709" s="12">
        <f t="shared" si="433"/>
        <v>0</v>
      </c>
      <c r="AQ709" s="3" t="str">
        <f t="shared" si="434"/>
        <v>SR807</v>
      </c>
      <c r="AR709" s="3" t="str">
        <f t="shared" si="451"/>
        <v>SR80710</v>
      </c>
      <c r="AS709" s="6" t="str">
        <f t="shared" si="452"/>
        <v>9999</v>
      </c>
      <c r="AT709" s="6" t="str">
        <f t="shared" si="453"/>
        <v>CNY</v>
      </c>
      <c r="AU709" s="6" t="str">
        <f t="shared" si="454"/>
        <v>50010001</v>
      </c>
      <c r="AV709" s="6">
        <f t="shared" si="435"/>
        <v>1</v>
      </c>
      <c r="AW709" s="6" t="str">
        <f t="shared" si="436"/>
        <v>SR807</v>
      </c>
      <c r="AX709" s="6">
        <f t="shared" si="455"/>
        <v>0</v>
      </c>
    </row>
    <row r="710" spans="1:50" s="6" customFormat="1" x14ac:dyDescent="0.25">
      <c r="A710" s="167" t="str">
        <f t="shared" si="437"/>
        <v/>
      </c>
      <c r="B710" s="140" t="str">
        <f>C496</f>
        <v>2018032610000020</v>
      </c>
      <c r="C710" s="6" t="str">
        <f>VLOOKUP(B710,C493:AN569, 3,FALSE)</f>
        <v>6001</v>
      </c>
      <c r="D710" s="6" t="str">
        <f>VLOOKUP(B710,C496:AN571, 4,FALSE)</f>
        <v>B00101</v>
      </c>
      <c r="E710" s="6" t="str">
        <f>VLOOKUP(B710,C496:AN571, 5,FALSE)</f>
        <v>6001</v>
      </c>
      <c r="F710" s="6">
        <f t="shared" si="438"/>
        <v>20180326</v>
      </c>
      <c r="G710" s="6">
        <f t="shared" si="438"/>
        <v>20180326</v>
      </c>
      <c r="H710" s="6" t="str">
        <f t="shared" si="439"/>
        <v>CZCE</v>
      </c>
      <c r="I710" s="6" t="str">
        <f t="shared" si="413"/>
        <v>SR807</v>
      </c>
      <c r="J710" s="6">
        <f t="shared" si="414"/>
        <v>0</v>
      </c>
      <c r="K710" s="6">
        <f t="shared" si="440"/>
        <v>2</v>
      </c>
      <c r="L710" s="6">
        <f t="shared" si="441"/>
        <v>1</v>
      </c>
      <c r="M710" s="6">
        <f t="shared" si="415"/>
        <v>3</v>
      </c>
      <c r="N710" s="6">
        <f t="shared" si="416"/>
        <v>5</v>
      </c>
      <c r="O710" s="6">
        <f t="shared" si="442"/>
        <v>0</v>
      </c>
      <c r="P710" s="12">
        <f t="shared" si="443"/>
        <v>0</v>
      </c>
      <c r="Q710" s="12">
        <f t="shared" si="417"/>
        <v>0.05</v>
      </c>
      <c r="R710" s="12">
        <f t="shared" si="418"/>
        <v>5</v>
      </c>
      <c r="S710" s="12">
        <f t="shared" si="419"/>
        <v>0.04</v>
      </c>
      <c r="T710" s="12">
        <f t="shared" si="420"/>
        <v>4</v>
      </c>
      <c r="U710" s="12">
        <f t="shared" si="421"/>
        <v>10</v>
      </c>
      <c r="V710" s="12">
        <f t="shared" si="422"/>
        <v>0</v>
      </c>
      <c r="W710" s="12">
        <f t="shared" si="423"/>
        <v>6150</v>
      </c>
      <c r="X710" s="12">
        <f t="shared" si="424"/>
        <v>0</v>
      </c>
      <c r="Y710" s="12">
        <f t="shared" si="444"/>
        <v>6110</v>
      </c>
      <c r="Z710" s="12">
        <f t="shared" si="425"/>
        <v>6150</v>
      </c>
      <c r="AA710" s="12">
        <f t="shared" si="445"/>
        <v>0.5</v>
      </c>
      <c r="AB710" s="12">
        <f t="shared" si="445"/>
        <v>0.5</v>
      </c>
      <c r="AC710" s="12">
        <f t="shared" si="446"/>
        <v>0</v>
      </c>
      <c r="AD710" s="12">
        <f t="shared" si="426"/>
        <v>9</v>
      </c>
      <c r="AE710" s="12">
        <f t="shared" si="447"/>
        <v>9240</v>
      </c>
      <c r="AF710" s="12">
        <f t="shared" si="448"/>
        <v>7392</v>
      </c>
      <c r="AG710" s="12">
        <f t="shared" si="449"/>
        <v>15400</v>
      </c>
      <c r="AH710" s="12">
        <f t="shared" si="450"/>
        <v>12320</v>
      </c>
      <c r="AI710" s="12">
        <f t="shared" si="427"/>
        <v>0</v>
      </c>
      <c r="AJ710" s="12">
        <v>1</v>
      </c>
      <c r="AK710" s="12">
        <f t="shared" si="428"/>
        <v>0</v>
      </c>
      <c r="AL710" s="12">
        <f t="shared" si="429"/>
        <v>1200</v>
      </c>
      <c r="AM710" s="12">
        <f t="shared" si="430"/>
        <v>1200</v>
      </c>
      <c r="AN710" s="12">
        <f t="shared" si="431"/>
        <v>2000</v>
      </c>
      <c r="AO710" s="12">
        <f t="shared" si="432"/>
        <v>2000</v>
      </c>
      <c r="AP710" s="12">
        <f t="shared" si="433"/>
        <v>0</v>
      </c>
      <c r="AQ710" s="3" t="str">
        <f t="shared" si="434"/>
        <v>SR807</v>
      </c>
      <c r="AR710" s="3" t="str">
        <f t="shared" si="451"/>
        <v>SR80710</v>
      </c>
      <c r="AS710" s="6" t="str">
        <f t="shared" si="452"/>
        <v>9999</v>
      </c>
      <c r="AT710" s="6" t="str">
        <f t="shared" si="453"/>
        <v>CNY</v>
      </c>
      <c r="AU710" s="6" t="str">
        <f t="shared" si="454"/>
        <v>50010001</v>
      </c>
      <c r="AV710" s="6">
        <f t="shared" si="435"/>
        <v>1</v>
      </c>
      <c r="AW710" s="6" t="str">
        <f t="shared" si="436"/>
        <v>SR807</v>
      </c>
      <c r="AX710" s="6">
        <f t="shared" si="455"/>
        <v>488800</v>
      </c>
    </row>
    <row r="711" spans="1:50" s="6" customFormat="1" x14ac:dyDescent="0.25">
      <c r="A711" s="167" t="str">
        <f t="shared" si="437"/>
        <v/>
      </c>
      <c r="B711" s="140" t="str">
        <f t="shared" ref="B711:B718" si="456">C500</f>
        <v>2018032610000024</v>
      </c>
      <c r="C711" s="6" t="str">
        <f>VLOOKUP(B711,C500:AN575, 3,FALSE)</f>
        <v>6001</v>
      </c>
      <c r="D711" s="6" t="str">
        <f>VLOOKUP(B711,C500:AN575, 4,FALSE)</f>
        <v>B00101</v>
      </c>
      <c r="E711" s="6" t="str">
        <f>VLOOKUP(B711,C500:AN575, 5,FALSE)</f>
        <v>6001</v>
      </c>
      <c r="F711" s="6">
        <f t="shared" si="438"/>
        <v>20180326</v>
      </c>
      <c r="G711" s="6">
        <f t="shared" si="438"/>
        <v>20180326</v>
      </c>
      <c r="H711" s="6" t="str">
        <f t="shared" si="439"/>
        <v>CZCE</v>
      </c>
      <c r="I711" s="6" t="str">
        <f t="shared" si="413"/>
        <v>SR809</v>
      </c>
      <c r="J711" s="6">
        <f t="shared" si="414"/>
        <v>1</v>
      </c>
      <c r="K711" s="6">
        <f t="shared" si="440"/>
        <v>3</v>
      </c>
      <c r="L711" s="6">
        <f t="shared" si="441"/>
        <v>1</v>
      </c>
      <c r="M711" s="6">
        <f t="shared" si="415"/>
        <v>0</v>
      </c>
      <c r="N711" s="6">
        <f t="shared" si="416"/>
        <v>2</v>
      </c>
      <c r="O711" s="6">
        <f t="shared" si="442"/>
        <v>0</v>
      </c>
      <c r="P711" s="12">
        <f t="shared" si="443"/>
        <v>0</v>
      </c>
      <c r="Q711" s="12">
        <f t="shared" si="417"/>
        <v>5.0999999999999997E-2</v>
      </c>
      <c r="R711" s="12">
        <f t="shared" si="418"/>
        <v>5.0999999999999996</v>
      </c>
      <c r="S711" s="12">
        <f t="shared" si="419"/>
        <v>4.1000000000000002E-2</v>
      </c>
      <c r="T711" s="12">
        <f t="shared" si="420"/>
        <v>4.0999999999999996</v>
      </c>
      <c r="U711" s="12">
        <f t="shared" si="421"/>
        <v>10</v>
      </c>
      <c r="V711" s="12">
        <f t="shared" si="422"/>
        <v>0</v>
      </c>
      <c r="W711" s="12">
        <f t="shared" si="423"/>
        <v>6155</v>
      </c>
      <c r="X711" s="12">
        <f t="shared" si="424"/>
        <v>0</v>
      </c>
      <c r="Y711" s="12">
        <f t="shared" si="444"/>
        <v>6114</v>
      </c>
      <c r="Z711" s="12">
        <f t="shared" si="425"/>
        <v>6155</v>
      </c>
      <c r="AA711" s="12">
        <f t="shared" si="445"/>
        <v>0.5</v>
      </c>
      <c r="AB711" s="12">
        <f t="shared" si="445"/>
        <v>0.5</v>
      </c>
      <c r="AC711" s="12">
        <f t="shared" si="446"/>
        <v>0</v>
      </c>
      <c r="AD711" s="12">
        <f t="shared" si="426"/>
        <v>9</v>
      </c>
      <c r="AE711" s="12">
        <f t="shared" si="447"/>
        <v>0</v>
      </c>
      <c r="AF711" s="12">
        <f t="shared" si="448"/>
        <v>0</v>
      </c>
      <c r="AG711" s="12">
        <f t="shared" si="449"/>
        <v>6288.3</v>
      </c>
      <c r="AH711" s="12">
        <f t="shared" si="450"/>
        <v>5055.3</v>
      </c>
      <c r="AI711" s="12">
        <f t="shared" si="427"/>
        <v>0</v>
      </c>
      <c r="AJ711" s="12">
        <v>1</v>
      </c>
      <c r="AK711" s="12">
        <f t="shared" si="428"/>
        <v>0</v>
      </c>
      <c r="AL711" s="12">
        <f t="shared" si="429"/>
        <v>0</v>
      </c>
      <c r="AM711" s="12">
        <f t="shared" si="430"/>
        <v>0</v>
      </c>
      <c r="AN711" s="12">
        <f t="shared" si="431"/>
        <v>-820</v>
      </c>
      <c r="AO711" s="12">
        <f t="shared" si="432"/>
        <v>-820</v>
      </c>
      <c r="AP711" s="12">
        <f t="shared" si="433"/>
        <v>0</v>
      </c>
      <c r="AQ711" s="3" t="str">
        <f t="shared" si="434"/>
        <v>SR809</v>
      </c>
      <c r="AR711" s="3" t="str">
        <f t="shared" si="451"/>
        <v>SR80911</v>
      </c>
      <c r="AS711" s="6" t="str">
        <f t="shared" si="452"/>
        <v>9999</v>
      </c>
      <c r="AT711" s="6" t="str">
        <f t="shared" si="453"/>
        <v>CNY</v>
      </c>
      <c r="AU711" s="6" t="str">
        <f t="shared" si="454"/>
        <v>50010001</v>
      </c>
      <c r="AV711" s="6">
        <f t="shared" si="435"/>
        <v>1</v>
      </c>
      <c r="AW711" s="6" t="str">
        <f t="shared" si="436"/>
        <v>SR809</v>
      </c>
      <c r="AX711" s="6">
        <f t="shared" si="455"/>
        <v>122280</v>
      </c>
    </row>
    <row r="712" spans="1:50" s="13" customFormat="1" x14ac:dyDescent="0.25">
      <c r="A712" s="470" t="str">
        <f t="shared" si="437"/>
        <v/>
      </c>
      <c r="B712" s="227" t="str">
        <f t="shared" si="456"/>
        <v>2018032610000025</v>
      </c>
      <c r="C712" s="13" t="str">
        <f>VLOOKUP(B712,C501:AN576, 3,FALSE)</f>
        <v>6001</v>
      </c>
      <c r="D712" s="13" t="str">
        <f>VLOOKUP(B712,C501:AN576, 4,FALSE)</f>
        <v>B00101</v>
      </c>
      <c r="E712" s="13" t="str">
        <f>VLOOKUP(B712,C501:AN576, 5,FALSE)</f>
        <v>6001</v>
      </c>
      <c r="F712" s="13">
        <f t="shared" si="438"/>
        <v>20180326</v>
      </c>
      <c r="G712" s="13">
        <f t="shared" si="438"/>
        <v>20180326</v>
      </c>
      <c r="H712" s="13" t="str">
        <f t="shared" si="439"/>
        <v>CZCE</v>
      </c>
      <c r="I712" s="13" t="str">
        <f t="shared" si="413"/>
        <v>SR809</v>
      </c>
      <c r="J712" s="13">
        <f t="shared" si="414"/>
        <v>0</v>
      </c>
      <c r="K712" s="13">
        <f t="shared" si="440"/>
        <v>2</v>
      </c>
      <c r="L712" s="13">
        <f t="shared" si="441"/>
        <v>1</v>
      </c>
      <c r="M712" s="13">
        <f t="shared" si="415"/>
        <v>2</v>
      </c>
      <c r="N712" s="13">
        <f t="shared" si="416"/>
        <v>4</v>
      </c>
      <c r="O712" s="13">
        <f t="shared" si="442"/>
        <v>0</v>
      </c>
      <c r="P712" s="100">
        <f t="shared" si="443"/>
        <v>0</v>
      </c>
      <c r="Q712" s="100">
        <f t="shared" si="417"/>
        <v>0.05</v>
      </c>
      <c r="R712" s="100">
        <f t="shared" si="418"/>
        <v>5</v>
      </c>
      <c r="S712" s="100">
        <f t="shared" si="419"/>
        <v>0.04</v>
      </c>
      <c r="T712" s="100">
        <f t="shared" si="420"/>
        <v>4</v>
      </c>
      <c r="U712" s="100">
        <f t="shared" si="421"/>
        <v>10</v>
      </c>
      <c r="V712" s="100">
        <f t="shared" si="422"/>
        <v>0</v>
      </c>
      <c r="W712" s="100">
        <f t="shared" si="423"/>
        <v>6155</v>
      </c>
      <c r="X712" s="100">
        <f t="shared" si="424"/>
        <v>0</v>
      </c>
      <c r="Y712" s="100">
        <f t="shared" si="444"/>
        <v>6115</v>
      </c>
      <c r="Z712" s="100">
        <f t="shared" si="425"/>
        <v>6155</v>
      </c>
      <c r="AA712" s="100">
        <f t="shared" si="445"/>
        <v>0.5</v>
      </c>
      <c r="AB712" s="100">
        <f t="shared" si="445"/>
        <v>0.5</v>
      </c>
      <c r="AC712" s="100">
        <f t="shared" si="446"/>
        <v>0</v>
      </c>
      <c r="AD712" s="100">
        <f t="shared" si="426"/>
        <v>9</v>
      </c>
      <c r="AE712" s="100">
        <f t="shared" si="447"/>
        <v>6165</v>
      </c>
      <c r="AF712" s="100">
        <f t="shared" si="448"/>
        <v>4932</v>
      </c>
      <c r="AG712" s="100">
        <f t="shared" si="449"/>
        <v>12330</v>
      </c>
      <c r="AH712" s="100">
        <f t="shared" si="450"/>
        <v>9864</v>
      </c>
      <c r="AI712" s="100">
        <f t="shared" si="427"/>
        <v>0</v>
      </c>
      <c r="AJ712" s="100">
        <v>1</v>
      </c>
      <c r="AK712" s="100">
        <f t="shared" si="428"/>
        <v>0</v>
      </c>
      <c r="AL712" s="100">
        <f t="shared" si="429"/>
        <v>800</v>
      </c>
      <c r="AM712" s="100">
        <f t="shared" si="430"/>
        <v>800</v>
      </c>
      <c r="AN712" s="100">
        <f t="shared" si="431"/>
        <v>1600</v>
      </c>
      <c r="AO712" s="100">
        <f t="shared" si="432"/>
        <v>1600</v>
      </c>
      <c r="AP712" s="100">
        <f t="shared" si="433"/>
        <v>0</v>
      </c>
      <c r="AQ712" s="221" t="str">
        <f t="shared" si="434"/>
        <v>SR809</v>
      </c>
      <c r="AR712" s="3" t="str">
        <f t="shared" si="451"/>
        <v>SR80910</v>
      </c>
      <c r="AS712" s="13" t="str">
        <f t="shared" si="452"/>
        <v>9999</v>
      </c>
      <c r="AT712" s="13" t="str">
        <f t="shared" si="453"/>
        <v>CNY</v>
      </c>
      <c r="AU712" s="13" t="str">
        <f t="shared" si="454"/>
        <v>50010001</v>
      </c>
      <c r="AV712" s="13">
        <f t="shared" si="435"/>
        <v>1</v>
      </c>
      <c r="AW712" s="13" t="str">
        <f t="shared" si="436"/>
        <v>SR809</v>
      </c>
      <c r="AX712" s="13">
        <f t="shared" si="455"/>
        <v>366900</v>
      </c>
    </row>
    <row r="713" spans="1:50" s="6" customFormat="1" x14ac:dyDescent="0.25">
      <c r="A713" s="167" t="str">
        <f t="shared" si="437"/>
        <v/>
      </c>
      <c r="B713" s="140" t="str">
        <f t="shared" si="456"/>
        <v>2018032610000026</v>
      </c>
      <c r="C713" s="6" t="str">
        <f>VLOOKUP(B713,C502:AN577, 3,FALSE)</f>
        <v>6001</v>
      </c>
      <c r="D713" s="6" t="str">
        <f>VLOOKUP(B713,C502:AN577, 4,FALSE)</f>
        <v>B00101</v>
      </c>
      <c r="E713" s="6" t="str">
        <f>VLOOKUP(B713,C502:AN577, 5,FALSE)</f>
        <v>6001</v>
      </c>
      <c r="F713" s="6">
        <f t="shared" si="438"/>
        <v>20180326</v>
      </c>
      <c r="G713" s="6">
        <f t="shared" si="438"/>
        <v>20180326</v>
      </c>
      <c r="H713" s="6" t="str">
        <f t="shared" si="439"/>
        <v>CZCE</v>
      </c>
      <c r="I713" s="6" t="str">
        <f t="shared" si="413"/>
        <v>OI811</v>
      </c>
      <c r="J713" s="6">
        <f t="shared" si="414"/>
        <v>1</v>
      </c>
      <c r="K713" s="6">
        <f t="shared" si="440"/>
        <v>3</v>
      </c>
      <c r="L713" s="6">
        <f t="shared" si="441"/>
        <v>1</v>
      </c>
      <c r="M713" s="6">
        <f t="shared" si="415"/>
        <v>0</v>
      </c>
      <c r="N713" s="6">
        <f t="shared" si="416"/>
        <v>2</v>
      </c>
      <c r="O713" s="6">
        <f t="shared" si="442"/>
        <v>0</v>
      </c>
      <c r="P713" s="12">
        <f t="shared" si="443"/>
        <v>0</v>
      </c>
      <c r="Q713" s="12">
        <f t="shared" si="417"/>
        <v>5.0999999999999997E-2</v>
      </c>
      <c r="R713" s="12">
        <f t="shared" si="418"/>
        <v>5.0999999999999996</v>
      </c>
      <c r="S713" s="12">
        <f t="shared" si="419"/>
        <v>4.1000000000000002E-2</v>
      </c>
      <c r="T713" s="12">
        <f t="shared" si="420"/>
        <v>4.0999999999999996</v>
      </c>
      <c r="U713" s="12">
        <f t="shared" si="421"/>
        <v>10</v>
      </c>
      <c r="V713" s="12">
        <f t="shared" si="422"/>
        <v>0</v>
      </c>
      <c r="W713" s="12">
        <f t="shared" si="423"/>
        <v>6160</v>
      </c>
      <c r="X713" s="12">
        <f t="shared" si="424"/>
        <v>0</v>
      </c>
      <c r="Y713" s="12">
        <f t="shared" si="444"/>
        <v>6116</v>
      </c>
      <c r="Z713" s="12">
        <f t="shared" si="425"/>
        <v>6160</v>
      </c>
      <c r="AA713" s="12">
        <f t="shared" si="445"/>
        <v>0.5</v>
      </c>
      <c r="AB713" s="12">
        <f t="shared" si="445"/>
        <v>0.5</v>
      </c>
      <c r="AC713" s="12">
        <f t="shared" si="446"/>
        <v>0</v>
      </c>
      <c r="AD713" s="12">
        <f t="shared" si="426"/>
        <v>9</v>
      </c>
      <c r="AE713" s="12">
        <f t="shared" si="447"/>
        <v>0</v>
      </c>
      <c r="AF713" s="12">
        <f t="shared" si="448"/>
        <v>0</v>
      </c>
      <c r="AG713" s="12">
        <f t="shared" si="449"/>
        <v>6293.4</v>
      </c>
      <c r="AH713" s="12">
        <f t="shared" si="450"/>
        <v>5059.3999999999996</v>
      </c>
      <c r="AI713" s="12">
        <f t="shared" si="427"/>
        <v>0</v>
      </c>
      <c r="AJ713" s="12">
        <v>1</v>
      </c>
      <c r="AK713" s="12">
        <f t="shared" si="428"/>
        <v>0</v>
      </c>
      <c r="AL713" s="12">
        <f t="shared" si="429"/>
        <v>0</v>
      </c>
      <c r="AM713" s="12">
        <f t="shared" si="430"/>
        <v>0</v>
      </c>
      <c r="AN713" s="12">
        <f t="shared" si="431"/>
        <v>-880</v>
      </c>
      <c r="AO713" s="12">
        <f t="shared" si="432"/>
        <v>-880</v>
      </c>
      <c r="AP713" s="12">
        <f t="shared" si="433"/>
        <v>0</v>
      </c>
      <c r="AQ713" s="3" t="str">
        <f t="shared" si="434"/>
        <v>OI811</v>
      </c>
      <c r="AR713" s="3" t="str">
        <f t="shared" si="451"/>
        <v>OI81111</v>
      </c>
      <c r="AS713" s="6" t="str">
        <f t="shared" si="452"/>
        <v>9999</v>
      </c>
      <c r="AT713" s="6" t="str">
        <f t="shared" si="453"/>
        <v>CNY</v>
      </c>
      <c r="AU713" s="6" t="str">
        <f t="shared" si="454"/>
        <v>50010001</v>
      </c>
      <c r="AV713" s="6">
        <f t="shared" si="435"/>
        <v>1</v>
      </c>
      <c r="AW713" s="6" t="str">
        <f t="shared" si="436"/>
        <v>OI811</v>
      </c>
      <c r="AX713" s="6">
        <f t="shared" si="455"/>
        <v>122320</v>
      </c>
    </row>
    <row r="714" spans="1:50" s="6" customFormat="1" x14ac:dyDescent="0.25">
      <c r="A714" s="167" t="str">
        <f t="shared" si="437"/>
        <v/>
      </c>
      <c r="B714" s="140" t="str">
        <f t="shared" si="456"/>
        <v>2018032610000027</v>
      </c>
      <c r="C714" s="6" t="str">
        <f>VLOOKUP(B714,C503:AN578, 3,FALSE)</f>
        <v>6001</v>
      </c>
      <c r="D714" s="6" t="str">
        <f>VLOOKUP(B714,C503:AN578, 4,FALSE)</f>
        <v>B00101</v>
      </c>
      <c r="E714" s="6" t="str">
        <f>VLOOKUP(B714,C503:AN578, 5,FALSE)</f>
        <v>6001</v>
      </c>
      <c r="F714" s="6">
        <f t="shared" si="438"/>
        <v>20180326</v>
      </c>
      <c r="G714" s="6">
        <f t="shared" si="438"/>
        <v>20180326</v>
      </c>
      <c r="H714" s="6" t="str">
        <f t="shared" si="439"/>
        <v>CZCE</v>
      </c>
      <c r="I714" s="6" t="str">
        <f t="shared" si="413"/>
        <v>OI811</v>
      </c>
      <c r="J714" s="6">
        <f t="shared" si="414"/>
        <v>0</v>
      </c>
      <c r="K714" s="6">
        <f t="shared" si="440"/>
        <v>2</v>
      </c>
      <c r="L714" s="6">
        <f t="shared" si="441"/>
        <v>1</v>
      </c>
      <c r="M714" s="6">
        <f t="shared" si="415"/>
        <v>0</v>
      </c>
      <c r="N714" s="6">
        <f t="shared" si="416"/>
        <v>2</v>
      </c>
      <c r="O714" s="6">
        <f t="shared" si="442"/>
        <v>0</v>
      </c>
      <c r="P714" s="12">
        <f t="shared" si="443"/>
        <v>0</v>
      </c>
      <c r="Q714" s="12">
        <f t="shared" si="417"/>
        <v>0.05</v>
      </c>
      <c r="R714" s="12">
        <f t="shared" si="418"/>
        <v>5</v>
      </c>
      <c r="S714" s="12">
        <f t="shared" si="419"/>
        <v>0.04</v>
      </c>
      <c r="T714" s="12">
        <f t="shared" si="420"/>
        <v>4</v>
      </c>
      <c r="U714" s="12">
        <f t="shared" si="421"/>
        <v>10</v>
      </c>
      <c r="V714" s="12">
        <f t="shared" si="422"/>
        <v>0</v>
      </c>
      <c r="W714" s="12">
        <f t="shared" si="423"/>
        <v>6160</v>
      </c>
      <c r="X714" s="12">
        <f t="shared" si="424"/>
        <v>0</v>
      </c>
      <c r="Y714" s="12">
        <f t="shared" si="444"/>
        <v>6117</v>
      </c>
      <c r="Z714" s="12">
        <f t="shared" si="425"/>
        <v>6160</v>
      </c>
      <c r="AA714" s="12">
        <f t="shared" si="445"/>
        <v>0.5</v>
      </c>
      <c r="AB714" s="12">
        <f t="shared" si="445"/>
        <v>0.5</v>
      </c>
      <c r="AC714" s="12">
        <f t="shared" si="446"/>
        <v>0</v>
      </c>
      <c r="AD714" s="12">
        <f t="shared" si="426"/>
        <v>9</v>
      </c>
      <c r="AE714" s="12">
        <f t="shared" si="447"/>
        <v>0</v>
      </c>
      <c r="AF714" s="12">
        <f t="shared" si="448"/>
        <v>0</v>
      </c>
      <c r="AG714" s="12">
        <f t="shared" si="449"/>
        <v>6170</v>
      </c>
      <c r="AH714" s="12">
        <f t="shared" si="450"/>
        <v>4936</v>
      </c>
      <c r="AI714" s="12">
        <f t="shared" si="427"/>
        <v>0</v>
      </c>
      <c r="AJ714" s="12">
        <v>1</v>
      </c>
      <c r="AK714" s="12">
        <f t="shared" si="428"/>
        <v>0</v>
      </c>
      <c r="AL714" s="12">
        <f t="shared" si="429"/>
        <v>0</v>
      </c>
      <c r="AM714" s="12">
        <f t="shared" si="430"/>
        <v>0</v>
      </c>
      <c r="AN714" s="12">
        <f t="shared" si="431"/>
        <v>860</v>
      </c>
      <c r="AO714" s="12">
        <f t="shared" si="432"/>
        <v>860</v>
      </c>
      <c r="AP714" s="12">
        <f t="shared" si="433"/>
        <v>0</v>
      </c>
      <c r="AQ714" s="3" t="str">
        <f t="shared" si="434"/>
        <v>OI811</v>
      </c>
      <c r="AR714" s="3" t="str">
        <f t="shared" si="451"/>
        <v>OI81110</v>
      </c>
      <c r="AS714" s="6" t="str">
        <f t="shared" si="452"/>
        <v>9999</v>
      </c>
      <c r="AT714" s="6" t="str">
        <f t="shared" si="453"/>
        <v>CNY</v>
      </c>
      <c r="AU714" s="6" t="str">
        <f t="shared" si="454"/>
        <v>50010001</v>
      </c>
      <c r="AV714" s="6">
        <f t="shared" si="435"/>
        <v>1</v>
      </c>
      <c r="AW714" s="6" t="str">
        <f t="shared" si="436"/>
        <v>OI811</v>
      </c>
      <c r="AX714" s="6">
        <f t="shared" si="455"/>
        <v>122340</v>
      </c>
    </row>
    <row r="715" spans="1:50" s="6" customFormat="1" x14ac:dyDescent="0.25">
      <c r="A715" s="167" t="str">
        <f t="shared" si="437"/>
        <v/>
      </c>
      <c r="B715" s="140" t="str">
        <f t="shared" si="456"/>
        <v>2018032610000028</v>
      </c>
      <c r="C715" s="6" t="str">
        <f>VLOOKUP(B715,C504:AN580, 3,FALSE)</f>
        <v>6001</v>
      </c>
      <c r="D715" s="6" t="str">
        <f>VLOOKUP(B715,C504:AN580, 4,FALSE)</f>
        <v>B00102</v>
      </c>
      <c r="E715" s="6" t="str">
        <f>VLOOKUP(B715,C504:AN580, 5,FALSE)</f>
        <v>6001</v>
      </c>
      <c r="F715" s="6">
        <f t="shared" si="438"/>
        <v>20180326</v>
      </c>
      <c r="G715" s="6">
        <f t="shared" si="438"/>
        <v>20180326</v>
      </c>
      <c r="H715" s="6" t="str">
        <f t="shared" si="439"/>
        <v>CZCE</v>
      </c>
      <c r="I715" s="6" t="str">
        <f t="shared" si="413"/>
        <v>PTA807</v>
      </c>
      <c r="J715" s="6">
        <f t="shared" si="414"/>
        <v>0</v>
      </c>
      <c r="K715" s="6">
        <f t="shared" si="440"/>
        <v>2</v>
      </c>
      <c r="L715" s="6">
        <f t="shared" si="441"/>
        <v>3</v>
      </c>
      <c r="M715" s="6">
        <f t="shared" si="415"/>
        <v>2</v>
      </c>
      <c r="N715" s="6">
        <f t="shared" si="416"/>
        <v>0</v>
      </c>
      <c r="O715" s="6">
        <f t="shared" si="442"/>
        <v>0</v>
      </c>
      <c r="P715" s="12">
        <f t="shared" si="443"/>
        <v>0</v>
      </c>
      <c r="Q715" s="12">
        <f t="shared" si="417"/>
        <v>5.1999999999999998E-2</v>
      </c>
      <c r="R715" s="12">
        <f t="shared" si="418"/>
        <v>5.2</v>
      </c>
      <c r="S715" s="12">
        <f t="shared" si="419"/>
        <v>4.2000000000000003E-2</v>
      </c>
      <c r="T715" s="12">
        <f t="shared" si="420"/>
        <v>4.2</v>
      </c>
      <c r="U715" s="12">
        <f t="shared" si="421"/>
        <v>5</v>
      </c>
      <c r="V715" s="12">
        <f t="shared" si="422"/>
        <v>0</v>
      </c>
      <c r="W715" s="12">
        <f t="shared" si="423"/>
        <v>6165</v>
      </c>
      <c r="X715" s="12">
        <f t="shared" si="424"/>
        <v>0</v>
      </c>
      <c r="Y715" s="12">
        <f t="shared" si="444"/>
        <v>6118</v>
      </c>
      <c r="Z715" s="12">
        <f t="shared" si="425"/>
        <v>6165</v>
      </c>
      <c r="AA715" s="12">
        <f t="shared" si="445"/>
        <v>0.5</v>
      </c>
      <c r="AB715" s="12">
        <f t="shared" si="445"/>
        <v>0.5</v>
      </c>
      <c r="AC715" s="12">
        <f t="shared" si="446"/>
        <v>0</v>
      </c>
      <c r="AD715" s="12">
        <f t="shared" si="426"/>
        <v>9</v>
      </c>
      <c r="AE715" s="12">
        <f t="shared" si="447"/>
        <v>3216.2</v>
      </c>
      <c r="AF715" s="12">
        <f t="shared" si="448"/>
        <v>2597.6999999999998</v>
      </c>
      <c r="AG715" s="12">
        <f t="shared" si="449"/>
        <v>0</v>
      </c>
      <c r="AH715" s="12">
        <f t="shared" si="450"/>
        <v>0</v>
      </c>
      <c r="AI715" s="12">
        <f t="shared" si="427"/>
        <v>0</v>
      </c>
      <c r="AJ715" s="12">
        <v>1</v>
      </c>
      <c r="AK715" s="12">
        <f t="shared" si="428"/>
        <v>0</v>
      </c>
      <c r="AL715" s="12">
        <f t="shared" si="429"/>
        <v>470</v>
      </c>
      <c r="AM715" s="12">
        <f t="shared" si="430"/>
        <v>470</v>
      </c>
      <c r="AN715" s="12">
        <f t="shared" si="431"/>
        <v>0</v>
      </c>
      <c r="AO715" s="12">
        <f t="shared" si="432"/>
        <v>0</v>
      </c>
      <c r="AP715" s="12">
        <f t="shared" si="433"/>
        <v>1</v>
      </c>
      <c r="AQ715" s="3" t="str">
        <f t="shared" si="434"/>
        <v>PTA807</v>
      </c>
      <c r="AR715" s="3" t="str">
        <f t="shared" si="451"/>
        <v>PTA80730</v>
      </c>
      <c r="AS715" s="6" t="str">
        <f t="shared" si="452"/>
        <v>9999</v>
      </c>
      <c r="AT715" s="6" t="str">
        <f t="shared" si="453"/>
        <v>CNY</v>
      </c>
      <c r="AU715" s="6" t="str">
        <f t="shared" si="454"/>
        <v>50010002</v>
      </c>
      <c r="AV715" s="6">
        <f t="shared" si="435"/>
        <v>1</v>
      </c>
      <c r="AW715" s="6" t="str">
        <f t="shared" si="436"/>
        <v>PTA807</v>
      </c>
      <c r="AX715" s="6">
        <f t="shared" si="455"/>
        <v>61180</v>
      </c>
    </row>
    <row r="716" spans="1:50" s="6" customFormat="1" x14ac:dyDescent="0.25">
      <c r="A716" s="167" t="str">
        <f t="shared" si="437"/>
        <v/>
      </c>
      <c r="B716" s="140" t="str">
        <f t="shared" si="456"/>
        <v>2018032610000029</v>
      </c>
      <c r="C716" s="6" t="str">
        <f>VLOOKUP(B716,C505:AN581, 3,FALSE)</f>
        <v>6001</v>
      </c>
      <c r="D716" s="6" t="str">
        <f>VLOOKUP(B716,C505:AN581, 4,FALSE)</f>
        <v>B00102</v>
      </c>
      <c r="E716" s="6" t="str">
        <f>VLOOKUP(B716,C505:AN581, 5,FALSE)</f>
        <v>6001</v>
      </c>
      <c r="F716" s="6">
        <f t="shared" si="438"/>
        <v>20180326</v>
      </c>
      <c r="G716" s="6">
        <f t="shared" si="438"/>
        <v>20180326</v>
      </c>
      <c r="H716" s="6" t="str">
        <f t="shared" si="439"/>
        <v>CZCE</v>
      </c>
      <c r="I716" s="6" t="str">
        <f t="shared" si="413"/>
        <v>PTA807</v>
      </c>
      <c r="J716" s="6">
        <f t="shared" si="414"/>
        <v>1</v>
      </c>
      <c r="K716" s="6">
        <f t="shared" si="440"/>
        <v>3</v>
      </c>
      <c r="L716" s="6">
        <f t="shared" si="441"/>
        <v>3</v>
      </c>
      <c r="M716" s="6">
        <f t="shared" si="415"/>
        <v>6</v>
      </c>
      <c r="N716" s="6">
        <f t="shared" si="416"/>
        <v>0</v>
      </c>
      <c r="O716" s="6">
        <f t="shared" si="442"/>
        <v>0</v>
      </c>
      <c r="P716" s="12">
        <f t="shared" si="443"/>
        <v>0</v>
      </c>
      <c r="Q716" s="12">
        <f t="shared" si="417"/>
        <v>5.2999999999999999E-2</v>
      </c>
      <c r="R716" s="12">
        <f t="shared" si="418"/>
        <v>5.3</v>
      </c>
      <c r="S716" s="12">
        <f t="shared" si="419"/>
        <v>4.2999999999999997E-2</v>
      </c>
      <c r="T716" s="12">
        <f t="shared" si="420"/>
        <v>4.3</v>
      </c>
      <c r="U716" s="12">
        <f t="shared" si="421"/>
        <v>5</v>
      </c>
      <c r="V716" s="12">
        <f t="shared" si="422"/>
        <v>0</v>
      </c>
      <c r="W716" s="12">
        <f t="shared" si="423"/>
        <v>6165</v>
      </c>
      <c r="X716" s="12">
        <f t="shared" si="424"/>
        <v>0</v>
      </c>
      <c r="Y716" s="12">
        <f t="shared" si="444"/>
        <v>6119</v>
      </c>
      <c r="Z716" s="12">
        <f t="shared" si="425"/>
        <v>6165</v>
      </c>
      <c r="AA716" s="12">
        <f t="shared" si="445"/>
        <v>0.5</v>
      </c>
      <c r="AB716" s="12">
        <f t="shared" si="445"/>
        <v>0.5</v>
      </c>
      <c r="AC716" s="12">
        <f t="shared" si="446"/>
        <v>0</v>
      </c>
      <c r="AD716" s="12">
        <f t="shared" si="426"/>
        <v>9</v>
      </c>
      <c r="AE716" s="12">
        <f t="shared" si="447"/>
        <v>9834.15</v>
      </c>
      <c r="AF716" s="12">
        <f t="shared" si="448"/>
        <v>7978.65</v>
      </c>
      <c r="AG716" s="12">
        <f t="shared" si="449"/>
        <v>0</v>
      </c>
      <c r="AH716" s="12">
        <f t="shared" si="450"/>
        <v>0</v>
      </c>
      <c r="AI716" s="12">
        <f t="shared" si="427"/>
        <v>0</v>
      </c>
      <c r="AJ716" s="12">
        <v>1</v>
      </c>
      <c r="AK716" s="12">
        <f t="shared" si="428"/>
        <v>0</v>
      </c>
      <c r="AL716" s="12">
        <f t="shared" si="429"/>
        <v>-1380</v>
      </c>
      <c r="AM716" s="12">
        <f t="shared" si="430"/>
        <v>-1380</v>
      </c>
      <c r="AN716" s="12">
        <f t="shared" si="431"/>
        <v>0</v>
      </c>
      <c r="AO716" s="12">
        <f t="shared" si="432"/>
        <v>0</v>
      </c>
      <c r="AP716" s="12">
        <f t="shared" si="433"/>
        <v>1</v>
      </c>
      <c r="AQ716" s="3" t="str">
        <f t="shared" si="434"/>
        <v>PTA807</v>
      </c>
      <c r="AR716" s="3" t="str">
        <f t="shared" si="451"/>
        <v>PTA80731</v>
      </c>
      <c r="AS716" s="6" t="str">
        <f t="shared" si="452"/>
        <v>9999</v>
      </c>
      <c r="AT716" s="6" t="str">
        <f t="shared" si="453"/>
        <v>CNY</v>
      </c>
      <c r="AU716" s="6" t="str">
        <f t="shared" si="454"/>
        <v>50010002</v>
      </c>
      <c r="AV716" s="6">
        <f t="shared" si="435"/>
        <v>1</v>
      </c>
      <c r="AW716" s="6" t="str">
        <f t="shared" si="436"/>
        <v>PTA807</v>
      </c>
      <c r="AX716" s="6">
        <f t="shared" si="455"/>
        <v>183570</v>
      </c>
    </row>
    <row r="717" spans="1:50" s="6" customFormat="1" x14ac:dyDescent="0.25">
      <c r="A717" s="167" t="str">
        <f t="shared" si="437"/>
        <v/>
      </c>
      <c r="B717" s="140" t="str">
        <f t="shared" si="456"/>
        <v>2018032610000030</v>
      </c>
      <c r="C717" s="6" t="str">
        <f>VLOOKUP(B717,C506:AN584, 3,FALSE)</f>
        <v>6001</v>
      </c>
      <c r="D717" s="6" t="str">
        <f>VLOOKUP(B717,C506:AN584, 4,FALSE)</f>
        <v>B00102</v>
      </c>
      <c r="E717" s="6" t="str">
        <f>VLOOKUP(B717,C506:AN584, 5,FALSE)</f>
        <v>6001</v>
      </c>
      <c r="F717" s="6">
        <f t="shared" si="438"/>
        <v>20180326</v>
      </c>
      <c r="G717" s="6">
        <f t="shared" si="438"/>
        <v>20180326</v>
      </c>
      <c r="H717" s="6" t="str">
        <f t="shared" si="439"/>
        <v>CZCE</v>
      </c>
      <c r="I717" s="6" t="str">
        <f t="shared" si="413"/>
        <v>PTA807</v>
      </c>
      <c r="J717" s="6">
        <f t="shared" si="414"/>
        <v>0</v>
      </c>
      <c r="K717" s="6">
        <f t="shared" si="440"/>
        <v>2</v>
      </c>
      <c r="L717" s="6">
        <f t="shared" si="441"/>
        <v>1</v>
      </c>
      <c r="M717" s="6">
        <f t="shared" si="415"/>
        <v>1</v>
      </c>
      <c r="N717" s="6">
        <f t="shared" si="416"/>
        <v>3</v>
      </c>
      <c r="O717" s="6">
        <f t="shared" si="442"/>
        <v>0</v>
      </c>
      <c r="P717" s="12">
        <f t="shared" si="443"/>
        <v>0</v>
      </c>
      <c r="Q717" s="12">
        <f t="shared" si="417"/>
        <v>0.05</v>
      </c>
      <c r="R717" s="12">
        <f t="shared" si="418"/>
        <v>5</v>
      </c>
      <c r="S717" s="12">
        <f t="shared" si="419"/>
        <v>0.04</v>
      </c>
      <c r="T717" s="12">
        <f t="shared" si="420"/>
        <v>4</v>
      </c>
      <c r="U717" s="12">
        <f t="shared" si="421"/>
        <v>5</v>
      </c>
      <c r="V717" s="12">
        <f t="shared" si="422"/>
        <v>0</v>
      </c>
      <c r="W717" s="12">
        <f t="shared" si="423"/>
        <v>6165</v>
      </c>
      <c r="X717" s="12">
        <f t="shared" si="424"/>
        <v>0</v>
      </c>
      <c r="Y717" s="12">
        <f t="shared" si="444"/>
        <v>6120</v>
      </c>
      <c r="Z717" s="12">
        <f t="shared" si="425"/>
        <v>6165</v>
      </c>
      <c r="AA717" s="12">
        <f t="shared" si="445"/>
        <v>0.5</v>
      </c>
      <c r="AB717" s="12">
        <f t="shared" si="445"/>
        <v>0.5</v>
      </c>
      <c r="AC717" s="12">
        <f t="shared" si="446"/>
        <v>0</v>
      </c>
      <c r="AD717" s="12">
        <f t="shared" si="426"/>
        <v>9</v>
      </c>
      <c r="AE717" s="12">
        <f t="shared" si="447"/>
        <v>1546.25</v>
      </c>
      <c r="AF717" s="12">
        <f t="shared" si="448"/>
        <v>1237</v>
      </c>
      <c r="AG717" s="12">
        <f t="shared" si="449"/>
        <v>4638.75</v>
      </c>
      <c r="AH717" s="12">
        <f t="shared" si="450"/>
        <v>3711</v>
      </c>
      <c r="AI717" s="12">
        <f t="shared" si="427"/>
        <v>0</v>
      </c>
      <c r="AJ717" s="12">
        <v>1</v>
      </c>
      <c r="AK717" s="12">
        <f t="shared" si="428"/>
        <v>0</v>
      </c>
      <c r="AL717" s="12">
        <f t="shared" si="429"/>
        <v>225</v>
      </c>
      <c r="AM717" s="12">
        <f t="shared" si="430"/>
        <v>225</v>
      </c>
      <c r="AN717" s="12">
        <f t="shared" si="431"/>
        <v>675</v>
      </c>
      <c r="AO717" s="12">
        <f t="shared" si="432"/>
        <v>675</v>
      </c>
      <c r="AP717" s="12">
        <f t="shared" si="433"/>
        <v>1</v>
      </c>
      <c r="AQ717" s="3" t="str">
        <f t="shared" si="434"/>
        <v>PTA807</v>
      </c>
      <c r="AR717" s="3" t="str">
        <f t="shared" si="451"/>
        <v>PTA80710</v>
      </c>
      <c r="AS717" s="6" t="str">
        <f t="shared" si="452"/>
        <v>9999</v>
      </c>
      <c r="AT717" s="6" t="str">
        <f t="shared" si="453"/>
        <v>CNY</v>
      </c>
      <c r="AU717" s="6" t="str">
        <f t="shared" si="454"/>
        <v>50010002</v>
      </c>
      <c r="AV717" s="6">
        <f t="shared" si="435"/>
        <v>1</v>
      </c>
      <c r="AW717" s="6" t="str">
        <f t="shared" si="436"/>
        <v>PTA807</v>
      </c>
      <c r="AX717" s="6">
        <f t="shared" si="455"/>
        <v>122400</v>
      </c>
    </row>
    <row r="718" spans="1:50" s="6" customFormat="1" ht="13.95" customHeight="1" x14ac:dyDescent="0.25">
      <c r="A718" s="167" t="str">
        <f t="shared" si="437"/>
        <v/>
      </c>
      <c r="B718" s="140" t="str">
        <f t="shared" si="456"/>
        <v>2018032610000031</v>
      </c>
      <c r="C718" s="6" t="str">
        <f>VLOOKUP(B718,C507:AN585, 3,FALSE)</f>
        <v>6001</v>
      </c>
      <c r="D718" s="6" t="str">
        <f>VLOOKUP(B718,C507:AN585, 4,FALSE)</f>
        <v>B00102</v>
      </c>
      <c r="E718" s="6" t="str">
        <f>VLOOKUP(B718,C507:AN585, 5,FALSE)</f>
        <v>6001</v>
      </c>
      <c r="F718" s="6">
        <f t="shared" si="438"/>
        <v>20180326</v>
      </c>
      <c r="G718" s="6">
        <f t="shared" si="438"/>
        <v>20180326</v>
      </c>
      <c r="H718" s="6" t="str">
        <f t="shared" si="439"/>
        <v>CZCE</v>
      </c>
      <c r="I718" s="6" t="str">
        <f t="shared" si="413"/>
        <v>PTA807</v>
      </c>
      <c r="J718" s="6">
        <f t="shared" si="414"/>
        <v>1</v>
      </c>
      <c r="K718" s="6">
        <f t="shared" si="440"/>
        <v>3</v>
      </c>
      <c r="L718" s="6">
        <f t="shared" si="441"/>
        <v>1</v>
      </c>
      <c r="M718" s="6">
        <f t="shared" si="415"/>
        <v>5</v>
      </c>
      <c r="N718" s="6">
        <f t="shared" si="416"/>
        <v>3</v>
      </c>
      <c r="O718" s="6">
        <f t="shared" si="442"/>
        <v>0</v>
      </c>
      <c r="P718" s="12">
        <f t="shared" si="443"/>
        <v>0</v>
      </c>
      <c r="Q718" s="12">
        <f t="shared" si="417"/>
        <v>5.0999999999999997E-2</v>
      </c>
      <c r="R718" s="12">
        <f t="shared" si="418"/>
        <v>5.0999999999999996</v>
      </c>
      <c r="S718" s="12">
        <f t="shared" si="419"/>
        <v>4.1000000000000002E-2</v>
      </c>
      <c r="T718" s="12">
        <f t="shared" si="420"/>
        <v>4.0999999999999996</v>
      </c>
      <c r="U718" s="12">
        <f t="shared" si="421"/>
        <v>5</v>
      </c>
      <c r="V718" s="12">
        <f t="shared" si="422"/>
        <v>0</v>
      </c>
      <c r="W718" s="12">
        <f t="shared" si="423"/>
        <v>6165</v>
      </c>
      <c r="X718" s="12">
        <f t="shared" si="424"/>
        <v>0</v>
      </c>
      <c r="Y718" s="12">
        <f t="shared" si="444"/>
        <v>6121</v>
      </c>
      <c r="Z718" s="12">
        <f t="shared" si="425"/>
        <v>6165</v>
      </c>
      <c r="AA718" s="12">
        <f t="shared" si="445"/>
        <v>0.5</v>
      </c>
      <c r="AB718" s="12">
        <f t="shared" si="445"/>
        <v>0.5</v>
      </c>
      <c r="AC718" s="12">
        <f t="shared" si="446"/>
        <v>0</v>
      </c>
      <c r="AD718" s="12">
        <f t="shared" si="426"/>
        <v>9</v>
      </c>
      <c r="AE718" s="12">
        <f t="shared" si="447"/>
        <v>7885.88</v>
      </c>
      <c r="AF718" s="12">
        <f t="shared" si="448"/>
        <v>6339.63</v>
      </c>
      <c r="AG718" s="12">
        <f t="shared" si="449"/>
        <v>4731.53</v>
      </c>
      <c r="AH718" s="12">
        <f t="shared" si="450"/>
        <v>3803.78</v>
      </c>
      <c r="AI718" s="12">
        <f t="shared" si="427"/>
        <v>0</v>
      </c>
      <c r="AJ718" s="12">
        <v>1</v>
      </c>
      <c r="AK718" s="12">
        <f t="shared" si="428"/>
        <v>0</v>
      </c>
      <c r="AL718" s="12">
        <f t="shared" si="429"/>
        <v>-1100</v>
      </c>
      <c r="AM718" s="12">
        <f t="shared" si="430"/>
        <v>-1100</v>
      </c>
      <c r="AN718" s="12">
        <f t="shared" si="431"/>
        <v>-660</v>
      </c>
      <c r="AO718" s="12">
        <f t="shared" si="432"/>
        <v>-660</v>
      </c>
      <c r="AP718" s="12">
        <f t="shared" si="433"/>
        <v>1</v>
      </c>
      <c r="AQ718" s="3" t="str">
        <f t="shared" si="434"/>
        <v>PTA807</v>
      </c>
      <c r="AR718" s="3" t="str">
        <f t="shared" si="451"/>
        <v>PTA80711</v>
      </c>
      <c r="AS718" s="6" t="str">
        <f t="shared" si="452"/>
        <v>9999</v>
      </c>
      <c r="AT718" s="6" t="str">
        <f t="shared" si="453"/>
        <v>CNY</v>
      </c>
      <c r="AU718" s="6" t="str">
        <f t="shared" si="454"/>
        <v>50010002</v>
      </c>
      <c r="AV718" s="6">
        <f t="shared" si="435"/>
        <v>1</v>
      </c>
      <c r="AW718" s="6" t="str">
        <f t="shared" si="436"/>
        <v>PTA807</v>
      </c>
      <c r="AX718" s="6">
        <f t="shared" si="455"/>
        <v>244840</v>
      </c>
    </row>
    <row r="719" spans="1:50" s="6" customFormat="1" x14ac:dyDescent="0.25">
      <c r="A719" s="167" t="str">
        <f t="shared" si="437"/>
        <v/>
      </c>
      <c r="B719" s="140" t="str">
        <f>C510</f>
        <v>2018032610000034</v>
      </c>
      <c r="C719" s="6" t="str">
        <f>VLOOKUP(B719,C508:AN586, 3,FALSE)</f>
        <v>6001</v>
      </c>
      <c r="D719" s="6" t="str">
        <f>VLOOKUP(B719,C508:AN586, 4,FALSE)</f>
        <v>B00102</v>
      </c>
      <c r="E719" s="6" t="str">
        <f>VLOOKUP(B719,C508:AN586, 5,FALSE)</f>
        <v>6001</v>
      </c>
      <c r="F719" s="6">
        <f t="shared" si="438"/>
        <v>20180326</v>
      </c>
      <c r="G719" s="6">
        <f t="shared" si="438"/>
        <v>20180326</v>
      </c>
      <c r="H719" s="6" t="str">
        <f t="shared" si="439"/>
        <v>CZCE</v>
      </c>
      <c r="I719" s="6" t="str">
        <f t="shared" si="413"/>
        <v>PTA809</v>
      </c>
      <c r="J719" s="6">
        <f t="shared" si="414"/>
        <v>0</v>
      </c>
      <c r="K719" s="6">
        <f t="shared" si="440"/>
        <v>2</v>
      </c>
      <c r="L719" s="6">
        <f t="shared" si="441"/>
        <v>1</v>
      </c>
      <c r="M719" s="6">
        <f t="shared" si="415"/>
        <v>0</v>
      </c>
      <c r="N719" s="6">
        <f t="shared" si="416"/>
        <v>2</v>
      </c>
      <c r="O719" s="6">
        <f t="shared" si="442"/>
        <v>0</v>
      </c>
      <c r="P719" s="12">
        <f t="shared" si="443"/>
        <v>0</v>
      </c>
      <c r="Q719" s="12">
        <f t="shared" si="417"/>
        <v>0.05</v>
      </c>
      <c r="R719" s="12">
        <f t="shared" si="418"/>
        <v>5</v>
      </c>
      <c r="S719" s="12">
        <f t="shared" si="419"/>
        <v>0.04</v>
      </c>
      <c r="T719" s="12">
        <f t="shared" si="420"/>
        <v>4</v>
      </c>
      <c r="U719" s="12">
        <f t="shared" si="421"/>
        <v>5</v>
      </c>
      <c r="V719" s="12">
        <f t="shared" si="422"/>
        <v>0</v>
      </c>
      <c r="W719" s="12">
        <f t="shared" si="423"/>
        <v>6170</v>
      </c>
      <c r="X719" s="12">
        <f t="shared" si="424"/>
        <v>0</v>
      </c>
      <c r="Y719" s="12">
        <f t="shared" si="444"/>
        <v>6124</v>
      </c>
      <c r="Z719" s="12">
        <f t="shared" si="425"/>
        <v>6170</v>
      </c>
      <c r="AA719" s="12">
        <f t="shared" si="445"/>
        <v>0.5</v>
      </c>
      <c r="AB719" s="12">
        <f t="shared" si="445"/>
        <v>0.5</v>
      </c>
      <c r="AC719" s="12">
        <f t="shared" si="446"/>
        <v>0</v>
      </c>
      <c r="AD719" s="12">
        <f t="shared" si="426"/>
        <v>9</v>
      </c>
      <c r="AE719" s="12">
        <f t="shared" si="447"/>
        <v>0</v>
      </c>
      <c r="AF719" s="12">
        <f t="shared" si="448"/>
        <v>0</v>
      </c>
      <c r="AG719" s="12">
        <f t="shared" si="449"/>
        <v>3095</v>
      </c>
      <c r="AH719" s="12">
        <f t="shared" si="450"/>
        <v>2476</v>
      </c>
      <c r="AI719" s="12">
        <f t="shared" si="427"/>
        <v>0</v>
      </c>
      <c r="AJ719" s="12">
        <v>1</v>
      </c>
      <c r="AK719" s="12">
        <f t="shared" si="428"/>
        <v>0</v>
      </c>
      <c r="AL719" s="12">
        <f t="shared" si="429"/>
        <v>0</v>
      </c>
      <c r="AM719" s="12">
        <f t="shared" si="430"/>
        <v>0</v>
      </c>
      <c r="AN719" s="12">
        <f t="shared" si="431"/>
        <v>460</v>
      </c>
      <c r="AO719" s="12">
        <f t="shared" si="432"/>
        <v>460</v>
      </c>
      <c r="AP719" s="12">
        <f t="shared" si="433"/>
        <v>1</v>
      </c>
      <c r="AQ719" s="3" t="str">
        <f t="shared" si="434"/>
        <v>PTA809</v>
      </c>
      <c r="AR719" s="3" t="str">
        <f t="shared" si="451"/>
        <v>PTA80910</v>
      </c>
      <c r="AS719" s="6" t="str">
        <f t="shared" si="452"/>
        <v>9999</v>
      </c>
      <c r="AT719" s="6" t="str">
        <f t="shared" si="453"/>
        <v>CNY</v>
      </c>
      <c r="AU719" s="6" t="str">
        <f t="shared" si="454"/>
        <v>50010002</v>
      </c>
      <c r="AV719" s="6">
        <f t="shared" si="435"/>
        <v>1</v>
      </c>
      <c r="AW719" s="6" t="str">
        <f t="shared" si="436"/>
        <v>PTA809</v>
      </c>
      <c r="AX719" s="6">
        <f t="shared" si="455"/>
        <v>61240</v>
      </c>
    </row>
    <row r="720" spans="1:50" s="13" customFormat="1" x14ac:dyDescent="0.25">
      <c r="A720" s="470" t="str">
        <f t="shared" si="437"/>
        <v/>
      </c>
      <c r="B720" s="227" t="str">
        <f>C511</f>
        <v>2018032610000035</v>
      </c>
      <c r="C720" s="13" t="str">
        <f>VLOOKUP(B720,C509:AN587, 3,FALSE)</f>
        <v>6001</v>
      </c>
      <c r="D720" s="13" t="str">
        <f>VLOOKUP(B720,C509:AN587, 4,FALSE)</f>
        <v>B00102</v>
      </c>
      <c r="E720" s="13" t="str">
        <f>VLOOKUP(B720,C509:AN587, 5,FALSE)</f>
        <v>6001</v>
      </c>
      <c r="F720" s="13">
        <f t="shared" si="438"/>
        <v>20180326</v>
      </c>
      <c r="G720" s="13">
        <f t="shared" si="438"/>
        <v>20180326</v>
      </c>
      <c r="H720" s="13" t="str">
        <f t="shared" si="439"/>
        <v>CZCE</v>
      </c>
      <c r="I720" s="13" t="str">
        <f t="shared" si="413"/>
        <v>PTA809</v>
      </c>
      <c r="J720" s="13">
        <f t="shared" si="414"/>
        <v>1</v>
      </c>
      <c r="K720" s="13">
        <f t="shared" si="440"/>
        <v>3</v>
      </c>
      <c r="L720" s="13">
        <f t="shared" si="441"/>
        <v>1</v>
      </c>
      <c r="M720" s="13">
        <f t="shared" si="415"/>
        <v>0</v>
      </c>
      <c r="N720" s="13">
        <f t="shared" si="416"/>
        <v>2</v>
      </c>
      <c r="O720" s="13">
        <f t="shared" si="442"/>
        <v>0</v>
      </c>
      <c r="P720" s="100">
        <f t="shared" si="443"/>
        <v>0</v>
      </c>
      <c r="Q720" s="100">
        <f t="shared" si="417"/>
        <v>5.0999999999999997E-2</v>
      </c>
      <c r="R720" s="100">
        <f t="shared" si="418"/>
        <v>5.0999999999999996</v>
      </c>
      <c r="S720" s="100">
        <f t="shared" si="419"/>
        <v>4.1000000000000002E-2</v>
      </c>
      <c r="T720" s="100">
        <f t="shared" si="420"/>
        <v>4.0999999999999996</v>
      </c>
      <c r="U720" s="100">
        <f t="shared" si="421"/>
        <v>5</v>
      </c>
      <c r="V720" s="100">
        <f t="shared" si="422"/>
        <v>0</v>
      </c>
      <c r="W720" s="100">
        <f t="shared" si="423"/>
        <v>6170</v>
      </c>
      <c r="X720" s="100">
        <f t="shared" si="424"/>
        <v>0</v>
      </c>
      <c r="Y720" s="100">
        <f t="shared" si="444"/>
        <v>6125</v>
      </c>
      <c r="Z720" s="100">
        <f t="shared" si="425"/>
        <v>6170</v>
      </c>
      <c r="AA720" s="100">
        <f t="shared" si="445"/>
        <v>0.5</v>
      </c>
      <c r="AB720" s="100">
        <f t="shared" si="445"/>
        <v>0.5</v>
      </c>
      <c r="AC720" s="100">
        <f t="shared" si="446"/>
        <v>0</v>
      </c>
      <c r="AD720" s="100">
        <f t="shared" si="426"/>
        <v>9</v>
      </c>
      <c r="AE720" s="100">
        <f t="shared" si="447"/>
        <v>0</v>
      </c>
      <c r="AF720" s="100">
        <f t="shared" si="448"/>
        <v>0</v>
      </c>
      <c r="AG720" s="100">
        <f t="shared" si="449"/>
        <v>3156.9</v>
      </c>
      <c r="AH720" s="100">
        <f t="shared" si="450"/>
        <v>2537.9</v>
      </c>
      <c r="AI720" s="100">
        <f t="shared" si="427"/>
        <v>0</v>
      </c>
      <c r="AJ720" s="100">
        <v>1</v>
      </c>
      <c r="AK720" s="100">
        <f t="shared" si="428"/>
        <v>0</v>
      </c>
      <c r="AL720" s="100">
        <f t="shared" si="429"/>
        <v>0</v>
      </c>
      <c r="AM720" s="100">
        <f t="shared" si="430"/>
        <v>0</v>
      </c>
      <c r="AN720" s="100">
        <f t="shared" si="431"/>
        <v>-450</v>
      </c>
      <c r="AO720" s="100">
        <f t="shared" si="432"/>
        <v>-450</v>
      </c>
      <c r="AP720" s="100">
        <f t="shared" si="433"/>
        <v>1</v>
      </c>
      <c r="AQ720" s="221" t="str">
        <f t="shared" si="434"/>
        <v>PTA809</v>
      </c>
      <c r="AR720" s="3" t="str">
        <f t="shared" si="451"/>
        <v>PTA80911</v>
      </c>
      <c r="AS720" s="13" t="str">
        <f t="shared" si="452"/>
        <v>9999</v>
      </c>
      <c r="AT720" s="13" t="str">
        <f t="shared" si="453"/>
        <v>CNY</v>
      </c>
      <c r="AU720" s="13" t="str">
        <f t="shared" si="454"/>
        <v>50010002</v>
      </c>
      <c r="AV720" s="13">
        <f t="shared" si="435"/>
        <v>1</v>
      </c>
      <c r="AW720" s="13" t="str">
        <f t="shared" si="436"/>
        <v>PTA809</v>
      </c>
      <c r="AX720" s="13">
        <f t="shared" si="455"/>
        <v>61250</v>
      </c>
    </row>
    <row r="721" spans="1:50" s="6" customFormat="1" x14ac:dyDescent="0.25">
      <c r="A721" s="167" t="str">
        <f t="shared" si="437"/>
        <v>comment</v>
      </c>
      <c r="B721" s="140" t="str">
        <f t="shared" ref="B721:B730" si="457">C518</f>
        <v>2018032610000050</v>
      </c>
      <c r="C721" s="6" t="str">
        <f>VLOOKUP(B721,C512:AN588, 3,FALSE)</f>
        <v>6001</v>
      </c>
      <c r="D721" s="6" t="str">
        <f>VLOOKUP(B721,C512:AN588, 4,FALSE)</f>
        <v>B00101</v>
      </c>
      <c r="E721" s="6" t="str">
        <f>VLOOKUP(B721,C512:AN588, 5,FALSE)</f>
        <v>6001</v>
      </c>
      <c r="F721" s="6">
        <f t="shared" si="438"/>
        <v>20180326</v>
      </c>
      <c r="G721" s="6">
        <f t="shared" si="438"/>
        <v>20180326</v>
      </c>
      <c r="H721" s="6" t="str">
        <f t="shared" si="439"/>
        <v>CZCE</v>
      </c>
      <c r="I721" s="6" t="str">
        <f t="shared" si="413"/>
        <v>SR807</v>
      </c>
      <c r="J721" s="6">
        <f t="shared" si="414"/>
        <v>0</v>
      </c>
      <c r="K721" s="6">
        <f t="shared" si="440"/>
        <v>2</v>
      </c>
      <c r="L721" s="6">
        <f t="shared" si="441"/>
        <v>1</v>
      </c>
      <c r="M721" s="6">
        <f t="shared" si="415"/>
        <v>0</v>
      </c>
      <c r="N721" s="6">
        <f t="shared" si="416"/>
        <v>0</v>
      </c>
      <c r="O721" s="6">
        <f t="shared" si="442"/>
        <v>0</v>
      </c>
      <c r="P721" s="12">
        <f t="shared" si="443"/>
        <v>0</v>
      </c>
      <c r="Q721" s="12">
        <f t="shared" si="417"/>
        <v>0.05</v>
      </c>
      <c r="R721" s="12">
        <f t="shared" si="418"/>
        <v>5</v>
      </c>
      <c r="S721" s="12">
        <f t="shared" si="419"/>
        <v>0.04</v>
      </c>
      <c r="T721" s="12">
        <f t="shared" si="420"/>
        <v>4</v>
      </c>
      <c r="U721" s="12">
        <f t="shared" si="421"/>
        <v>10</v>
      </c>
      <c r="V721" s="12">
        <f t="shared" si="422"/>
        <v>0</v>
      </c>
      <c r="W721" s="12">
        <f t="shared" si="423"/>
        <v>6150</v>
      </c>
      <c r="X721" s="12">
        <f t="shared" si="424"/>
        <v>0</v>
      </c>
      <c r="Y721" s="12">
        <f t="shared" si="444"/>
        <v>6400</v>
      </c>
      <c r="Z721" s="12">
        <f t="shared" si="425"/>
        <v>6150</v>
      </c>
      <c r="AA721" s="12">
        <f t="shared" si="445"/>
        <v>0.5</v>
      </c>
      <c r="AB721" s="12">
        <f t="shared" si="445"/>
        <v>0.5</v>
      </c>
      <c r="AC721" s="12">
        <f t="shared" si="446"/>
        <v>0</v>
      </c>
      <c r="AD721" s="12">
        <f t="shared" si="426"/>
        <v>9</v>
      </c>
      <c r="AE721" s="12">
        <f t="shared" si="447"/>
        <v>0</v>
      </c>
      <c r="AF721" s="12">
        <f t="shared" si="448"/>
        <v>0</v>
      </c>
      <c r="AG721" s="12">
        <f t="shared" si="449"/>
        <v>0</v>
      </c>
      <c r="AH721" s="12">
        <f t="shared" si="450"/>
        <v>0</v>
      </c>
      <c r="AI721" s="12">
        <f t="shared" si="427"/>
        <v>0</v>
      </c>
      <c r="AJ721" s="12">
        <v>1</v>
      </c>
      <c r="AK721" s="12">
        <f t="shared" si="428"/>
        <v>0</v>
      </c>
      <c r="AL721" s="12">
        <f t="shared" si="429"/>
        <v>0</v>
      </c>
      <c r="AM721" s="12">
        <f t="shared" si="430"/>
        <v>0</v>
      </c>
      <c r="AN721" s="12">
        <f t="shared" si="431"/>
        <v>0</v>
      </c>
      <c r="AO721" s="12">
        <f t="shared" si="432"/>
        <v>0</v>
      </c>
      <c r="AP721" s="12">
        <f t="shared" si="433"/>
        <v>0</v>
      </c>
      <c r="AQ721" s="3" t="str">
        <f t="shared" si="434"/>
        <v>SR807</v>
      </c>
      <c r="AR721" s="3" t="str">
        <f t="shared" si="451"/>
        <v>SR80710</v>
      </c>
      <c r="AS721" s="6" t="str">
        <f t="shared" si="452"/>
        <v>9999</v>
      </c>
      <c r="AT721" s="6" t="str">
        <f t="shared" si="453"/>
        <v>CNY</v>
      </c>
      <c r="AU721" s="6" t="str">
        <f t="shared" si="454"/>
        <v>50010001</v>
      </c>
      <c r="AV721" s="6">
        <f t="shared" si="435"/>
        <v>1</v>
      </c>
      <c r="AW721" s="6" t="str">
        <f t="shared" si="436"/>
        <v>SR807</v>
      </c>
      <c r="AX721" s="6">
        <f t="shared" si="455"/>
        <v>0</v>
      </c>
    </row>
    <row r="722" spans="1:50" s="6" customFormat="1" x14ac:dyDescent="0.25">
      <c r="A722" s="167" t="str">
        <f t="shared" si="437"/>
        <v>comment</v>
      </c>
      <c r="B722" s="140" t="str">
        <f t="shared" si="457"/>
        <v>2018032610000051</v>
      </c>
      <c r="C722" s="6" t="str">
        <f>VLOOKUP(B722,C513:AN589, 3,FALSE)</f>
        <v>6001</v>
      </c>
      <c r="D722" s="6" t="str">
        <f>VLOOKUP(B722,C513:AN589, 4,FALSE)</f>
        <v>B00101</v>
      </c>
      <c r="E722" s="6" t="str">
        <f>VLOOKUP(B722,C513:AN589, 5,FALSE)</f>
        <v>6001</v>
      </c>
      <c r="F722" s="6">
        <f t="shared" si="438"/>
        <v>20180326</v>
      </c>
      <c r="G722" s="6">
        <f t="shared" si="438"/>
        <v>20180326</v>
      </c>
      <c r="H722" s="6" t="str">
        <f t="shared" si="439"/>
        <v>CZCE</v>
      </c>
      <c r="I722" s="6" t="str">
        <f t="shared" si="413"/>
        <v>SR807</v>
      </c>
      <c r="J722" s="6">
        <f t="shared" si="414"/>
        <v>0</v>
      </c>
      <c r="K722" s="6">
        <f t="shared" si="440"/>
        <v>2</v>
      </c>
      <c r="L722" s="6">
        <f t="shared" si="441"/>
        <v>3</v>
      </c>
      <c r="M722" s="6">
        <f t="shared" si="415"/>
        <v>0</v>
      </c>
      <c r="N722" s="6">
        <f t="shared" si="416"/>
        <v>0</v>
      </c>
      <c r="O722" s="6">
        <f t="shared" si="442"/>
        <v>0</v>
      </c>
      <c r="P722" s="12">
        <f t="shared" si="443"/>
        <v>0</v>
      </c>
      <c r="Q722" s="12">
        <f t="shared" si="417"/>
        <v>5.1999999999999998E-2</v>
      </c>
      <c r="R722" s="12">
        <f t="shared" si="418"/>
        <v>5.2</v>
      </c>
      <c r="S722" s="12">
        <f t="shared" si="419"/>
        <v>4.2000000000000003E-2</v>
      </c>
      <c r="T722" s="12">
        <f t="shared" si="420"/>
        <v>4.2</v>
      </c>
      <c r="U722" s="12">
        <f t="shared" si="421"/>
        <v>10</v>
      </c>
      <c r="V722" s="12">
        <f t="shared" si="422"/>
        <v>0</v>
      </c>
      <c r="W722" s="12">
        <f t="shared" si="423"/>
        <v>6150</v>
      </c>
      <c r="X722" s="12">
        <f t="shared" si="424"/>
        <v>0</v>
      </c>
      <c r="Y722" s="12">
        <f t="shared" si="444"/>
        <v>6400</v>
      </c>
      <c r="Z722" s="12">
        <f t="shared" si="425"/>
        <v>6150</v>
      </c>
      <c r="AA722" s="12">
        <f t="shared" si="445"/>
        <v>0.5</v>
      </c>
      <c r="AB722" s="12">
        <f t="shared" si="445"/>
        <v>0.5</v>
      </c>
      <c r="AC722" s="12">
        <f t="shared" si="446"/>
        <v>0</v>
      </c>
      <c r="AD722" s="12">
        <f t="shared" si="426"/>
        <v>9</v>
      </c>
      <c r="AE722" s="12">
        <f t="shared" si="447"/>
        <v>0</v>
      </c>
      <c r="AF722" s="12">
        <f t="shared" si="448"/>
        <v>0</v>
      </c>
      <c r="AG722" s="12">
        <f t="shared" si="449"/>
        <v>0</v>
      </c>
      <c r="AH722" s="12">
        <f t="shared" si="450"/>
        <v>0</v>
      </c>
      <c r="AI722" s="12">
        <f t="shared" si="427"/>
        <v>0</v>
      </c>
      <c r="AJ722" s="12">
        <v>1</v>
      </c>
      <c r="AK722" s="12">
        <f t="shared" si="428"/>
        <v>0</v>
      </c>
      <c r="AL722" s="12">
        <f t="shared" si="429"/>
        <v>0</v>
      </c>
      <c r="AM722" s="12">
        <f t="shared" si="430"/>
        <v>0</v>
      </c>
      <c r="AN722" s="12">
        <f t="shared" si="431"/>
        <v>0</v>
      </c>
      <c r="AO722" s="12">
        <f t="shared" si="432"/>
        <v>0</v>
      </c>
      <c r="AP722" s="12">
        <f t="shared" si="433"/>
        <v>0</v>
      </c>
      <c r="AQ722" s="3" t="str">
        <f t="shared" si="434"/>
        <v>SR807</v>
      </c>
      <c r="AR722" s="3" t="str">
        <f t="shared" si="451"/>
        <v>SR80730</v>
      </c>
      <c r="AS722" s="6" t="str">
        <f t="shared" si="452"/>
        <v>9999</v>
      </c>
      <c r="AT722" s="6" t="str">
        <f t="shared" si="453"/>
        <v>CNY</v>
      </c>
      <c r="AU722" s="6" t="str">
        <f t="shared" si="454"/>
        <v>50010001</v>
      </c>
      <c r="AV722" s="6">
        <f t="shared" si="435"/>
        <v>1</v>
      </c>
      <c r="AW722" s="6" t="str">
        <f t="shared" si="436"/>
        <v>SR807</v>
      </c>
      <c r="AX722" s="6">
        <f t="shared" si="455"/>
        <v>0</v>
      </c>
    </row>
    <row r="723" spans="1:50" s="6" customFormat="1" x14ac:dyDescent="0.25">
      <c r="A723" s="167" t="str">
        <f t="shared" si="437"/>
        <v>comment</v>
      </c>
      <c r="B723" s="140" t="str">
        <f t="shared" si="457"/>
        <v>2018032610000052</v>
      </c>
      <c r="C723" s="6" t="str">
        <f>VLOOKUP(B723,C514:AN590, 3,FALSE)</f>
        <v>6001</v>
      </c>
      <c r="D723" s="6" t="str">
        <f>VLOOKUP(B723,C514:AN590, 4,FALSE)</f>
        <v>B00101</v>
      </c>
      <c r="E723" s="6" t="str">
        <f>VLOOKUP(B723,C514:AN590, 5,FALSE)</f>
        <v>6001</v>
      </c>
      <c r="F723" s="6">
        <f t="shared" si="438"/>
        <v>20180326</v>
      </c>
      <c r="G723" s="6">
        <f t="shared" si="438"/>
        <v>20180326</v>
      </c>
      <c r="H723" s="6" t="str">
        <f t="shared" si="439"/>
        <v>CZCE</v>
      </c>
      <c r="I723" s="6" t="str">
        <f t="shared" si="413"/>
        <v>SR807</v>
      </c>
      <c r="J723" s="6">
        <f t="shared" si="414"/>
        <v>1</v>
      </c>
      <c r="K723" s="6">
        <f t="shared" si="440"/>
        <v>3</v>
      </c>
      <c r="L723" s="6">
        <f t="shared" si="441"/>
        <v>1</v>
      </c>
      <c r="M723" s="6">
        <f t="shared" si="415"/>
        <v>0</v>
      </c>
      <c r="N723" s="6">
        <f t="shared" si="416"/>
        <v>0</v>
      </c>
      <c r="O723" s="6">
        <f t="shared" si="442"/>
        <v>0</v>
      </c>
      <c r="P723" s="12">
        <f t="shared" si="443"/>
        <v>0</v>
      </c>
      <c r="Q723" s="12">
        <f t="shared" si="417"/>
        <v>5.0999999999999997E-2</v>
      </c>
      <c r="R723" s="12">
        <f t="shared" si="418"/>
        <v>5.0999999999999996</v>
      </c>
      <c r="S723" s="12">
        <f t="shared" si="419"/>
        <v>4.1000000000000002E-2</v>
      </c>
      <c r="T723" s="12">
        <f t="shared" si="420"/>
        <v>4.0999999999999996</v>
      </c>
      <c r="U723" s="12">
        <f t="shared" si="421"/>
        <v>10</v>
      </c>
      <c r="V723" s="12">
        <f t="shared" si="422"/>
        <v>0</v>
      </c>
      <c r="W723" s="12">
        <f t="shared" si="423"/>
        <v>6150</v>
      </c>
      <c r="X723" s="12">
        <f t="shared" si="424"/>
        <v>0</v>
      </c>
      <c r="Y723" s="12">
        <f t="shared" si="444"/>
        <v>6400</v>
      </c>
      <c r="Z723" s="12">
        <f t="shared" si="425"/>
        <v>6150</v>
      </c>
      <c r="AA723" s="12">
        <f t="shared" si="445"/>
        <v>0.5</v>
      </c>
      <c r="AB723" s="12">
        <f t="shared" si="445"/>
        <v>0.5</v>
      </c>
      <c r="AC723" s="12">
        <f t="shared" si="446"/>
        <v>0</v>
      </c>
      <c r="AD723" s="12">
        <f t="shared" si="426"/>
        <v>9</v>
      </c>
      <c r="AE723" s="12">
        <f t="shared" si="447"/>
        <v>0</v>
      </c>
      <c r="AF723" s="12">
        <f t="shared" si="448"/>
        <v>0</v>
      </c>
      <c r="AG723" s="12">
        <f t="shared" si="449"/>
        <v>0</v>
      </c>
      <c r="AH723" s="12">
        <f t="shared" si="450"/>
        <v>0</v>
      </c>
      <c r="AI723" s="12">
        <f t="shared" si="427"/>
        <v>0</v>
      </c>
      <c r="AJ723" s="12">
        <v>1</v>
      </c>
      <c r="AK723" s="12">
        <f t="shared" si="428"/>
        <v>0</v>
      </c>
      <c r="AL723" s="12">
        <f t="shared" si="429"/>
        <v>0</v>
      </c>
      <c r="AM723" s="12">
        <f t="shared" si="430"/>
        <v>0</v>
      </c>
      <c r="AN723" s="12">
        <f t="shared" si="431"/>
        <v>0</v>
      </c>
      <c r="AO723" s="12">
        <f t="shared" si="432"/>
        <v>0</v>
      </c>
      <c r="AP723" s="12">
        <f t="shared" si="433"/>
        <v>0</v>
      </c>
      <c r="AQ723" s="3" t="str">
        <f t="shared" si="434"/>
        <v>SR807</v>
      </c>
      <c r="AR723" s="3" t="str">
        <f t="shared" si="451"/>
        <v>SR80711</v>
      </c>
      <c r="AS723" s="6" t="str">
        <f t="shared" si="452"/>
        <v>9999</v>
      </c>
      <c r="AT723" s="6" t="str">
        <f t="shared" si="453"/>
        <v>CNY</v>
      </c>
      <c r="AU723" s="6" t="str">
        <f t="shared" si="454"/>
        <v>50010001</v>
      </c>
      <c r="AV723" s="6">
        <f t="shared" si="435"/>
        <v>1</v>
      </c>
      <c r="AW723" s="6" t="str">
        <f t="shared" si="436"/>
        <v>SR807</v>
      </c>
      <c r="AX723" s="6">
        <f t="shared" si="455"/>
        <v>0</v>
      </c>
    </row>
    <row r="724" spans="1:50" s="6" customFormat="1" x14ac:dyDescent="0.25">
      <c r="A724" s="167" t="str">
        <f t="shared" si="437"/>
        <v>comment</v>
      </c>
      <c r="B724" s="140" t="str">
        <f t="shared" si="457"/>
        <v>2018032610000053</v>
      </c>
      <c r="C724" s="6" t="str">
        <f>VLOOKUP(B724,C515:AN591, 3,FALSE)</f>
        <v>6001</v>
      </c>
      <c r="D724" s="6" t="str">
        <f>VLOOKUP(B724,C515:AN591, 4,FALSE)</f>
        <v>B00101</v>
      </c>
      <c r="E724" s="6" t="str">
        <f>VLOOKUP(B724,C515:AN591, 5,FALSE)</f>
        <v>6001</v>
      </c>
      <c r="F724" s="6">
        <f t="shared" si="438"/>
        <v>20180326</v>
      </c>
      <c r="G724" s="6">
        <f t="shared" si="438"/>
        <v>20180326</v>
      </c>
      <c r="H724" s="6" t="str">
        <f t="shared" si="439"/>
        <v>CZCE</v>
      </c>
      <c r="I724" s="6" t="str">
        <f t="shared" si="413"/>
        <v>SR807</v>
      </c>
      <c r="J724" s="6">
        <f t="shared" si="414"/>
        <v>1</v>
      </c>
      <c r="K724" s="6">
        <f t="shared" si="440"/>
        <v>3</v>
      </c>
      <c r="L724" s="6">
        <f t="shared" si="441"/>
        <v>3</v>
      </c>
      <c r="M724" s="6">
        <f t="shared" si="415"/>
        <v>0</v>
      </c>
      <c r="N724" s="6">
        <f t="shared" si="416"/>
        <v>0</v>
      </c>
      <c r="O724" s="6">
        <f t="shared" si="442"/>
        <v>0</v>
      </c>
      <c r="P724" s="12">
        <f t="shared" si="443"/>
        <v>0</v>
      </c>
      <c r="Q724" s="12">
        <f t="shared" si="417"/>
        <v>5.2999999999999999E-2</v>
      </c>
      <c r="R724" s="12">
        <f t="shared" si="418"/>
        <v>5.3</v>
      </c>
      <c r="S724" s="12">
        <f t="shared" si="419"/>
        <v>4.2999999999999997E-2</v>
      </c>
      <c r="T724" s="12">
        <f t="shared" si="420"/>
        <v>4.3</v>
      </c>
      <c r="U724" s="12">
        <f t="shared" si="421"/>
        <v>10</v>
      </c>
      <c r="V724" s="12">
        <f t="shared" si="422"/>
        <v>0</v>
      </c>
      <c r="W724" s="12">
        <f t="shared" si="423"/>
        <v>6150</v>
      </c>
      <c r="X724" s="12">
        <f t="shared" si="424"/>
        <v>0</v>
      </c>
      <c r="Y724" s="12">
        <f t="shared" si="444"/>
        <v>6400</v>
      </c>
      <c r="Z724" s="12">
        <f t="shared" si="425"/>
        <v>6150</v>
      </c>
      <c r="AA724" s="12">
        <f t="shared" si="445"/>
        <v>0.5</v>
      </c>
      <c r="AB724" s="12">
        <f t="shared" si="445"/>
        <v>0.5</v>
      </c>
      <c r="AC724" s="12">
        <f t="shared" si="446"/>
        <v>0</v>
      </c>
      <c r="AD724" s="12">
        <f t="shared" si="426"/>
        <v>9</v>
      </c>
      <c r="AE724" s="12">
        <f t="shared" si="447"/>
        <v>0</v>
      </c>
      <c r="AF724" s="12">
        <f t="shared" si="448"/>
        <v>0</v>
      </c>
      <c r="AG724" s="12">
        <f t="shared" si="449"/>
        <v>0</v>
      </c>
      <c r="AH724" s="12">
        <f t="shared" si="450"/>
        <v>0</v>
      </c>
      <c r="AI724" s="12">
        <f t="shared" si="427"/>
        <v>0</v>
      </c>
      <c r="AJ724" s="12">
        <v>1</v>
      </c>
      <c r="AK724" s="12">
        <f t="shared" si="428"/>
        <v>0</v>
      </c>
      <c r="AL724" s="12">
        <f t="shared" si="429"/>
        <v>0</v>
      </c>
      <c r="AM724" s="12">
        <f t="shared" si="430"/>
        <v>0</v>
      </c>
      <c r="AN724" s="12">
        <f t="shared" si="431"/>
        <v>0</v>
      </c>
      <c r="AO724" s="12">
        <f t="shared" si="432"/>
        <v>0</v>
      </c>
      <c r="AP724" s="12">
        <f t="shared" si="433"/>
        <v>0</v>
      </c>
      <c r="AQ724" s="3" t="str">
        <f t="shared" si="434"/>
        <v>SR807</v>
      </c>
      <c r="AR724" s="3" t="str">
        <f t="shared" si="451"/>
        <v>SR80731</v>
      </c>
      <c r="AS724" s="6" t="str">
        <f t="shared" si="452"/>
        <v>9999</v>
      </c>
      <c r="AT724" s="6" t="str">
        <f t="shared" si="453"/>
        <v>CNY</v>
      </c>
      <c r="AU724" s="6" t="str">
        <f t="shared" si="454"/>
        <v>50010001</v>
      </c>
      <c r="AV724" s="6">
        <f t="shared" si="435"/>
        <v>1</v>
      </c>
      <c r="AW724" s="6" t="str">
        <f t="shared" si="436"/>
        <v>SR807</v>
      </c>
      <c r="AX724" s="6">
        <f t="shared" si="455"/>
        <v>0</v>
      </c>
    </row>
    <row r="725" spans="1:50" s="6" customFormat="1" x14ac:dyDescent="0.25">
      <c r="A725" s="167" t="str">
        <f t="shared" si="437"/>
        <v>comment</v>
      </c>
      <c r="B725" s="140" t="str">
        <f t="shared" si="457"/>
        <v>2018032610000054</v>
      </c>
      <c r="C725" s="6" t="str">
        <f t="shared" ref="C725:C730" si="458">VLOOKUP(B725,C516:AN593, 3,FALSE)</f>
        <v>6001</v>
      </c>
      <c r="D725" s="6" t="str">
        <f t="shared" ref="D725:D730" si="459">VLOOKUP(B725,C516:AN593, 4,FALSE)</f>
        <v>B00101</v>
      </c>
      <c r="E725" s="6" t="str">
        <f t="shared" ref="E725:E730" si="460">VLOOKUP(B725,C516:AN593, 5,FALSE)</f>
        <v>6001</v>
      </c>
      <c r="F725" s="6">
        <f t="shared" si="438"/>
        <v>20180326</v>
      </c>
      <c r="G725" s="6">
        <f t="shared" si="438"/>
        <v>20180326</v>
      </c>
      <c r="H725" s="6" t="str">
        <f t="shared" si="439"/>
        <v>CZCE</v>
      </c>
      <c r="I725" s="6" t="str">
        <f t="shared" si="413"/>
        <v>SR807</v>
      </c>
      <c r="J725" s="6">
        <f t="shared" si="414"/>
        <v>0</v>
      </c>
      <c r="K725" s="6">
        <f t="shared" si="440"/>
        <v>2</v>
      </c>
      <c r="L725" s="6">
        <f t="shared" si="441"/>
        <v>1</v>
      </c>
      <c r="M725" s="6">
        <f t="shared" si="415"/>
        <v>0</v>
      </c>
      <c r="N725" s="6">
        <f t="shared" si="416"/>
        <v>0</v>
      </c>
      <c r="O725" s="6">
        <f t="shared" si="442"/>
        <v>0</v>
      </c>
      <c r="P725" s="12">
        <f t="shared" si="443"/>
        <v>0</v>
      </c>
      <c r="Q725" s="12">
        <f t="shared" si="417"/>
        <v>0.05</v>
      </c>
      <c r="R725" s="12">
        <f t="shared" si="418"/>
        <v>5</v>
      </c>
      <c r="S725" s="12">
        <f t="shared" si="419"/>
        <v>0.04</v>
      </c>
      <c r="T725" s="12">
        <f t="shared" si="420"/>
        <v>4</v>
      </c>
      <c r="U725" s="12">
        <f t="shared" si="421"/>
        <v>10</v>
      </c>
      <c r="V725" s="12">
        <f t="shared" si="422"/>
        <v>0</v>
      </c>
      <c r="W725" s="12">
        <f t="shared" si="423"/>
        <v>6150</v>
      </c>
      <c r="X725" s="12">
        <f t="shared" si="424"/>
        <v>0</v>
      </c>
      <c r="Y725" s="12">
        <f t="shared" si="444"/>
        <v>6500</v>
      </c>
      <c r="Z725" s="12">
        <f t="shared" si="425"/>
        <v>6150</v>
      </c>
      <c r="AA725" s="12">
        <f t="shared" si="445"/>
        <v>0.5</v>
      </c>
      <c r="AB725" s="12">
        <f t="shared" si="445"/>
        <v>0.5</v>
      </c>
      <c r="AC725" s="12">
        <f t="shared" si="446"/>
        <v>0</v>
      </c>
      <c r="AD725" s="12">
        <f t="shared" si="426"/>
        <v>9</v>
      </c>
      <c r="AE725" s="12">
        <f t="shared" si="447"/>
        <v>0</v>
      </c>
      <c r="AF725" s="12">
        <f t="shared" si="448"/>
        <v>0</v>
      </c>
      <c r="AG725" s="12">
        <f t="shared" si="449"/>
        <v>0</v>
      </c>
      <c r="AH725" s="12">
        <f t="shared" si="450"/>
        <v>0</v>
      </c>
      <c r="AI725" s="12">
        <f t="shared" si="427"/>
        <v>0</v>
      </c>
      <c r="AJ725" s="12">
        <v>1</v>
      </c>
      <c r="AK725" s="12">
        <f t="shared" si="428"/>
        <v>0</v>
      </c>
      <c r="AL725" s="12">
        <f t="shared" si="429"/>
        <v>0</v>
      </c>
      <c r="AM725" s="12">
        <f t="shared" si="430"/>
        <v>0</v>
      </c>
      <c r="AN725" s="12">
        <f t="shared" si="431"/>
        <v>0</v>
      </c>
      <c r="AO725" s="12">
        <f t="shared" si="432"/>
        <v>0</v>
      </c>
      <c r="AP725" s="12">
        <f t="shared" si="433"/>
        <v>0</v>
      </c>
      <c r="AQ725" s="3" t="str">
        <f t="shared" si="434"/>
        <v>SR807</v>
      </c>
      <c r="AR725" s="3" t="str">
        <f t="shared" si="451"/>
        <v>SR80710</v>
      </c>
      <c r="AS725" s="6" t="str">
        <f t="shared" si="452"/>
        <v>9999</v>
      </c>
      <c r="AT725" s="6" t="str">
        <f t="shared" si="453"/>
        <v>CNY</v>
      </c>
      <c r="AU725" s="6" t="str">
        <f t="shared" si="454"/>
        <v>50010001</v>
      </c>
      <c r="AV725" s="6">
        <f t="shared" si="435"/>
        <v>1</v>
      </c>
      <c r="AW725" s="6" t="str">
        <f t="shared" si="436"/>
        <v>SR807</v>
      </c>
      <c r="AX725" s="6">
        <f t="shared" si="455"/>
        <v>0</v>
      </c>
    </row>
    <row r="726" spans="1:50" s="6" customFormat="1" x14ac:dyDescent="0.25">
      <c r="A726" s="167" t="str">
        <f t="shared" si="437"/>
        <v/>
      </c>
      <c r="B726" s="140" t="str">
        <f t="shared" si="457"/>
        <v>2018032610000055</v>
      </c>
      <c r="C726" s="6" t="str">
        <f t="shared" si="458"/>
        <v>6001</v>
      </c>
      <c r="D726" s="6" t="str">
        <f t="shared" si="459"/>
        <v>B00101</v>
      </c>
      <c r="E726" s="6" t="str">
        <f t="shared" si="460"/>
        <v>6001</v>
      </c>
      <c r="F726" s="6">
        <f t="shared" si="438"/>
        <v>20180326</v>
      </c>
      <c r="G726" s="6">
        <f t="shared" si="438"/>
        <v>20180326</v>
      </c>
      <c r="H726" s="6" t="str">
        <f t="shared" si="439"/>
        <v>CZCE</v>
      </c>
      <c r="I726" s="6" t="str">
        <f t="shared" si="413"/>
        <v>SR807</v>
      </c>
      <c r="J726" s="6">
        <f t="shared" si="414"/>
        <v>0</v>
      </c>
      <c r="K726" s="6">
        <f t="shared" si="440"/>
        <v>2</v>
      </c>
      <c r="L726" s="6">
        <f t="shared" si="441"/>
        <v>3</v>
      </c>
      <c r="M726" s="6">
        <f t="shared" si="415"/>
        <v>4</v>
      </c>
      <c r="N726" s="6">
        <f t="shared" si="416"/>
        <v>0</v>
      </c>
      <c r="O726" s="6">
        <f t="shared" si="442"/>
        <v>0</v>
      </c>
      <c r="P726" s="12">
        <f t="shared" si="443"/>
        <v>0</v>
      </c>
      <c r="Q726" s="12">
        <f t="shared" si="417"/>
        <v>5.1999999999999998E-2</v>
      </c>
      <c r="R726" s="12">
        <f t="shared" si="418"/>
        <v>5.2</v>
      </c>
      <c r="S726" s="12">
        <f t="shared" si="419"/>
        <v>4.2000000000000003E-2</v>
      </c>
      <c r="T726" s="12">
        <f t="shared" si="420"/>
        <v>4.2</v>
      </c>
      <c r="U726" s="12">
        <f t="shared" si="421"/>
        <v>10</v>
      </c>
      <c r="V726" s="12">
        <f t="shared" si="422"/>
        <v>0</v>
      </c>
      <c r="W726" s="12">
        <f t="shared" si="423"/>
        <v>6150</v>
      </c>
      <c r="X726" s="12">
        <f t="shared" si="424"/>
        <v>0</v>
      </c>
      <c r="Y726" s="12">
        <f t="shared" si="444"/>
        <v>6500</v>
      </c>
      <c r="Z726" s="12">
        <f t="shared" si="425"/>
        <v>6150</v>
      </c>
      <c r="AA726" s="12">
        <f t="shared" si="445"/>
        <v>0.5</v>
      </c>
      <c r="AB726" s="12">
        <f t="shared" si="445"/>
        <v>0.5</v>
      </c>
      <c r="AC726" s="12">
        <f t="shared" si="446"/>
        <v>0</v>
      </c>
      <c r="AD726" s="12">
        <f t="shared" si="426"/>
        <v>9</v>
      </c>
      <c r="AE726" s="12">
        <f t="shared" si="447"/>
        <v>12812.8</v>
      </c>
      <c r="AF726" s="12">
        <f t="shared" si="448"/>
        <v>10348.799999999999</v>
      </c>
      <c r="AG726" s="12">
        <f t="shared" si="449"/>
        <v>0</v>
      </c>
      <c r="AH726" s="12">
        <f t="shared" si="450"/>
        <v>0</v>
      </c>
      <c r="AI726" s="12">
        <f t="shared" si="427"/>
        <v>0</v>
      </c>
      <c r="AJ726" s="12">
        <v>1</v>
      </c>
      <c r="AK726" s="12">
        <f t="shared" si="428"/>
        <v>0</v>
      </c>
      <c r="AL726" s="12">
        <f t="shared" si="429"/>
        <v>-14000</v>
      </c>
      <c r="AM726" s="12">
        <f t="shared" si="430"/>
        <v>-14000</v>
      </c>
      <c r="AN726" s="12">
        <f t="shared" si="431"/>
        <v>0</v>
      </c>
      <c r="AO726" s="12">
        <f t="shared" si="432"/>
        <v>0</v>
      </c>
      <c r="AP726" s="12">
        <f t="shared" si="433"/>
        <v>0</v>
      </c>
      <c r="AQ726" s="3" t="str">
        <f t="shared" si="434"/>
        <v>SR807</v>
      </c>
      <c r="AR726" s="3" t="str">
        <f t="shared" si="451"/>
        <v>SR80730</v>
      </c>
      <c r="AS726" s="6" t="str">
        <f t="shared" si="452"/>
        <v>9999</v>
      </c>
      <c r="AT726" s="6" t="str">
        <f t="shared" si="453"/>
        <v>CNY</v>
      </c>
      <c r="AU726" s="6" t="str">
        <f t="shared" si="454"/>
        <v>50010001</v>
      </c>
      <c r="AV726" s="6">
        <f t="shared" si="435"/>
        <v>1</v>
      </c>
      <c r="AW726" s="6" t="str">
        <f t="shared" si="436"/>
        <v>SR807</v>
      </c>
      <c r="AX726" s="6">
        <f t="shared" si="455"/>
        <v>260000</v>
      </c>
    </row>
    <row r="727" spans="1:50" s="6" customFormat="1" x14ac:dyDescent="0.25">
      <c r="A727" s="167" t="str">
        <f t="shared" si="437"/>
        <v/>
      </c>
      <c r="B727" s="140" t="str">
        <f t="shared" si="457"/>
        <v>2018032610000056</v>
      </c>
      <c r="C727" s="6" t="str">
        <f t="shared" si="458"/>
        <v>6001</v>
      </c>
      <c r="D727" s="6" t="str">
        <f t="shared" si="459"/>
        <v>B00101</v>
      </c>
      <c r="E727" s="6" t="str">
        <f t="shared" si="460"/>
        <v>6001</v>
      </c>
      <c r="F727" s="6">
        <f t="shared" si="438"/>
        <v>20180326</v>
      </c>
      <c r="G727" s="6">
        <f t="shared" si="438"/>
        <v>20180326</v>
      </c>
      <c r="H727" s="6" t="str">
        <f t="shared" si="439"/>
        <v>CZCE</v>
      </c>
      <c r="I727" s="6" t="str">
        <f t="shared" si="413"/>
        <v>SR807</v>
      </c>
      <c r="J727" s="6">
        <f t="shared" si="414"/>
        <v>1</v>
      </c>
      <c r="K727" s="6">
        <f t="shared" si="440"/>
        <v>3</v>
      </c>
      <c r="L727" s="6">
        <f t="shared" si="441"/>
        <v>1</v>
      </c>
      <c r="M727" s="6">
        <f t="shared" si="415"/>
        <v>3</v>
      </c>
      <c r="N727" s="6">
        <f t="shared" si="416"/>
        <v>0</v>
      </c>
      <c r="O727" s="6">
        <f t="shared" si="442"/>
        <v>0</v>
      </c>
      <c r="P727" s="12">
        <f t="shared" si="443"/>
        <v>0</v>
      </c>
      <c r="Q727" s="12">
        <f t="shared" si="417"/>
        <v>5.0999999999999997E-2</v>
      </c>
      <c r="R727" s="12">
        <f t="shared" si="418"/>
        <v>5.0999999999999996</v>
      </c>
      <c r="S727" s="12">
        <f t="shared" si="419"/>
        <v>4.1000000000000002E-2</v>
      </c>
      <c r="T727" s="12">
        <f t="shared" si="420"/>
        <v>4.0999999999999996</v>
      </c>
      <c r="U727" s="12">
        <f t="shared" si="421"/>
        <v>10</v>
      </c>
      <c r="V727" s="12">
        <f t="shared" si="422"/>
        <v>0</v>
      </c>
      <c r="W727" s="12">
        <f t="shared" si="423"/>
        <v>6150</v>
      </c>
      <c r="X727" s="12">
        <f t="shared" si="424"/>
        <v>0</v>
      </c>
      <c r="Y727" s="12">
        <f t="shared" si="444"/>
        <v>6500</v>
      </c>
      <c r="Z727" s="12">
        <f t="shared" si="425"/>
        <v>6150</v>
      </c>
      <c r="AA727" s="12">
        <f t="shared" si="445"/>
        <v>0.5</v>
      </c>
      <c r="AB727" s="12">
        <f t="shared" si="445"/>
        <v>0.5</v>
      </c>
      <c r="AC727" s="12">
        <f t="shared" si="446"/>
        <v>0</v>
      </c>
      <c r="AD727" s="12">
        <f t="shared" si="426"/>
        <v>9</v>
      </c>
      <c r="AE727" s="12">
        <f t="shared" si="447"/>
        <v>9424.7999999999993</v>
      </c>
      <c r="AF727" s="12">
        <f t="shared" si="448"/>
        <v>7576.8</v>
      </c>
      <c r="AG727" s="12">
        <f t="shared" si="449"/>
        <v>0</v>
      </c>
      <c r="AH727" s="12">
        <f t="shared" si="450"/>
        <v>0</v>
      </c>
      <c r="AI727" s="12">
        <f t="shared" si="427"/>
        <v>0</v>
      </c>
      <c r="AJ727" s="12">
        <v>1</v>
      </c>
      <c r="AK727" s="12">
        <f t="shared" si="428"/>
        <v>0</v>
      </c>
      <c r="AL727" s="12">
        <f t="shared" si="429"/>
        <v>10500</v>
      </c>
      <c r="AM727" s="12">
        <f t="shared" si="430"/>
        <v>10500</v>
      </c>
      <c r="AN727" s="12">
        <f t="shared" si="431"/>
        <v>0</v>
      </c>
      <c r="AO727" s="12">
        <f t="shared" si="432"/>
        <v>0</v>
      </c>
      <c r="AP727" s="12">
        <f t="shared" si="433"/>
        <v>0</v>
      </c>
      <c r="AQ727" s="3" t="str">
        <f t="shared" si="434"/>
        <v>SR807</v>
      </c>
      <c r="AR727" s="3" t="str">
        <f t="shared" si="451"/>
        <v>SR80711</v>
      </c>
      <c r="AS727" s="6" t="str">
        <f t="shared" si="452"/>
        <v>9999</v>
      </c>
      <c r="AT727" s="6" t="str">
        <f t="shared" si="453"/>
        <v>CNY</v>
      </c>
      <c r="AU727" s="6" t="str">
        <f t="shared" si="454"/>
        <v>50010001</v>
      </c>
      <c r="AV727" s="6">
        <f t="shared" si="435"/>
        <v>1</v>
      </c>
      <c r="AW727" s="6" t="str">
        <f t="shared" si="436"/>
        <v>SR807</v>
      </c>
      <c r="AX727" s="6">
        <f t="shared" si="455"/>
        <v>195000</v>
      </c>
    </row>
    <row r="728" spans="1:50" s="6" customFormat="1" x14ac:dyDescent="0.25">
      <c r="A728" s="167" t="str">
        <f t="shared" si="437"/>
        <v/>
      </c>
      <c r="B728" s="140" t="str">
        <f t="shared" si="457"/>
        <v>2018032610000057</v>
      </c>
      <c r="C728" s="6" t="str">
        <f t="shared" si="458"/>
        <v>6001</v>
      </c>
      <c r="D728" s="6" t="str">
        <f t="shared" si="459"/>
        <v>B00101</v>
      </c>
      <c r="E728" s="6" t="str">
        <f t="shared" si="460"/>
        <v>6001</v>
      </c>
      <c r="F728" s="6">
        <f t="shared" si="438"/>
        <v>20180326</v>
      </c>
      <c r="G728" s="6">
        <f t="shared" si="438"/>
        <v>20180326</v>
      </c>
      <c r="H728" s="6" t="str">
        <f t="shared" si="439"/>
        <v>CZCE</v>
      </c>
      <c r="I728" s="6" t="str">
        <f t="shared" si="413"/>
        <v>SR807</v>
      </c>
      <c r="J728" s="6">
        <f t="shared" si="414"/>
        <v>1</v>
      </c>
      <c r="K728" s="6">
        <f t="shared" si="440"/>
        <v>3</v>
      </c>
      <c r="L728" s="6">
        <f t="shared" si="441"/>
        <v>3</v>
      </c>
      <c r="M728" s="6">
        <f t="shared" si="415"/>
        <v>2</v>
      </c>
      <c r="N728" s="6">
        <f t="shared" si="416"/>
        <v>0</v>
      </c>
      <c r="O728" s="6">
        <f t="shared" si="442"/>
        <v>0</v>
      </c>
      <c r="P728" s="12">
        <f t="shared" si="443"/>
        <v>0</v>
      </c>
      <c r="Q728" s="12">
        <f t="shared" si="417"/>
        <v>5.2999999999999999E-2</v>
      </c>
      <c r="R728" s="12">
        <f t="shared" si="418"/>
        <v>5.3</v>
      </c>
      <c r="S728" s="12">
        <f t="shared" si="419"/>
        <v>4.2999999999999997E-2</v>
      </c>
      <c r="T728" s="12">
        <f t="shared" si="420"/>
        <v>4.3</v>
      </c>
      <c r="U728" s="12">
        <f t="shared" si="421"/>
        <v>10</v>
      </c>
      <c r="V728" s="12">
        <f t="shared" si="422"/>
        <v>0</v>
      </c>
      <c r="W728" s="12">
        <f t="shared" si="423"/>
        <v>6150</v>
      </c>
      <c r="X728" s="12">
        <f t="shared" si="424"/>
        <v>0</v>
      </c>
      <c r="Y728" s="12">
        <f t="shared" si="444"/>
        <v>6500</v>
      </c>
      <c r="Z728" s="12">
        <f t="shared" si="425"/>
        <v>6150</v>
      </c>
      <c r="AA728" s="12">
        <f t="shared" si="445"/>
        <v>0.5</v>
      </c>
      <c r="AB728" s="12">
        <f t="shared" si="445"/>
        <v>0.5</v>
      </c>
      <c r="AC728" s="12">
        <f t="shared" si="446"/>
        <v>0</v>
      </c>
      <c r="AD728" s="12">
        <f t="shared" si="426"/>
        <v>9</v>
      </c>
      <c r="AE728" s="12">
        <f t="shared" si="447"/>
        <v>6529.6</v>
      </c>
      <c r="AF728" s="12">
        <f t="shared" si="448"/>
        <v>5297.6</v>
      </c>
      <c r="AG728" s="12">
        <f t="shared" si="449"/>
        <v>0</v>
      </c>
      <c r="AH728" s="12">
        <f t="shared" si="450"/>
        <v>0</v>
      </c>
      <c r="AI728" s="12">
        <f t="shared" si="427"/>
        <v>0</v>
      </c>
      <c r="AJ728" s="12">
        <v>1</v>
      </c>
      <c r="AK728" s="12">
        <f t="shared" si="428"/>
        <v>0</v>
      </c>
      <c r="AL728" s="12">
        <f t="shared" si="429"/>
        <v>7000</v>
      </c>
      <c r="AM728" s="12">
        <f t="shared" si="430"/>
        <v>7000</v>
      </c>
      <c r="AN728" s="12">
        <f t="shared" si="431"/>
        <v>0</v>
      </c>
      <c r="AO728" s="12">
        <f t="shared" si="432"/>
        <v>0</v>
      </c>
      <c r="AP728" s="12">
        <f t="shared" si="433"/>
        <v>0</v>
      </c>
      <c r="AQ728" s="3" t="str">
        <f t="shared" si="434"/>
        <v>SR807</v>
      </c>
      <c r="AR728" s="3" t="str">
        <f t="shared" si="451"/>
        <v>SR80731</v>
      </c>
      <c r="AS728" s="6" t="str">
        <f t="shared" si="452"/>
        <v>9999</v>
      </c>
      <c r="AT728" s="6" t="str">
        <f t="shared" si="453"/>
        <v>CNY</v>
      </c>
      <c r="AU728" s="6" t="str">
        <f t="shared" si="454"/>
        <v>50010001</v>
      </c>
      <c r="AV728" s="6">
        <f t="shared" si="435"/>
        <v>1</v>
      </c>
      <c r="AW728" s="6" t="str">
        <f t="shared" si="436"/>
        <v>SR807</v>
      </c>
      <c r="AX728" s="6">
        <f t="shared" si="455"/>
        <v>130000</v>
      </c>
    </row>
    <row r="729" spans="1:50" s="4" customFormat="1" x14ac:dyDescent="0.25">
      <c r="A729" s="197"/>
      <c r="B729" s="308" t="str">
        <f t="shared" si="457"/>
        <v>2018032610000060</v>
      </c>
      <c r="C729" s="4" t="str">
        <f t="shared" si="458"/>
        <v>6001</v>
      </c>
      <c r="D729" s="4" t="str">
        <f t="shared" si="459"/>
        <v>B00102</v>
      </c>
      <c r="E729" s="4" t="str">
        <f t="shared" si="460"/>
        <v>6001</v>
      </c>
      <c r="F729" s="4">
        <f t="shared" si="438"/>
        <v>20180326</v>
      </c>
      <c r="G729" s="4">
        <f t="shared" si="438"/>
        <v>20180326</v>
      </c>
      <c r="H729" s="4" t="str">
        <f t="shared" si="439"/>
        <v>CZCE</v>
      </c>
      <c r="I729" s="4" t="str">
        <f t="shared" ref="I729:I730" si="461">VLOOKUP(B729, $C$486:$AN$550, 10,FALSE)</f>
        <v>PTA807</v>
      </c>
      <c r="J729" s="4">
        <f t="shared" si="414"/>
        <v>0</v>
      </c>
      <c r="K729" s="4">
        <f t="shared" ref="K729:K730" si="462">IF(J729=0,2,3)</f>
        <v>2</v>
      </c>
      <c r="L729" s="4">
        <f t="shared" ref="L729:L730" si="463">VLOOKUP(B729,$C$486:$AN$550, 14,FALSE)</f>
        <v>3</v>
      </c>
      <c r="M729" s="4">
        <f t="shared" si="415"/>
        <v>5</v>
      </c>
      <c r="N729" s="4">
        <f t="shared" si="416"/>
        <v>0</v>
      </c>
      <c r="O729" s="4">
        <f t="shared" ref="O729:O730" si="464">IF(AK729=0,0,M729*U729*W729)</f>
        <v>0</v>
      </c>
      <c r="P729" s="29">
        <f t="shared" ref="P729:P730" si="465">IF(AK729=0,0,(M729+N729)*U729*W729)</f>
        <v>0</v>
      </c>
      <c r="Q729" s="29">
        <f t="shared" ref="Q729:Q730" si="466">IF(AK729=0, VLOOKUP(AR729,$F$56:$L$75,4,FALSE),VLOOKUP(AR729,$F$56:$L$75,4,FALSE)+VLOOKUP(AR729,$F$56:$L$75,6,FALSE) )</f>
        <v>5.1999999999999998E-2</v>
      </c>
      <c r="R729" s="29">
        <f t="shared" ref="R729:R730" si="467">IF(AK729=0, VLOOKUP(AR729,$F$56:$L$75,5,FALSE),VLOOKUP(AR729,$F$56:$L$75,5,FALSE)+VLOOKUP(AR729,$F$56:$L$75,7,FALSE) )</f>
        <v>5.2</v>
      </c>
      <c r="S729" s="29">
        <f t="shared" ref="S729:S730" si="468">VLOOKUP(AR729,$F$56:$L$75,2,FALSE)</f>
        <v>4.2000000000000003E-2</v>
      </c>
      <c r="T729" s="29">
        <f t="shared" ref="T729:T730" si="469">VLOOKUP(AR729,$F$56:$L$75,3,FALSE)</f>
        <v>4.2</v>
      </c>
      <c r="U729" s="29">
        <f t="shared" si="421"/>
        <v>5</v>
      </c>
      <c r="V729" s="29">
        <f t="shared" si="422"/>
        <v>0</v>
      </c>
      <c r="W729" s="29">
        <f t="shared" si="423"/>
        <v>6165</v>
      </c>
      <c r="X729" s="29">
        <f t="shared" si="424"/>
        <v>0</v>
      </c>
      <c r="Y729" s="12">
        <f t="shared" si="444"/>
        <v>6500</v>
      </c>
      <c r="Z729" s="29">
        <f t="shared" si="425"/>
        <v>6165</v>
      </c>
      <c r="AA729" s="29">
        <f t="shared" si="445"/>
        <v>0.5</v>
      </c>
      <c r="AB729" s="29">
        <f t="shared" si="445"/>
        <v>0.5</v>
      </c>
      <c r="AC729" s="29">
        <f t="shared" ref="AC729:AC730" si="470">IF(AD729=0,MAX((V729-X729)*U729,0),MAX((X729-V729)*U729,0))</f>
        <v>0</v>
      </c>
      <c r="AD729" s="29">
        <f t="shared" si="426"/>
        <v>9</v>
      </c>
      <c r="AE729" s="12">
        <f t="shared" si="447"/>
        <v>8040.5</v>
      </c>
      <c r="AF729" s="12">
        <f t="shared" si="448"/>
        <v>6494.25</v>
      </c>
      <c r="AG729" s="12">
        <f t="shared" si="449"/>
        <v>0</v>
      </c>
      <c r="AH729" s="12">
        <f t="shared" si="450"/>
        <v>0</v>
      </c>
      <c r="AI729" s="29">
        <f t="shared" ref="AI729:AI730" si="471">IF(AK729=1,1*U729*W729,0)</f>
        <v>0</v>
      </c>
      <c r="AJ729" s="29">
        <v>2</v>
      </c>
      <c r="AK729" s="29">
        <f t="shared" si="428"/>
        <v>0</v>
      </c>
      <c r="AL729" s="29">
        <f t="shared" ref="AL729:AL730" si="472">IF(AK729=0,IF(F729=G729,IF(J729=0,(W729-Y729)*U729*M729,-(W729-Y729)*U729*M729),IF(J729=0,(W729-Z729)*U729*M729,-(W729-Z729)*U729*M729)),0)</f>
        <v>-8375</v>
      </c>
      <c r="AM729" s="29">
        <f t="shared" ref="AM729:AM730" si="473">IF(AK729=0,IF(J729=0,(W729-Y729)*U729*M729,-(W729-Y729)*U729*M729),0)</f>
        <v>-8375</v>
      </c>
      <c r="AN729" s="29">
        <f t="shared" ref="AN729:AN730" si="474">IF(AK729=0,IF(F729=G729,IF(J729=0,(W729-Y729)*U729*N729,-(W729-Y729)*U729*N729),IF(J729=0,(W729-Z729)*U729*N729,-(W729-Z729)*U729*N729)),0)</f>
        <v>0</v>
      </c>
      <c r="AO729" s="29">
        <f t="shared" ref="AO729:AO730" si="475">IF(AK729=0,IF(J729=0,(W729-Y729)*U729*N729,-(W729-Y729)*U729*N729),0)</f>
        <v>0</v>
      </c>
      <c r="AP729" s="29">
        <f t="shared" si="433"/>
        <v>1</v>
      </c>
      <c r="AQ729" s="36" t="str">
        <f t="shared" si="434"/>
        <v>PTA807</v>
      </c>
      <c r="AR729" s="3" t="str">
        <f t="shared" si="451"/>
        <v>PTA80730</v>
      </c>
      <c r="AS729" s="4" t="str">
        <f t="shared" si="452"/>
        <v>9999</v>
      </c>
      <c r="AT729" s="4" t="str">
        <f t="shared" si="453"/>
        <v>CNY</v>
      </c>
      <c r="AU729" s="4" t="str">
        <f t="shared" ref="AU729:AU730" si="476">VLOOKUP(D729,$C$8:$G$9,5,FALSE)</f>
        <v>50010002</v>
      </c>
      <c r="AV729" s="6">
        <f t="shared" si="435"/>
        <v>1</v>
      </c>
      <c r="AW729" s="6" t="str">
        <f t="shared" si="436"/>
        <v>PTA807</v>
      </c>
      <c r="AX729" s="6">
        <f t="shared" si="455"/>
        <v>162500</v>
      </c>
    </row>
    <row r="730" spans="1:50" s="4" customFormat="1" x14ac:dyDescent="0.25">
      <c r="A730" s="197"/>
      <c r="B730" s="308" t="str">
        <f t="shared" si="457"/>
        <v>2018032610000061</v>
      </c>
      <c r="C730" s="4" t="str">
        <f t="shared" si="458"/>
        <v>6001</v>
      </c>
      <c r="D730" s="4" t="str">
        <f t="shared" si="459"/>
        <v>B00102</v>
      </c>
      <c r="E730" s="4" t="str">
        <f t="shared" si="460"/>
        <v>6001</v>
      </c>
      <c r="F730" s="4">
        <f t="shared" si="438"/>
        <v>20180326</v>
      </c>
      <c r="G730" s="4">
        <f t="shared" si="438"/>
        <v>20180326</v>
      </c>
      <c r="H730" s="4" t="str">
        <f t="shared" si="439"/>
        <v>CZCE</v>
      </c>
      <c r="I730" s="4" t="str">
        <f t="shared" si="461"/>
        <v>PTA807</v>
      </c>
      <c r="J730" s="4">
        <f t="shared" si="414"/>
        <v>0</v>
      </c>
      <c r="K730" s="4">
        <f t="shared" si="462"/>
        <v>2</v>
      </c>
      <c r="L730" s="4">
        <f t="shared" si="463"/>
        <v>1</v>
      </c>
      <c r="M730" s="4">
        <f t="shared" si="415"/>
        <v>2</v>
      </c>
      <c r="N730" s="4">
        <f t="shared" si="416"/>
        <v>0</v>
      </c>
      <c r="O730" s="4">
        <f t="shared" si="464"/>
        <v>0</v>
      </c>
      <c r="P730" s="29">
        <f t="shared" si="465"/>
        <v>0</v>
      </c>
      <c r="Q730" s="29">
        <f t="shared" si="466"/>
        <v>0.05</v>
      </c>
      <c r="R730" s="29">
        <f t="shared" si="467"/>
        <v>5</v>
      </c>
      <c r="S730" s="29">
        <f t="shared" si="468"/>
        <v>0.04</v>
      </c>
      <c r="T730" s="29">
        <f t="shared" si="469"/>
        <v>4</v>
      </c>
      <c r="U730" s="29">
        <f t="shared" si="421"/>
        <v>5</v>
      </c>
      <c r="V730" s="29">
        <f t="shared" si="422"/>
        <v>0</v>
      </c>
      <c r="W730" s="29">
        <f t="shared" si="423"/>
        <v>6165</v>
      </c>
      <c r="X730" s="29">
        <f t="shared" si="424"/>
        <v>0</v>
      </c>
      <c r="Y730" s="12">
        <f t="shared" si="444"/>
        <v>6500</v>
      </c>
      <c r="Z730" s="29">
        <f t="shared" si="425"/>
        <v>6165</v>
      </c>
      <c r="AA730" s="29">
        <f t="shared" si="445"/>
        <v>0.5</v>
      </c>
      <c r="AB730" s="29">
        <f t="shared" si="445"/>
        <v>0.5</v>
      </c>
      <c r="AC730" s="29">
        <f t="shared" si="470"/>
        <v>0</v>
      </c>
      <c r="AD730" s="29">
        <f t="shared" si="426"/>
        <v>9</v>
      </c>
      <c r="AE730" s="12">
        <f t="shared" si="447"/>
        <v>3092.5</v>
      </c>
      <c r="AF730" s="12">
        <f t="shared" si="448"/>
        <v>2474</v>
      </c>
      <c r="AG730" s="12">
        <f t="shared" si="449"/>
        <v>0</v>
      </c>
      <c r="AH730" s="12">
        <f t="shared" si="450"/>
        <v>0</v>
      </c>
      <c r="AI730" s="29">
        <f t="shared" si="471"/>
        <v>0</v>
      </c>
      <c r="AJ730" s="29">
        <v>3</v>
      </c>
      <c r="AK730" s="29">
        <f t="shared" si="428"/>
        <v>0</v>
      </c>
      <c r="AL730" s="29">
        <f t="shared" si="472"/>
        <v>-3350</v>
      </c>
      <c r="AM730" s="29">
        <f t="shared" si="473"/>
        <v>-3350</v>
      </c>
      <c r="AN730" s="29">
        <f t="shared" si="474"/>
        <v>0</v>
      </c>
      <c r="AO730" s="29">
        <f t="shared" si="475"/>
        <v>0</v>
      </c>
      <c r="AP730" s="29">
        <f t="shared" si="433"/>
        <v>1</v>
      </c>
      <c r="AQ730" s="36" t="str">
        <f t="shared" si="434"/>
        <v>PTA807</v>
      </c>
      <c r="AR730" s="3" t="str">
        <f t="shared" si="451"/>
        <v>PTA80710</v>
      </c>
      <c r="AS730" s="4" t="str">
        <f t="shared" si="452"/>
        <v>9999</v>
      </c>
      <c r="AT730" s="4" t="str">
        <f t="shared" si="453"/>
        <v>CNY</v>
      </c>
      <c r="AU730" s="4" t="str">
        <f t="shared" si="476"/>
        <v>50010002</v>
      </c>
      <c r="AV730" s="6">
        <f t="shared" si="435"/>
        <v>1</v>
      </c>
      <c r="AW730" s="6" t="str">
        <f t="shared" si="436"/>
        <v>PTA807</v>
      </c>
      <c r="AX730" s="6">
        <f t="shared" si="455"/>
        <v>65000</v>
      </c>
    </row>
    <row r="731" spans="1:50" s="6" customFormat="1" x14ac:dyDescent="0.25">
      <c r="A731" s="167" t="str">
        <f t="shared" si="437"/>
        <v>comment</v>
      </c>
      <c r="B731" s="140" t="str">
        <f>C529</f>
        <v>2018032610000080</v>
      </c>
      <c r="C731" s="6" t="str">
        <f>VLOOKUP(B731,C514:AN587, 3,FALSE)</f>
        <v>6001</v>
      </c>
      <c r="D731" s="6" t="str">
        <f>VLOOKUP(B731,C514:AN587, 4,FALSE)</f>
        <v>B00101</v>
      </c>
      <c r="E731" s="6" t="str">
        <f>VLOOKUP(B731,C514:AN587, 5,FALSE)</f>
        <v>6001</v>
      </c>
      <c r="F731" s="6">
        <f t="shared" si="438"/>
        <v>20180326</v>
      </c>
      <c r="G731" s="6">
        <f t="shared" si="438"/>
        <v>20180326</v>
      </c>
      <c r="H731" s="6" t="str">
        <f t="shared" si="439"/>
        <v>CZCE</v>
      </c>
      <c r="I731" s="6" t="str">
        <f t="shared" ref="I731:I744" si="477">VLOOKUP(B731, $C$486:$AN$550, 10,FALSE)</f>
        <v>SR807C6500</v>
      </c>
      <c r="J731" s="6">
        <f t="shared" si="414"/>
        <v>0</v>
      </c>
      <c r="K731" s="6">
        <f t="shared" si="440"/>
        <v>2</v>
      </c>
      <c r="L731" s="6">
        <f t="shared" ref="L731:L744" si="478">VLOOKUP(B731,$C$486:$AN$550, 14,FALSE)</f>
        <v>3</v>
      </c>
      <c r="M731" s="6">
        <f t="shared" si="415"/>
        <v>0</v>
      </c>
      <c r="N731" s="6">
        <f t="shared" si="416"/>
        <v>0</v>
      </c>
      <c r="O731" s="6">
        <f t="shared" si="442"/>
        <v>0</v>
      </c>
      <c r="P731" s="12">
        <f>IF(AK731=0,0,(M731+N731)*U731*W731)</f>
        <v>0</v>
      </c>
      <c r="Q731" s="12">
        <f t="shared" si="417"/>
        <v>6.6000000000000003E-2</v>
      </c>
      <c r="R731" s="12">
        <f t="shared" si="418"/>
        <v>6.43</v>
      </c>
      <c r="S731" s="12">
        <f t="shared" si="419"/>
        <v>4.2999999999999997E-2</v>
      </c>
      <c r="T731" s="12">
        <f t="shared" si="420"/>
        <v>4.3</v>
      </c>
      <c r="U731" s="12">
        <f t="shared" si="421"/>
        <v>10</v>
      </c>
      <c r="V731" s="12">
        <f t="shared" si="422"/>
        <v>6500</v>
      </c>
      <c r="W731" s="12">
        <f t="shared" si="423"/>
        <v>615</v>
      </c>
      <c r="X731" s="12">
        <f t="shared" si="424"/>
        <v>6150</v>
      </c>
      <c r="Y731" s="12">
        <f t="shared" si="444"/>
        <v>600</v>
      </c>
      <c r="Z731" s="12">
        <f t="shared" si="425"/>
        <v>615</v>
      </c>
      <c r="AA731" s="12">
        <f t="shared" si="445"/>
        <v>0.5</v>
      </c>
      <c r="AB731" s="12">
        <f t="shared" si="445"/>
        <v>0.5</v>
      </c>
      <c r="AC731" s="12">
        <f t="shared" si="446"/>
        <v>3500</v>
      </c>
      <c r="AD731" s="12">
        <f t="shared" si="426"/>
        <v>0</v>
      </c>
      <c r="AE731" s="12">
        <f t="shared" si="447"/>
        <v>0</v>
      </c>
      <c r="AF731" s="12">
        <f t="shared" si="448"/>
        <v>0</v>
      </c>
      <c r="AG731" s="12">
        <f t="shared" si="449"/>
        <v>0</v>
      </c>
      <c r="AH731" s="12">
        <f t="shared" si="450"/>
        <v>0</v>
      </c>
      <c r="AI731" s="12">
        <f t="shared" si="427"/>
        <v>6150</v>
      </c>
      <c r="AJ731" s="12">
        <v>1</v>
      </c>
      <c r="AK731" s="12">
        <f t="shared" si="428"/>
        <v>1</v>
      </c>
      <c r="AL731" s="12">
        <f t="shared" si="429"/>
        <v>0</v>
      </c>
      <c r="AM731" s="12">
        <f t="shared" si="430"/>
        <v>0</v>
      </c>
      <c r="AN731" s="12">
        <f t="shared" si="431"/>
        <v>0</v>
      </c>
      <c r="AO731" s="12">
        <f t="shared" si="432"/>
        <v>0</v>
      </c>
      <c r="AP731" s="12">
        <f t="shared" si="433"/>
        <v>0</v>
      </c>
      <c r="AQ731" s="3" t="str">
        <f t="shared" si="434"/>
        <v>SR807</v>
      </c>
      <c r="AR731" s="3" t="str">
        <f t="shared" si="451"/>
        <v>SR80731</v>
      </c>
      <c r="AS731" s="6" t="str">
        <f t="shared" si="452"/>
        <v>9999</v>
      </c>
      <c r="AT731" s="6" t="str">
        <f t="shared" si="453"/>
        <v>CNY</v>
      </c>
      <c r="AU731" s="6" t="str">
        <f t="shared" si="454"/>
        <v>50010001</v>
      </c>
      <c r="AV731" s="6">
        <f t="shared" si="435"/>
        <v>1</v>
      </c>
      <c r="AW731" s="6" t="str">
        <f t="shared" si="436"/>
        <v>SR807</v>
      </c>
      <c r="AX731" s="6">
        <f t="shared" si="455"/>
        <v>0</v>
      </c>
    </row>
    <row r="732" spans="1:50" s="388" customFormat="1" x14ac:dyDescent="0.25">
      <c r="A732" s="378" t="str">
        <f t="shared" si="437"/>
        <v/>
      </c>
      <c r="B732" s="393" t="str">
        <f>C530</f>
        <v>2018032610000081</v>
      </c>
      <c r="C732" s="388" t="str">
        <f>VLOOKUP(B732,C515:AN588, 3,FALSE)</f>
        <v>6001</v>
      </c>
      <c r="D732" s="388" t="str">
        <f>VLOOKUP(B732,C515:AN588, 4,FALSE)</f>
        <v>B00101</v>
      </c>
      <c r="E732" s="388" t="str">
        <f>VLOOKUP(B732,C515:AN588, 5,FALSE)</f>
        <v>6001</v>
      </c>
      <c r="F732" s="388">
        <f t="shared" si="438"/>
        <v>20180326</v>
      </c>
      <c r="G732" s="388">
        <f t="shared" si="438"/>
        <v>20180326</v>
      </c>
      <c r="H732" s="388" t="str">
        <f t="shared" si="439"/>
        <v>CZCE</v>
      </c>
      <c r="I732" s="388" t="str">
        <f t="shared" si="477"/>
        <v>SR807C6500</v>
      </c>
      <c r="J732" s="388">
        <f t="shared" si="414"/>
        <v>0</v>
      </c>
      <c r="K732" s="388">
        <f t="shared" si="440"/>
        <v>2</v>
      </c>
      <c r="L732" s="388">
        <f t="shared" si="478"/>
        <v>3</v>
      </c>
      <c r="M732" s="388">
        <f t="shared" si="415"/>
        <v>3</v>
      </c>
      <c r="N732" s="388">
        <f t="shared" si="416"/>
        <v>0</v>
      </c>
      <c r="O732" s="388">
        <f t="shared" si="442"/>
        <v>18450</v>
      </c>
      <c r="P732" s="223">
        <f t="shared" si="443"/>
        <v>18450</v>
      </c>
      <c r="Q732" s="223">
        <f>IF(AK732=0, VLOOKUP(AR732,$F$56:$L$75,4,FALSE),VLOOKUP(AR732,$F$56:$L$75,4,FALSE)+VLOOKUP(AR732,$F$56:$L$75,6,FALSE) )</f>
        <v>6.6000000000000003E-2</v>
      </c>
      <c r="R732" s="223">
        <f t="shared" si="418"/>
        <v>6.43</v>
      </c>
      <c r="S732" s="223">
        <f t="shared" si="419"/>
        <v>4.2999999999999997E-2</v>
      </c>
      <c r="T732" s="223">
        <f t="shared" si="420"/>
        <v>4.3</v>
      </c>
      <c r="U732" s="223">
        <f t="shared" si="421"/>
        <v>10</v>
      </c>
      <c r="V732" s="223">
        <f t="shared" si="422"/>
        <v>6500</v>
      </c>
      <c r="W732" s="223">
        <f t="shared" si="423"/>
        <v>615</v>
      </c>
      <c r="X732" s="223">
        <f t="shared" si="424"/>
        <v>6150</v>
      </c>
      <c r="Y732" s="12">
        <f t="shared" si="444"/>
        <v>601</v>
      </c>
      <c r="Z732" s="223">
        <f t="shared" si="425"/>
        <v>615</v>
      </c>
      <c r="AA732" s="223">
        <f t="shared" si="445"/>
        <v>0.5</v>
      </c>
      <c r="AB732" s="223">
        <f t="shared" si="445"/>
        <v>0.5</v>
      </c>
      <c r="AC732" s="223">
        <f t="shared" si="446"/>
        <v>3500</v>
      </c>
      <c r="AD732" s="223">
        <f t="shared" si="426"/>
        <v>0</v>
      </c>
      <c r="AE732" s="223">
        <f t="shared" si="447"/>
        <v>0</v>
      </c>
      <c r="AF732" s="223">
        <f t="shared" si="448"/>
        <v>0</v>
      </c>
      <c r="AG732" s="223">
        <f t="shared" si="449"/>
        <v>0</v>
      </c>
      <c r="AH732" s="223">
        <f t="shared" si="450"/>
        <v>0</v>
      </c>
      <c r="AI732" s="223">
        <f t="shared" si="427"/>
        <v>6150</v>
      </c>
      <c r="AJ732" s="223">
        <v>1</v>
      </c>
      <c r="AK732" s="223">
        <f t="shared" si="428"/>
        <v>1</v>
      </c>
      <c r="AL732" s="223">
        <f t="shared" si="429"/>
        <v>0</v>
      </c>
      <c r="AM732" s="223">
        <f t="shared" si="430"/>
        <v>0</v>
      </c>
      <c r="AN732" s="223">
        <f t="shared" si="431"/>
        <v>0</v>
      </c>
      <c r="AO732" s="223">
        <f t="shared" si="432"/>
        <v>0</v>
      </c>
      <c r="AP732" s="223">
        <f t="shared" si="433"/>
        <v>0</v>
      </c>
      <c r="AQ732" s="391" t="str">
        <f t="shared" si="434"/>
        <v>SR807</v>
      </c>
      <c r="AR732" s="3" t="str">
        <f t="shared" si="451"/>
        <v>SR80731</v>
      </c>
      <c r="AS732" s="388" t="str">
        <f t="shared" si="452"/>
        <v>9999</v>
      </c>
      <c r="AT732" s="388" t="str">
        <f t="shared" si="453"/>
        <v>CNY</v>
      </c>
      <c r="AU732" s="388" t="str">
        <f t="shared" si="454"/>
        <v>50010001</v>
      </c>
      <c r="AV732" s="388">
        <f t="shared" si="435"/>
        <v>1</v>
      </c>
      <c r="AW732" s="388" t="str">
        <f t="shared" si="436"/>
        <v>SR807</v>
      </c>
      <c r="AX732" s="6">
        <f t="shared" si="455"/>
        <v>18030</v>
      </c>
    </row>
    <row r="733" spans="1:50" s="6" customFormat="1" x14ac:dyDescent="0.25">
      <c r="A733" s="167" t="str">
        <f t="shared" si="437"/>
        <v>comment</v>
      </c>
      <c r="B733" s="140" t="str">
        <f>C531</f>
        <v>2018032610000082</v>
      </c>
      <c r="C733" s="6" t="str">
        <f>VLOOKUP(B733,C516:AN589, 3,FALSE)</f>
        <v>6001</v>
      </c>
      <c r="D733" s="6" t="str">
        <f>VLOOKUP(B733,C516:AN589, 4,FALSE)</f>
        <v>B00101</v>
      </c>
      <c r="E733" s="6" t="str">
        <f>VLOOKUP(B733,C516:AN589, 5,FALSE)</f>
        <v>6001</v>
      </c>
      <c r="F733" s="6">
        <f t="shared" si="438"/>
        <v>20180326</v>
      </c>
      <c r="G733" s="6">
        <f t="shared" si="438"/>
        <v>20180326</v>
      </c>
      <c r="H733" s="6" t="str">
        <f t="shared" si="439"/>
        <v>CZCE</v>
      </c>
      <c r="I733" s="6" t="str">
        <f t="shared" si="477"/>
        <v>SR807C6500</v>
      </c>
      <c r="J733" s="6">
        <f t="shared" si="414"/>
        <v>0</v>
      </c>
      <c r="K733" s="6">
        <f t="shared" si="440"/>
        <v>2</v>
      </c>
      <c r="L733" s="6">
        <f t="shared" si="478"/>
        <v>1</v>
      </c>
      <c r="M733" s="6">
        <f t="shared" si="415"/>
        <v>0</v>
      </c>
      <c r="N733" s="6">
        <f t="shared" si="416"/>
        <v>0</v>
      </c>
      <c r="O733" s="6">
        <f t="shared" si="442"/>
        <v>0</v>
      </c>
      <c r="P733" s="12">
        <f t="shared" si="443"/>
        <v>0</v>
      </c>
      <c r="Q733" s="12">
        <f t="shared" si="417"/>
        <v>6.2E-2</v>
      </c>
      <c r="R733" s="12">
        <f t="shared" si="418"/>
        <v>6.21</v>
      </c>
      <c r="S733" s="12">
        <f t="shared" si="419"/>
        <v>4.1000000000000002E-2</v>
      </c>
      <c r="T733" s="12">
        <f t="shared" si="420"/>
        <v>4.0999999999999996</v>
      </c>
      <c r="U733" s="12">
        <f t="shared" si="421"/>
        <v>10</v>
      </c>
      <c r="V733" s="12">
        <f t="shared" si="422"/>
        <v>6500</v>
      </c>
      <c r="W733" s="12">
        <f t="shared" si="423"/>
        <v>615</v>
      </c>
      <c r="X733" s="12">
        <f t="shared" si="424"/>
        <v>6150</v>
      </c>
      <c r="Y733" s="12">
        <f t="shared" si="444"/>
        <v>602</v>
      </c>
      <c r="Z733" s="12">
        <f t="shared" si="425"/>
        <v>615</v>
      </c>
      <c r="AA733" s="12">
        <f t="shared" si="445"/>
        <v>0.5</v>
      </c>
      <c r="AB733" s="12">
        <f t="shared" si="445"/>
        <v>0.5</v>
      </c>
      <c r="AC733" s="12">
        <f t="shared" si="446"/>
        <v>3500</v>
      </c>
      <c r="AD733" s="12">
        <f t="shared" si="426"/>
        <v>0</v>
      </c>
      <c r="AE733" s="12">
        <f t="shared" si="447"/>
        <v>0</v>
      </c>
      <c r="AF733" s="12">
        <f t="shared" si="448"/>
        <v>0</v>
      </c>
      <c r="AG733" s="12">
        <f t="shared" si="449"/>
        <v>0</v>
      </c>
      <c r="AH733" s="12">
        <f t="shared" si="450"/>
        <v>0</v>
      </c>
      <c r="AI733" s="12">
        <f t="shared" si="427"/>
        <v>6150</v>
      </c>
      <c r="AJ733" s="12">
        <v>1</v>
      </c>
      <c r="AK733" s="12">
        <f t="shared" si="428"/>
        <v>1</v>
      </c>
      <c r="AL733" s="12">
        <f t="shared" si="429"/>
        <v>0</v>
      </c>
      <c r="AM733" s="12">
        <f t="shared" si="430"/>
        <v>0</v>
      </c>
      <c r="AN733" s="12">
        <f t="shared" si="431"/>
        <v>0</v>
      </c>
      <c r="AO733" s="12">
        <f t="shared" si="432"/>
        <v>0</v>
      </c>
      <c r="AP733" s="12">
        <f t="shared" si="433"/>
        <v>0</v>
      </c>
      <c r="AQ733" s="3" t="str">
        <f t="shared" si="434"/>
        <v>SR807</v>
      </c>
      <c r="AR733" s="3" t="str">
        <f t="shared" si="451"/>
        <v>SR80711</v>
      </c>
      <c r="AS733" s="6" t="str">
        <f t="shared" si="452"/>
        <v>9999</v>
      </c>
      <c r="AT733" s="6" t="str">
        <f t="shared" si="453"/>
        <v>CNY</v>
      </c>
      <c r="AU733" s="6" t="str">
        <f t="shared" si="454"/>
        <v>50010001</v>
      </c>
      <c r="AV733" s="6">
        <f t="shared" si="435"/>
        <v>1</v>
      </c>
      <c r="AW733" s="6" t="str">
        <f t="shared" si="436"/>
        <v>SR807</v>
      </c>
      <c r="AX733" s="6">
        <f t="shared" si="455"/>
        <v>0</v>
      </c>
    </row>
    <row r="734" spans="1:50" s="6" customFormat="1" x14ac:dyDescent="0.25">
      <c r="A734" s="167" t="str">
        <f t="shared" si="437"/>
        <v>comment</v>
      </c>
      <c r="B734" s="140" t="str">
        <f>C532</f>
        <v>2018032610000083</v>
      </c>
      <c r="C734" s="6" t="str">
        <f>VLOOKUP(B734,C517:AN590, 3,FALSE)</f>
        <v>6001</v>
      </c>
      <c r="D734" s="6" t="str">
        <f>VLOOKUP(B734,C517:AN590, 4,FALSE)</f>
        <v>B00101</v>
      </c>
      <c r="E734" s="6" t="str">
        <f>VLOOKUP(B734,C517:AN590, 5,FALSE)</f>
        <v>6001</v>
      </c>
      <c r="F734" s="6">
        <f t="shared" si="438"/>
        <v>20180326</v>
      </c>
      <c r="G734" s="6">
        <f t="shared" si="438"/>
        <v>20180326</v>
      </c>
      <c r="H734" s="6" t="str">
        <f t="shared" si="439"/>
        <v>CZCE</v>
      </c>
      <c r="I734" s="6" t="str">
        <f t="shared" si="477"/>
        <v>SR807C6500</v>
      </c>
      <c r="J734" s="6">
        <f t="shared" si="414"/>
        <v>0</v>
      </c>
      <c r="K734" s="6">
        <f t="shared" si="440"/>
        <v>2</v>
      </c>
      <c r="L734" s="6">
        <f t="shared" si="478"/>
        <v>1</v>
      </c>
      <c r="M734" s="6">
        <f t="shared" si="415"/>
        <v>0</v>
      </c>
      <c r="N734" s="6">
        <f t="shared" si="416"/>
        <v>0</v>
      </c>
      <c r="O734" s="6">
        <f t="shared" si="442"/>
        <v>0</v>
      </c>
      <c r="P734" s="12">
        <f t="shared" si="443"/>
        <v>0</v>
      </c>
      <c r="Q734" s="12">
        <f t="shared" si="417"/>
        <v>6.2E-2</v>
      </c>
      <c r="R734" s="12">
        <f t="shared" si="418"/>
        <v>6.21</v>
      </c>
      <c r="S734" s="12">
        <f t="shared" si="419"/>
        <v>4.1000000000000002E-2</v>
      </c>
      <c r="T734" s="12">
        <f t="shared" si="420"/>
        <v>4.0999999999999996</v>
      </c>
      <c r="U734" s="12">
        <f t="shared" si="421"/>
        <v>10</v>
      </c>
      <c r="V734" s="12">
        <f t="shared" si="422"/>
        <v>6500</v>
      </c>
      <c r="W734" s="12">
        <f t="shared" si="423"/>
        <v>615</v>
      </c>
      <c r="X734" s="12">
        <f t="shared" si="424"/>
        <v>6150</v>
      </c>
      <c r="Y734" s="12">
        <f t="shared" si="444"/>
        <v>603</v>
      </c>
      <c r="Z734" s="12">
        <f t="shared" si="425"/>
        <v>615</v>
      </c>
      <c r="AA734" s="12">
        <f t="shared" si="445"/>
        <v>0.5</v>
      </c>
      <c r="AB734" s="12">
        <f t="shared" si="445"/>
        <v>0.5</v>
      </c>
      <c r="AC734" s="12">
        <f t="shared" si="446"/>
        <v>3500</v>
      </c>
      <c r="AD734" s="12">
        <f t="shared" si="426"/>
        <v>0</v>
      </c>
      <c r="AE734" s="12">
        <f t="shared" si="447"/>
        <v>0</v>
      </c>
      <c r="AF734" s="12">
        <f t="shared" si="448"/>
        <v>0</v>
      </c>
      <c r="AG734" s="12">
        <f t="shared" si="449"/>
        <v>0</v>
      </c>
      <c r="AH734" s="12">
        <f t="shared" si="450"/>
        <v>0</v>
      </c>
      <c r="AI734" s="12">
        <f t="shared" si="427"/>
        <v>6150</v>
      </c>
      <c r="AJ734" s="12">
        <v>1</v>
      </c>
      <c r="AK734" s="12">
        <f t="shared" si="428"/>
        <v>1</v>
      </c>
      <c r="AL734" s="12">
        <f t="shared" si="429"/>
        <v>0</v>
      </c>
      <c r="AM734" s="12">
        <f t="shared" si="430"/>
        <v>0</v>
      </c>
      <c r="AN734" s="12">
        <f t="shared" si="431"/>
        <v>0</v>
      </c>
      <c r="AO734" s="12">
        <f t="shared" si="432"/>
        <v>0</v>
      </c>
      <c r="AP734" s="12">
        <f t="shared" si="433"/>
        <v>0</v>
      </c>
      <c r="AQ734" s="3" t="str">
        <f t="shared" si="434"/>
        <v>SR807</v>
      </c>
      <c r="AR734" s="3" t="str">
        <f t="shared" si="451"/>
        <v>SR80711</v>
      </c>
      <c r="AS734" s="6" t="str">
        <f t="shared" si="452"/>
        <v>9999</v>
      </c>
      <c r="AT734" s="6" t="str">
        <f t="shared" si="453"/>
        <v>CNY</v>
      </c>
      <c r="AU734" s="6" t="str">
        <f t="shared" si="454"/>
        <v>50010001</v>
      </c>
      <c r="AV734" s="6">
        <f t="shared" si="435"/>
        <v>1</v>
      </c>
      <c r="AW734" s="6" t="str">
        <f t="shared" si="436"/>
        <v>SR807</v>
      </c>
      <c r="AX734" s="6">
        <f t="shared" si="455"/>
        <v>0</v>
      </c>
    </row>
    <row r="735" spans="1:50" s="6" customFormat="1" x14ac:dyDescent="0.25">
      <c r="A735" s="167" t="str">
        <f t="shared" si="437"/>
        <v/>
      </c>
      <c r="B735" s="140" t="str">
        <f>C537</f>
        <v>2018032610000089</v>
      </c>
      <c r="C735" s="6" t="str">
        <f>VLOOKUP(B735,C519:AN593, 3,FALSE)</f>
        <v>6001</v>
      </c>
      <c r="D735" s="6" t="str">
        <f>VLOOKUP(B735,C519:AN593, 4,FALSE)</f>
        <v>B00101</v>
      </c>
      <c r="E735" s="6" t="str">
        <f>VLOOKUP(B735,C519:AN593, 5,FALSE)</f>
        <v>6001</v>
      </c>
      <c r="F735" s="6">
        <f t="shared" si="438"/>
        <v>20180326</v>
      </c>
      <c r="G735" s="6">
        <f t="shared" si="438"/>
        <v>20180326</v>
      </c>
      <c r="H735" s="6" t="str">
        <f t="shared" si="439"/>
        <v>CZCE</v>
      </c>
      <c r="I735" s="6" t="str">
        <f t="shared" si="477"/>
        <v>SR807C6500</v>
      </c>
      <c r="J735" s="6">
        <f t="shared" si="414"/>
        <v>0</v>
      </c>
      <c r="K735" s="6">
        <f t="shared" si="440"/>
        <v>2</v>
      </c>
      <c r="L735" s="6">
        <f t="shared" si="478"/>
        <v>1</v>
      </c>
      <c r="M735" s="6">
        <f t="shared" si="415"/>
        <v>7</v>
      </c>
      <c r="N735" s="6">
        <f t="shared" si="416"/>
        <v>3</v>
      </c>
      <c r="O735" s="6">
        <f t="shared" si="442"/>
        <v>43050</v>
      </c>
      <c r="P735" s="12">
        <f t="shared" si="443"/>
        <v>61500</v>
      </c>
      <c r="Q735" s="12">
        <f t="shared" si="417"/>
        <v>6.2E-2</v>
      </c>
      <c r="R735" s="12">
        <f t="shared" si="418"/>
        <v>6.21</v>
      </c>
      <c r="S735" s="12">
        <f t="shared" si="419"/>
        <v>4.1000000000000002E-2</v>
      </c>
      <c r="T735" s="12">
        <f t="shared" si="420"/>
        <v>4.0999999999999996</v>
      </c>
      <c r="U735" s="12">
        <f t="shared" si="421"/>
        <v>10</v>
      </c>
      <c r="V735" s="12">
        <f t="shared" si="422"/>
        <v>6500</v>
      </c>
      <c r="W735" s="12">
        <f t="shared" si="423"/>
        <v>615</v>
      </c>
      <c r="X735" s="12">
        <f t="shared" si="424"/>
        <v>6150</v>
      </c>
      <c r="Y735" s="12">
        <f t="shared" si="444"/>
        <v>609</v>
      </c>
      <c r="Z735" s="12">
        <f t="shared" si="425"/>
        <v>615</v>
      </c>
      <c r="AA735" s="12">
        <f t="shared" si="445"/>
        <v>0.5</v>
      </c>
      <c r="AB735" s="12">
        <f t="shared" si="445"/>
        <v>0.5</v>
      </c>
      <c r="AC735" s="12">
        <f t="shared" si="446"/>
        <v>3500</v>
      </c>
      <c r="AD735" s="12">
        <f t="shared" si="426"/>
        <v>0</v>
      </c>
      <c r="AE735" s="12">
        <f t="shared" si="447"/>
        <v>0</v>
      </c>
      <c r="AF735" s="12">
        <f t="shared" si="448"/>
        <v>0</v>
      </c>
      <c r="AG735" s="12">
        <f t="shared" si="449"/>
        <v>0</v>
      </c>
      <c r="AH735" s="12">
        <f t="shared" si="450"/>
        <v>0</v>
      </c>
      <c r="AI735" s="12">
        <f t="shared" si="427"/>
        <v>6150</v>
      </c>
      <c r="AJ735" s="12">
        <v>1</v>
      </c>
      <c r="AK735" s="12">
        <f t="shared" si="428"/>
        <v>1</v>
      </c>
      <c r="AL735" s="12">
        <f t="shared" si="429"/>
        <v>0</v>
      </c>
      <c r="AM735" s="12">
        <f t="shared" si="430"/>
        <v>0</v>
      </c>
      <c r="AN735" s="12">
        <f t="shared" si="431"/>
        <v>0</v>
      </c>
      <c r="AO735" s="12">
        <f t="shared" si="432"/>
        <v>0</v>
      </c>
      <c r="AP735" s="12">
        <f t="shared" si="433"/>
        <v>0</v>
      </c>
      <c r="AQ735" s="3" t="str">
        <f t="shared" si="434"/>
        <v>SR807</v>
      </c>
      <c r="AR735" s="3" t="str">
        <f t="shared" si="451"/>
        <v>SR80711</v>
      </c>
      <c r="AS735" s="6" t="str">
        <f t="shared" si="452"/>
        <v>9999</v>
      </c>
      <c r="AT735" s="6" t="str">
        <f t="shared" si="453"/>
        <v>CNY</v>
      </c>
      <c r="AU735" s="6" t="str">
        <f t="shared" si="454"/>
        <v>50010001</v>
      </c>
      <c r="AV735" s="6">
        <f t="shared" si="435"/>
        <v>1</v>
      </c>
      <c r="AW735" s="6" t="str">
        <f t="shared" si="436"/>
        <v>SR807</v>
      </c>
      <c r="AX735" s="6">
        <f t="shared" si="455"/>
        <v>60900</v>
      </c>
    </row>
    <row r="736" spans="1:50" s="6" customFormat="1" x14ac:dyDescent="0.25">
      <c r="A736" s="167" t="str">
        <f t="shared" si="437"/>
        <v/>
      </c>
      <c r="B736" s="140" t="str">
        <f>C538</f>
        <v>2018032610000090</v>
      </c>
      <c r="C736" s="6" t="str">
        <f>VLOOKUP(B736,C520:AN594, 3,FALSE)</f>
        <v>6001</v>
      </c>
      <c r="D736" s="6" t="str">
        <f>VLOOKUP(B736,C520:AN594, 4,FALSE)</f>
        <v>B00101</v>
      </c>
      <c r="E736" s="6" t="str">
        <f>VLOOKUP(B736,C520:AN594, 5,FALSE)</f>
        <v>6001</v>
      </c>
      <c r="F736" s="6">
        <f t="shared" si="438"/>
        <v>20180326</v>
      </c>
      <c r="G736" s="6">
        <f t="shared" si="438"/>
        <v>20180326</v>
      </c>
      <c r="H736" s="6" t="str">
        <f t="shared" si="439"/>
        <v>CZCE</v>
      </c>
      <c r="I736" s="6" t="str">
        <f t="shared" si="477"/>
        <v>SR807C6500</v>
      </c>
      <c r="J736" s="6">
        <f t="shared" ref="J736:J754" si="479">VLOOKUP(B736,$C$486:$AN$561, 13,FALSE)</f>
        <v>1</v>
      </c>
      <c r="K736" s="6">
        <f t="shared" si="440"/>
        <v>3</v>
      </c>
      <c r="L736" s="6">
        <f t="shared" si="478"/>
        <v>3</v>
      </c>
      <c r="M736" s="6">
        <f t="shared" ref="M736:M754" si="480">SUMPRODUCT(($C$486:$C$561=B736)*($E$486:$E$561=C736)*($F$486:$F$561=D736)*($G$486:$G$561=E736)*($L$486:$L$561=I736)*($O$486:$O$561=J736)*($P$486:$P$561=L736)*($N$486:$N$561=0)*($Q$486:$Q$561))-SUMPRODUCT(($D$486:$D$561=B736)*($E$486:$E$561=C736)*($F$486:$F$561=D736)*($G$486:$G$561=E736)*($L$486:$L$561=I736)*($O$486:$O$561&lt;&gt;J736)*($P$486:$P$561=L736)*($N$486:$N$561&lt;&gt;0)*($Q$486:$Q$561))-SUMPRODUCT(($B$626:$B$649=B736)*($C$626:$C$649=C736)*($D$626:$D$649=D736)*($O$626:$O$649&lt;&gt;2)*($N$626:$N$649))-N736</f>
        <v>10</v>
      </c>
      <c r="N736" s="6">
        <f t="shared" ref="N736:N754" si="481">SUMPRODUCT(($E$656:$E$697=B736)*($F$656:$F$697=C736)*($G$656:$G$697=D736)*($I$656:$I$697=I736)*($J$656:$J$697=L736)*($L$656:$L$697=J736)*($N$656:$N$697))</f>
        <v>0</v>
      </c>
      <c r="O736" s="6">
        <f t="shared" si="442"/>
        <v>61500</v>
      </c>
      <c r="P736" s="12">
        <f t="shared" si="443"/>
        <v>61500</v>
      </c>
      <c r="Q736" s="12">
        <f>IF(AK736=0, VLOOKUP(AR736,$F$56:$L$75,4,FALSE),VLOOKUP(AR736,$F$56:$L$75,4,FALSE)+VLOOKUP(AR736,$F$56:$L$75,6,FALSE) )</f>
        <v>6.6000000000000003E-2</v>
      </c>
      <c r="R736" s="12">
        <f t="shared" si="418"/>
        <v>6.43</v>
      </c>
      <c r="S736" s="12">
        <f t="shared" si="419"/>
        <v>4.2999999999999997E-2</v>
      </c>
      <c r="T736" s="12">
        <f t="shared" si="420"/>
        <v>4.3</v>
      </c>
      <c r="U736" s="12">
        <f t="shared" si="421"/>
        <v>10</v>
      </c>
      <c r="V736" s="12">
        <f t="shared" ref="V736:V754" si="482" xml:space="preserve"> VLOOKUP(I736,$C$237:$F$249,4,FALSE)</f>
        <v>6500</v>
      </c>
      <c r="W736" s="12">
        <f t="shared" ref="W736:W754" si="483" xml:space="preserve"> VLOOKUP(I736,$C$237:$F$249,3,FALSE)</f>
        <v>615</v>
      </c>
      <c r="X736" s="12">
        <f t="shared" ref="X736:X754" si="484" xml:space="preserve"> VLOOKUP(I736,$C$237:$G$249,5,FALSE)</f>
        <v>6150</v>
      </c>
      <c r="Y736" s="12">
        <f t="shared" si="444"/>
        <v>610</v>
      </c>
      <c r="Z736" s="12">
        <f t="shared" ref="Z736:Z754" si="485" xml:space="preserve"> VLOOKUP(I736,$C$237:$F$249,2,FALSE)</f>
        <v>615</v>
      </c>
      <c r="AA736" s="12">
        <f t="shared" si="445"/>
        <v>0.5</v>
      </c>
      <c r="AB736" s="12">
        <f t="shared" si="445"/>
        <v>0.5</v>
      </c>
      <c r="AC736" s="12">
        <f t="shared" si="446"/>
        <v>3500</v>
      </c>
      <c r="AD736" s="12">
        <f t="shared" si="426"/>
        <v>0</v>
      </c>
      <c r="AE736" s="12">
        <f t="shared" si="447"/>
        <v>84654.3</v>
      </c>
      <c r="AF736" s="12">
        <f t="shared" si="448"/>
        <v>74744</v>
      </c>
      <c r="AG736" s="12">
        <f t="shared" si="449"/>
        <v>0</v>
      </c>
      <c r="AH736" s="12">
        <f t="shared" si="450"/>
        <v>0</v>
      </c>
      <c r="AI736" s="12">
        <f t="shared" si="427"/>
        <v>6150</v>
      </c>
      <c r="AJ736" s="12">
        <v>1</v>
      </c>
      <c r="AK736" s="12">
        <f t="shared" si="428"/>
        <v>1</v>
      </c>
      <c r="AL736" s="12">
        <f t="shared" si="429"/>
        <v>0</v>
      </c>
      <c r="AM736" s="12">
        <f t="shared" si="430"/>
        <v>0</v>
      </c>
      <c r="AN736" s="12">
        <f t="shared" si="431"/>
        <v>0</v>
      </c>
      <c r="AO736" s="12">
        <f t="shared" si="432"/>
        <v>0</v>
      </c>
      <c r="AP736" s="12">
        <f t="shared" si="433"/>
        <v>0</v>
      </c>
      <c r="AQ736" s="3" t="str">
        <f t="shared" si="434"/>
        <v>SR807</v>
      </c>
      <c r="AR736" s="3" t="str">
        <f t="shared" si="451"/>
        <v>SR80731</v>
      </c>
      <c r="AS736" s="6" t="str">
        <f t="shared" si="452"/>
        <v>9999</v>
      </c>
      <c r="AT736" s="6" t="str">
        <f t="shared" si="453"/>
        <v>CNY</v>
      </c>
      <c r="AU736" s="6" t="str">
        <f t="shared" si="454"/>
        <v>50010001</v>
      </c>
      <c r="AV736" s="6">
        <f t="shared" ref="AV736:AV754" si="486">VLOOKUP(I736,$C$22:$M$34,11,FALSE)</f>
        <v>1</v>
      </c>
      <c r="AW736" s="6" t="str">
        <f t="shared" ref="AW736:AW754" si="487">VLOOKUP(I736,$C$22:$M$34,7,FALSE)</f>
        <v>SR807</v>
      </c>
      <c r="AX736" s="6">
        <f t="shared" si="455"/>
        <v>61000</v>
      </c>
    </row>
    <row r="737" spans="1:50" s="6" customFormat="1" x14ac:dyDescent="0.25">
      <c r="A737" s="167" t="str">
        <f t="shared" si="437"/>
        <v>comment</v>
      </c>
      <c r="B737" s="140" t="str">
        <f>C539</f>
        <v>2018032610000091</v>
      </c>
      <c r="C737" s="6" t="str">
        <f>VLOOKUP(B737,C521:AN595, 3,FALSE)</f>
        <v>6001</v>
      </c>
      <c r="D737" s="6" t="str">
        <f>VLOOKUP(B737,C521:AN595, 4,FALSE)</f>
        <v>B00101</v>
      </c>
      <c r="E737" s="6" t="str">
        <f>VLOOKUP(B737,C521:AN595, 5,FALSE)</f>
        <v>6001</v>
      </c>
      <c r="F737" s="6">
        <f t="shared" si="438"/>
        <v>20180326</v>
      </c>
      <c r="G737" s="6">
        <f t="shared" si="438"/>
        <v>20180326</v>
      </c>
      <c r="H737" s="6" t="str">
        <f t="shared" si="439"/>
        <v>CZCE</v>
      </c>
      <c r="I737" s="6" t="str">
        <f t="shared" si="477"/>
        <v>SR807C6500</v>
      </c>
      <c r="J737" s="6">
        <f t="shared" si="479"/>
        <v>1</v>
      </c>
      <c r="K737" s="6">
        <f t="shared" si="440"/>
        <v>3</v>
      </c>
      <c r="L737" s="6">
        <f t="shared" si="478"/>
        <v>1</v>
      </c>
      <c r="M737" s="6">
        <f t="shared" si="480"/>
        <v>0</v>
      </c>
      <c r="N737" s="6">
        <f t="shared" si="481"/>
        <v>0</v>
      </c>
      <c r="O737" s="6">
        <f t="shared" si="442"/>
        <v>0</v>
      </c>
      <c r="P737" s="12">
        <f t="shared" si="443"/>
        <v>0</v>
      </c>
      <c r="Q737" s="12">
        <f t="shared" si="417"/>
        <v>6.2E-2</v>
      </c>
      <c r="R737" s="12">
        <f t="shared" si="418"/>
        <v>6.21</v>
      </c>
      <c r="S737" s="12">
        <f t="shared" si="419"/>
        <v>4.1000000000000002E-2</v>
      </c>
      <c r="T737" s="12">
        <f t="shared" si="420"/>
        <v>4.0999999999999996</v>
      </c>
      <c r="U737" s="12">
        <f t="shared" si="421"/>
        <v>10</v>
      </c>
      <c r="V737" s="12">
        <f t="shared" si="482"/>
        <v>6500</v>
      </c>
      <c r="W737" s="12">
        <f t="shared" si="483"/>
        <v>615</v>
      </c>
      <c r="X737" s="12">
        <f t="shared" si="484"/>
        <v>6150</v>
      </c>
      <c r="Y737" s="12">
        <f t="shared" si="444"/>
        <v>611</v>
      </c>
      <c r="Z737" s="12">
        <f t="shared" si="485"/>
        <v>615</v>
      </c>
      <c r="AA737" s="12">
        <f t="shared" si="445"/>
        <v>0.5</v>
      </c>
      <c r="AB737" s="12">
        <f t="shared" si="445"/>
        <v>0.5</v>
      </c>
      <c r="AC737" s="12">
        <f t="shared" si="446"/>
        <v>3500</v>
      </c>
      <c r="AD737" s="12">
        <f t="shared" si="426"/>
        <v>0</v>
      </c>
      <c r="AE737" s="12">
        <f t="shared" si="447"/>
        <v>0</v>
      </c>
      <c r="AF737" s="12">
        <f t="shared" si="448"/>
        <v>0</v>
      </c>
      <c r="AG737" s="12">
        <f t="shared" si="449"/>
        <v>0</v>
      </c>
      <c r="AH737" s="12">
        <f t="shared" si="450"/>
        <v>0</v>
      </c>
      <c r="AI737" s="12">
        <f t="shared" si="427"/>
        <v>6150</v>
      </c>
      <c r="AJ737" s="12">
        <v>1</v>
      </c>
      <c r="AK737" s="12">
        <f t="shared" si="428"/>
        <v>1</v>
      </c>
      <c r="AL737" s="12">
        <f t="shared" si="429"/>
        <v>0</v>
      </c>
      <c r="AM737" s="12">
        <f t="shared" si="430"/>
        <v>0</v>
      </c>
      <c r="AN737" s="12">
        <f t="shared" si="431"/>
        <v>0</v>
      </c>
      <c r="AO737" s="12">
        <f t="shared" si="432"/>
        <v>0</v>
      </c>
      <c r="AP737" s="12">
        <f t="shared" si="433"/>
        <v>0</v>
      </c>
      <c r="AQ737" s="3" t="str">
        <f t="shared" si="434"/>
        <v>SR807</v>
      </c>
      <c r="AR737" s="3" t="str">
        <f t="shared" si="451"/>
        <v>SR80711</v>
      </c>
      <c r="AS737" s="6" t="str">
        <f t="shared" si="452"/>
        <v>9999</v>
      </c>
      <c r="AT737" s="6" t="str">
        <f t="shared" si="453"/>
        <v>CNY</v>
      </c>
      <c r="AU737" s="6" t="str">
        <f t="shared" si="454"/>
        <v>50010001</v>
      </c>
      <c r="AV737" s="6">
        <f t="shared" si="486"/>
        <v>1</v>
      </c>
      <c r="AW737" s="6" t="str">
        <f t="shared" si="487"/>
        <v>SR807</v>
      </c>
      <c r="AX737" s="6">
        <f t="shared" si="455"/>
        <v>0</v>
      </c>
    </row>
    <row r="738" spans="1:50" s="6" customFormat="1" x14ac:dyDescent="0.25">
      <c r="A738" s="167" t="str">
        <f t="shared" si="437"/>
        <v/>
      </c>
      <c r="B738" s="140" t="str">
        <f>C540</f>
        <v>2018032610000092</v>
      </c>
      <c r="C738" s="6" t="str">
        <f>VLOOKUP(B738,C522:AN596, 3,FALSE)</f>
        <v>6001</v>
      </c>
      <c r="D738" s="6" t="str">
        <f>VLOOKUP(B738,C522:AN596, 4,FALSE)</f>
        <v>B00101</v>
      </c>
      <c r="E738" s="6" t="str">
        <f>VLOOKUP(B738,C522:AN596, 5,FALSE)</f>
        <v>6001</v>
      </c>
      <c r="F738" s="6">
        <f t="shared" si="438"/>
        <v>20180326</v>
      </c>
      <c r="G738" s="6">
        <f t="shared" si="438"/>
        <v>20180326</v>
      </c>
      <c r="H738" s="6" t="str">
        <f t="shared" si="439"/>
        <v>CZCE</v>
      </c>
      <c r="I738" s="6" t="str">
        <f t="shared" si="477"/>
        <v>SR807C6500</v>
      </c>
      <c r="J738" s="6">
        <f t="shared" si="479"/>
        <v>1</v>
      </c>
      <c r="K738" s="6">
        <f t="shared" si="440"/>
        <v>3</v>
      </c>
      <c r="L738" s="6">
        <f t="shared" si="478"/>
        <v>1</v>
      </c>
      <c r="M738" s="6">
        <f t="shared" si="480"/>
        <v>4</v>
      </c>
      <c r="N738" s="6">
        <f t="shared" si="481"/>
        <v>3</v>
      </c>
      <c r="O738" s="6">
        <f t="shared" si="442"/>
        <v>24600</v>
      </c>
      <c r="P738" s="12">
        <f t="shared" si="443"/>
        <v>43050</v>
      </c>
      <c r="Q738" s="12">
        <f t="shared" si="417"/>
        <v>6.2E-2</v>
      </c>
      <c r="R738" s="12">
        <f t="shared" si="418"/>
        <v>6.21</v>
      </c>
      <c r="S738" s="12">
        <f t="shared" si="419"/>
        <v>4.1000000000000002E-2</v>
      </c>
      <c r="T738" s="12">
        <f t="shared" si="420"/>
        <v>4.0999999999999996</v>
      </c>
      <c r="U738" s="12">
        <f t="shared" si="421"/>
        <v>10</v>
      </c>
      <c r="V738" s="12">
        <f t="shared" si="482"/>
        <v>6500</v>
      </c>
      <c r="W738" s="12">
        <f t="shared" si="483"/>
        <v>615</v>
      </c>
      <c r="X738" s="12">
        <f t="shared" si="484"/>
        <v>6150</v>
      </c>
      <c r="Y738" s="12">
        <f t="shared" si="444"/>
        <v>612</v>
      </c>
      <c r="Z738" s="12">
        <f t="shared" si="485"/>
        <v>615</v>
      </c>
      <c r="AA738" s="12">
        <f t="shared" si="445"/>
        <v>0.5</v>
      </c>
      <c r="AB738" s="12">
        <f t="shared" si="445"/>
        <v>0.5</v>
      </c>
      <c r="AC738" s="12">
        <f t="shared" si="446"/>
        <v>3500</v>
      </c>
      <c r="AD738" s="12">
        <f t="shared" si="426"/>
        <v>0</v>
      </c>
      <c r="AE738" s="12">
        <f t="shared" si="447"/>
        <v>32876.839999999997</v>
      </c>
      <c r="AF738" s="12">
        <f t="shared" si="448"/>
        <v>29651.200000000001</v>
      </c>
      <c r="AG738" s="12">
        <f t="shared" si="449"/>
        <v>24657.63</v>
      </c>
      <c r="AH738" s="12">
        <f t="shared" si="450"/>
        <v>22238.400000000001</v>
      </c>
      <c r="AI738" s="12">
        <f t="shared" si="427"/>
        <v>6150</v>
      </c>
      <c r="AJ738" s="12">
        <v>1</v>
      </c>
      <c r="AK738" s="12">
        <f t="shared" si="428"/>
        <v>1</v>
      </c>
      <c r="AL738" s="12">
        <f t="shared" si="429"/>
        <v>0</v>
      </c>
      <c r="AM738" s="12">
        <f t="shared" si="430"/>
        <v>0</v>
      </c>
      <c r="AN738" s="12">
        <f t="shared" si="431"/>
        <v>0</v>
      </c>
      <c r="AO738" s="12">
        <f t="shared" si="432"/>
        <v>0</v>
      </c>
      <c r="AP738" s="12">
        <f t="shared" si="433"/>
        <v>0</v>
      </c>
      <c r="AQ738" s="3" t="str">
        <f t="shared" si="434"/>
        <v>SR807</v>
      </c>
      <c r="AR738" s="3" t="str">
        <f t="shared" si="451"/>
        <v>SR80711</v>
      </c>
      <c r="AS738" s="6" t="str">
        <f t="shared" si="452"/>
        <v>9999</v>
      </c>
      <c r="AT738" s="6" t="str">
        <f t="shared" si="453"/>
        <v>CNY</v>
      </c>
      <c r="AU738" s="6" t="str">
        <f t="shared" si="454"/>
        <v>50010001</v>
      </c>
      <c r="AV738" s="6">
        <f t="shared" si="486"/>
        <v>1</v>
      </c>
      <c r="AW738" s="6" t="str">
        <f t="shared" si="487"/>
        <v>SR807</v>
      </c>
      <c r="AX738" s="6">
        <f t="shared" si="455"/>
        <v>42840</v>
      </c>
    </row>
    <row r="739" spans="1:50" s="6" customFormat="1" x14ac:dyDescent="0.25">
      <c r="A739" s="167" t="str">
        <f t="shared" si="437"/>
        <v/>
      </c>
      <c r="B739" s="140" t="str">
        <f t="shared" ref="B739:B750" si="488">C544</f>
        <v>2018032610000096</v>
      </c>
      <c r="C739" s="6" t="str">
        <f>VLOOKUP(B739,C524:AN598, 3,FALSE)</f>
        <v>6001</v>
      </c>
      <c r="D739" s="6" t="str">
        <f>VLOOKUP(B739,C524:AN598, 4,FALSE)</f>
        <v>B00101</v>
      </c>
      <c r="E739" s="6" t="str">
        <f>VLOOKUP(B739,C524:AN598, 5,FALSE)</f>
        <v>6001</v>
      </c>
      <c r="F739" s="6">
        <f t="shared" si="438"/>
        <v>20180326</v>
      </c>
      <c r="G739" s="6">
        <f t="shared" si="438"/>
        <v>20180326</v>
      </c>
      <c r="H739" s="6" t="str">
        <f t="shared" si="439"/>
        <v>CZCE</v>
      </c>
      <c r="I739" s="6" t="str">
        <f t="shared" si="477"/>
        <v>SR807P6500</v>
      </c>
      <c r="J739" s="6">
        <f t="shared" si="479"/>
        <v>0</v>
      </c>
      <c r="K739" s="6">
        <f t="shared" si="440"/>
        <v>2</v>
      </c>
      <c r="L739" s="6">
        <f t="shared" si="478"/>
        <v>1</v>
      </c>
      <c r="M739" s="6">
        <f t="shared" si="480"/>
        <v>0</v>
      </c>
      <c r="N739" s="6">
        <f t="shared" si="481"/>
        <v>1</v>
      </c>
      <c r="O739" s="6">
        <f t="shared" si="442"/>
        <v>0</v>
      </c>
      <c r="P739" s="12">
        <f t="shared" si="443"/>
        <v>6200</v>
      </c>
      <c r="Q739" s="12">
        <f t="shared" si="417"/>
        <v>6.0000000000000005E-2</v>
      </c>
      <c r="R739" s="12">
        <f t="shared" si="418"/>
        <v>6</v>
      </c>
      <c r="S739" s="12">
        <f t="shared" si="419"/>
        <v>0.04</v>
      </c>
      <c r="T739" s="12">
        <f t="shared" si="420"/>
        <v>4</v>
      </c>
      <c r="U739" s="12">
        <f t="shared" si="421"/>
        <v>10</v>
      </c>
      <c r="V739" s="12">
        <f t="shared" si="482"/>
        <v>6500</v>
      </c>
      <c r="W739" s="12">
        <f t="shared" si="483"/>
        <v>620</v>
      </c>
      <c r="X739" s="12">
        <f t="shared" si="484"/>
        <v>6150</v>
      </c>
      <c r="Y739" s="12">
        <f t="shared" si="444"/>
        <v>616</v>
      </c>
      <c r="Z739" s="12">
        <f t="shared" si="485"/>
        <v>620</v>
      </c>
      <c r="AA739" s="12">
        <f t="shared" si="445"/>
        <v>0.5</v>
      </c>
      <c r="AB739" s="12">
        <f t="shared" si="445"/>
        <v>0.5</v>
      </c>
      <c r="AC739" s="12">
        <f t="shared" si="446"/>
        <v>0</v>
      </c>
      <c r="AD739" s="12">
        <f t="shared" si="426"/>
        <v>1</v>
      </c>
      <c r="AE739" s="12">
        <f t="shared" si="447"/>
        <v>0</v>
      </c>
      <c r="AF739" s="12">
        <f t="shared" si="448"/>
        <v>0</v>
      </c>
      <c r="AG739" s="12">
        <f t="shared" si="449"/>
        <v>0</v>
      </c>
      <c r="AH739" s="12">
        <f t="shared" si="450"/>
        <v>0</v>
      </c>
      <c r="AI739" s="12">
        <f t="shared" si="427"/>
        <v>6200</v>
      </c>
      <c r="AJ739" s="12">
        <v>1</v>
      </c>
      <c r="AK739" s="12">
        <f t="shared" si="428"/>
        <v>1</v>
      </c>
      <c r="AL739" s="12">
        <f t="shared" si="429"/>
        <v>0</v>
      </c>
      <c r="AM739" s="12">
        <f t="shared" si="430"/>
        <v>0</v>
      </c>
      <c r="AN739" s="12">
        <f t="shared" si="431"/>
        <v>0</v>
      </c>
      <c r="AO739" s="12">
        <f t="shared" si="432"/>
        <v>0</v>
      </c>
      <c r="AP739" s="12">
        <f t="shared" si="433"/>
        <v>0</v>
      </c>
      <c r="AQ739" s="3" t="str">
        <f t="shared" si="434"/>
        <v>SR807</v>
      </c>
      <c r="AR739" s="3" t="str">
        <f t="shared" si="451"/>
        <v>SR80710</v>
      </c>
      <c r="AS739" s="6" t="str">
        <f t="shared" si="452"/>
        <v>9999</v>
      </c>
      <c r="AT739" s="6" t="str">
        <f t="shared" si="453"/>
        <v>CNY</v>
      </c>
      <c r="AU739" s="6" t="str">
        <f t="shared" si="454"/>
        <v>50010001</v>
      </c>
      <c r="AV739" s="6">
        <f t="shared" si="486"/>
        <v>1</v>
      </c>
      <c r="AW739" s="6" t="str">
        <f t="shared" si="487"/>
        <v>SR807</v>
      </c>
      <c r="AX739" s="6">
        <f t="shared" si="455"/>
        <v>6160</v>
      </c>
    </row>
    <row r="740" spans="1:50" s="6" customFormat="1" x14ac:dyDescent="0.25">
      <c r="A740" s="167" t="str">
        <f t="shared" si="437"/>
        <v/>
      </c>
      <c r="B740" s="140" t="str">
        <f t="shared" si="488"/>
        <v>2018032610000097</v>
      </c>
      <c r="C740" s="6" t="str">
        <f>VLOOKUP(B740,C524:AN597, 3,FALSE)</f>
        <v>6001</v>
      </c>
      <c r="D740" s="6" t="str">
        <f>VLOOKUP(B740,C524:AN597, 4,FALSE)</f>
        <v>B00101</v>
      </c>
      <c r="E740" s="6" t="str">
        <f>VLOOKUP(B740,C524:AN597, 5,FALSE)</f>
        <v>6001</v>
      </c>
      <c r="F740" s="6">
        <f t="shared" si="438"/>
        <v>20180326</v>
      </c>
      <c r="G740" s="6">
        <f t="shared" si="438"/>
        <v>20180326</v>
      </c>
      <c r="H740" s="6" t="str">
        <f t="shared" si="439"/>
        <v>CZCE</v>
      </c>
      <c r="I740" s="6" t="str">
        <f t="shared" si="477"/>
        <v>SR807P6500</v>
      </c>
      <c r="J740" s="6">
        <f t="shared" si="479"/>
        <v>1</v>
      </c>
      <c r="K740" s="6">
        <f t="shared" si="440"/>
        <v>3</v>
      </c>
      <c r="L740" s="6">
        <f t="shared" si="478"/>
        <v>1</v>
      </c>
      <c r="M740" s="6">
        <f t="shared" si="480"/>
        <v>3</v>
      </c>
      <c r="N740" s="6">
        <f t="shared" si="481"/>
        <v>2</v>
      </c>
      <c r="O740" s="6">
        <f t="shared" si="442"/>
        <v>18600</v>
      </c>
      <c r="P740" s="12">
        <f t="shared" si="443"/>
        <v>31000</v>
      </c>
      <c r="Q740" s="12">
        <f t="shared" si="417"/>
        <v>6.0000000000000005E-2</v>
      </c>
      <c r="R740" s="12">
        <f t="shared" si="418"/>
        <v>6</v>
      </c>
      <c r="S740" s="12">
        <f t="shared" si="419"/>
        <v>0.04</v>
      </c>
      <c r="T740" s="12">
        <f t="shared" si="420"/>
        <v>4</v>
      </c>
      <c r="U740" s="12">
        <f t="shared" si="421"/>
        <v>10</v>
      </c>
      <c r="V740" s="12">
        <f t="shared" si="482"/>
        <v>6500</v>
      </c>
      <c r="W740" s="12">
        <f t="shared" si="483"/>
        <v>620</v>
      </c>
      <c r="X740" s="12">
        <f t="shared" si="484"/>
        <v>6150</v>
      </c>
      <c r="Y740" s="12">
        <f t="shared" si="444"/>
        <v>617</v>
      </c>
      <c r="Z740" s="12">
        <f t="shared" si="485"/>
        <v>620</v>
      </c>
      <c r="AA740" s="12">
        <f t="shared" si="445"/>
        <v>0.5</v>
      </c>
      <c r="AB740" s="12">
        <f t="shared" si="445"/>
        <v>0.5</v>
      </c>
      <c r="AC740" s="12">
        <f t="shared" si="446"/>
        <v>0</v>
      </c>
      <c r="AD740" s="12">
        <f t="shared" si="426"/>
        <v>1</v>
      </c>
      <c r="AE740" s="12">
        <f t="shared" si="447"/>
        <v>29688</v>
      </c>
      <c r="AF740" s="12">
        <f t="shared" si="448"/>
        <v>25992</v>
      </c>
      <c r="AG740" s="12">
        <f t="shared" si="449"/>
        <v>19792</v>
      </c>
      <c r="AH740" s="12">
        <f t="shared" si="450"/>
        <v>17328</v>
      </c>
      <c r="AI740" s="12">
        <f t="shared" si="427"/>
        <v>6200</v>
      </c>
      <c r="AJ740" s="12">
        <v>1</v>
      </c>
      <c r="AK740" s="12">
        <f t="shared" si="428"/>
        <v>1</v>
      </c>
      <c r="AL740" s="12">
        <f t="shared" si="429"/>
        <v>0</v>
      </c>
      <c r="AM740" s="12">
        <f t="shared" si="430"/>
        <v>0</v>
      </c>
      <c r="AN740" s="12">
        <f t="shared" si="431"/>
        <v>0</v>
      </c>
      <c r="AO740" s="12">
        <f t="shared" si="432"/>
        <v>0</v>
      </c>
      <c r="AP740" s="12">
        <f t="shared" si="433"/>
        <v>0</v>
      </c>
      <c r="AQ740" s="3" t="str">
        <f t="shared" si="434"/>
        <v>SR807</v>
      </c>
      <c r="AR740" s="3" t="str">
        <f t="shared" si="451"/>
        <v>SR80710</v>
      </c>
      <c r="AS740" s="6" t="str">
        <f t="shared" si="452"/>
        <v>9999</v>
      </c>
      <c r="AT740" s="6" t="str">
        <f t="shared" si="453"/>
        <v>CNY</v>
      </c>
      <c r="AU740" s="6" t="str">
        <f t="shared" si="454"/>
        <v>50010001</v>
      </c>
      <c r="AV740" s="6">
        <f t="shared" si="486"/>
        <v>1</v>
      </c>
      <c r="AW740" s="6" t="str">
        <f t="shared" si="487"/>
        <v>SR807</v>
      </c>
      <c r="AX740" s="6">
        <f t="shared" si="455"/>
        <v>30850</v>
      </c>
    </row>
    <row r="741" spans="1:50" s="6" customFormat="1" ht="15" customHeight="1" x14ac:dyDescent="0.25">
      <c r="A741" s="167" t="str">
        <f t="shared" si="437"/>
        <v/>
      </c>
      <c r="B741" s="140" t="str">
        <f t="shared" si="488"/>
        <v>2018032610000098</v>
      </c>
      <c r="C741" s="6" t="str">
        <f>VLOOKUP(B741,C525:AN598, 3,FALSE)</f>
        <v>6001</v>
      </c>
      <c r="D741" s="6" t="str">
        <f>VLOOKUP(B741,C525:AN598, 4,FALSE)</f>
        <v>B00101</v>
      </c>
      <c r="E741" s="6" t="str">
        <f>VLOOKUP(B741,C525:AN598, 5,FALSE)</f>
        <v>6001</v>
      </c>
      <c r="F741" s="6">
        <f t="shared" si="438"/>
        <v>20180326</v>
      </c>
      <c r="G741" s="6">
        <f t="shared" si="438"/>
        <v>20180326</v>
      </c>
      <c r="H741" s="6" t="str">
        <f t="shared" si="439"/>
        <v>CZCE</v>
      </c>
      <c r="I741" s="6" t="str">
        <f t="shared" si="477"/>
        <v>SR807P6500</v>
      </c>
      <c r="J741" s="6">
        <f t="shared" si="479"/>
        <v>0</v>
      </c>
      <c r="K741" s="6">
        <f t="shared" si="440"/>
        <v>2</v>
      </c>
      <c r="L741" s="6">
        <f t="shared" si="478"/>
        <v>3</v>
      </c>
      <c r="M741" s="6">
        <f t="shared" si="480"/>
        <v>2</v>
      </c>
      <c r="N741" s="6">
        <f t="shared" si="481"/>
        <v>0</v>
      </c>
      <c r="O741" s="6">
        <f t="shared" si="442"/>
        <v>12400</v>
      </c>
      <c r="P741" s="12">
        <f t="shared" si="443"/>
        <v>12400</v>
      </c>
      <c r="Q741" s="12">
        <f t="shared" si="417"/>
        <v>6.4000000000000001E-2</v>
      </c>
      <c r="R741" s="12">
        <f t="shared" si="418"/>
        <v>6.32</v>
      </c>
      <c r="S741" s="12">
        <f t="shared" si="419"/>
        <v>4.2000000000000003E-2</v>
      </c>
      <c r="T741" s="12">
        <f t="shared" si="420"/>
        <v>4.2</v>
      </c>
      <c r="U741" s="12">
        <f t="shared" si="421"/>
        <v>10</v>
      </c>
      <c r="V741" s="12">
        <f t="shared" si="482"/>
        <v>6500</v>
      </c>
      <c r="W741" s="12">
        <f t="shared" si="483"/>
        <v>620</v>
      </c>
      <c r="X741" s="12">
        <f t="shared" si="484"/>
        <v>6150</v>
      </c>
      <c r="Y741" s="12">
        <f t="shared" si="444"/>
        <v>618</v>
      </c>
      <c r="Z741" s="12">
        <f t="shared" si="485"/>
        <v>620</v>
      </c>
      <c r="AA741" s="12">
        <f t="shared" si="445"/>
        <v>0.5</v>
      </c>
      <c r="AB741" s="12">
        <f t="shared" si="445"/>
        <v>0.5</v>
      </c>
      <c r="AC741" s="12">
        <f t="shared" si="446"/>
        <v>0</v>
      </c>
      <c r="AD741" s="12">
        <f t="shared" si="426"/>
        <v>1</v>
      </c>
      <c r="AE741" s="12">
        <f t="shared" si="447"/>
        <v>0</v>
      </c>
      <c r="AF741" s="12">
        <f t="shared" si="448"/>
        <v>0</v>
      </c>
      <c r="AG741" s="12">
        <f t="shared" si="449"/>
        <v>0</v>
      </c>
      <c r="AH741" s="12">
        <f t="shared" si="450"/>
        <v>0</v>
      </c>
      <c r="AI741" s="12">
        <f t="shared" si="427"/>
        <v>6200</v>
      </c>
      <c r="AJ741" s="12">
        <v>1</v>
      </c>
      <c r="AK741" s="12">
        <f t="shared" si="428"/>
        <v>1</v>
      </c>
      <c r="AL741" s="12">
        <f t="shared" si="429"/>
        <v>0</v>
      </c>
      <c r="AM741" s="12">
        <f t="shared" si="430"/>
        <v>0</v>
      </c>
      <c r="AN741" s="12">
        <f t="shared" si="431"/>
        <v>0</v>
      </c>
      <c r="AO741" s="12">
        <f t="shared" si="432"/>
        <v>0</v>
      </c>
      <c r="AP741" s="12">
        <f t="shared" si="433"/>
        <v>0</v>
      </c>
      <c r="AQ741" s="3" t="str">
        <f t="shared" si="434"/>
        <v>SR807</v>
      </c>
      <c r="AR741" s="3" t="str">
        <f t="shared" si="451"/>
        <v>SR80730</v>
      </c>
      <c r="AS741" s="6" t="str">
        <f t="shared" si="452"/>
        <v>9999</v>
      </c>
      <c r="AT741" s="6" t="str">
        <f t="shared" si="453"/>
        <v>CNY</v>
      </c>
      <c r="AU741" s="6" t="str">
        <f t="shared" si="454"/>
        <v>50010001</v>
      </c>
      <c r="AV741" s="6">
        <f t="shared" si="486"/>
        <v>1</v>
      </c>
      <c r="AW741" s="6" t="str">
        <f t="shared" si="487"/>
        <v>SR807</v>
      </c>
      <c r="AX741" s="6">
        <f t="shared" si="455"/>
        <v>12360</v>
      </c>
    </row>
    <row r="742" spans="1:50" s="6" customFormat="1" x14ac:dyDescent="0.25">
      <c r="A742" s="167" t="str">
        <f t="shared" si="437"/>
        <v/>
      </c>
      <c r="B742" s="140" t="str">
        <f t="shared" si="488"/>
        <v>2018032610000099</v>
      </c>
      <c r="C742" s="6" t="str">
        <f>VLOOKUP(B742,C528:AN599, 3,FALSE)</f>
        <v>6001</v>
      </c>
      <c r="D742" s="6" t="str">
        <f>VLOOKUP(B742,C528:AN599, 4,FALSE)</f>
        <v>B00101</v>
      </c>
      <c r="E742" s="6" t="str">
        <f>VLOOKUP(B742,C528:AN599, 5,FALSE)</f>
        <v>6001</v>
      </c>
      <c r="F742" s="6">
        <f t="shared" si="438"/>
        <v>20180326</v>
      </c>
      <c r="G742" s="6">
        <f t="shared" si="438"/>
        <v>20180326</v>
      </c>
      <c r="H742" s="6" t="str">
        <f t="shared" si="439"/>
        <v>CZCE</v>
      </c>
      <c r="I742" s="6" t="str">
        <f t="shared" si="477"/>
        <v>SR807P6500</v>
      </c>
      <c r="J742" s="6">
        <f t="shared" si="479"/>
        <v>1</v>
      </c>
      <c r="K742" s="6">
        <f t="shared" si="440"/>
        <v>3</v>
      </c>
      <c r="L742" s="6">
        <f t="shared" si="478"/>
        <v>3</v>
      </c>
      <c r="M742" s="6">
        <f t="shared" si="480"/>
        <v>3</v>
      </c>
      <c r="N742" s="6">
        <f t="shared" si="481"/>
        <v>0</v>
      </c>
      <c r="O742" s="6">
        <f t="shared" si="442"/>
        <v>18600</v>
      </c>
      <c r="P742" s="12">
        <f t="shared" si="443"/>
        <v>18600</v>
      </c>
      <c r="Q742" s="12">
        <f t="shared" si="417"/>
        <v>6.4000000000000001E-2</v>
      </c>
      <c r="R742" s="12">
        <f t="shared" si="418"/>
        <v>6.32</v>
      </c>
      <c r="S742" s="12">
        <f t="shared" si="419"/>
        <v>4.2000000000000003E-2</v>
      </c>
      <c r="T742" s="12">
        <f t="shared" si="420"/>
        <v>4.2</v>
      </c>
      <c r="U742" s="12">
        <f t="shared" si="421"/>
        <v>10</v>
      </c>
      <c r="V742" s="12">
        <f t="shared" si="482"/>
        <v>6500</v>
      </c>
      <c r="W742" s="12">
        <f t="shared" si="483"/>
        <v>620</v>
      </c>
      <c r="X742" s="12">
        <f t="shared" si="484"/>
        <v>6150</v>
      </c>
      <c r="Y742" s="12">
        <f t="shared" si="444"/>
        <v>619</v>
      </c>
      <c r="Z742" s="12">
        <f t="shared" si="485"/>
        <v>620</v>
      </c>
      <c r="AA742" s="12">
        <f t="shared" si="445"/>
        <v>0.5</v>
      </c>
      <c r="AB742" s="12">
        <f t="shared" si="445"/>
        <v>0.5</v>
      </c>
      <c r="AC742" s="12">
        <f t="shared" si="446"/>
        <v>0</v>
      </c>
      <c r="AD742" s="12">
        <f t="shared" si="426"/>
        <v>1</v>
      </c>
      <c r="AE742" s="12">
        <f t="shared" si="447"/>
        <v>30426.959999999999</v>
      </c>
      <c r="AF742" s="12">
        <f t="shared" si="448"/>
        <v>26361.599999999999</v>
      </c>
      <c r="AG742" s="12">
        <f t="shared" si="449"/>
        <v>0</v>
      </c>
      <c r="AH742" s="12">
        <f t="shared" si="450"/>
        <v>0</v>
      </c>
      <c r="AI742" s="12">
        <f t="shared" si="427"/>
        <v>6200</v>
      </c>
      <c r="AJ742" s="12">
        <v>1</v>
      </c>
      <c r="AK742" s="12">
        <f t="shared" si="428"/>
        <v>1</v>
      </c>
      <c r="AL742" s="12">
        <f t="shared" si="429"/>
        <v>0</v>
      </c>
      <c r="AM742" s="12">
        <f t="shared" si="430"/>
        <v>0</v>
      </c>
      <c r="AN742" s="12">
        <f t="shared" si="431"/>
        <v>0</v>
      </c>
      <c r="AO742" s="12">
        <f t="shared" si="432"/>
        <v>0</v>
      </c>
      <c r="AP742" s="12">
        <f t="shared" si="433"/>
        <v>0</v>
      </c>
      <c r="AQ742" s="3" t="str">
        <f t="shared" si="434"/>
        <v>SR807</v>
      </c>
      <c r="AR742" s="3" t="str">
        <f t="shared" si="451"/>
        <v>SR80730</v>
      </c>
      <c r="AS742" s="6" t="str">
        <f t="shared" si="452"/>
        <v>9999</v>
      </c>
      <c r="AT742" s="6" t="str">
        <f t="shared" si="453"/>
        <v>CNY</v>
      </c>
      <c r="AU742" s="6" t="str">
        <f t="shared" si="454"/>
        <v>50010001</v>
      </c>
      <c r="AV742" s="6">
        <f t="shared" si="486"/>
        <v>1</v>
      </c>
      <c r="AW742" s="6" t="str">
        <f t="shared" si="487"/>
        <v>SR807</v>
      </c>
      <c r="AX742" s="6">
        <f t="shared" si="455"/>
        <v>18570</v>
      </c>
    </row>
    <row r="743" spans="1:50" s="6" customFormat="1" x14ac:dyDescent="0.25">
      <c r="A743" s="167" t="str">
        <f t="shared" si="437"/>
        <v/>
      </c>
      <c r="B743" s="140" t="str">
        <f t="shared" si="488"/>
        <v>2018032610000100</v>
      </c>
      <c r="C743" s="6" t="str">
        <f>VLOOKUP(B743,C529:AN599, 3,FALSE)</f>
        <v>6001</v>
      </c>
      <c r="D743" s="6" t="str">
        <f>VLOOKUP(B743,C529:AN599, 4,FALSE)</f>
        <v>B00101</v>
      </c>
      <c r="E743" s="6" t="str">
        <f>VLOOKUP(B743,C529:AN599, 5,FALSE)</f>
        <v>6001</v>
      </c>
      <c r="F743" s="6">
        <f t="shared" si="438"/>
        <v>20180326</v>
      </c>
      <c r="G743" s="6">
        <f t="shared" si="438"/>
        <v>20180326</v>
      </c>
      <c r="H743" s="6" t="str">
        <f t="shared" si="439"/>
        <v>CZCE</v>
      </c>
      <c r="I743" s="6" t="str">
        <f t="shared" si="477"/>
        <v>SR807P6400</v>
      </c>
      <c r="J743" s="6">
        <f t="shared" si="479"/>
        <v>0</v>
      </c>
      <c r="K743" s="6">
        <f t="shared" si="440"/>
        <v>2</v>
      </c>
      <c r="L743" s="6">
        <f t="shared" si="478"/>
        <v>1</v>
      </c>
      <c r="M743" s="6">
        <f t="shared" si="480"/>
        <v>0</v>
      </c>
      <c r="N743" s="6">
        <f t="shared" si="481"/>
        <v>1</v>
      </c>
      <c r="O743" s="6">
        <f t="shared" si="442"/>
        <v>0</v>
      </c>
      <c r="P743" s="12">
        <f t="shared" si="443"/>
        <v>6250</v>
      </c>
      <c r="Q743" s="12">
        <f t="shared" si="417"/>
        <v>6.0000000000000005E-2</v>
      </c>
      <c r="R743" s="12">
        <f t="shared" si="418"/>
        <v>6</v>
      </c>
      <c r="S743" s="12">
        <f t="shared" si="419"/>
        <v>0.04</v>
      </c>
      <c r="T743" s="12">
        <f t="shared" si="420"/>
        <v>4</v>
      </c>
      <c r="U743" s="12">
        <f t="shared" si="421"/>
        <v>10</v>
      </c>
      <c r="V743" s="12">
        <f t="shared" si="482"/>
        <v>6400</v>
      </c>
      <c r="W743" s="12">
        <f t="shared" si="483"/>
        <v>625</v>
      </c>
      <c r="X743" s="12">
        <f t="shared" si="484"/>
        <v>6150</v>
      </c>
      <c r="Y743" s="12">
        <f t="shared" si="444"/>
        <v>620</v>
      </c>
      <c r="Z743" s="12">
        <f t="shared" si="485"/>
        <v>625</v>
      </c>
      <c r="AA743" s="12">
        <f t="shared" si="445"/>
        <v>0.5</v>
      </c>
      <c r="AB743" s="12">
        <f t="shared" si="445"/>
        <v>0.5</v>
      </c>
      <c r="AC743" s="12">
        <f t="shared" si="446"/>
        <v>0</v>
      </c>
      <c r="AD743" s="12">
        <f t="shared" si="426"/>
        <v>1</v>
      </c>
      <c r="AE743" s="12">
        <f t="shared" si="447"/>
        <v>0</v>
      </c>
      <c r="AF743" s="12">
        <f t="shared" si="448"/>
        <v>0</v>
      </c>
      <c r="AG743" s="12">
        <f t="shared" si="449"/>
        <v>0</v>
      </c>
      <c r="AH743" s="12">
        <f t="shared" si="450"/>
        <v>0</v>
      </c>
      <c r="AI743" s="12">
        <f t="shared" si="427"/>
        <v>6250</v>
      </c>
      <c r="AJ743" s="12">
        <v>1</v>
      </c>
      <c r="AK743" s="12">
        <f t="shared" si="428"/>
        <v>1</v>
      </c>
      <c r="AL743" s="12">
        <f t="shared" si="429"/>
        <v>0</v>
      </c>
      <c r="AM743" s="12">
        <f t="shared" si="430"/>
        <v>0</v>
      </c>
      <c r="AN743" s="12">
        <f t="shared" si="431"/>
        <v>0</v>
      </c>
      <c r="AO743" s="12">
        <f t="shared" si="432"/>
        <v>0</v>
      </c>
      <c r="AP743" s="12">
        <f t="shared" si="433"/>
        <v>0</v>
      </c>
      <c r="AQ743" s="3" t="str">
        <f t="shared" si="434"/>
        <v>SR807</v>
      </c>
      <c r="AR743" s="3" t="str">
        <f t="shared" si="451"/>
        <v>SR80710</v>
      </c>
      <c r="AS743" s="6" t="str">
        <f t="shared" si="452"/>
        <v>9999</v>
      </c>
      <c r="AT743" s="6" t="str">
        <f t="shared" si="453"/>
        <v>CNY</v>
      </c>
      <c r="AU743" s="6" t="str">
        <f t="shared" si="454"/>
        <v>50010001</v>
      </c>
      <c r="AV743" s="6">
        <f t="shared" si="486"/>
        <v>1</v>
      </c>
      <c r="AW743" s="6" t="str">
        <f t="shared" si="487"/>
        <v>SR807</v>
      </c>
      <c r="AX743" s="6">
        <f t="shared" si="455"/>
        <v>6200</v>
      </c>
    </row>
    <row r="744" spans="1:50" s="6" customFormat="1" x14ac:dyDescent="0.25">
      <c r="A744" s="167"/>
      <c r="B744" s="140" t="str">
        <f t="shared" si="488"/>
        <v>2018032610000101</v>
      </c>
      <c r="C744" s="6" t="str">
        <f>VLOOKUP(B744,C530:AN600, 3,FALSE)</f>
        <v>6001</v>
      </c>
      <c r="D744" s="6" t="str">
        <f>VLOOKUP(B744,C530:AN600, 4,FALSE)</f>
        <v>B00101</v>
      </c>
      <c r="E744" s="6" t="str">
        <f>VLOOKUP(B744,C530:AN600, 5,FALSE)</f>
        <v>6001</v>
      </c>
      <c r="F744" s="6">
        <f t="shared" si="438"/>
        <v>20180326</v>
      </c>
      <c r="G744" s="6">
        <f t="shared" si="438"/>
        <v>20180326</v>
      </c>
      <c r="H744" s="6" t="str">
        <f t="shared" si="439"/>
        <v>CZCE</v>
      </c>
      <c r="I744" s="6" t="str">
        <f t="shared" si="477"/>
        <v>SR807P6400</v>
      </c>
      <c r="J744" s="6">
        <f t="shared" si="479"/>
        <v>0</v>
      </c>
      <c r="K744" s="6">
        <f t="shared" ref="K744" si="489">IF(J744=0,2,3)</f>
        <v>2</v>
      </c>
      <c r="L744" s="6">
        <f t="shared" si="478"/>
        <v>1</v>
      </c>
      <c r="M744" s="6">
        <f t="shared" si="480"/>
        <v>0</v>
      </c>
      <c r="N744" s="6">
        <f t="shared" si="481"/>
        <v>1</v>
      </c>
      <c r="O744" s="6">
        <f t="shared" ref="O744" si="490">IF(AK744=0,0,M744*U744*W744)</f>
        <v>0</v>
      </c>
      <c r="P744" s="12">
        <f t="shared" ref="P744" si="491">IF(AK744=0,0,(M744+N744)*U744*W744)</f>
        <v>6250</v>
      </c>
      <c r="Q744" s="12">
        <f t="shared" ref="Q744" si="492">IF(AK744=0, VLOOKUP(AR744,$F$56:$L$75,4,FALSE),VLOOKUP(AR744,$F$56:$L$75,4,FALSE)+VLOOKUP(AR744,$F$56:$L$75,6,FALSE) )</f>
        <v>6.0000000000000005E-2</v>
      </c>
      <c r="R744" s="12">
        <f t="shared" ref="R744" si="493">IF(AK744=0, VLOOKUP(AR744,$F$56:$L$75,5,FALSE),VLOOKUP(AR744,$F$56:$L$75,5,FALSE)+VLOOKUP(AR744,$F$56:$L$75,7,FALSE) )</f>
        <v>6</v>
      </c>
      <c r="S744" s="12">
        <f t="shared" ref="S744" si="494">VLOOKUP(AR744,$F$56:$L$75,2,FALSE)</f>
        <v>0.04</v>
      </c>
      <c r="T744" s="12">
        <f t="shared" ref="T744" si="495">VLOOKUP(AR744,$F$56:$L$75,3,FALSE)</f>
        <v>4</v>
      </c>
      <c r="U744" s="12">
        <f t="shared" ref="U744" si="496" xml:space="preserve"> VLOOKUP(I744,$C$22:$L$34,3,FALSE)</f>
        <v>10</v>
      </c>
      <c r="V744" s="12">
        <f t="shared" si="482"/>
        <v>6400</v>
      </c>
      <c r="W744" s="12">
        <f t="shared" si="483"/>
        <v>625</v>
      </c>
      <c r="X744" s="12">
        <f t="shared" si="484"/>
        <v>6150</v>
      </c>
      <c r="Y744" s="12">
        <f t="shared" si="444"/>
        <v>621</v>
      </c>
      <c r="Z744" s="12">
        <f t="shared" si="485"/>
        <v>625</v>
      </c>
      <c r="AA744" s="12">
        <f t="shared" si="445"/>
        <v>0.5</v>
      </c>
      <c r="AB744" s="12">
        <f t="shared" si="445"/>
        <v>0.5</v>
      </c>
      <c r="AC744" s="12">
        <f t="shared" ref="AC744" si="497">IF(AD744=0,MAX((V744-X744)*U744,0),MAX((X744-V744)*U744,0))</f>
        <v>0</v>
      </c>
      <c r="AD744" s="12">
        <f t="shared" ref="AD744" si="498" xml:space="preserve"> VLOOKUP(I744,$C$22:$L$34,6,FALSE)</f>
        <v>1</v>
      </c>
      <c r="AE744" s="12">
        <f t="shared" si="447"/>
        <v>0</v>
      </c>
      <c r="AF744" s="12">
        <f t="shared" si="448"/>
        <v>0</v>
      </c>
      <c r="AG744" s="12">
        <f t="shared" si="449"/>
        <v>0</v>
      </c>
      <c r="AH744" s="12">
        <f t="shared" si="450"/>
        <v>0</v>
      </c>
      <c r="AI744" s="12">
        <f t="shared" ref="AI744" si="499">IF(AK744=1,1*U744*W744,0)</f>
        <v>6250</v>
      </c>
      <c r="AJ744" s="12">
        <v>1</v>
      </c>
      <c r="AK744" s="12">
        <f t="shared" ref="AK744" si="500" xml:space="preserve"> VLOOKUP(I744,$C$22:$L$34,10,FALSE)</f>
        <v>1</v>
      </c>
      <c r="AL744" s="12">
        <f t="shared" ref="AL744" si="501">IF(AK744=0,IF(F744=G744,IF(J744=0,(W744-Y744)*U744*M744,-(W744-Y744)*U744*M744),IF(J744=0,(W744-Z744)*U744*M744,-(W744-Z744)*U744*M744)),0)</f>
        <v>0</v>
      </c>
      <c r="AM744" s="12">
        <f t="shared" ref="AM744" si="502">IF(AK744=0,IF(J744=0,(W744-Y744)*U744*M744,-(W744-Y744)*U744*M744),0)</f>
        <v>0</v>
      </c>
      <c r="AN744" s="12">
        <f t="shared" ref="AN744" si="503">IF(AK744=0,IF(F744=G744,IF(J744=0,(W744-Y744)*U744*N744,-(W744-Y744)*U744*N744),IF(J744=0,(W744-Z744)*U744*N744,-(W744-Z744)*U744*N744)),0)</f>
        <v>0</v>
      </c>
      <c r="AO744" s="12">
        <f t="shared" ref="AO744" si="504">IF(AK744=0,IF(J744=0,(W744-Y744)*U744*N744,-(W744-Y744)*U744*N744),0)</f>
        <v>0</v>
      </c>
      <c r="AP744" s="12">
        <f t="shared" ref="AP744" si="505" xml:space="preserve"> VLOOKUP(I744,$C$22:$L$34,9,FALSE)</f>
        <v>0</v>
      </c>
      <c r="AQ744" s="3" t="str">
        <f t="shared" ref="AQ744" si="506" xml:space="preserve"> VLOOKUP(I744,$C$22:$L$34,7,FALSE)</f>
        <v>SR807</v>
      </c>
      <c r="AR744" s="3" t="str">
        <f t="shared" si="451"/>
        <v>SR80710</v>
      </c>
      <c r="AS744" s="6" t="str">
        <f t="shared" si="452"/>
        <v>9999</v>
      </c>
      <c r="AT744" s="6" t="str">
        <f t="shared" si="453"/>
        <v>CNY</v>
      </c>
      <c r="AU744" s="6" t="str">
        <f t="shared" ref="AU744" si="507">VLOOKUP(D744,$C$8:$G$9,5,FALSE)</f>
        <v>50010001</v>
      </c>
      <c r="AV744" s="6">
        <f t="shared" si="486"/>
        <v>1</v>
      </c>
      <c r="AW744" s="6" t="str">
        <f t="shared" si="487"/>
        <v>SR807</v>
      </c>
      <c r="AX744" s="6">
        <f t="shared" si="455"/>
        <v>6210</v>
      </c>
    </row>
    <row r="745" spans="1:50" s="6" customFormat="1" ht="15" customHeight="1" x14ac:dyDescent="0.25">
      <c r="A745" s="167" t="str">
        <f t="shared" si="437"/>
        <v/>
      </c>
      <c r="B745" s="140" t="str">
        <f t="shared" si="488"/>
        <v>2018032610000102</v>
      </c>
      <c r="C745" s="6" t="str">
        <f>VLOOKUP(B745,C530:AN600, 3,FALSE)</f>
        <v>6001</v>
      </c>
      <c r="D745" s="6" t="str">
        <f>VLOOKUP(B745,C530:AN600, 4,FALSE)</f>
        <v>B00101</v>
      </c>
      <c r="E745" s="6" t="str">
        <f>VLOOKUP(B745,C530:AN600, 5,FALSE)</f>
        <v>6001</v>
      </c>
      <c r="F745" s="6">
        <f t="shared" si="438"/>
        <v>20180326</v>
      </c>
      <c r="G745" s="6">
        <f t="shared" si="438"/>
        <v>20180326</v>
      </c>
      <c r="H745" s="6" t="str">
        <f t="shared" si="439"/>
        <v>CZCE</v>
      </c>
      <c r="I745" s="6" t="str">
        <f t="shared" ref="I745:I754" si="508">VLOOKUP(B745, $C$486:$AN$561, 10,FALSE)</f>
        <v>SR807P6400</v>
      </c>
      <c r="J745" s="6">
        <f t="shared" si="479"/>
        <v>1</v>
      </c>
      <c r="K745" s="6">
        <f t="shared" si="440"/>
        <v>3</v>
      </c>
      <c r="L745" s="6">
        <f t="shared" ref="L745:L754" si="509">VLOOKUP(B745,$C$486:$AN$561, 14,FALSE)</f>
        <v>1</v>
      </c>
      <c r="M745" s="6">
        <f t="shared" si="480"/>
        <v>0</v>
      </c>
      <c r="N745" s="6">
        <f t="shared" si="481"/>
        <v>1</v>
      </c>
      <c r="O745" s="6">
        <f t="shared" si="442"/>
        <v>0</v>
      </c>
      <c r="P745" s="12">
        <f t="shared" si="443"/>
        <v>6250</v>
      </c>
      <c r="Q745" s="12">
        <f t="shared" si="417"/>
        <v>6.0000000000000005E-2</v>
      </c>
      <c r="R745" s="12">
        <f t="shared" si="418"/>
        <v>6</v>
      </c>
      <c r="S745" s="12">
        <f t="shared" si="419"/>
        <v>0.04</v>
      </c>
      <c r="T745" s="12">
        <f t="shared" si="420"/>
        <v>4</v>
      </c>
      <c r="U745" s="12">
        <f t="shared" ref="U745:U754" si="510" xml:space="preserve"> VLOOKUP(I745,$C$22:$L$34,3,FALSE)</f>
        <v>10</v>
      </c>
      <c r="V745" s="12">
        <f t="shared" si="482"/>
        <v>6400</v>
      </c>
      <c r="W745" s="12">
        <f t="shared" si="483"/>
        <v>625</v>
      </c>
      <c r="X745" s="12">
        <f t="shared" si="484"/>
        <v>6150</v>
      </c>
      <c r="Y745" s="12">
        <f t="shared" si="444"/>
        <v>622</v>
      </c>
      <c r="Z745" s="12">
        <f t="shared" si="485"/>
        <v>625</v>
      </c>
      <c r="AA745" s="12">
        <f t="shared" si="445"/>
        <v>0.5</v>
      </c>
      <c r="AB745" s="12">
        <f t="shared" si="445"/>
        <v>0.5</v>
      </c>
      <c r="AC745" s="12">
        <f t="shared" si="446"/>
        <v>0</v>
      </c>
      <c r="AD745" s="12">
        <f t="shared" ref="AD745:AD754" si="511" xml:space="preserve"> VLOOKUP(I745,$C$22:$L$34,6,FALSE)</f>
        <v>1</v>
      </c>
      <c r="AE745" s="12">
        <f t="shared" si="447"/>
        <v>0</v>
      </c>
      <c r="AF745" s="12">
        <f t="shared" si="448"/>
        <v>0</v>
      </c>
      <c r="AG745" s="12">
        <f t="shared" si="449"/>
        <v>9946</v>
      </c>
      <c r="AH745" s="12">
        <f t="shared" si="450"/>
        <v>8714</v>
      </c>
      <c r="AI745" s="12">
        <f t="shared" si="427"/>
        <v>6250</v>
      </c>
      <c r="AJ745" s="12">
        <v>1</v>
      </c>
      <c r="AK745" s="12">
        <f t="shared" ref="AK745:AK754" si="512" xml:space="preserve"> VLOOKUP(I745,$C$22:$L$34,10,FALSE)</f>
        <v>1</v>
      </c>
      <c r="AL745" s="12">
        <f t="shared" si="429"/>
        <v>0</v>
      </c>
      <c r="AM745" s="12">
        <f t="shared" si="430"/>
        <v>0</v>
      </c>
      <c r="AN745" s="12">
        <f t="shared" si="431"/>
        <v>0</v>
      </c>
      <c r="AO745" s="12">
        <f t="shared" si="432"/>
        <v>0</v>
      </c>
      <c r="AP745" s="12">
        <f t="shared" ref="AP745:AP754" si="513" xml:space="preserve"> VLOOKUP(I745,$C$22:$L$34,9,FALSE)</f>
        <v>0</v>
      </c>
      <c r="AQ745" s="3" t="str">
        <f t="shared" ref="AQ745:AQ754" si="514" xml:space="preserve"> VLOOKUP(I745,$C$22:$L$34,7,FALSE)</f>
        <v>SR807</v>
      </c>
      <c r="AR745" s="3" t="str">
        <f t="shared" si="451"/>
        <v>SR80710</v>
      </c>
      <c r="AS745" s="6" t="str">
        <f t="shared" si="452"/>
        <v>9999</v>
      </c>
      <c r="AT745" s="6" t="str">
        <f t="shared" si="453"/>
        <v>CNY</v>
      </c>
      <c r="AU745" s="6" t="str">
        <f t="shared" si="454"/>
        <v>50010001</v>
      </c>
      <c r="AV745" s="6">
        <f t="shared" si="486"/>
        <v>1</v>
      </c>
      <c r="AW745" s="6" t="str">
        <f t="shared" si="487"/>
        <v>SR807</v>
      </c>
      <c r="AX745" s="6">
        <f t="shared" si="455"/>
        <v>6220</v>
      </c>
    </row>
    <row r="746" spans="1:50" s="13" customFormat="1" ht="15" customHeight="1" x14ac:dyDescent="0.25">
      <c r="A746" s="470"/>
      <c r="B746" s="227" t="str">
        <f t="shared" si="488"/>
        <v>2018032610000150</v>
      </c>
      <c r="C746" s="13" t="str">
        <f>VLOOKUP(B746,C531:AN601, 3,FALSE)</f>
        <v>6001</v>
      </c>
      <c r="D746" s="13" t="str">
        <f>VLOOKUP(B746,C531:AN601, 4,FALSE)</f>
        <v>B00101</v>
      </c>
      <c r="E746" s="13" t="str">
        <f>VLOOKUP(B746,C531:AN601, 5,FALSE)</f>
        <v>6001</v>
      </c>
      <c r="F746" s="13">
        <f t="shared" si="438"/>
        <v>20180326</v>
      </c>
      <c r="G746" s="13">
        <f t="shared" si="438"/>
        <v>20180326</v>
      </c>
      <c r="H746" s="13" t="str">
        <f t="shared" si="439"/>
        <v>CZCE</v>
      </c>
      <c r="I746" s="13" t="str">
        <f t="shared" si="508"/>
        <v>SR809C6600</v>
      </c>
      <c r="J746" s="13">
        <f t="shared" si="479"/>
        <v>1</v>
      </c>
      <c r="K746" s="13">
        <f t="shared" ref="K746" si="515">IF(J746=0,2,3)</f>
        <v>3</v>
      </c>
      <c r="L746" s="13">
        <f t="shared" si="509"/>
        <v>1</v>
      </c>
      <c r="M746" s="13">
        <f t="shared" si="480"/>
        <v>2</v>
      </c>
      <c r="N746" s="13">
        <f t="shared" si="481"/>
        <v>2</v>
      </c>
      <c r="O746" s="13">
        <f t="shared" ref="O746" si="516">IF(AK746=0,0,M746*U746*W746)</f>
        <v>12900</v>
      </c>
      <c r="P746" s="100">
        <f t="shared" ref="P746" si="517">IF(AK746=0,0,(M746+N746)*U746*W746)</f>
        <v>25800</v>
      </c>
      <c r="Q746" s="100">
        <f t="shared" ref="Q746" si="518">IF(AK746=0, VLOOKUP(AR746,$F$56:$L$75,4,FALSE),VLOOKUP(AR746,$F$56:$L$75,4,FALSE)+VLOOKUP(AR746,$F$56:$L$75,6,FALSE) )</f>
        <v>6.2E-2</v>
      </c>
      <c r="R746" s="100">
        <f t="shared" ref="R746" si="519">IF(AK746=0, VLOOKUP(AR746,$F$56:$L$75,5,FALSE),VLOOKUP(AR746,$F$56:$L$75,5,FALSE)+VLOOKUP(AR746,$F$56:$L$75,7,FALSE) )</f>
        <v>6.21</v>
      </c>
      <c r="S746" s="100">
        <f t="shared" ref="S746" si="520">VLOOKUP(AR746,$F$56:$L$75,2,FALSE)</f>
        <v>4.1000000000000002E-2</v>
      </c>
      <c r="T746" s="100">
        <f t="shared" ref="T746" si="521">VLOOKUP(AR746,$F$56:$L$75,3,FALSE)</f>
        <v>4.0999999999999996</v>
      </c>
      <c r="U746" s="100">
        <f t="shared" si="510"/>
        <v>10</v>
      </c>
      <c r="V746" s="100">
        <f t="shared" si="482"/>
        <v>6600</v>
      </c>
      <c r="W746" s="100">
        <f t="shared" si="483"/>
        <v>645</v>
      </c>
      <c r="X746" s="100">
        <f t="shared" si="484"/>
        <v>6155</v>
      </c>
      <c r="Y746" s="12">
        <f t="shared" si="444"/>
        <v>630</v>
      </c>
      <c r="Z746" s="12">
        <f t="shared" si="485"/>
        <v>630</v>
      </c>
      <c r="AA746" s="100">
        <f t="shared" si="445"/>
        <v>0.5</v>
      </c>
      <c r="AB746" s="100">
        <f t="shared" si="445"/>
        <v>0.5</v>
      </c>
      <c r="AC746" s="100">
        <f t="shared" ref="AC746" si="522">IF(AD746=0,MAX((V746-X746)*U746,0),MAX((X746-V746)*U746,0))</f>
        <v>4450</v>
      </c>
      <c r="AD746" s="100">
        <f t="shared" si="511"/>
        <v>0</v>
      </c>
      <c r="AE746" s="100">
        <f t="shared" ref="AE746" si="523">ROUND(IF(AK746=0,Q746*U746*W746*M746+R746*M746,IF(J746=0,0,MAX(AI746+(Q746*U746*X746+R746)*AJ746-AC746*AA746,AI746+(Q746*U746*X746+R746)*AB746*AV746)*M746)),2)</f>
        <v>16722.310000000001</v>
      </c>
      <c r="AF746" s="100">
        <f t="shared" ref="AF746" si="524">ROUND(IF(AK746=0,S746*U746*W746*M746+T746*M746,IF(J746=0,0,MAX(AI746+(S746*U746*X746+T746)*AJ746-AC746*AA746,AI746+(S746*U746*X746+T746)*AB746*AV746)*M746)),2)</f>
        <v>15427.65</v>
      </c>
      <c r="AG746" s="100">
        <f t="shared" ref="AG746" si="525">ROUND(IF(AK746=0,Q746*U746*W746*N746+R746*N746,IF(J746=0,0,MAX(AI746+(Q746*U746*X746+R746)*AJ746-AC746*AA746,AI746+(Q746*U746*X746+R746)*AB746*AV746)*N746)),2)</f>
        <v>16722.310000000001</v>
      </c>
      <c r="AH746" s="100">
        <f t="shared" ref="AH746" si="526">ROUND(IF(AK746=0,S746*U746*W746*N746+T746*N746,IF(J746=0,0,MAX(AI746+(S746*U746*X746+T746)*AJ746-AC746*AA746,AI746+(S746*U746*X746+T746)*AB746*AV746)*N746)),2)</f>
        <v>15427.65</v>
      </c>
      <c r="AI746" s="100">
        <f t="shared" ref="AI746" si="527">IF(AK746=1,1*U746*W746,0)</f>
        <v>6450</v>
      </c>
      <c r="AJ746" s="100">
        <v>1</v>
      </c>
      <c r="AK746" s="100">
        <f t="shared" si="512"/>
        <v>1</v>
      </c>
      <c r="AL746" s="100">
        <f t="shared" ref="AL746" si="528">IF(AK746=0,IF(F746=G746,IF(J746=0,(W746-Y746)*U746*M746,-(W746-Y746)*U746*M746),IF(J746=0,(W746-Z746)*U746*M746,-(W746-Z746)*U746*M746)),0)</f>
        <v>0</v>
      </c>
      <c r="AM746" s="100">
        <f t="shared" ref="AM746" si="529">IF(AK746=0,IF(J746=0,(W746-Y746)*U746*M746,-(W746-Y746)*U746*M746),0)</f>
        <v>0</v>
      </c>
      <c r="AN746" s="100">
        <f t="shared" ref="AN746" si="530">IF(AK746=0,IF(F746=G746,IF(J746=0,(W746-Y746)*U746*N746,-(W746-Y746)*U746*N746),IF(J746=0,(W746-Z746)*U746*N746,-(W746-Z746)*U746*N746)),0)</f>
        <v>0</v>
      </c>
      <c r="AO746" s="100">
        <f t="shared" ref="AO746" si="531">IF(AK746=0,IF(J746=0,(W746-Y746)*U746*N746,-(W746-Y746)*U746*N746),0)</f>
        <v>0</v>
      </c>
      <c r="AP746" s="100">
        <f t="shared" si="513"/>
        <v>0</v>
      </c>
      <c r="AQ746" s="221" t="str">
        <f t="shared" si="514"/>
        <v>SR809</v>
      </c>
      <c r="AR746" s="3" t="str">
        <f t="shared" si="451"/>
        <v>SR80911</v>
      </c>
      <c r="AS746" s="13" t="str">
        <f t="shared" si="452"/>
        <v>9999</v>
      </c>
      <c r="AT746" s="13" t="str">
        <f t="shared" si="453"/>
        <v>CNY</v>
      </c>
      <c r="AU746" s="13" t="str">
        <f t="shared" ref="AU746" si="532">VLOOKUP(D746,$C$8:$G$9,5,FALSE)</f>
        <v>50010001</v>
      </c>
      <c r="AV746" s="13">
        <f t="shared" si="486"/>
        <v>1</v>
      </c>
      <c r="AW746" s="13" t="str">
        <f t="shared" si="487"/>
        <v>SR809</v>
      </c>
      <c r="AX746" s="13">
        <f t="shared" ref="AX746" si="533">(M746+N746)*U746*Y746</f>
        <v>25200</v>
      </c>
    </row>
    <row r="747" spans="1:50" s="6" customFormat="1" ht="15" customHeight="1" x14ac:dyDescent="0.25">
      <c r="A747" s="167"/>
      <c r="B747" s="140" t="str">
        <f t="shared" si="488"/>
        <v>2018032610000103</v>
      </c>
      <c r="C747" s="6" t="str">
        <f t="shared" ref="C747:C754" si="534">VLOOKUP(B747,C531:AN601, 3,FALSE)</f>
        <v>6001</v>
      </c>
      <c r="D747" s="6" t="str">
        <f t="shared" ref="D747:D754" si="535">VLOOKUP(B747,C531:AN601, 4,FALSE)</f>
        <v>B00102</v>
      </c>
      <c r="E747" s="6" t="str">
        <f t="shared" ref="E747:E754" si="536">VLOOKUP(B747,C531:AN601, 5,FALSE)</f>
        <v>6001</v>
      </c>
      <c r="F747" s="6">
        <f t="shared" si="438"/>
        <v>20180326</v>
      </c>
      <c r="G747" s="6">
        <f t="shared" si="438"/>
        <v>20180326</v>
      </c>
      <c r="H747" s="6" t="str">
        <f t="shared" si="439"/>
        <v>CZCE</v>
      </c>
      <c r="I747" s="6" t="str">
        <f t="shared" si="508"/>
        <v>PTA807C6500</v>
      </c>
      <c r="J747" s="6">
        <f t="shared" si="479"/>
        <v>0</v>
      </c>
      <c r="K747" s="6">
        <f t="shared" si="440"/>
        <v>2</v>
      </c>
      <c r="L747" s="6">
        <f t="shared" si="509"/>
        <v>1</v>
      </c>
      <c r="M747" s="6">
        <f t="shared" si="480"/>
        <v>6</v>
      </c>
      <c r="N747" s="6">
        <f t="shared" si="481"/>
        <v>2</v>
      </c>
      <c r="O747" s="6">
        <f t="shared" si="442"/>
        <v>18000</v>
      </c>
      <c r="P747" s="12">
        <f t="shared" ref="P747:P754" si="537">IF(AK747=0,0,(M747+N747)*U747*W747)</f>
        <v>24000</v>
      </c>
      <c r="Q747" s="12">
        <f t="shared" ref="Q747:Q754" si="538">IF(AK747=0, VLOOKUP(AR747,$F$56:$L$75,4,FALSE),VLOOKUP(AR747,$F$56:$L$75,4,FALSE)+VLOOKUP(AR747,$F$56:$L$75,6,FALSE) )</f>
        <v>6.2E-2</v>
      </c>
      <c r="R747" s="12">
        <f t="shared" ref="R747:R754" si="539">IF(AK747=0, VLOOKUP(AR747,$F$56:$L$75,5,FALSE),VLOOKUP(AR747,$F$56:$L$75,5,FALSE)+VLOOKUP(AR747,$F$56:$L$75,7,FALSE) )</f>
        <v>6.21</v>
      </c>
      <c r="S747" s="12">
        <f t="shared" ref="S747:S754" si="540">VLOOKUP(AR747,$F$56:$L$75,2,FALSE)</f>
        <v>4.1000000000000002E-2</v>
      </c>
      <c r="T747" s="12">
        <f t="shared" ref="T747:T754" si="541">VLOOKUP(AR747,$F$56:$L$75,3,FALSE)</f>
        <v>4.0999999999999996</v>
      </c>
      <c r="U747" s="12">
        <f t="shared" si="510"/>
        <v>5</v>
      </c>
      <c r="V747" s="12">
        <f t="shared" si="482"/>
        <v>6500</v>
      </c>
      <c r="W747" s="12">
        <f t="shared" si="483"/>
        <v>600</v>
      </c>
      <c r="X747" s="250">
        <f t="shared" si="484"/>
        <v>6165</v>
      </c>
      <c r="Y747" s="12">
        <f t="shared" si="444"/>
        <v>623</v>
      </c>
      <c r="Z747" s="250">
        <f t="shared" si="485"/>
        <v>600</v>
      </c>
      <c r="AA747" s="12">
        <f t="shared" si="445"/>
        <v>0.5</v>
      </c>
      <c r="AB747" s="12">
        <f t="shared" si="445"/>
        <v>0.5</v>
      </c>
      <c r="AC747" s="12">
        <f t="shared" ref="AC747:AC754" si="542">IF(AD747=0,MAX((V747-X747)*U747,0),MAX((X747-V747)*U747,0))</f>
        <v>1675</v>
      </c>
      <c r="AD747" s="12">
        <f t="shared" si="511"/>
        <v>0</v>
      </c>
      <c r="AE747" s="12">
        <f t="shared" si="447"/>
        <v>0</v>
      </c>
      <c r="AF747" s="12">
        <f t="shared" si="448"/>
        <v>0</v>
      </c>
      <c r="AG747" s="12">
        <f t="shared" si="449"/>
        <v>0</v>
      </c>
      <c r="AH747" s="12">
        <f t="shared" si="450"/>
        <v>0</v>
      </c>
      <c r="AI747" s="12">
        <f t="shared" ref="AI747:AI754" si="543">IF(AK747=1,1*U747*W747,0)</f>
        <v>3000</v>
      </c>
      <c r="AJ747" s="12">
        <v>1</v>
      </c>
      <c r="AK747" s="12">
        <f t="shared" si="512"/>
        <v>1</v>
      </c>
      <c r="AL747" s="12">
        <f t="shared" ref="AL747:AL754" si="544">IF(AK747=0,IF(F747=G747,IF(J747=0,(W747-Y747)*U747*M747,-(W747-Y747)*U747*M747),IF(J747=0,(W747-Z747)*U747*M747,-(W747-Z747)*U747*M747)),0)</f>
        <v>0</v>
      </c>
      <c r="AM747" s="12">
        <f t="shared" ref="AM747:AM754" si="545">IF(AK747=0,IF(J747=0,(W747-Y747)*U747*M747,-(W747-Y747)*U747*M747),0)</f>
        <v>0</v>
      </c>
      <c r="AN747" s="12">
        <f t="shared" ref="AN747:AN754" si="546">IF(AK747=0,IF(F747=G747,IF(J747=0,(W747-Y747)*U747*N747,-(W747-Y747)*U747*N747),IF(J747=0,(W747-Z747)*U747*N747,-(W747-Z747)*U747*N747)),0)</f>
        <v>0</v>
      </c>
      <c r="AO747" s="12">
        <f t="shared" ref="AO747:AO754" si="547">IF(AK747=0,IF(J747=0,(W747-Y747)*U747*N747,-(W747-Y747)*U747*N747),0)</f>
        <v>0</v>
      </c>
      <c r="AP747" s="12">
        <f t="shared" si="513"/>
        <v>0</v>
      </c>
      <c r="AQ747" s="3" t="str">
        <f t="shared" si="514"/>
        <v>PTA807</v>
      </c>
      <c r="AR747" s="3" t="str">
        <f t="shared" si="451"/>
        <v>PTA80711</v>
      </c>
      <c r="AS747" s="6" t="str">
        <f t="shared" si="452"/>
        <v>9999</v>
      </c>
      <c r="AT747" s="6" t="str">
        <f t="shared" si="453"/>
        <v>CNY</v>
      </c>
      <c r="AU747" s="6" t="str">
        <f t="shared" ref="AU747:AU754" si="548">VLOOKUP(D747,$C$8:$G$9,5,FALSE)</f>
        <v>50010002</v>
      </c>
      <c r="AV747" s="6">
        <f t="shared" si="486"/>
        <v>1</v>
      </c>
      <c r="AW747" s="6" t="str">
        <f t="shared" si="487"/>
        <v>PTA807</v>
      </c>
      <c r="AX747" s="6">
        <f t="shared" si="455"/>
        <v>24920</v>
      </c>
    </row>
    <row r="748" spans="1:50" s="6" customFormat="1" ht="15" customHeight="1" x14ac:dyDescent="0.25">
      <c r="A748" s="167"/>
      <c r="B748" s="140" t="str">
        <f t="shared" si="488"/>
        <v>2018032610000104</v>
      </c>
      <c r="C748" s="6" t="str">
        <f t="shared" si="534"/>
        <v>6001</v>
      </c>
      <c r="D748" s="6" t="str">
        <f t="shared" si="535"/>
        <v>B00102</v>
      </c>
      <c r="E748" s="6" t="str">
        <f t="shared" si="536"/>
        <v>6001</v>
      </c>
      <c r="F748" s="6">
        <f t="shared" ref="F748:G754" si="549">$B$2</f>
        <v>20180326</v>
      </c>
      <c r="G748" s="6">
        <f t="shared" si="549"/>
        <v>20180326</v>
      </c>
      <c r="H748" s="6" t="str">
        <f t="shared" si="439"/>
        <v>CZCE</v>
      </c>
      <c r="I748" s="6" t="str">
        <f t="shared" si="508"/>
        <v>PTA807C6500</v>
      </c>
      <c r="J748" s="6">
        <f t="shared" si="479"/>
        <v>1</v>
      </c>
      <c r="K748" s="6">
        <f t="shared" si="440"/>
        <v>3</v>
      </c>
      <c r="L748" s="6">
        <f t="shared" si="509"/>
        <v>1</v>
      </c>
      <c r="M748" s="6">
        <f t="shared" si="480"/>
        <v>4</v>
      </c>
      <c r="N748" s="6">
        <f t="shared" si="481"/>
        <v>4</v>
      </c>
      <c r="O748" s="6">
        <f t="shared" si="442"/>
        <v>12000</v>
      </c>
      <c r="P748" s="12">
        <f t="shared" si="537"/>
        <v>24000</v>
      </c>
      <c r="Q748" s="12">
        <f t="shared" si="538"/>
        <v>6.2E-2</v>
      </c>
      <c r="R748" s="12">
        <f t="shared" si="539"/>
        <v>6.21</v>
      </c>
      <c r="S748" s="12">
        <f t="shared" si="540"/>
        <v>4.1000000000000002E-2</v>
      </c>
      <c r="T748" s="12">
        <f t="shared" si="541"/>
        <v>4.0999999999999996</v>
      </c>
      <c r="U748" s="12">
        <f t="shared" si="510"/>
        <v>5</v>
      </c>
      <c r="V748" s="12">
        <f t="shared" si="482"/>
        <v>6500</v>
      </c>
      <c r="W748" s="12">
        <f t="shared" si="483"/>
        <v>600</v>
      </c>
      <c r="X748" s="250">
        <f t="shared" si="484"/>
        <v>6165</v>
      </c>
      <c r="Y748" s="12">
        <f t="shared" si="444"/>
        <v>624</v>
      </c>
      <c r="Z748" s="250">
        <f t="shared" si="485"/>
        <v>600</v>
      </c>
      <c r="AA748" s="12">
        <f t="shared" ref="AA748:AB754" si="550">$F$193</f>
        <v>0.5</v>
      </c>
      <c r="AB748" s="12">
        <f t="shared" si="550"/>
        <v>0.5</v>
      </c>
      <c r="AC748" s="12">
        <f t="shared" si="542"/>
        <v>1675</v>
      </c>
      <c r="AD748" s="12">
        <f t="shared" si="511"/>
        <v>0</v>
      </c>
      <c r="AE748" s="12">
        <f t="shared" si="447"/>
        <v>16319.44</v>
      </c>
      <c r="AF748" s="12">
        <f t="shared" si="448"/>
        <v>14535.85</v>
      </c>
      <c r="AG748" s="12">
        <f t="shared" si="449"/>
        <v>16319.44</v>
      </c>
      <c r="AH748" s="12">
        <f t="shared" si="450"/>
        <v>14535.85</v>
      </c>
      <c r="AI748" s="12">
        <f t="shared" si="543"/>
        <v>3000</v>
      </c>
      <c r="AJ748" s="12">
        <v>1</v>
      </c>
      <c r="AK748" s="12">
        <f t="shared" si="512"/>
        <v>1</v>
      </c>
      <c r="AL748" s="12">
        <f t="shared" si="544"/>
        <v>0</v>
      </c>
      <c r="AM748" s="12">
        <f t="shared" si="545"/>
        <v>0</v>
      </c>
      <c r="AN748" s="12">
        <f t="shared" si="546"/>
        <v>0</v>
      </c>
      <c r="AO748" s="12">
        <f t="shared" si="547"/>
        <v>0</v>
      </c>
      <c r="AP748" s="12">
        <f t="shared" si="513"/>
        <v>0</v>
      </c>
      <c r="AQ748" s="3" t="str">
        <f t="shared" si="514"/>
        <v>PTA807</v>
      </c>
      <c r="AR748" s="3" t="str">
        <f t="shared" si="451"/>
        <v>PTA80711</v>
      </c>
      <c r="AS748" s="6" t="str">
        <f t="shared" si="452"/>
        <v>9999</v>
      </c>
      <c r="AT748" s="6" t="str">
        <f t="shared" si="453"/>
        <v>CNY</v>
      </c>
      <c r="AU748" s="6" t="str">
        <f t="shared" si="548"/>
        <v>50010002</v>
      </c>
      <c r="AV748" s="6">
        <f t="shared" si="486"/>
        <v>1</v>
      </c>
      <c r="AW748" s="6" t="str">
        <f t="shared" si="487"/>
        <v>PTA807</v>
      </c>
      <c r="AX748" s="6">
        <f t="shared" si="455"/>
        <v>24960</v>
      </c>
    </row>
    <row r="749" spans="1:50" s="6" customFormat="1" ht="15" customHeight="1" x14ac:dyDescent="0.25">
      <c r="A749" s="167"/>
      <c r="B749" s="140" t="str">
        <f t="shared" si="488"/>
        <v>2018032610000105</v>
      </c>
      <c r="C749" s="6" t="str">
        <f t="shared" si="534"/>
        <v>6001</v>
      </c>
      <c r="D749" s="6" t="str">
        <f t="shared" si="535"/>
        <v>B00102</v>
      </c>
      <c r="E749" s="6" t="str">
        <f t="shared" si="536"/>
        <v>6001</v>
      </c>
      <c r="F749" s="6">
        <f t="shared" si="549"/>
        <v>20180326</v>
      </c>
      <c r="G749" s="6">
        <f t="shared" si="549"/>
        <v>20180326</v>
      </c>
      <c r="H749" s="6" t="str">
        <f t="shared" si="439"/>
        <v>CZCE</v>
      </c>
      <c r="I749" s="6" t="str">
        <f t="shared" si="508"/>
        <v>PTA807C6500</v>
      </c>
      <c r="J749" s="6">
        <f t="shared" si="479"/>
        <v>0</v>
      </c>
      <c r="K749" s="6">
        <f t="shared" si="440"/>
        <v>2</v>
      </c>
      <c r="L749" s="6">
        <f t="shared" si="509"/>
        <v>3</v>
      </c>
      <c r="M749" s="6">
        <f t="shared" si="480"/>
        <v>5</v>
      </c>
      <c r="N749" s="6">
        <f t="shared" si="481"/>
        <v>0</v>
      </c>
      <c r="O749" s="6">
        <f t="shared" si="442"/>
        <v>15000</v>
      </c>
      <c r="P749" s="12">
        <f t="shared" si="537"/>
        <v>15000</v>
      </c>
      <c r="Q749" s="12">
        <f t="shared" si="538"/>
        <v>6.6000000000000003E-2</v>
      </c>
      <c r="R749" s="12">
        <f t="shared" si="539"/>
        <v>6.43</v>
      </c>
      <c r="S749" s="12">
        <f t="shared" si="540"/>
        <v>4.2999999999999997E-2</v>
      </c>
      <c r="T749" s="12">
        <f t="shared" si="541"/>
        <v>4.3</v>
      </c>
      <c r="U749" s="12">
        <f t="shared" si="510"/>
        <v>5</v>
      </c>
      <c r="V749" s="12">
        <f t="shared" si="482"/>
        <v>6500</v>
      </c>
      <c r="W749" s="12">
        <f t="shared" si="483"/>
        <v>600</v>
      </c>
      <c r="X749" s="250">
        <f t="shared" si="484"/>
        <v>6165</v>
      </c>
      <c r="Y749" s="12">
        <f t="shared" si="444"/>
        <v>625</v>
      </c>
      <c r="Z749" s="250">
        <f t="shared" si="485"/>
        <v>600</v>
      </c>
      <c r="AA749" s="12">
        <f t="shared" si="550"/>
        <v>0.5</v>
      </c>
      <c r="AB749" s="12">
        <f t="shared" si="550"/>
        <v>0.5</v>
      </c>
      <c r="AC749" s="12">
        <f t="shared" si="542"/>
        <v>1675</v>
      </c>
      <c r="AD749" s="12">
        <f t="shared" si="511"/>
        <v>0</v>
      </c>
      <c r="AE749" s="12">
        <f t="shared" si="447"/>
        <v>0</v>
      </c>
      <c r="AF749" s="12">
        <f t="shared" si="448"/>
        <v>0</v>
      </c>
      <c r="AG749" s="12">
        <f t="shared" si="449"/>
        <v>0</v>
      </c>
      <c r="AH749" s="12">
        <f t="shared" si="450"/>
        <v>0</v>
      </c>
      <c r="AI749" s="12">
        <f t="shared" si="543"/>
        <v>3000</v>
      </c>
      <c r="AJ749" s="12">
        <v>1</v>
      </c>
      <c r="AK749" s="12">
        <f t="shared" si="512"/>
        <v>1</v>
      </c>
      <c r="AL749" s="12">
        <f t="shared" si="544"/>
        <v>0</v>
      </c>
      <c r="AM749" s="12">
        <f t="shared" si="545"/>
        <v>0</v>
      </c>
      <c r="AN749" s="12">
        <f t="shared" si="546"/>
        <v>0</v>
      </c>
      <c r="AO749" s="12">
        <f t="shared" si="547"/>
        <v>0</v>
      </c>
      <c r="AP749" s="12">
        <f t="shared" si="513"/>
        <v>0</v>
      </c>
      <c r="AQ749" s="3" t="str">
        <f t="shared" si="514"/>
        <v>PTA807</v>
      </c>
      <c r="AR749" s="3" t="str">
        <f t="shared" si="451"/>
        <v>PTA80731</v>
      </c>
      <c r="AS749" s="6" t="str">
        <f t="shared" si="452"/>
        <v>9999</v>
      </c>
      <c r="AT749" s="6" t="str">
        <f t="shared" si="453"/>
        <v>CNY</v>
      </c>
      <c r="AU749" s="6" t="str">
        <f t="shared" si="548"/>
        <v>50010002</v>
      </c>
      <c r="AV749" s="6">
        <f t="shared" si="486"/>
        <v>1</v>
      </c>
      <c r="AW749" s="6" t="str">
        <f t="shared" si="487"/>
        <v>PTA807</v>
      </c>
      <c r="AX749" s="6">
        <f t="shared" si="455"/>
        <v>15625</v>
      </c>
    </row>
    <row r="750" spans="1:50" s="6" customFormat="1" ht="15" customHeight="1" x14ac:dyDescent="0.25">
      <c r="A750" s="167"/>
      <c r="B750" s="140" t="str">
        <f t="shared" si="488"/>
        <v>2018032610000106</v>
      </c>
      <c r="C750" s="6" t="str">
        <f t="shared" si="534"/>
        <v>6001</v>
      </c>
      <c r="D750" s="6" t="str">
        <f t="shared" si="535"/>
        <v>B00102</v>
      </c>
      <c r="E750" s="6" t="str">
        <f t="shared" si="536"/>
        <v>6001</v>
      </c>
      <c r="F750" s="6">
        <f t="shared" si="549"/>
        <v>20180326</v>
      </c>
      <c r="G750" s="6">
        <f t="shared" si="549"/>
        <v>20180326</v>
      </c>
      <c r="H750" s="6" t="str">
        <f t="shared" si="439"/>
        <v>CZCE</v>
      </c>
      <c r="I750" s="6" t="str">
        <f t="shared" si="508"/>
        <v>PTA807C6500</v>
      </c>
      <c r="J750" s="6">
        <f t="shared" si="479"/>
        <v>1</v>
      </c>
      <c r="K750" s="6">
        <f t="shared" si="440"/>
        <v>3</v>
      </c>
      <c r="L750" s="6">
        <f t="shared" si="509"/>
        <v>3</v>
      </c>
      <c r="M750" s="6">
        <f t="shared" si="480"/>
        <v>10</v>
      </c>
      <c r="N750" s="6">
        <f t="shared" si="481"/>
        <v>0</v>
      </c>
      <c r="O750" s="6">
        <f t="shared" si="442"/>
        <v>30000</v>
      </c>
      <c r="P750" s="12">
        <f t="shared" si="537"/>
        <v>30000</v>
      </c>
      <c r="Q750" s="12">
        <f t="shared" si="538"/>
        <v>6.6000000000000003E-2</v>
      </c>
      <c r="R750" s="12">
        <f t="shared" si="539"/>
        <v>6.43</v>
      </c>
      <c r="S750" s="12">
        <f t="shared" si="540"/>
        <v>4.2999999999999997E-2</v>
      </c>
      <c r="T750" s="12">
        <f t="shared" si="541"/>
        <v>4.3</v>
      </c>
      <c r="U750" s="12">
        <f t="shared" si="510"/>
        <v>5</v>
      </c>
      <c r="V750" s="12">
        <f t="shared" si="482"/>
        <v>6500</v>
      </c>
      <c r="W750" s="12">
        <f t="shared" si="483"/>
        <v>600</v>
      </c>
      <c r="X750" s="250">
        <f t="shared" si="484"/>
        <v>6165</v>
      </c>
      <c r="Y750" s="12">
        <f t="shared" si="444"/>
        <v>626</v>
      </c>
      <c r="Z750" s="250">
        <f t="shared" si="485"/>
        <v>600</v>
      </c>
      <c r="AA750" s="12">
        <f t="shared" si="550"/>
        <v>0.5</v>
      </c>
      <c r="AB750" s="12">
        <f t="shared" si="550"/>
        <v>0.5</v>
      </c>
      <c r="AC750" s="12">
        <f t="shared" si="542"/>
        <v>1675</v>
      </c>
      <c r="AD750" s="12">
        <f t="shared" si="511"/>
        <v>0</v>
      </c>
      <c r="AE750" s="12">
        <f t="shared" si="447"/>
        <v>42033.8</v>
      </c>
      <c r="AF750" s="12">
        <f t="shared" si="448"/>
        <v>36648.879999999997</v>
      </c>
      <c r="AG750" s="12">
        <f t="shared" si="449"/>
        <v>0</v>
      </c>
      <c r="AH750" s="12">
        <f t="shared" si="450"/>
        <v>0</v>
      </c>
      <c r="AI750" s="12">
        <f t="shared" si="543"/>
        <v>3000</v>
      </c>
      <c r="AJ750" s="12">
        <v>1</v>
      </c>
      <c r="AK750" s="12">
        <f t="shared" si="512"/>
        <v>1</v>
      </c>
      <c r="AL750" s="12">
        <f t="shared" si="544"/>
        <v>0</v>
      </c>
      <c r="AM750" s="12">
        <f t="shared" si="545"/>
        <v>0</v>
      </c>
      <c r="AN750" s="12">
        <f t="shared" si="546"/>
        <v>0</v>
      </c>
      <c r="AO750" s="12">
        <f t="shared" si="547"/>
        <v>0</v>
      </c>
      <c r="AP750" s="12">
        <f t="shared" si="513"/>
        <v>0</v>
      </c>
      <c r="AQ750" s="3" t="str">
        <f t="shared" si="514"/>
        <v>PTA807</v>
      </c>
      <c r="AR750" s="3" t="str">
        <f t="shared" si="451"/>
        <v>PTA80731</v>
      </c>
      <c r="AS750" s="6" t="str">
        <f t="shared" si="452"/>
        <v>9999</v>
      </c>
      <c r="AT750" s="6" t="str">
        <f t="shared" si="453"/>
        <v>CNY</v>
      </c>
      <c r="AU750" s="6" t="str">
        <f t="shared" si="548"/>
        <v>50010002</v>
      </c>
      <c r="AV750" s="6">
        <f t="shared" si="486"/>
        <v>1</v>
      </c>
      <c r="AW750" s="6" t="str">
        <f t="shared" si="487"/>
        <v>PTA807</v>
      </c>
      <c r="AX750" s="6">
        <f t="shared" si="455"/>
        <v>31300</v>
      </c>
    </row>
    <row r="751" spans="1:50" s="6" customFormat="1" ht="15" customHeight="1" x14ac:dyDescent="0.25">
      <c r="A751" s="167"/>
      <c r="B751" s="140" t="str">
        <f>C558</f>
        <v>2018032610000109</v>
      </c>
      <c r="C751" s="6" t="str">
        <f t="shared" si="534"/>
        <v>6001</v>
      </c>
      <c r="D751" s="6" t="str">
        <f t="shared" si="535"/>
        <v>B00102</v>
      </c>
      <c r="E751" s="6" t="str">
        <f t="shared" si="536"/>
        <v>6001</v>
      </c>
      <c r="F751" s="6">
        <f t="shared" si="549"/>
        <v>20180326</v>
      </c>
      <c r="G751" s="6">
        <f t="shared" si="549"/>
        <v>20180326</v>
      </c>
      <c r="H751" s="6" t="str">
        <f t="shared" si="439"/>
        <v>CZCE</v>
      </c>
      <c r="I751" s="6" t="str">
        <f t="shared" si="508"/>
        <v>PTA807P6200</v>
      </c>
      <c r="J751" s="6">
        <f t="shared" si="479"/>
        <v>0</v>
      </c>
      <c r="K751" s="6">
        <f t="shared" si="440"/>
        <v>2</v>
      </c>
      <c r="L751" s="6">
        <f t="shared" si="509"/>
        <v>1</v>
      </c>
      <c r="M751" s="6">
        <f t="shared" si="480"/>
        <v>0</v>
      </c>
      <c r="N751" s="6">
        <f t="shared" si="481"/>
        <v>1</v>
      </c>
      <c r="O751" s="6">
        <f t="shared" si="442"/>
        <v>0</v>
      </c>
      <c r="P751" s="12">
        <f t="shared" si="537"/>
        <v>3025</v>
      </c>
      <c r="Q751" s="12">
        <f t="shared" si="538"/>
        <v>6.0000000000000005E-2</v>
      </c>
      <c r="R751" s="12">
        <f t="shared" si="539"/>
        <v>6</v>
      </c>
      <c r="S751" s="12">
        <f t="shared" si="540"/>
        <v>0.04</v>
      </c>
      <c r="T751" s="12">
        <f t="shared" si="541"/>
        <v>4</v>
      </c>
      <c r="U751" s="12">
        <f t="shared" si="510"/>
        <v>5</v>
      </c>
      <c r="V751" s="12">
        <f t="shared" si="482"/>
        <v>6200</v>
      </c>
      <c r="W751" s="12">
        <f t="shared" si="483"/>
        <v>605</v>
      </c>
      <c r="X751" s="250">
        <f t="shared" si="484"/>
        <v>6165</v>
      </c>
      <c r="Y751" s="12">
        <f t="shared" si="444"/>
        <v>629</v>
      </c>
      <c r="Z751" s="250">
        <f t="shared" si="485"/>
        <v>605</v>
      </c>
      <c r="AA751" s="12">
        <f t="shared" si="550"/>
        <v>0.5</v>
      </c>
      <c r="AB751" s="12">
        <f t="shared" si="550"/>
        <v>0.5</v>
      </c>
      <c r="AC751" s="12">
        <f t="shared" si="542"/>
        <v>0</v>
      </c>
      <c r="AD751" s="12">
        <f t="shared" si="511"/>
        <v>1</v>
      </c>
      <c r="AE751" s="12">
        <f t="shared" si="447"/>
        <v>0</v>
      </c>
      <c r="AF751" s="12">
        <f t="shared" si="448"/>
        <v>0</v>
      </c>
      <c r="AG751" s="12">
        <f t="shared" si="449"/>
        <v>0</v>
      </c>
      <c r="AH751" s="12">
        <f t="shared" si="450"/>
        <v>0</v>
      </c>
      <c r="AI751" s="12">
        <f t="shared" si="543"/>
        <v>3025</v>
      </c>
      <c r="AJ751" s="12">
        <v>1</v>
      </c>
      <c r="AK751" s="12">
        <f t="shared" si="512"/>
        <v>1</v>
      </c>
      <c r="AL751" s="12">
        <f t="shared" si="544"/>
        <v>0</v>
      </c>
      <c r="AM751" s="12">
        <f t="shared" si="545"/>
        <v>0</v>
      </c>
      <c r="AN751" s="12">
        <f t="shared" si="546"/>
        <v>0</v>
      </c>
      <c r="AO751" s="12">
        <f t="shared" si="547"/>
        <v>0</v>
      </c>
      <c r="AP751" s="12">
        <f t="shared" si="513"/>
        <v>0</v>
      </c>
      <c r="AQ751" s="3" t="str">
        <f t="shared" si="514"/>
        <v>PTA807</v>
      </c>
      <c r="AR751" s="3" t="str">
        <f t="shared" si="451"/>
        <v>PTA80710</v>
      </c>
      <c r="AS751" s="6" t="str">
        <f t="shared" si="452"/>
        <v>9999</v>
      </c>
      <c r="AT751" s="6" t="str">
        <f t="shared" si="453"/>
        <v>CNY</v>
      </c>
      <c r="AU751" s="6" t="str">
        <f t="shared" si="548"/>
        <v>50010002</v>
      </c>
      <c r="AV751" s="6">
        <f t="shared" si="486"/>
        <v>1</v>
      </c>
      <c r="AW751" s="6" t="str">
        <f t="shared" si="487"/>
        <v>PTA807</v>
      </c>
      <c r="AX751" s="6">
        <f t="shared" si="455"/>
        <v>3145</v>
      </c>
    </row>
    <row r="752" spans="1:50" s="6" customFormat="1" ht="15" customHeight="1" x14ac:dyDescent="0.25">
      <c r="A752" s="167"/>
      <c r="B752" s="140" t="str">
        <f>C559</f>
        <v>2018032610000110</v>
      </c>
      <c r="C752" s="6" t="str">
        <f t="shared" si="534"/>
        <v>6001</v>
      </c>
      <c r="D752" s="6" t="str">
        <f t="shared" si="535"/>
        <v>B00102</v>
      </c>
      <c r="E752" s="6" t="str">
        <f t="shared" si="536"/>
        <v>6001</v>
      </c>
      <c r="F752" s="6">
        <f t="shared" si="549"/>
        <v>20180326</v>
      </c>
      <c r="G752" s="6">
        <f t="shared" si="549"/>
        <v>20180326</v>
      </c>
      <c r="H752" s="6" t="str">
        <f t="shared" si="439"/>
        <v>CZCE</v>
      </c>
      <c r="I752" s="6" t="str">
        <f t="shared" si="508"/>
        <v>PTA807P6200</v>
      </c>
      <c r="J752" s="6">
        <f t="shared" si="479"/>
        <v>1</v>
      </c>
      <c r="K752" s="6">
        <f t="shared" si="440"/>
        <v>3</v>
      </c>
      <c r="L752" s="6">
        <f t="shared" si="509"/>
        <v>1</v>
      </c>
      <c r="M752" s="6">
        <f t="shared" si="480"/>
        <v>2</v>
      </c>
      <c r="N752" s="6">
        <f t="shared" si="481"/>
        <v>1</v>
      </c>
      <c r="O752" s="6">
        <f t="shared" si="442"/>
        <v>6050</v>
      </c>
      <c r="P752" s="12">
        <f t="shared" si="537"/>
        <v>9075</v>
      </c>
      <c r="Q752" s="12">
        <f t="shared" si="538"/>
        <v>6.0000000000000005E-2</v>
      </c>
      <c r="R752" s="12">
        <f t="shared" si="539"/>
        <v>6</v>
      </c>
      <c r="S752" s="12">
        <f t="shared" si="540"/>
        <v>0.04</v>
      </c>
      <c r="T752" s="12">
        <f t="shared" si="541"/>
        <v>4</v>
      </c>
      <c r="U752" s="12">
        <f t="shared" si="510"/>
        <v>5</v>
      </c>
      <c r="V752" s="12">
        <f t="shared" si="482"/>
        <v>6200</v>
      </c>
      <c r="W752" s="12">
        <f t="shared" si="483"/>
        <v>605</v>
      </c>
      <c r="X752" s="250">
        <f t="shared" si="484"/>
        <v>6165</v>
      </c>
      <c r="Y752" s="12">
        <f t="shared" si="444"/>
        <v>630</v>
      </c>
      <c r="Z752" s="250">
        <f t="shared" si="485"/>
        <v>605</v>
      </c>
      <c r="AA752" s="12">
        <f t="shared" si="550"/>
        <v>0.5</v>
      </c>
      <c r="AB752" s="12">
        <f t="shared" si="550"/>
        <v>0.5</v>
      </c>
      <c r="AC752" s="12">
        <f t="shared" si="542"/>
        <v>0</v>
      </c>
      <c r="AD752" s="12">
        <f t="shared" si="511"/>
        <v>1</v>
      </c>
      <c r="AE752" s="12">
        <f t="shared" si="447"/>
        <v>9761</v>
      </c>
      <c r="AF752" s="12">
        <f t="shared" si="448"/>
        <v>8524</v>
      </c>
      <c r="AG752" s="12">
        <f t="shared" si="449"/>
        <v>4880.5</v>
      </c>
      <c r="AH752" s="12">
        <f t="shared" si="450"/>
        <v>4262</v>
      </c>
      <c r="AI752" s="12">
        <f t="shared" si="543"/>
        <v>3025</v>
      </c>
      <c r="AJ752" s="12">
        <v>1</v>
      </c>
      <c r="AK752" s="12">
        <f t="shared" si="512"/>
        <v>1</v>
      </c>
      <c r="AL752" s="12">
        <f t="shared" si="544"/>
        <v>0</v>
      </c>
      <c r="AM752" s="12">
        <f t="shared" si="545"/>
        <v>0</v>
      </c>
      <c r="AN752" s="12">
        <f t="shared" si="546"/>
        <v>0</v>
      </c>
      <c r="AO752" s="12">
        <f t="shared" si="547"/>
        <v>0</v>
      </c>
      <c r="AP752" s="12">
        <f t="shared" si="513"/>
        <v>0</v>
      </c>
      <c r="AQ752" s="3" t="str">
        <f t="shared" si="514"/>
        <v>PTA807</v>
      </c>
      <c r="AR752" s="3" t="str">
        <f t="shared" si="451"/>
        <v>PTA80710</v>
      </c>
      <c r="AS752" s="6" t="str">
        <f t="shared" si="452"/>
        <v>9999</v>
      </c>
      <c r="AT752" s="6" t="str">
        <f t="shared" si="453"/>
        <v>CNY</v>
      </c>
      <c r="AU752" s="6" t="str">
        <f t="shared" si="548"/>
        <v>50010002</v>
      </c>
      <c r="AV752" s="6">
        <f t="shared" si="486"/>
        <v>1</v>
      </c>
      <c r="AW752" s="6" t="str">
        <f t="shared" si="487"/>
        <v>PTA807</v>
      </c>
      <c r="AX752" s="6">
        <f t="shared" si="455"/>
        <v>9450</v>
      </c>
    </row>
    <row r="753" spans="1:50" s="6" customFormat="1" ht="15" customHeight="1" x14ac:dyDescent="0.25">
      <c r="A753" s="167"/>
      <c r="B753" s="140" t="str">
        <f>C560</f>
        <v>2018032610000111</v>
      </c>
      <c r="C753" s="6" t="str">
        <f t="shared" si="534"/>
        <v>6001</v>
      </c>
      <c r="D753" s="6" t="str">
        <f t="shared" si="535"/>
        <v>B00102</v>
      </c>
      <c r="E753" s="6" t="str">
        <f t="shared" si="536"/>
        <v>6001</v>
      </c>
      <c r="F753" s="6">
        <f t="shared" si="549"/>
        <v>20180326</v>
      </c>
      <c r="G753" s="6">
        <f t="shared" si="549"/>
        <v>20180326</v>
      </c>
      <c r="H753" s="6" t="str">
        <f t="shared" si="439"/>
        <v>CZCE</v>
      </c>
      <c r="I753" s="6" t="str">
        <f t="shared" si="508"/>
        <v>PTA807P6500</v>
      </c>
      <c r="J753" s="6">
        <f t="shared" si="479"/>
        <v>0</v>
      </c>
      <c r="K753" s="6">
        <f t="shared" si="440"/>
        <v>2</v>
      </c>
      <c r="L753" s="6">
        <f t="shared" si="509"/>
        <v>1</v>
      </c>
      <c r="M753" s="6">
        <f t="shared" si="480"/>
        <v>0</v>
      </c>
      <c r="N753" s="6">
        <f t="shared" si="481"/>
        <v>1</v>
      </c>
      <c r="O753" s="6">
        <f t="shared" si="442"/>
        <v>0</v>
      </c>
      <c r="P753" s="12">
        <f t="shared" si="537"/>
        <v>3050</v>
      </c>
      <c r="Q753" s="12">
        <f t="shared" si="538"/>
        <v>6.0000000000000005E-2</v>
      </c>
      <c r="R753" s="12">
        <f t="shared" si="539"/>
        <v>6</v>
      </c>
      <c r="S753" s="12">
        <f t="shared" si="540"/>
        <v>0.04</v>
      </c>
      <c r="T753" s="12">
        <f t="shared" si="541"/>
        <v>4</v>
      </c>
      <c r="U753" s="12">
        <f t="shared" si="510"/>
        <v>5</v>
      </c>
      <c r="V753" s="12">
        <f t="shared" si="482"/>
        <v>6500</v>
      </c>
      <c r="W753" s="12">
        <f t="shared" si="483"/>
        <v>610</v>
      </c>
      <c r="X753" s="250">
        <f t="shared" si="484"/>
        <v>6165</v>
      </c>
      <c r="Y753" s="12">
        <f t="shared" si="444"/>
        <v>631</v>
      </c>
      <c r="Z753" s="250">
        <f t="shared" si="485"/>
        <v>610</v>
      </c>
      <c r="AA753" s="12">
        <f t="shared" si="550"/>
        <v>0.5</v>
      </c>
      <c r="AB753" s="12">
        <f t="shared" si="550"/>
        <v>0.5</v>
      </c>
      <c r="AC753" s="12">
        <f t="shared" si="542"/>
        <v>0</v>
      </c>
      <c r="AD753" s="12">
        <f t="shared" si="511"/>
        <v>1</v>
      </c>
      <c r="AE753" s="12">
        <f t="shared" si="447"/>
        <v>0</v>
      </c>
      <c r="AF753" s="12">
        <f t="shared" si="448"/>
        <v>0</v>
      </c>
      <c r="AG753" s="12">
        <f t="shared" si="449"/>
        <v>0</v>
      </c>
      <c r="AH753" s="12">
        <f t="shared" si="450"/>
        <v>0</v>
      </c>
      <c r="AI753" s="12">
        <f t="shared" si="543"/>
        <v>3050</v>
      </c>
      <c r="AJ753" s="12">
        <v>1</v>
      </c>
      <c r="AK753" s="12">
        <f t="shared" si="512"/>
        <v>1</v>
      </c>
      <c r="AL753" s="12">
        <f t="shared" si="544"/>
        <v>0</v>
      </c>
      <c r="AM753" s="12">
        <f t="shared" si="545"/>
        <v>0</v>
      </c>
      <c r="AN753" s="12">
        <f t="shared" si="546"/>
        <v>0</v>
      </c>
      <c r="AO753" s="12">
        <f t="shared" si="547"/>
        <v>0</v>
      </c>
      <c r="AP753" s="12">
        <f t="shared" si="513"/>
        <v>0</v>
      </c>
      <c r="AQ753" s="3" t="str">
        <f t="shared" si="514"/>
        <v>PTA807</v>
      </c>
      <c r="AR753" s="3" t="str">
        <f t="shared" si="451"/>
        <v>PTA80710</v>
      </c>
      <c r="AS753" s="6" t="str">
        <f t="shared" si="452"/>
        <v>9999</v>
      </c>
      <c r="AT753" s="6" t="str">
        <f t="shared" si="453"/>
        <v>CNY</v>
      </c>
      <c r="AU753" s="6" t="str">
        <f t="shared" si="548"/>
        <v>50010002</v>
      </c>
      <c r="AV753" s="6">
        <f t="shared" si="486"/>
        <v>1</v>
      </c>
      <c r="AW753" s="6" t="str">
        <f t="shared" si="487"/>
        <v>PTA807</v>
      </c>
      <c r="AX753" s="6">
        <f t="shared" si="455"/>
        <v>3155</v>
      </c>
    </row>
    <row r="754" spans="1:50" s="6" customFormat="1" ht="15" customHeight="1" x14ac:dyDescent="0.25">
      <c r="A754" s="167"/>
      <c r="B754" s="140" t="str">
        <f>C561</f>
        <v>2018032610000112</v>
      </c>
      <c r="C754" s="6" t="str">
        <f t="shared" si="534"/>
        <v>6001</v>
      </c>
      <c r="D754" s="6" t="str">
        <f t="shared" si="535"/>
        <v>B00102</v>
      </c>
      <c r="E754" s="6" t="str">
        <f t="shared" si="536"/>
        <v>6001</v>
      </c>
      <c r="F754" s="6">
        <f t="shared" si="549"/>
        <v>20180326</v>
      </c>
      <c r="G754" s="6">
        <f t="shared" si="549"/>
        <v>20180326</v>
      </c>
      <c r="H754" s="6" t="str">
        <f t="shared" si="439"/>
        <v>CZCE</v>
      </c>
      <c r="I754" s="6" t="str">
        <f t="shared" si="508"/>
        <v>PTA807P6500</v>
      </c>
      <c r="J754" s="6">
        <f t="shared" si="479"/>
        <v>1</v>
      </c>
      <c r="K754" s="6">
        <f t="shared" si="440"/>
        <v>3</v>
      </c>
      <c r="L754" s="6">
        <f t="shared" si="509"/>
        <v>1</v>
      </c>
      <c r="M754" s="6">
        <f t="shared" si="480"/>
        <v>0</v>
      </c>
      <c r="N754" s="6">
        <f t="shared" si="481"/>
        <v>1</v>
      </c>
      <c r="O754" s="6">
        <f t="shared" si="442"/>
        <v>0</v>
      </c>
      <c r="P754" s="12">
        <f t="shared" si="537"/>
        <v>3050</v>
      </c>
      <c r="Q754" s="12">
        <f t="shared" si="538"/>
        <v>6.0000000000000005E-2</v>
      </c>
      <c r="R754" s="12">
        <f t="shared" si="539"/>
        <v>6</v>
      </c>
      <c r="S754" s="12">
        <f t="shared" si="540"/>
        <v>0.04</v>
      </c>
      <c r="T754" s="12">
        <f t="shared" si="541"/>
        <v>4</v>
      </c>
      <c r="U754" s="12">
        <f t="shared" si="510"/>
        <v>5</v>
      </c>
      <c r="V754" s="12">
        <f t="shared" si="482"/>
        <v>6500</v>
      </c>
      <c r="W754" s="12">
        <f t="shared" si="483"/>
        <v>610</v>
      </c>
      <c r="X754" s="250">
        <f t="shared" si="484"/>
        <v>6165</v>
      </c>
      <c r="Y754" s="12">
        <f t="shared" si="444"/>
        <v>632</v>
      </c>
      <c r="Z754" s="250">
        <f t="shared" si="485"/>
        <v>610</v>
      </c>
      <c r="AA754" s="12">
        <f t="shared" si="550"/>
        <v>0.5</v>
      </c>
      <c r="AB754" s="12">
        <f t="shared" si="550"/>
        <v>0.5</v>
      </c>
      <c r="AC754" s="12">
        <f t="shared" si="542"/>
        <v>0</v>
      </c>
      <c r="AD754" s="12">
        <f t="shared" si="511"/>
        <v>1</v>
      </c>
      <c r="AE754" s="12">
        <f t="shared" si="447"/>
        <v>0</v>
      </c>
      <c r="AF754" s="12">
        <f t="shared" si="448"/>
        <v>0</v>
      </c>
      <c r="AG754" s="12">
        <f t="shared" si="449"/>
        <v>4905.5</v>
      </c>
      <c r="AH754" s="12">
        <f t="shared" si="450"/>
        <v>4287</v>
      </c>
      <c r="AI754" s="12">
        <f t="shared" si="543"/>
        <v>3050</v>
      </c>
      <c r="AJ754" s="12">
        <v>1</v>
      </c>
      <c r="AK754" s="12">
        <f t="shared" si="512"/>
        <v>1</v>
      </c>
      <c r="AL754" s="12">
        <f t="shared" si="544"/>
        <v>0</v>
      </c>
      <c r="AM754" s="12">
        <f t="shared" si="545"/>
        <v>0</v>
      </c>
      <c r="AN754" s="12">
        <f t="shared" si="546"/>
        <v>0</v>
      </c>
      <c r="AO754" s="12">
        <f t="shared" si="547"/>
        <v>0</v>
      </c>
      <c r="AP754" s="12">
        <f t="shared" si="513"/>
        <v>0</v>
      </c>
      <c r="AQ754" s="3" t="str">
        <f t="shared" si="514"/>
        <v>PTA807</v>
      </c>
      <c r="AR754" s="3" t="str">
        <f t="shared" si="451"/>
        <v>PTA80710</v>
      </c>
      <c r="AS754" s="6" t="str">
        <f t="shared" si="452"/>
        <v>9999</v>
      </c>
      <c r="AT754" s="6" t="str">
        <f t="shared" si="453"/>
        <v>CNY</v>
      </c>
      <c r="AU754" s="6" t="str">
        <f t="shared" si="548"/>
        <v>50010002</v>
      </c>
      <c r="AV754" s="6">
        <f t="shared" si="486"/>
        <v>1</v>
      </c>
      <c r="AW754" s="6" t="str">
        <f t="shared" si="487"/>
        <v>PTA807</v>
      </c>
      <c r="AX754" s="6">
        <f t="shared" si="455"/>
        <v>3160</v>
      </c>
    </row>
    <row r="755" spans="1:50" s="6" customFormat="1" x14ac:dyDescent="0.25">
      <c r="A755" s="167"/>
      <c r="AE755" s="229"/>
      <c r="AF755" s="207"/>
    </row>
    <row r="756" spans="1:50" s="6" customFormat="1" x14ac:dyDescent="0.25">
      <c r="A756" s="167" t="s">
        <v>359</v>
      </c>
      <c r="B756" s="6" t="s">
        <v>1052</v>
      </c>
      <c r="AC756" s="19"/>
      <c r="AF756" s="207"/>
    </row>
    <row r="757" spans="1:50" x14ac:dyDescent="0.25">
      <c r="A757" s="126" t="s">
        <v>359</v>
      </c>
      <c r="B757" s="582" t="s">
        <v>286</v>
      </c>
      <c r="C757" s="7" t="s">
        <v>287</v>
      </c>
      <c r="D757" s="7" t="s">
        <v>288</v>
      </c>
      <c r="E757" s="7" t="s">
        <v>5</v>
      </c>
      <c r="F757" s="7" t="s">
        <v>589</v>
      </c>
      <c r="G757" s="7" t="s">
        <v>7</v>
      </c>
      <c r="H757" s="7" t="s">
        <v>587</v>
      </c>
      <c r="I757" s="7" t="s">
        <v>584</v>
      </c>
      <c r="J757" s="7" t="s">
        <v>20</v>
      </c>
      <c r="K757" s="7"/>
      <c r="L757" s="7" t="s">
        <v>58</v>
      </c>
      <c r="M757" s="7"/>
      <c r="N757" s="7" t="s">
        <v>13</v>
      </c>
      <c r="O757" s="7" t="s">
        <v>592</v>
      </c>
      <c r="P757" s="7" t="s">
        <v>73</v>
      </c>
      <c r="Q757" s="7" t="s">
        <v>72</v>
      </c>
      <c r="R757" s="7" t="s">
        <v>64</v>
      </c>
      <c r="S757" s="7" t="s">
        <v>65</v>
      </c>
      <c r="T757" s="7" t="s">
        <v>66</v>
      </c>
      <c r="U757" s="7" t="s">
        <v>67</v>
      </c>
      <c r="V757" s="7" t="s">
        <v>75</v>
      </c>
      <c r="W757" s="7" t="s">
        <v>74</v>
      </c>
      <c r="X757" s="7" t="s">
        <v>76</v>
      </c>
      <c r="Y757" s="123" t="s">
        <v>552</v>
      </c>
      <c r="AC757" s="19"/>
      <c r="AD757" s="6"/>
      <c r="AE757" s="229"/>
      <c r="AF757" s="6"/>
      <c r="AG757" s="6"/>
      <c r="AH757" s="6"/>
      <c r="AI757" s="6"/>
      <c r="AJ757" s="6"/>
      <c r="AK757" s="6"/>
      <c r="AL757" s="6"/>
      <c r="AM757" s="6"/>
      <c r="AN757" s="6"/>
      <c r="AO757" s="6"/>
      <c r="AP757" s="6"/>
      <c r="AQ757" s="6"/>
      <c r="AR757" s="6"/>
      <c r="AS757" s="6"/>
      <c r="AT757" s="6"/>
    </row>
    <row r="758" spans="1:50" x14ac:dyDescent="0.25">
      <c r="A758" s="126" t="s">
        <v>573</v>
      </c>
      <c r="B758" s="578" t="str">
        <f>$B$8</f>
        <v>6001</v>
      </c>
      <c r="C758" s="12" t="str">
        <f>$C$8</f>
        <v>B00101</v>
      </c>
      <c r="D758" s="12" t="str">
        <f>$D$8</f>
        <v>6001</v>
      </c>
      <c r="E758" s="12" t="str">
        <f>$B$22</f>
        <v>CZCE</v>
      </c>
      <c r="F758" s="12" t="str">
        <f xml:space="preserve"> $C$22</f>
        <v>SR807</v>
      </c>
      <c r="G758" s="12">
        <f xml:space="preserve"> VLOOKUP(F758,$C$22:$L$34,3,FALSE)</f>
        <v>10</v>
      </c>
      <c r="H758" s="12">
        <v>1</v>
      </c>
      <c r="I758" s="12">
        <v>1</v>
      </c>
      <c r="J758" s="24">
        <f>VLOOKUP(Y758,$F$56:$L$75,4,FALSE)</f>
        <v>5.0999999999999997E-2</v>
      </c>
      <c r="K758" s="24">
        <f>VLOOKUP(Y758,$F$56:$L$75,5,FALSE)</f>
        <v>5.0999999999999996</v>
      </c>
      <c r="L758" s="24">
        <f>VLOOKUP(Y758,$F$56:$L$75,2,FALSE)</f>
        <v>4.1000000000000002E-2</v>
      </c>
      <c r="M758" s="24">
        <f>VLOOKUP(Y758,$F$56:$L$75,3,FALSE)</f>
        <v>4.0999999999999996</v>
      </c>
      <c r="N758" s="24">
        <f xml:space="preserve"> VLOOKUP(F758,$C$237:$F$249,3,FALSE)</f>
        <v>6150</v>
      </c>
      <c r="O758" s="27">
        <v>2</v>
      </c>
      <c r="P758" s="27">
        <f>J758*N758*O758*G758+K758*O758</f>
        <v>6283.2</v>
      </c>
      <c r="Q758" s="27">
        <f>L758*N758*O758*G758+O758*M758</f>
        <v>5051.2</v>
      </c>
      <c r="R758" s="27">
        <f>SUMPRODUCT(($D$704:$D$745=C758)*($E$704:$E$745=D758)*(($L$704:$L$745=I758)*($J$704:$J$745=0)*($I$704:$I$745=F758)*($AE$704:$AE$745)))</f>
        <v>9240</v>
      </c>
      <c r="S758" s="27">
        <f>SUMPRODUCT(($D$704:$D$745=C758)*($E$704:$E$745=D758)*(($L$704:$L$745=I758)*($J$704:$J$745=1)*($I$704:$I$745=F758)*($AE$704:$AE$745)))</f>
        <v>18849.599999999999</v>
      </c>
      <c r="T758" s="27">
        <f>SUMPRODUCT(($D$704:$D$745=C758)*($E$704:$E$745=D758)*(($L$704:$L$745=I758)*($J$704:$J$745=0)*($I$704:$I$745=F758)*($AF$704:$AF$745)))</f>
        <v>7392</v>
      </c>
      <c r="U758" s="27">
        <f>SUMPRODUCT(($D$704:$D$745=C758)*($E$704:$E$745=D758)*(($L$704:$L$745=I758)*($J$704:$J$745=1)*($I$704:$I$745=F758)*($AF$704:$AF$745)))</f>
        <v>15153.6</v>
      </c>
      <c r="V758" s="28">
        <f>IF((S758+S759)&lt;=(R758+R759),0,MIN(MAX(0,S758-R758),P758))</f>
        <v>6283.2</v>
      </c>
      <c r="W758" s="28">
        <f>IF((U758+U759)&lt;=(T758+T759),0,MIN(U758-T758,Q758))</f>
        <v>5051.2</v>
      </c>
      <c r="X758" s="27">
        <f>IF(S758&lt;=R758,0,MIN(S758-R758,P758))</f>
        <v>6283.2</v>
      </c>
      <c r="Y758" s="142" t="str">
        <f>F758&amp;I758&amp;H758</f>
        <v>SR80711</v>
      </c>
      <c r="AC758" s="19"/>
      <c r="AD758" s="6"/>
      <c r="AE758" s="6"/>
      <c r="AF758" s="6"/>
      <c r="AG758" s="6"/>
      <c r="AH758" s="6"/>
      <c r="AI758" s="6"/>
      <c r="AJ758" s="6"/>
      <c r="AK758" s="6"/>
      <c r="AL758" s="6"/>
      <c r="AM758" s="6"/>
      <c r="AN758" s="6"/>
      <c r="AO758" s="6"/>
      <c r="AP758" s="6"/>
      <c r="AQ758" s="6"/>
      <c r="AR758" s="6"/>
      <c r="AS758" s="6"/>
      <c r="AT758" s="6"/>
    </row>
    <row r="759" spans="1:50" x14ac:dyDescent="0.25">
      <c r="A759" s="126" t="s">
        <v>978</v>
      </c>
      <c r="B759" s="603" t="str">
        <f>B758</f>
        <v>6001</v>
      </c>
      <c r="C759" s="12" t="str">
        <f>$C$8</f>
        <v>B00101</v>
      </c>
      <c r="D759" s="12" t="str">
        <f>$D$8</f>
        <v>6001</v>
      </c>
      <c r="E759" s="12" t="str">
        <f>$B$22</f>
        <v>CZCE</v>
      </c>
      <c r="F759" s="24" t="str">
        <f>F758</f>
        <v>SR807</v>
      </c>
      <c r="G759" s="12">
        <f xml:space="preserve"> VLOOKUP(F759,$C$22:$L$34,3,FALSE)</f>
        <v>10</v>
      </c>
      <c r="H759" s="24">
        <v>1</v>
      </c>
      <c r="I759" s="24">
        <v>3</v>
      </c>
      <c r="J759" s="24">
        <f>VLOOKUP(Y759,$F$56:$L$75,4,FALSE)</f>
        <v>5.2999999999999999E-2</v>
      </c>
      <c r="K759" s="24">
        <f>VLOOKUP(Y759,$F$56:$L$75,5,FALSE)</f>
        <v>5.3</v>
      </c>
      <c r="L759" s="24">
        <f>VLOOKUP(Y759,$F$56:$L$75,2,FALSE)</f>
        <v>4.2999999999999997E-2</v>
      </c>
      <c r="M759" s="24">
        <f>VLOOKUP(Y759,$F$56:$L$75,3,FALSE)</f>
        <v>4.3</v>
      </c>
      <c r="N759" s="24">
        <f xml:space="preserve"> VLOOKUP(F759,$C$237:$F$249,3,FALSE)</f>
        <v>6150</v>
      </c>
      <c r="O759" s="24">
        <v>3</v>
      </c>
      <c r="P759" s="27">
        <f>J759*N759*O759*G759+K759*O759</f>
        <v>9794.4</v>
      </c>
      <c r="Q759" s="27">
        <f>L759*N759*O759*G759+O759*M759</f>
        <v>7946.3999999999987</v>
      </c>
      <c r="R759" s="27">
        <f>SUMPRODUCT(($D$704:$D$745=C759)*($E$704:$E$745=D759)*(($L$704:$L$745=I759)*($J$704:$J$745=0)*($I$704:$I$745=F759)*($AE$704:$AE$745)))</f>
        <v>28828.799999999999</v>
      </c>
      <c r="S759" s="27">
        <f>SUMPRODUCT(($D$704:$D$745=C759)*($E$704:$E$745=D759)*(($L$704:$L$745=I759)*($J$704:$J$745=1)*($I$704:$I$745=F759)*($AE$704:$AE$745)))</f>
        <v>35912.800000000003</v>
      </c>
      <c r="T759" s="27">
        <f>SUMPRODUCT(($D$704:$D$745=C759)*($E$704:$E$745=D759)*(($L$704:$L$745=I759)*($J$704:$J$745=0)*($I$704:$I$745=F759)*($AF$704:$AF$745)))</f>
        <v>23284.799999999999</v>
      </c>
      <c r="U759" s="27">
        <f>SUMPRODUCT(($D$704:$D$745=C759)*($E$704:$E$745=D759)*(($L$704:$L$745=I759)*($J$704:$J$745=1)*($I$704:$I$745=F759)*($AF$704:$AF$745)))</f>
        <v>29136.800000000003</v>
      </c>
      <c r="V759" s="28">
        <f>IF((S758+S759)&lt;=(R758+R759),0,MIN(MAX(0,S759-R759),P759))</f>
        <v>7084.0000000000036</v>
      </c>
      <c r="W759" s="28">
        <f>IF((U759+U758)&lt;=(T759+T758),0,MIN(U759-T759,Q759))</f>
        <v>5852.0000000000036</v>
      </c>
      <c r="X759" s="27">
        <f>IF(S759&lt;=R759,0,MIN(S759-R759,P759))</f>
        <v>7084.0000000000036</v>
      </c>
      <c r="Y759" s="142" t="str">
        <f>F759&amp;I759&amp;H759</f>
        <v>SR80731</v>
      </c>
      <c r="Z759" s="2"/>
      <c r="AA759" s="2"/>
      <c r="AB759" s="2"/>
      <c r="AC759" s="18"/>
      <c r="AD759" s="6"/>
      <c r="AE759" s="6"/>
      <c r="AF759" s="6"/>
      <c r="AG759" s="6"/>
      <c r="AH759" s="6"/>
      <c r="AI759" s="6"/>
      <c r="AJ759" s="6"/>
      <c r="AK759" s="6"/>
      <c r="AL759" s="6"/>
      <c r="AM759" s="6"/>
      <c r="AN759" s="6"/>
      <c r="AO759" s="6"/>
      <c r="AP759" s="7"/>
      <c r="AQ759" s="7"/>
      <c r="AR759" s="7"/>
      <c r="AS759" s="7"/>
      <c r="AT759" s="7"/>
      <c r="AU759" s="2"/>
      <c r="AV759" s="2"/>
    </row>
    <row r="760" spans="1:50" x14ac:dyDescent="0.25">
      <c r="A760" s="126" t="s">
        <v>237</v>
      </c>
      <c r="B760" s="122"/>
      <c r="C760" s="3"/>
      <c r="D760" s="3"/>
      <c r="E760" s="3"/>
      <c r="F760" s="39"/>
      <c r="G760" s="3"/>
      <c r="H760" s="39"/>
      <c r="I760" s="39"/>
      <c r="J760" s="39"/>
      <c r="K760" s="39"/>
      <c r="L760" s="39"/>
      <c r="M760" s="39"/>
      <c r="N760" s="39"/>
      <c r="O760" s="39"/>
      <c r="P760" s="40"/>
      <c r="Q760" s="40"/>
      <c r="R760" s="40"/>
      <c r="S760" s="40"/>
      <c r="T760" s="40"/>
      <c r="U760" s="40"/>
      <c r="V760" s="143"/>
      <c r="W760" s="143"/>
      <c r="X760" s="40"/>
      <c r="Y760" s="142"/>
      <c r="Z760" s="2"/>
      <c r="AA760" s="2"/>
      <c r="AB760" s="2"/>
      <c r="AC760" s="23"/>
      <c r="AD760" s="23"/>
      <c r="AE760" s="23"/>
      <c r="AF760" s="23"/>
      <c r="AG760" s="23"/>
      <c r="AH760" s="23"/>
      <c r="AI760" s="23"/>
      <c r="AJ760" s="23"/>
      <c r="AK760" s="23"/>
      <c r="AL760" s="23"/>
      <c r="AM760" s="23"/>
      <c r="AN760" s="23"/>
      <c r="AO760" s="23"/>
      <c r="AP760" s="23"/>
      <c r="AQ760" s="23"/>
      <c r="AR760" s="23"/>
      <c r="AS760" s="23"/>
      <c r="AT760" s="23"/>
      <c r="AU760" s="2"/>
      <c r="AV760" s="2"/>
    </row>
    <row r="761" spans="1:50" x14ac:dyDescent="0.25">
      <c r="A761" s="57" t="s">
        <v>124</v>
      </c>
      <c r="B761" s="9" t="s">
        <v>980</v>
      </c>
      <c r="C761" s="3"/>
      <c r="D761" s="3"/>
      <c r="E761" s="3"/>
      <c r="F761" s="39"/>
      <c r="G761" s="3"/>
      <c r="H761" s="39"/>
      <c r="I761" s="39"/>
      <c r="J761" s="39"/>
      <c r="K761" s="39"/>
      <c r="L761" s="39"/>
      <c r="M761" s="39"/>
      <c r="N761" s="39"/>
      <c r="O761" s="39"/>
      <c r="P761" s="40"/>
      <c r="Q761" s="40"/>
      <c r="R761" s="40"/>
      <c r="S761" s="40"/>
      <c r="T761" s="40"/>
      <c r="U761" s="40"/>
      <c r="V761" s="143"/>
      <c r="W761" s="143"/>
      <c r="X761" s="40"/>
      <c r="Y761" s="142"/>
      <c r="Z761" s="2"/>
      <c r="AA761" s="2"/>
      <c r="AB761" s="2"/>
      <c r="AC761" s="23"/>
      <c r="AD761" s="23"/>
      <c r="AE761" s="23"/>
      <c r="AF761" s="23"/>
      <c r="AG761" s="23"/>
      <c r="AH761" s="23"/>
      <c r="AI761" s="23"/>
      <c r="AJ761" s="23"/>
      <c r="AK761" s="23"/>
      <c r="AL761" s="23"/>
      <c r="AM761" s="23"/>
      <c r="AN761" s="23"/>
      <c r="AO761" s="23"/>
      <c r="AP761" s="23"/>
      <c r="AQ761" s="23"/>
      <c r="AR761" s="23"/>
      <c r="AS761" s="23"/>
      <c r="AT761" s="23"/>
      <c r="AU761" s="2"/>
      <c r="AV761" s="2"/>
    </row>
    <row r="762" spans="1:50" x14ac:dyDescent="0.25">
      <c r="A762" s="57" t="s">
        <v>973</v>
      </c>
      <c r="B762" s="684" t="s">
        <v>572</v>
      </c>
      <c r="C762" s="721"/>
      <c r="D762" s="721"/>
      <c r="E762" s="721"/>
      <c r="F762" s="721"/>
      <c r="G762" s="721"/>
      <c r="H762" s="721"/>
      <c r="I762" s="721"/>
      <c r="J762" s="721"/>
      <c r="K762" s="721"/>
      <c r="L762" s="721"/>
      <c r="M762" s="39"/>
      <c r="N762" s="39"/>
      <c r="O762" s="39"/>
      <c r="P762" s="40"/>
      <c r="Q762" s="40"/>
      <c r="R762" s="40"/>
      <c r="S762" s="40"/>
      <c r="T762" s="40"/>
      <c r="U762" s="40"/>
      <c r="V762" s="143"/>
      <c r="W762" s="143"/>
      <c r="X762" s="40"/>
      <c r="Y762" s="142"/>
      <c r="Z762" s="2"/>
      <c r="AA762" s="2"/>
      <c r="AB762" s="2"/>
      <c r="AC762" s="23"/>
      <c r="AD762" s="23"/>
      <c r="AE762" s="23"/>
      <c r="AF762" s="23"/>
      <c r="AG762" s="23"/>
      <c r="AH762" s="23"/>
      <c r="AI762" s="23"/>
      <c r="AJ762" s="23"/>
      <c r="AK762" s="23"/>
      <c r="AL762" s="23"/>
      <c r="AM762" s="23"/>
      <c r="AN762" s="23"/>
      <c r="AO762" s="23"/>
      <c r="AP762" s="23"/>
      <c r="AQ762" s="23"/>
      <c r="AR762" s="23"/>
      <c r="AS762" s="23"/>
      <c r="AT762" s="23"/>
      <c r="AU762" s="2"/>
      <c r="AV762" s="2"/>
    </row>
    <row r="763" spans="1:50" x14ac:dyDescent="0.25">
      <c r="A763" s="126" t="s">
        <v>1367</v>
      </c>
      <c r="B763" s="586" t="s">
        <v>595</v>
      </c>
      <c r="C763" s="7" t="s">
        <v>596</v>
      </c>
      <c r="D763" s="7" t="s">
        <v>583</v>
      </c>
      <c r="E763" s="7" t="s">
        <v>286</v>
      </c>
      <c r="F763" s="7" t="s">
        <v>287</v>
      </c>
      <c r="G763" s="7" t="s">
        <v>120</v>
      </c>
      <c r="H763" s="144" t="s">
        <v>591</v>
      </c>
      <c r="I763" s="144" t="s">
        <v>590</v>
      </c>
      <c r="J763" s="144" t="s">
        <v>588</v>
      </c>
      <c r="K763" s="144" t="s">
        <v>585</v>
      </c>
      <c r="L763" s="144" t="s">
        <v>593</v>
      </c>
      <c r="M763" s="39"/>
      <c r="N763" s="39"/>
      <c r="O763" s="39"/>
      <c r="P763" s="40"/>
      <c r="Q763" s="40"/>
      <c r="R763" s="40"/>
      <c r="S763" s="40"/>
      <c r="T763" s="40"/>
      <c r="U763" s="40"/>
      <c r="V763" s="143"/>
      <c r="W763" s="143"/>
      <c r="X763" s="40"/>
      <c r="Y763" s="142"/>
      <c r="Z763" s="2"/>
      <c r="AA763" s="2"/>
      <c r="AB763" s="2"/>
      <c r="AC763" s="23"/>
      <c r="AD763" s="23"/>
      <c r="AE763" s="23"/>
      <c r="AF763" s="23"/>
      <c r="AG763" s="23"/>
      <c r="AH763" s="23"/>
      <c r="AI763" s="23"/>
      <c r="AJ763" s="23"/>
      <c r="AK763" s="23"/>
      <c r="AL763" s="23"/>
      <c r="AM763" s="23"/>
      <c r="AN763" s="23"/>
      <c r="AO763" s="23"/>
      <c r="AP763" s="23"/>
      <c r="AQ763" s="23"/>
      <c r="AR763" s="23"/>
      <c r="AS763" s="23"/>
      <c r="AT763" s="23"/>
      <c r="AU763" s="2"/>
      <c r="AV763" s="2"/>
    </row>
    <row r="764" spans="1:50" ht="24" x14ac:dyDescent="0.25">
      <c r="B764" s="586" t="s">
        <v>574</v>
      </c>
      <c r="C764" s="7" t="s">
        <v>575</v>
      </c>
      <c r="D764" s="7" t="s">
        <v>576</v>
      </c>
      <c r="E764" s="7" t="s">
        <v>577</v>
      </c>
      <c r="F764" s="144" t="s">
        <v>578</v>
      </c>
      <c r="G764" s="7" t="s">
        <v>579</v>
      </c>
      <c r="H764" s="37" t="s">
        <v>1010</v>
      </c>
      <c r="I764" s="144" t="s">
        <v>580</v>
      </c>
      <c r="J764" s="144" t="s">
        <v>581</v>
      </c>
      <c r="K764" s="144" t="s">
        <v>582</v>
      </c>
      <c r="L764" s="144" t="s">
        <v>586</v>
      </c>
      <c r="M764" s="39"/>
      <c r="N764" s="39"/>
      <c r="O764" s="39"/>
      <c r="P764" s="40"/>
      <c r="Q764" s="40"/>
      <c r="R764" s="40"/>
      <c r="S764" s="40"/>
      <c r="T764" s="40"/>
      <c r="U764" s="40"/>
      <c r="V764" s="143"/>
      <c r="W764" s="143"/>
      <c r="X764" s="40"/>
      <c r="Y764" s="142"/>
      <c r="Z764" s="2"/>
      <c r="AA764" s="2"/>
      <c r="AB764" s="2"/>
      <c r="AC764" s="23"/>
      <c r="AD764" s="23"/>
      <c r="AE764" s="23"/>
      <c r="AF764" s="23"/>
      <c r="AG764" s="23"/>
      <c r="AH764" s="23"/>
      <c r="AI764" s="23"/>
      <c r="AJ764" s="23"/>
      <c r="AK764" s="23"/>
      <c r="AL764" s="23"/>
      <c r="AM764" s="23"/>
      <c r="AN764" s="23"/>
      <c r="AO764" s="23"/>
      <c r="AP764" s="23"/>
      <c r="AQ764" s="23"/>
      <c r="AR764" s="23"/>
      <c r="AS764" s="23"/>
      <c r="AT764" s="23"/>
      <c r="AU764" s="2"/>
      <c r="AV764" s="2"/>
    </row>
    <row r="765" spans="1:50" x14ac:dyDescent="0.25">
      <c r="B765" s="587">
        <f>$B$2</f>
        <v>20180326</v>
      </c>
      <c r="C765" s="12" t="str">
        <f>$F$8</f>
        <v>9999</v>
      </c>
      <c r="D765" s="12" t="str">
        <f>$B$22</f>
        <v>CZCE</v>
      </c>
      <c r="E765" s="12" t="str">
        <f>B758</f>
        <v>6001</v>
      </c>
      <c r="F765" s="12" t="str">
        <f t="shared" ref="F765:G765" si="551">C758</f>
        <v>B00101</v>
      </c>
      <c r="G765" s="12" t="str">
        <f t="shared" si="551"/>
        <v>6001</v>
      </c>
      <c r="H765" s="12" t="s">
        <v>594</v>
      </c>
      <c r="I765" s="125" t="str">
        <f>F758</f>
        <v>SR807</v>
      </c>
      <c r="J765" s="125">
        <f>IF(H758=0,2,3)</f>
        <v>3</v>
      </c>
      <c r="K765" s="125">
        <f>I758</f>
        <v>1</v>
      </c>
      <c r="L765" s="125">
        <f>O758</f>
        <v>2</v>
      </c>
      <c r="M765" s="39"/>
      <c r="N765" s="39"/>
      <c r="O765" s="39"/>
      <c r="P765" s="40"/>
      <c r="Q765" s="40"/>
      <c r="R765" s="40"/>
      <c r="S765" s="40"/>
      <c r="T765" s="40"/>
      <c r="U765" s="40"/>
      <c r="V765" s="143"/>
      <c r="W765" s="143"/>
      <c r="X765" s="40"/>
      <c r="Y765" s="142"/>
      <c r="Z765" s="2"/>
      <c r="AA765" s="2"/>
      <c r="AB765" s="2"/>
      <c r="AC765" s="23"/>
      <c r="AD765" s="23"/>
      <c r="AE765" s="23"/>
      <c r="AF765" s="23"/>
      <c r="AG765" s="23"/>
      <c r="AH765" s="23"/>
      <c r="AI765" s="23"/>
      <c r="AJ765" s="23"/>
      <c r="AK765" s="23"/>
      <c r="AL765" s="23"/>
      <c r="AM765" s="23"/>
      <c r="AN765" s="23"/>
      <c r="AO765" s="23"/>
      <c r="AP765" s="23"/>
      <c r="AQ765" s="23"/>
      <c r="AR765" s="23"/>
      <c r="AS765" s="23"/>
      <c r="AT765" s="23"/>
      <c r="AU765" s="2"/>
      <c r="AV765" s="2"/>
    </row>
    <row r="766" spans="1:50" x14ac:dyDescent="0.25">
      <c r="B766" s="587">
        <f>$B$2</f>
        <v>20180326</v>
      </c>
      <c r="C766" s="12" t="str">
        <f>$F$8</f>
        <v>9999</v>
      </c>
      <c r="D766" s="12" t="str">
        <f>$B$22</f>
        <v>CZCE</v>
      </c>
      <c r="E766" s="12" t="str">
        <f>B759</f>
        <v>6001</v>
      </c>
      <c r="F766" s="12" t="str">
        <f t="shared" ref="F766" si="552">C759</f>
        <v>B00101</v>
      </c>
      <c r="G766" s="12" t="str">
        <f t="shared" ref="G766" si="553">D759</f>
        <v>6001</v>
      </c>
      <c r="H766" s="12" t="s">
        <v>594</v>
      </c>
      <c r="I766" s="125" t="str">
        <f>F759</f>
        <v>SR807</v>
      </c>
      <c r="J766" s="125">
        <f>IF(H759=0,2,3)</f>
        <v>3</v>
      </c>
      <c r="K766" s="125">
        <f>I759</f>
        <v>3</v>
      </c>
      <c r="L766" s="125">
        <f>O759</f>
        <v>3</v>
      </c>
      <c r="M766" s="39"/>
      <c r="N766" s="39"/>
      <c r="O766" s="39"/>
      <c r="P766" s="40"/>
      <c r="Q766" s="40"/>
      <c r="R766" s="40"/>
      <c r="S766" s="40"/>
      <c r="T766" s="40"/>
      <c r="U766" s="40"/>
      <c r="V766" s="143"/>
      <c r="W766" s="143"/>
      <c r="X766" s="40"/>
      <c r="Y766" s="142"/>
      <c r="Z766" s="2"/>
      <c r="AA766" s="2"/>
      <c r="AB766" s="2"/>
      <c r="AC766" s="23"/>
      <c r="AD766" s="23"/>
      <c r="AE766" s="23"/>
      <c r="AF766" s="23"/>
      <c r="AG766" s="23"/>
      <c r="AH766" s="23"/>
      <c r="AI766" s="23"/>
      <c r="AJ766" s="23"/>
      <c r="AK766" s="23"/>
      <c r="AL766" s="23"/>
      <c r="AM766" s="23"/>
      <c r="AN766" s="23"/>
      <c r="AO766" s="23"/>
      <c r="AP766" s="23"/>
      <c r="AQ766" s="23"/>
      <c r="AR766" s="23"/>
      <c r="AS766" s="23"/>
      <c r="AT766" s="23"/>
      <c r="AU766" s="2"/>
      <c r="AV766" s="2"/>
    </row>
    <row r="767" spans="1:50" x14ac:dyDescent="0.25">
      <c r="A767" s="126" t="s">
        <v>978</v>
      </c>
      <c r="B767" t="s">
        <v>1773</v>
      </c>
    </row>
    <row r="768" spans="1:50" x14ac:dyDescent="0.25">
      <c r="A768" s="57" t="s">
        <v>124</v>
      </c>
      <c r="B768" s="57" t="s">
        <v>980</v>
      </c>
      <c r="C768" s="9"/>
      <c r="L768" s="142"/>
      <c r="O768" s="142"/>
    </row>
    <row r="769" spans="1:77" x14ac:dyDescent="0.25">
      <c r="A769" s="126" t="s">
        <v>976</v>
      </c>
      <c r="B769" s="719" t="s">
        <v>1984</v>
      </c>
      <c r="C769" s="720"/>
      <c r="D769" s="720"/>
      <c r="E769" s="720"/>
      <c r="F769" s="720"/>
      <c r="G769" s="720"/>
      <c r="H769" s="720"/>
      <c r="I769" s="720"/>
      <c r="J769" s="720"/>
      <c r="K769" s="720"/>
      <c r="L769" s="720"/>
      <c r="M769" s="720"/>
      <c r="N769" s="720"/>
      <c r="O769" s="720"/>
      <c r="P769" s="720"/>
      <c r="Q769" s="720"/>
      <c r="R769" s="720"/>
      <c r="S769" s="720"/>
      <c r="T769" s="720"/>
      <c r="U769" s="720"/>
      <c r="V769" s="720"/>
      <c r="W769" s="720"/>
      <c r="X769" s="720"/>
      <c r="Y769" s="720"/>
      <c r="Z769" s="720"/>
      <c r="AA769" s="720"/>
      <c r="AB769" s="720"/>
      <c r="AC769" s="720"/>
      <c r="AD769" s="720"/>
      <c r="AE769" s="720"/>
      <c r="AF769" s="720"/>
      <c r="AG769" s="720"/>
      <c r="AH769" s="720"/>
      <c r="AI769" s="720"/>
      <c r="AJ769" s="720"/>
      <c r="AK769" s="720"/>
      <c r="AL769" s="720"/>
      <c r="AM769" s="720"/>
      <c r="AN769" s="720"/>
      <c r="AO769" s="720"/>
      <c r="AP769" s="720"/>
      <c r="AQ769" s="720"/>
      <c r="AR769" s="720"/>
      <c r="AS769" s="720"/>
      <c r="AT769" s="720"/>
      <c r="AU769" s="720"/>
      <c r="AV769" s="720"/>
      <c r="AW769" s="720"/>
      <c r="AX769" s="720"/>
      <c r="AY769" s="720"/>
      <c r="AZ769" s="720"/>
      <c r="BA769" s="720"/>
      <c r="BB769" s="720"/>
      <c r="BC769" s="720"/>
      <c r="BD769" s="720"/>
      <c r="BE769" s="720"/>
      <c r="BF769" s="720"/>
      <c r="BG769" s="720"/>
      <c r="BH769" s="720"/>
      <c r="BI769" s="720"/>
      <c r="BJ769" s="720"/>
      <c r="BK769" s="720"/>
      <c r="BL769" s="720"/>
      <c r="BM769" s="720"/>
      <c r="BN769" s="720"/>
      <c r="BO769" s="720"/>
      <c r="BP769" s="720"/>
      <c r="BQ769" s="720"/>
      <c r="BR769" s="720"/>
      <c r="BS769" s="720"/>
      <c r="BT769" s="720"/>
      <c r="BU769" s="720"/>
      <c r="BV769" s="720"/>
    </row>
    <row r="770" spans="1:77" x14ac:dyDescent="0.25">
      <c r="A770" s="126" t="s">
        <v>359</v>
      </c>
      <c r="B770" s="582" t="s">
        <v>286</v>
      </c>
      <c r="C770" s="7" t="s">
        <v>287</v>
      </c>
      <c r="D770" s="7" t="s">
        <v>288</v>
      </c>
      <c r="E770" s="7" t="s">
        <v>687</v>
      </c>
      <c r="F770" s="7" t="s">
        <v>540</v>
      </c>
      <c r="G770" s="7" t="s">
        <v>541</v>
      </c>
      <c r="H770" s="7" t="s">
        <v>542</v>
      </c>
      <c r="I770" s="7" t="s">
        <v>543</v>
      </c>
      <c r="J770" s="7" t="s">
        <v>544</v>
      </c>
      <c r="K770" s="7" t="s">
        <v>545</v>
      </c>
      <c r="L770" s="7" t="s">
        <v>546</v>
      </c>
      <c r="M770" s="7" t="s">
        <v>547</v>
      </c>
      <c r="N770" s="7" t="s">
        <v>548</v>
      </c>
      <c r="O770" s="7" t="s">
        <v>549</v>
      </c>
      <c r="P770" s="7" t="s">
        <v>711</v>
      </c>
      <c r="Q770" s="7" t="s">
        <v>712</v>
      </c>
      <c r="R770" s="7" t="s">
        <v>638</v>
      </c>
      <c r="S770" s="7" t="s">
        <v>635</v>
      </c>
      <c r="T770" s="7" t="s">
        <v>636</v>
      </c>
      <c r="U770" s="7" t="s">
        <v>550</v>
      </c>
      <c r="V770" s="7" t="s">
        <v>551</v>
      </c>
      <c r="W770" s="7" t="s">
        <v>641</v>
      </c>
      <c r="X770" s="7" t="s">
        <v>642</v>
      </c>
      <c r="Y770" s="29" t="s">
        <v>571</v>
      </c>
      <c r="Z770" s="29" t="s">
        <v>1887</v>
      </c>
      <c r="AA770" s="29" t="s">
        <v>570</v>
      </c>
      <c r="AB770" s="29" t="s">
        <v>633</v>
      </c>
      <c r="AC770" s="29" t="s">
        <v>630</v>
      </c>
      <c r="AD770" s="100" t="s">
        <v>632</v>
      </c>
      <c r="AE770" s="100" t="s">
        <v>631</v>
      </c>
      <c r="AF770" s="100" t="s">
        <v>666</v>
      </c>
      <c r="AG770" s="100" t="s">
        <v>569</v>
      </c>
      <c r="AH770" s="100" t="s">
        <v>104</v>
      </c>
      <c r="AI770" s="100" t="s">
        <v>664</v>
      </c>
      <c r="AJ770" s="100" t="s">
        <v>665</v>
      </c>
      <c r="AK770" s="100" t="s">
        <v>597</v>
      </c>
      <c r="AL770" s="100" t="s">
        <v>598</v>
      </c>
      <c r="AM770" s="100" t="s">
        <v>599</v>
      </c>
      <c r="AN770" s="100" t="s">
        <v>600</v>
      </c>
      <c r="AO770" s="100" t="s">
        <v>671</v>
      </c>
      <c r="AP770" s="100" t="s">
        <v>672</v>
      </c>
      <c r="AQ770" s="100" t="s">
        <v>673</v>
      </c>
      <c r="AR770" s="100" t="s">
        <v>674</v>
      </c>
      <c r="AS770" s="7" t="s">
        <v>553</v>
      </c>
      <c r="AT770" s="7" t="s">
        <v>554</v>
      </c>
      <c r="AU770" s="7" t="s">
        <v>555</v>
      </c>
      <c r="AV770" s="7" t="s">
        <v>556</v>
      </c>
      <c r="AW770" s="7" t="s">
        <v>557</v>
      </c>
      <c r="AX770" s="7" t="s">
        <v>558</v>
      </c>
      <c r="AY770" s="7" t="s">
        <v>559</v>
      </c>
      <c r="AZ770" s="7" t="s">
        <v>560</v>
      </c>
      <c r="BA770" s="7" t="s">
        <v>561</v>
      </c>
      <c r="BB770" s="7" t="s">
        <v>562</v>
      </c>
      <c r="BC770" s="7" t="s">
        <v>563</v>
      </c>
      <c r="BD770" s="7" t="s">
        <v>564</v>
      </c>
      <c r="BE770" s="7" t="s">
        <v>565</v>
      </c>
      <c r="BF770" s="7" t="s">
        <v>566</v>
      </c>
      <c r="BG770" s="7" t="s">
        <v>567</v>
      </c>
      <c r="BH770" s="7" t="s">
        <v>568</v>
      </c>
      <c r="BI770" s="7" t="s">
        <v>653</v>
      </c>
      <c r="BJ770" s="7" t="s">
        <v>654</v>
      </c>
      <c r="BK770" s="7" t="s">
        <v>643</v>
      </c>
      <c r="BL770" s="7" t="s">
        <v>644</v>
      </c>
      <c r="BM770" s="123" t="s">
        <v>655</v>
      </c>
      <c r="BN770" s="123" t="s">
        <v>656</v>
      </c>
      <c r="BO770" s="123" t="s">
        <v>660</v>
      </c>
      <c r="BP770" s="123" t="s">
        <v>661</v>
      </c>
      <c r="BQ770" s="123" t="s">
        <v>658</v>
      </c>
      <c r="BR770" s="123" t="s">
        <v>657</v>
      </c>
      <c r="BS770" s="123" t="s">
        <v>663</v>
      </c>
      <c r="BT770" s="123" t="s">
        <v>662</v>
      </c>
      <c r="BU770" s="7" t="s">
        <v>1539</v>
      </c>
      <c r="BV770" s="7" t="s">
        <v>697</v>
      </c>
    </row>
    <row r="771" spans="1:77" s="6" customFormat="1" x14ac:dyDescent="0.3">
      <c r="A771" s="167"/>
      <c r="B771" s="578" t="s">
        <v>577</v>
      </c>
      <c r="C771" s="125" t="s">
        <v>578</v>
      </c>
      <c r="D771" s="12" t="s">
        <v>579</v>
      </c>
      <c r="E771" s="12" t="s">
        <v>1011</v>
      </c>
      <c r="F771" s="12" t="s">
        <v>652</v>
      </c>
      <c r="G771" s="12" t="s">
        <v>651</v>
      </c>
      <c r="H771" s="12" t="s">
        <v>650</v>
      </c>
      <c r="I771" s="12" t="s">
        <v>649</v>
      </c>
      <c r="J771" s="12" t="s">
        <v>647</v>
      </c>
      <c r="K771" s="12" t="s">
        <v>648</v>
      </c>
      <c r="L771" s="12" t="s">
        <v>1048</v>
      </c>
      <c r="M771" s="12" t="s">
        <v>727</v>
      </c>
      <c r="N771" s="12" t="s">
        <v>1049</v>
      </c>
      <c r="O771" s="12" t="s">
        <v>734</v>
      </c>
      <c r="P771" s="12" t="s">
        <v>711</v>
      </c>
      <c r="Q771" s="12" t="s">
        <v>712</v>
      </c>
      <c r="R771" s="275" t="s">
        <v>637</v>
      </c>
      <c r="S771" s="275" t="s">
        <v>1801</v>
      </c>
      <c r="T771" s="275" t="s">
        <v>634</v>
      </c>
      <c r="U771" s="275" t="s">
        <v>645</v>
      </c>
      <c r="V771" s="275" t="s">
        <v>646</v>
      </c>
      <c r="W771" s="275" t="s">
        <v>639</v>
      </c>
      <c r="X771" s="275" t="s">
        <v>640</v>
      </c>
      <c r="Y771" s="275" t="s">
        <v>621</v>
      </c>
      <c r="Z771" s="275" t="s">
        <v>1497</v>
      </c>
      <c r="AA771" s="275" t="s">
        <v>1498</v>
      </c>
      <c r="AB771" s="275" t="s">
        <v>622</v>
      </c>
      <c r="AC771" s="275" t="s">
        <v>623</v>
      </c>
      <c r="AD771" s="275" t="s">
        <v>624</v>
      </c>
      <c r="AE771" s="275" t="s">
        <v>31</v>
      </c>
      <c r="AF771" s="275" t="s">
        <v>625</v>
      </c>
      <c r="AG771" s="275" t="s">
        <v>626</v>
      </c>
      <c r="AH771" s="275" t="s">
        <v>627</v>
      </c>
      <c r="AI771" s="275" t="s">
        <v>628</v>
      </c>
      <c r="AJ771" s="275" t="s">
        <v>629</v>
      </c>
      <c r="AK771" s="275" t="s">
        <v>617</v>
      </c>
      <c r="AL771" s="275" t="s">
        <v>618</v>
      </c>
      <c r="AM771" s="275" t="s">
        <v>619</v>
      </c>
      <c r="AN771" s="275" t="s">
        <v>620</v>
      </c>
      <c r="AO771" s="276" t="s">
        <v>667</v>
      </c>
      <c r="AP771" s="276" t="s">
        <v>668</v>
      </c>
      <c r="AQ771" s="276" t="s">
        <v>669</v>
      </c>
      <c r="AR771" s="276" t="s">
        <v>670</v>
      </c>
      <c r="AS771" s="275" t="s">
        <v>601</v>
      </c>
      <c r="AT771" s="275" t="s">
        <v>602</v>
      </c>
      <c r="AU771" s="275" t="s">
        <v>603</v>
      </c>
      <c r="AV771" s="275" t="s">
        <v>604</v>
      </c>
      <c r="AW771" s="275" t="s">
        <v>605</v>
      </c>
      <c r="AX771" s="275" t="s">
        <v>606</v>
      </c>
      <c r="AY771" s="275" t="s">
        <v>607</v>
      </c>
      <c r="AZ771" s="275" t="s">
        <v>608</v>
      </c>
      <c r="BA771" s="275" t="s">
        <v>609</v>
      </c>
      <c r="BB771" s="275" t="s">
        <v>610</v>
      </c>
      <c r="BC771" s="275" t="s">
        <v>611</v>
      </c>
      <c r="BD771" s="275" t="s">
        <v>612</v>
      </c>
      <c r="BE771" s="275" t="s">
        <v>613</v>
      </c>
      <c r="BF771" s="275" t="s">
        <v>614</v>
      </c>
      <c r="BG771" s="275" t="s">
        <v>615</v>
      </c>
      <c r="BH771" s="275" t="s">
        <v>616</v>
      </c>
      <c r="BI771" s="276" t="s">
        <v>22</v>
      </c>
      <c r="BJ771" s="276" t="s">
        <v>23</v>
      </c>
      <c r="BK771" s="12" t="s">
        <v>643</v>
      </c>
      <c r="BL771" s="12" t="s">
        <v>644</v>
      </c>
      <c r="BM771" s="272" t="s">
        <v>655</v>
      </c>
      <c r="BN771" s="272" t="s">
        <v>656</v>
      </c>
      <c r="BO771" s="272" t="s">
        <v>660</v>
      </c>
      <c r="BP771" s="272" t="s">
        <v>661</v>
      </c>
      <c r="BQ771" s="272" t="s">
        <v>659</v>
      </c>
      <c r="BR771" s="272" t="s">
        <v>657</v>
      </c>
      <c r="BS771" s="272" t="s">
        <v>663</v>
      </c>
      <c r="BT771" s="272" t="s">
        <v>662</v>
      </c>
      <c r="BU771" s="12" t="s">
        <v>1539</v>
      </c>
      <c r="BV771" s="12" t="s">
        <v>697</v>
      </c>
    </row>
    <row r="772" spans="1:77" s="6" customFormat="1" x14ac:dyDescent="0.25">
      <c r="A772" s="167" t="str">
        <f>IF( AND(SUM(Y772:AD772)=0,SUM(J772:K772)=0),"comment","")</f>
        <v/>
      </c>
      <c r="B772" s="578" t="str">
        <f>$B$8</f>
        <v>6001</v>
      </c>
      <c r="C772" s="12" t="str">
        <f>$C$8</f>
        <v>B00101</v>
      </c>
      <c r="D772" s="12" t="str">
        <f>$D$8</f>
        <v>6001</v>
      </c>
      <c r="E772" s="12" t="s">
        <v>594</v>
      </c>
      <c r="F772" s="12" t="str">
        <f>$B$22</f>
        <v>CZCE</v>
      </c>
      <c r="G772" s="12" t="str">
        <f>C237</f>
        <v>SR807</v>
      </c>
      <c r="H772" s="111">
        <v>1</v>
      </c>
      <c r="I772" s="12">
        <f t="shared" ref="I772:I794" si="554" xml:space="preserve"> VLOOKUP(G772,$C$22:$L$34,3,FALSE)</f>
        <v>10</v>
      </c>
      <c r="J772" s="12">
        <f t="shared" ref="J772:J794" si="555">SUMPRODUCT(($D$704:$D$754=C772)*($E$704:$E$754=D772)*($L$704:$L$754=H772)*($J$704:$J$754=0)*($I$704:$I$754=G772)*($N$704:$N$754))+SUMPRODUCT(($D$704:$D$754=C772)*($E$704:$E$754=D772)*($L$704:$L$754=H772)*($J$704:$J$754=0)*($I$704:$I$754=G772)*($M$704:$M$754))</f>
        <v>8</v>
      </c>
      <c r="K772" s="12">
        <f t="shared" ref="K772:K794" si="556">SUMPRODUCT(($D$704:$D$754=C772)*($E$704:$E$754=D772)*($L$704:$L$754=H772)*($J$704:$J$754=1)*($I$704:$I$754=G772)*($N$704:$N$754))+SUMPRODUCT(($D$704:$D$754=C772)*($E$704:$E$754=D772)*($L$704:$L$754=H772)*($J$704:$J$754=1)*($I$704:$I$754=G772)*($M$704:$M$754))</f>
        <v>11</v>
      </c>
      <c r="L772" s="266">
        <f t="shared" ref="L772:L794" si="557">IF($G$193=0,BM772,
IF(SUMPRODUCT(($C$772:$C$794=C772)*($D$772:$D$794=D772)*($G$772:$G$794=G772)*($BM$772:$BM$794))&gt;=SUMPRODUCT(($C$772:$C$794=C772)*($D$772:$D$794=D772)*($G$772:$G$794=G772)*($BN$772:$BN$794)),BM772,0))+BO772</f>
        <v>9846</v>
      </c>
      <c r="M772" s="311">
        <f t="shared" ref="M772:M794" si="558">IF($G$193=0,BN772,
IF(SUMPRODUCT(($C$772:$C$794=C772)*($D$772:$D$794=D772)*($G$772:$G$794=G772)*($BM$772:$BM$794))&lt;SUMPRODUCT(($C$772:$C$794=C772)*($D$772:$D$794=D772)*($G$772:$G$794=G772)*($BN$772:$BN$794)),BN772,0))+BP772-BK772</f>
        <v>35152.01</v>
      </c>
      <c r="N772" s="311">
        <f t="shared" ref="N772:N794" si="559">IF(SUMPRODUCT(($C$772:$C$794=C772)*($D$772:$D$794=D772)*($G$772:$G$794=G772)*($BQ$772:$BQ$794))&gt;=SUMPRODUCT(($C$772:$C$794=C772)*($D$772:$D$794=D772)*($G$772:$G$794=G772)*($BR$772:$BR$794)),BQ772,0)+BS772</f>
        <v>8614</v>
      </c>
      <c r="O772" s="311">
        <f t="shared" ref="O772:O794" si="560">IF(SUMPRODUCT(($C$772:$C$794=C772)*($D$772:$D$794=D772)*($G$772:$G$794=G772)*($BQ$772:$BQ$794))&lt;SUMPRODUCT(($C$772:$C$794=C772)*($D$772:$D$794=D772)*($G$772:$G$794=G772)*($BR$772:$BR$794)),BR772,0)+BT772-BL772</f>
        <v>28930.399999999998</v>
      </c>
      <c r="P772" s="266">
        <f>SUMPRODUCT(($D$607:$D$609=C772)*($E$607:$E$609=D772)*($H$607:$H$609=G772)*($K$607:$K$609=H772)*($V$607:$V$609))</f>
        <v>0</v>
      </c>
      <c r="Q772" s="266">
        <f>SUMPRODUCT(($D$607:$D$609=C772)*($E$607:$E$609=D772)*($H$607:$H$609=G772)*($K$607:$K$609=H772)*($W$607:$W$609))</f>
        <v>0</v>
      </c>
      <c r="R772" s="12">
        <f t="shared" ref="R772:R794" si="561" xml:space="preserve"> VLOOKUP(G772,$C$237:$F$249,3,FALSE)</f>
        <v>6150</v>
      </c>
      <c r="S772" s="12">
        <f t="shared" ref="S772:S794" si="562">SUMPRODUCT(($D$704:$D$754=C772)*($E$704:$E$754=D772)*($I$704:$I$754=G772)*($L$704:$L$754=H772)*($J$704:$J$754=0)*($AX$704:$AX$754))</f>
        <v>488800</v>
      </c>
      <c r="T772" s="12">
        <f t="shared" ref="T772:T794" si="563">SUMPRODUCT(($D$704:$D$754=C772)*($E$704:$E$754=D772)*($I$704:$I$754=G772)*($L$704:$L$754=H772)*($J$704:$J$754=1)*($AX$704:$AX$754))</f>
        <v>683230</v>
      </c>
      <c r="U772" s="111">
        <f t="shared" ref="U772:U794" si="564" xml:space="preserve"> IF(BU772=1,I772*J772*R772,0)</f>
        <v>0</v>
      </c>
      <c r="V772" s="111">
        <f t="shared" ref="V772:V794" si="565" xml:space="preserve"> IF(BU772=1,I772*K772*R772,0)</f>
        <v>0</v>
      </c>
      <c r="W772" s="24">
        <f t="shared" ref="W772:W794" si="566">SUMPRODUCT(($F$486:$F$561=C772)*($G$486:$G$561=D772)*(($L$486:$L$561=G772)*($P$486:$P$561=H772)*($AJ$486:$AJ$561)))</f>
        <v>0</v>
      </c>
      <c r="X772" s="24">
        <f t="shared" ref="X772:X794" si="567">SUMPRODUCT(($F$486:$F$561=C772)*($G$486:$G$561=D772)*(($L$486:$L$561=G772)*($P$486:$P$561=H772)*($AK$486:$AK$561)))</f>
        <v>0</v>
      </c>
      <c r="Y772" s="111">
        <f t="shared" ref="Y772:Y794" si="568">ROUND(SUMPRODUCT(($F$486:$F$561=C772)*($G$486:$G$561=D772)*($L$486:$L$561=G772)*($P$486:$P$561=H772)*($AA$486:$AA$561)),2)</f>
        <v>1079.02</v>
      </c>
      <c r="Z772" s="111">
        <f>SUMPRODUCT(($D$596:$D$601=C772)*($E$596:$E$601=D772)*($H$596:$H$601=G772)*($K$596:$K$601=H772)*($N$596:$N$601=1)*($T$596:$T$601))</f>
        <v>0</v>
      </c>
      <c r="AA772" s="305">
        <f t="shared" ref="AA772:AA794" si="569">ROUND(SUMPRODUCT(($F$486:$F$561=C772)*($G$486:$G$561=D772)*($L$486:$L$561=G772)*($P$486:$P$561=H772)*($AQ$486:$AQ$561)),2)</f>
        <v>499.89</v>
      </c>
      <c r="AB772" s="111">
        <v>0</v>
      </c>
      <c r="AC772" s="111">
        <f>SUMPRODUCT(($D$626:$D$649=C772)*($E$626:$E$649=D772)*($H$626:$H$649=G772)*($L$626:$L$649=H772)*($U$626:$U$649))</f>
        <v>0</v>
      </c>
      <c r="AD772" s="111">
        <v>0</v>
      </c>
      <c r="AE772" s="111">
        <f t="shared" ref="AE772:AE794" si="570">ROUND(SUMPRODUCT(($F$486:$F$561=C772)*($G$486:$G$561=D772)*($L$486:$L$561=G772)*($P$486:$P$561=H772)*($AB$486:$AB$561)),2)</f>
        <v>829.08</v>
      </c>
      <c r="AF772" s="111">
        <v>0</v>
      </c>
      <c r="AG772" s="111">
        <f>SUMPRODUCT(($D$596:$D$601=C772)*($E$596:$E$601=D772)*($H$596:$H$601=G772)*($K$596:$K$601=H772)*($N$596:$N$601=2)*($T$596:$T$601))</f>
        <v>0</v>
      </c>
      <c r="AH772" s="111">
        <v>0</v>
      </c>
      <c r="AI772" s="111">
        <f>SUMPRODUCT(($D$626:$D$649=C772)*($E$626:$E$649=D772)*($H$626:$H$649=G772)*($L$626:$L$649=H772)*($V$626:$V$649))</f>
        <v>0</v>
      </c>
      <c r="AJ772" s="111">
        <v>0</v>
      </c>
      <c r="AK772" s="111">
        <f>ROUND(SUMPRODUCT(($F$486:$F$550=C772)*($G$486:$G$550=D772)*($L$486:$L$550=G772)*($P$486:$P$550=H772)*($O$486:$O$550=0)*($AC$486:$AC$550)),2)</f>
        <v>-620</v>
      </c>
      <c r="AL772" s="111">
        <f t="shared" ref="AL772:AL794" si="571">ROUND(SUMPRODUCT(($F$486:$F$550=C772)*($G$486:$G$550=D772)*($L$486:$L$550=G772)*($P$486:$P$550=H772)*($O$486:$O$550=1)*($AC$486:$AC$550)),2)</f>
        <v>60</v>
      </c>
      <c r="AM772" s="111">
        <f t="shared" ref="AM772:AM794" si="572">ROUND(SUMPRODUCT(($F$486:$F$561=C772)*($G$486:$G$561=D772)*($L$486:$L$561=G772)*($P$486:$P$561=H772)*($O$486:$O$561=0)*($AD$486:$AD$561)),2)</f>
        <v>-620</v>
      </c>
      <c r="AN772" s="12">
        <f t="shared" ref="AN772:AN794" si="573">ROUND(SUMPRODUCT(($F$486:$F$561=C772)*($G$486:$G$561=D772)*($L$486:$L$561=G772)*($P$486:$P$561=H772)*($O$486:$O$561=1)*($AD$486:$AD$561)),2)</f>
        <v>60</v>
      </c>
      <c r="AO772" s="12">
        <f t="shared" ref="AO772:AO794" si="574">SUMPRODUCT(($D$704:$D$754=C772)*($E$704:$E$754=D772)*($L$704:$L$754=H772)*($J$704:$J$754=0)*($I$704:$I$754=G772)*($AL$704:$AL$754))+SUMPRODUCT(($D$704:$D$754=C772)*($E$704:$E$754=D772)*($L$704:$L$754=H772)*($J$704:$J$754=0)*($I$704:$I$754=G772)*($AN$704:$AN$754))</f>
        <v>3200</v>
      </c>
      <c r="AP772" s="12">
        <f t="shared" ref="AP772:AP794" si="575">SUMPRODUCT(($D$704:$D$754=C772)*($E$704:$E$754=D772)*($L$704:$L$754=H772)*($J$704:$J$754=1)*($I$704:$I$754=G772)*($AL$704:$AL$754))+SUMPRODUCT(($D$704:$D$754=C772)*($E$704:$E$754=D772)*($L$704:$L$754=H772)*($J$704:$J$754=1)*($I$704:$I$754=G772)*($AN$704:$AN$754))</f>
        <v>6730</v>
      </c>
      <c r="AQ772" s="12">
        <f t="shared" ref="AQ772:AQ794" si="576">SUMPRODUCT(($D$704:$D$754=C772)*($E$704:$E$754=D772)*($L$704:$L$754=H772)*($J$704:$J$754=0)*($I$704:$I$754=G772)*($AM$704:$AM$754))+SUMPRODUCT(($D$704:$D$754=C772)*($E$704:$E$754=D772)*($L$704:$L$754=H772)*($J$704:$J$754=0)*($I$704:$I$754=G772)*($AO$704:$AO$754))</f>
        <v>3200</v>
      </c>
      <c r="AR772" s="12">
        <f t="shared" ref="AR772:AR794" si="577">SUMPRODUCT(($D$704:$D$754=C772)*($E$704:$E$754=D772)*($L$704:$L$754=H772)*($J$704:$J$754=1)*($I$704:$I$754=G772)*($AM$704:$AM$754))+SUMPRODUCT(($D$704:$D$754=C772)*($E$704:$E$754=D772)*($L$704:$L$754=H772)*($J$704:$J$754=1)*($I$704:$I$754=G772)*($AO$704:$AO$754))</f>
        <v>6730</v>
      </c>
      <c r="AS772" s="382">
        <f t="shared" ref="AS772:AS794" si="578">SUMPRODUCT(($F$486:$F$561=C772)*($G$486:$G$561=D772)*($L$486:$L$561=G772)*($P$486:$P$561=H772)*($O$486:$O$561=0)*($Q$486:$Q$561))+SUMPRODUCT(($D$626:$D$649=C772)*($E$626:$E$649=D772)*($H$626:$H$649=G772)*($L$626:$L$649=H772)*($K$626:$K$649=1)*($O$626:$O$649=0)*($N$626:$N$649))</f>
        <v>16</v>
      </c>
      <c r="AT772" s="111">
        <f t="shared" ref="AT772:AT781" si="579">SUMPRODUCT(($F$486:$F$561=C772)*($G$486:$G$561=D772)*($L$486:$L$561=G772)*($P$486:$P$561=H772)*($O$486:$O$561=0)*($AE$486:$AE$561))+SUMPRODUCT(($D$626:$D$649=C772)*($E$626:$E$649=D772)*($H$626:$H$649=G772)*($L$626:$L$649=H772)*($K$626:$K$649=1)*($O$626:$O$649=0)*($W$626:$W$649))</f>
        <v>977810</v>
      </c>
      <c r="AU772" s="111">
        <f t="shared" ref="AU772:AU794" si="580">SUMPRODUCT(($F$486:$F$561=C772)*($G$486:$G$561=D772)*($L$486:$L$561=G772)*($P$486:$P$561=H772)*($O$486:$O$561=0)*($N$486:$N$561=0)*($Q$486:$Q$561))</f>
        <v>11</v>
      </c>
      <c r="AV772" s="111">
        <f t="shared" ref="AV772:AV794" si="581">SUMPRODUCT(($F$486:$F$561=C772)*($G$486:$G$561=D772)*($L$486:$L$561=G772)*($P$486:$P$561=H772)*($O$486:$O$561=0)*($N$486:$N$561=0)*($AE$486:$AE$561))</f>
        <v>672090</v>
      </c>
      <c r="AW772" s="382">
        <f t="shared" ref="AW772:AW794" si="582">SUMPRODUCT(($F$486:$F$561=C772)*($G$486:$G$561=D772)*($L$486:$L$561=G772)*($P$486:$P$561=H772)*($O$486:$O$561=0)*($N$486:$N$561=1)*($Q$486:$Q$561))+SUMPRODUCT(($D$626:$D$649=C772)*($E$626:$E$649=D772)*($H$626:$H$649=G772)*($L$626:$L$649=H772)*($K$626:$K$649=1)*($AD$626:$AD$649=1)*($O$626:$O$649=0)*($N$626:$N$649))</f>
        <v>0</v>
      </c>
      <c r="AX772" s="111">
        <f t="shared" ref="AX772:AX794" si="583">SUMPRODUCT(($F$486:$F$561=C772)*($G$486:$G$561=D772)*($L$486:$L$561=G772)*($P$486:$P$561=H772)*($O$486:$O$561=0)*($N$486:$N$561=1)*($AE$486:$AE$561))</f>
        <v>0</v>
      </c>
      <c r="AY772" s="382">
        <f t="shared" ref="AY772:AY794" si="584">SUMPRODUCT(($F$486:$F$561=C772)*($G$486:$G$561=D772)*($L$486:$L$561=G772)*($P$486:$P$561=H772)*($O$486:$O$561=0)*($N$486:$N$561=3)*($Q$486:$Q$561))+SUMPRODUCT(($D$626:$D$649=C772)*($E$626:$E$649=D772)*($H$626:$H$649=G772)*($L$626:$L$649=H772)*($K$626:$K$649=1)*($AD$626:$AD$649=3)*($O$626:$O$649=0)*($N$626:$N$649))</f>
        <v>5</v>
      </c>
      <c r="AZ772" s="111">
        <f t="shared" ref="AZ772:AZ794" si="585">SUMPRODUCT(($F$486:$F$561=C772)*($G$486:$G$561=D772)*($L$486:$L$561=G772)*($P$486:$P$561=H772)*($O$486:$O$561=0)*($N$486:$N$561=3)*($AE$486:$AE$561))</f>
        <v>305720</v>
      </c>
      <c r="BA772" s="382">
        <f>SUMPRODUCT(($F$486:$F$561=C772)*($G$486:$G$561=D772)*($L$486:$L$561=G772)*($P$486:$P$561=H772)*($O$486:$O$561=1)*($Q$486:$Q$561))+SUMPRODUCT(($D$626:$D$649=C772)*($E$626:$E$649=D772)*($H$626:$H$649=G772)*($L$626:$L$649=H772)*($K$626:$K$649=0)*($O$626:$O$649=0)*($N$626:$N$649))</f>
        <v>19</v>
      </c>
      <c r="BB772" s="382">
        <f>SUMPRODUCT(($F$486:$F$561=C772)*($G$486:$G$561=D772)*($L$486:$L$561=G772)*($P$486:$P$561=H772)*($O$486:$O$561=1)*($AE$486:$AE$561))+SUMPRODUCT(($D$626:$D$649=C772)*($E$626:$E$649=D772)*($H$626:$H$649=G772)*($L$626:$L$649=H772)*($K$626:$K$649=0)*($O$626:$O$649=0)*($W$626:$W$649))</f>
        <v>1171680</v>
      </c>
      <c r="BC772" s="111">
        <f>SUMPRODUCT(($F$486:$F$561=C772)*($G$486:$G$561=D772)*($L$486:$L$561=G772)*($P$486:$P$561=H772)*($O$486:$O$561=1)*($N$486:$N$561=0)*($N$486:$N$561=0)*($Q$486:$Q$561))</f>
        <v>16</v>
      </c>
      <c r="BD772" s="111">
        <f t="shared" ref="BD772:BD794" si="586">SUMPRODUCT(($F$486:$F$561=C772)*($G$486:$G$561=D772)*($L$486:$L$561=G772)*($P$486:$P$561=H772)*($O$486:$O$561=1)*($N$486:$N$561=0)*($AE$486:$AE$561))</f>
        <v>988330</v>
      </c>
      <c r="BE772" s="382">
        <f t="shared" ref="BE772:BE794" si="587">SUMPRODUCT(($F$486:$F$561=C772)*($G$486:$G$561=D772)*($L$486:$L$561=G772)*($P$486:$P$561=H772)*($O$486:$O$561=1)*($N$486:$N$561=1)*($Q$486:$Q$561))+SUMPRODUCT(($D$626:$D$649=C772)*($E$626:$E$649=D772)*($H$626:$H$649=G772)*($L$626:$L$649=H772)*($K$626:$K$649=0)*($AD$626:$AD$649=1)*($O$626:$O$649=0)*($N$626:$N$649))</f>
        <v>0</v>
      </c>
      <c r="BF772" s="111">
        <f t="shared" ref="BF772:BF794" si="588">SUMPRODUCT(($F$486:$F$561=C772)*($G$486:$G$561=D772)*($L$486:$L$561=G772)*($P$486:$P$561=H772)*($O$486:$O$561=1)*($N$486:$N$561=1)*($AE$486:$AE$561))</f>
        <v>0</v>
      </c>
      <c r="BG772" s="382">
        <f>SUMPRODUCT(($F$486:$F$561=C772)*($G$486:$G$561=D772)*($L$486:$L$561=G772)*($P$486:$P$561=H772)*($O$486:$O$561=1)*($N$486:$N$561=3)*($Q$486:$Q$561))+SUMPRODUCT(($D$626:$D$649=C772)*($E$626:$E$649=D772)*($H$626:$H$649=G772)*($L$626:$L$649=H772)*($K$626:$K$649=0)*($AD$626:$AD$649=3)*($O$626:$O$649=0)*($N$626:$N$649))</f>
        <v>3</v>
      </c>
      <c r="BH772" s="111">
        <f t="shared" ref="BH772:BH794" si="589">SUMPRODUCT(($F$486:$F$561=C772)*($G$486:$G$561=D772)*($L$486:$L$561=G772)*($P$486:$P$561=H772)*($O$486:$O$561=1)*($N$486:$N$561=3)*($AE$486:$AE$561))</f>
        <v>183350</v>
      </c>
      <c r="BI772" s="145">
        <f t="shared" ref="BI772:BI794" si="590">$B$2</f>
        <v>20180326</v>
      </c>
      <c r="BJ772" s="12" t="str">
        <f t="shared" ref="BJ772:BJ794" si="591">$F$8</f>
        <v>9999</v>
      </c>
      <c r="BK772" s="24">
        <f>IF(G193=1,V758,X758)</f>
        <v>6283.2</v>
      </c>
      <c r="BL772" s="24">
        <f>W758</f>
        <v>5051.2</v>
      </c>
      <c r="BM772" s="6">
        <f t="shared" ref="BM772:BM794" si="592">SUMPRODUCT(($D$704:$D$754=C772)*($E$704:$E$754=D772)*($L$704:$L$754=H772)*($J$704:$J$754=0)*($I$704:$I$754=G772)*($AE$704:$AE$754))</f>
        <v>9240</v>
      </c>
      <c r="BN772" s="6">
        <f t="shared" ref="BN772:BN794" si="593">SUMPRODUCT(($D$704:$D$754=C772)*($E$704:$E$754=D772)*($L$704:$L$754=H772)*($J$704:$J$754=1)*($I$704:$I$754=G772)*($AE$704:$AE$754))</f>
        <v>18849.599999999999</v>
      </c>
      <c r="BO772" s="6">
        <f t="shared" ref="BO772:BO794" si="594">SUMPRODUCT(($G$656:$G$697=C772)*($H$656:$H$697=D772)*($I$656:$I$697=G772)*($J$656:$J$697=H772)*($L$656:$L$697=0)*($AF$656:$AF$697))</f>
        <v>9846</v>
      </c>
      <c r="BP772" s="6">
        <f t="shared" ref="BP772:BP794" si="595">SUMPRODUCT(($G$656:$G$697=C772)*($H$656:$H$697=D772)*($I$656:$I$697=G772)*($J$656:$J$697=H772)*($L$656:$L$697=1)*($AF$656:$AF$697))</f>
        <v>22585.61</v>
      </c>
      <c r="BQ772" s="6">
        <f t="shared" ref="BQ772:BQ794" si="596">SUMPRODUCT(($D$704:$D$754=C772)*($E$704:$E$754=D772)*($L$704:$L$754=H772)*($J$704:$J$754=0)*($I$704:$I$754=G772)*($AF$704:$AF$754))</f>
        <v>7392</v>
      </c>
      <c r="BR772" s="6">
        <f t="shared" ref="BR772:BR794" si="597">SUMPRODUCT(($D$704:$D$754=C772)*($E$704:$E$754=D772)*($L$704:$L$754=H772)*($J$704:$J$754=1)*($I$704:$I$754=G772)*($AF$704:$AF$754))</f>
        <v>15153.6</v>
      </c>
      <c r="BS772" s="6">
        <f t="shared" ref="BS772:BS794" si="598">SUMPRODUCT(($G$656:$G$697=C772)*($H$656:$H$697=D772)*($I$656:$I$697=G772)*($J$656:$J$697=H772)*($L$656:$L$697=0)*($AG$656:$AG$697))</f>
        <v>8614</v>
      </c>
      <c r="BT772" s="6">
        <f t="shared" ref="BT772:BT794" si="599">SUMPRODUCT(($G$656:$G$697=C772)*($H$656:$H$697=D772)*($I$656:$I$697=G772)*($J$656:$J$697=H772)*($L$656:$L$697=1)*($AG$656:$AG$697))</f>
        <v>18828</v>
      </c>
      <c r="BU772" s="6">
        <f t="shared" ref="BU772:BU794" si="600" xml:space="preserve"> VLOOKUP(G772,$C$22:$L$34,10,FALSE)</f>
        <v>0</v>
      </c>
      <c r="BV772" s="6">
        <f t="shared" ref="BV772:BV794" si="601" xml:space="preserve"> VLOOKUP(G772,$C$22:$L$34,9,FALSE)</f>
        <v>0</v>
      </c>
    </row>
    <row r="773" spans="1:77" s="6" customFormat="1" x14ac:dyDescent="0.25">
      <c r="A773" s="167" t="str">
        <f t="shared" ref="A773:A794" si="602">IF( AND(SUM(Y773:AD773)=0,SUM(J773:K773)=0),"comment","")</f>
        <v/>
      </c>
      <c r="B773" s="578" t="str">
        <f t="shared" ref="B773:B794" si="603">$B$8</f>
        <v>6001</v>
      </c>
      <c r="C773" s="12" t="str">
        <f t="shared" ref="C773:C794" si="604">$C$8</f>
        <v>B00101</v>
      </c>
      <c r="D773" s="12" t="str">
        <f t="shared" ref="D773:D794" si="605">$D$8</f>
        <v>6001</v>
      </c>
      <c r="E773" s="12" t="s">
        <v>594</v>
      </c>
      <c r="F773" s="12" t="str">
        <f t="shared" ref="F773:F794" si="606">$B$22</f>
        <v>CZCE</v>
      </c>
      <c r="G773" s="248" t="str">
        <f>G772</f>
        <v>SR807</v>
      </c>
      <c r="H773" s="111">
        <v>3</v>
      </c>
      <c r="I773" s="12">
        <f t="shared" si="554"/>
        <v>10</v>
      </c>
      <c r="J773" s="12">
        <f t="shared" si="555"/>
        <v>9</v>
      </c>
      <c r="K773" s="12">
        <f t="shared" si="556"/>
        <v>11</v>
      </c>
      <c r="L773" s="266">
        <f t="shared" si="557"/>
        <v>0</v>
      </c>
      <c r="M773" s="311">
        <f t="shared" si="558"/>
        <v>28828.799999999999</v>
      </c>
      <c r="N773" s="311">
        <f t="shared" si="559"/>
        <v>0</v>
      </c>
      <c r="O773" s="311">
        <f t="shared" si="560"/>
        <v>23284.799999999999</v>
      </c>
      <c r="P773" s="266">
        <f t="shared" ref="P773:P794" si="607">SUMPRODUCT(($D$607:$D$609=C773)*($E$607:$E$609=D773)*($H$607:$H$609=G773)*($K$607:$K$609=H773)*($V$607:$V$609))</f>
        <v>0</v>
      </c>
      <c r="Q773" s="266">
        <f t="shared" ref="Q773:Q794" si="608">SUMPRODUCT(($D$607:$D$609=C773)*($E$607:$E$609=D773)*($H$607:$H$609=G773)*($K$607:$K$609=H773)*($W$607:$W$609))</f>
        <v>0</v>
      </c>
      <c r="R773" s="12">
        <f t="shared" si="561"/>
        <v>6150</v>
      </c>
      <c r="S773" s="12">
        <f t="shared" si="562"/>
        <v>565400</v>
      </c>
      <c r="T773" s="12">
        <f t="shared" si="563"/>
        <v>679050</v>
      </c>
      <c r="U773" s="111">
        <f t="shared" si="564"/>
        <v>0</v>
      </c>
      <c r="V773" s="111">
        <f t="shared" si="565"/>
        <v>0</v>
      </c>
      <c r="W773" s="24">
        <f t="shared" si="566"/>
        <v>0</v>
      </c>
      <c r="X773" s="24">
        <f t="shared" si="567"/>
        <v>0</v>
      </c>
      <c r="Y773" s="111">
        <f t="shared" si="568"/>
        <v>722.23</v>
      </c>
      <c r="Z773" s="111">
        <f t="shared" ref="Z773:Z794" si="609">SUMPRODUCT(($D$596:$D$601=C773)*($E$596:$E$601=D773)*($H$596:$H$601=G773)*($K$596:$K$601=H773)*($N$596:$N$601=1)*($T$596:$T$601))</f>
        <v>0</v>
      </c>
      <c r="AA773" s="305">
        <f t="shared" si="569"/>
        <v>288.89</v>
      </c>
      <c r="AB773" s="111">
        <v>0</v>
      </c>
      <c r="AC773" s="111">
        <f t="shared" ref="AC773:AC794" si="610">SUMPRODUCT(($D$626:$D$649=C773)*($E$626:$E$649=D773)*($H$626:$H$649=G773)*($L$626:$L$649=H773)*($U$626:$U$649))</f>
        <v>0</v>
      </c>
      <c r="AD773" s="111">
        <v>0</v>
      </c>
      <c r="AE773" s="111">
        <f t="shared" si="570"/>
        <v>722.23</v>
      </c>
      <c r="AF773" s="111">
        <v>0</v>
      </c>
      <c r="AG773" s="111">
        <f t="shared" ref="AG773:AG794" si="611">SUMPRODUCT(($D$596:$D$601=C773)*($E$596:$E$601=D773)*($H$596:$H$601=G773)*($K$596:$K$601=H773)*($N$596:$N$601=2)*($T$596:$T$601))</f>
        <v>0</v>
      </c>
      <c r="AH773" s="111">
        <v>0</v>
      </c>
      <c r="AI773" s="111">
        <f t="shared" ref="AI773:AI787" si="612">SUMPRODUCT(($D$626:$D$649=C773)*($E$626:$E$649=D773)*($H$626:$H$649=G773)*($L$626:$L$649=H773)*($V$626:$V$649))</f>
        <v>0</v>
      </c>
      <c r="AJ773" s="111">
        <v>0</v>
      </c>
      <c r="AK773" s="111">
        <f t="shared" ref="AK773:AK794" si="613">ROUND(SUMPRODUCT(($F$486:$F$550=C773)*($G$486:$G$550=D773)*($L$486:$L$550=G773)*($P$486:$P$550=H773)*($O$486:$O$550=0)*($AC$486:$AC$550)),2)</f>
        <v>0</v>
      </c>
      <c r="AL773" s="111">
        <f t="shared" si="571"/>
        <v>0</v>
      </c>
      <c r="AM773" s="111">
        <f t="shared" si="572"/>
        <v>0</v>
      </c>
      <c r="AN773" s="12">
        <f t="shared" si="573"/>
        <v>0</v>
      </c>
      <c r="AO773" s="12">
        <f t="shared" si="574"/>
        <v>-11900</v>
      </c>
      <c r="AP773" s="12">
        <f t="shared" si="575"/>
        <v>2550</v>
      </c>
      <c r="AQ773" s="12">
        <f t="shared" si="576"/>
        <v>-11900</v>
      </c>
      <c r="AR773" s="12">
        <f t="shared" si="577"/>
        <v>2550</v>
      </c>
      <c r="AS773" s="382">
        <f t="shared" si="578"/>
        <v>9</v>
      </c>
      <c r="AT773" s="111">
        <f t="shared" si="579"/>
        <v>565400</v>
      </c>
      <c r="AU773" s="111">
        <f t="shared" si="580"/>
        <v>9</v>
      </c>
      <c r="AV773" s="111">
        <f t="shared" si="581"/>
        <v>565400</v>
      </c>
      <c r="AW773" s="382">
        <f t="shared" si="582"/>
        <v>0</v>
      </c>
      <c r="AX773" s="111">
        <f t="shared" si="583"/>
        <v>0</v>
      </c>
      <c r="AY773" s="382">
        <f t="shared" si="584"/>
        <v>0</v>
      </c>
      <c r="AZ773" s="111">
        <f t="shared" si="585"/>
        <v>0</v>
      </c>
      <c r="BA773" s="382">
        <f t="shared" ref="BA773:BA794" si="614">SUMPRODUCT(($F$486:$F$561=C773)*($G$486:$G$561=D773)*($L$486:$L$561=G773)*($P$486:$P$561=H773)*($O$486:$O$561=1)*($Q$486:$Q$561))+SUMPRODUCT(($D$626:$D$649=C773)*($E$626:$E$649=D773)*($H$626:$H$649=G773)*($L$626:$L$649=H773)*($K$626:$K$649=0)*($O$626:$O$649=0)*($N$626:$N$649))</f>
        <v>11</v>
      </c>
      <c r="BB773" s="382">
        <f t="shared" ref="BB773:BB781" si="615">SUMPRODUCT(($F$486:$F$561=C773)*($G$486:$G$561=D773)*($L$486:$L$561=G773)*($P$486:$P$561=H773)*($O$486:$O$561=1)*($AE$486:$AE$561))+SUMPRODUCT(($D$626:$D$649=C773)*($E$626:$E$649=D773)*($H$626:$H$649=G773)*($L$626:$L$649=H773)*($K$626:$K$649=0)*($O$626:$O$649=0)*($W$626:$W$649))</f>
        <v>679050</v>
      </c>
      <c r="BC773" s="111">
        <f t="shared" ref="BC773:BC794" si="616">SUMPRODUCT(($F$486:$F$561=C773)*($G$486:$G$561=D773)*($L$486:$L$561=G773)*($P$486:$P$561=H773)*($O$486:$O$561=1)*($N$486:$N$561=0)*($N$486:$N$561=0)*($Q$486:$Q$561))</f>
        <v>11</v>
      </c>
      <c r="BD773" s="111">
        <f t="shared" si="586"/>
        <v>679050</v>
      </c>
      <c r="BE773" s="382">
        <f t="shared" si="587"/>
        <v>0</v>
      </c>
      <c r="BF773" s="111">
        <f t="shared" si="588"/>
        <v>0</v>
      </c>
      <c r="BG773" s="382">
        <f t="shared" ref="BG773:BG794" si="617">SUMPRODUCT(($F$486:$F$561=C773)*($G$486:$G$561=D773)*($L$486:$L$561=G773)*($P$486:$P$561=H773)*($O$486:$O$561=1)*($N$486:$N$561=3)*($Q$486:$Q$561))+SUMPRODUCT(($D$626:$D$649=C773)*($E$626:$E$649=D773)*($H$626:$H$649=G773)*($L$626:$L$649=H773)*($K$626:$K$649=0)*($AD$626:$AD$649=3)*($O$626:$O$649=0)*($N$626:$N$649))</f>
        <v>0</v>
      </c>
      <c r="BH773" s="111">
        <f t="shared" si="589"/>
        <v>0</v>
      </c>
      <c r="BI773" s="145">
        <f t="shared" si="590"/>
        <v>20180326</v>
      </c>
      <c r="BJ773" s="12" t="str">
        <f t="shared" si="591"/>
        <v>9999</v>
      </c>
      <c r="BK773" s="24">
        <f>IF(G193=1,V759,X759)</f>
        <v>7084.0000000000036</v>
      </c>
      <c r="BL773" s="24">
        <f>W759</f>
        <v>5852.0000000000036</v>
      </c>
      <c r="BM773" s="6">
        <f t="shared" si="592"/>
        <v>28828.799999999999</v>
      </c>
      <c r="BN773" s="6">
        <f t="shared" si="593"/>
        <v>35912.800000000003</v>
      </c>
      <c r="BO773" s="6">
        <f t="shared" si="594"/>
        <v>0</v>
      </c>
      <c r="BP773" s="6">
        <f t="shared" si="595"/>
        <v>0</v>
      </c>
      <c r="BQ773" s="6">
        <f t="shared" si="596"/>
        <v>23284.799999999999</v>
      </c>
      <c r="BR773" s="6">
        <f t="shared" si="597"/>
        <v>29136.800000000003</v>
      </c>
      <c r="BS773" s="6">
        <f t="shared" si="598"/>
        <v>0</v>
      </c>
      <c r="BT773" s="6">
        <f t="shared" si="599"/>
        <v>0</v>
      </c>
      <c r="BU773" s="6">
        <f t="shared" si="600"/>
        <v>0</v>
      </c>
      <c r="BV773" s="6">
        <f t="shared" si="601"/>
        <v>0</v>
      </c>
      <c r="BY773" s="229"/>
    </row>
    <row r="774" spans="1:77" s="6" customFormat="1" x14ac:dyDescent="0.25">
      <c r="A774" s="167" t="str">
        <f t="shared" si="602"/>
        <v/>
      </c>
      <c r="B774" s="578" t="str">
        <f t="shared" si="603"/>
        <v>6001</v>
      </c>
      <c r="C774" s="12" t="str">
        <f t="shared" si="604"/>
        <v>B00101</v>
      </c>
      <c r="D774" s="12" t="str">
        <f t="shared" si="605"/>
        <v>6001</v>
      </c>
      <c r="E774" s="12" t="s">
        <v>594</v>
      </c>
      <c r="F774" s="12" t="str">
        <f t="shared" si="606"/>
        <v>CZCE</v>
      </c>
      <c r="G774" s="113" t="str">
        <f>C238</f>
        <v>SR809</v>
      </c>
      <c r="H774" s="111">
        <v>1</v>
      </c>
      <c r="I774" s="12">
        <f t="shared" si="554"/>
        <v>10</v>
      </c>
      <c r="J774" s="12">
        <f t="shared" si="555"/>
        <v>6</v>
      </c>
      <c r="K774" s="12">
        <f t="shared" si="556"/>
        <v>2</v>
      </c>
      <c r="L774" s="266">
        <f t="shared" si="557"/>
        <v>26463</v>
      </c>
      <c r="M774" s="311">
        <f t="shared" si="558"/>
        <v>6288.3</v>
      </c>
      <c r="N774" s="311">
        <f t="shared" si="559"/>
        <v>22764</v>
      </c>
      <c r="O774" s="311">
        <f t="shared" si="560"/>
        <v>5055.3</v>
      </c>
      <c r="P774" s="266">
        <f t="shared" si="607"/>
        <v>0</v>
      </c>
      <c r="Q774" s="266">
        <f t="shared" si="608"/>
        <v>0</v>
      </c>
      <c r="R774" s="12">
        <f t="shared" si="561"/>
        <v>6155</v>
      </c>
      <c r="S774" s="12">
        <f t="shared" si="562"/>
        <v>366900</v>
      </c>
      <c r="T774" s="12">
        <f t="shared" si="563"/>
        <v>122280</v>
      </c>
      <c r="U774" s="111">
        <f t="shared" si="564"/>
        <v>0</v>
      </c>
      <c r="V774" s="111">
        <f t="shared" si="565"/>
        <v>0</v>
      </c>
      <c r="W774" s="24">
        <f t="shared" si="566"/>
        <v>0</v>
      </c>
      <c r="X774" s="24">
        <f t="shared" si="567"/>
        <v>0</v>
      </c>
      <c r="Y774" s="111">
        <f t="shared" si="568"/>
        <v>284.58999999999997</v>
      </c>
      <c r="Z774" s="111">
        <f t="shared" si="609"/>
        <v>0</v>
      </c>
      <c r="AA774" s="305">
        <f t="shared" si="569"/>
        <v>113.84</v>
      </c>
      <c r="AB774" s="111">
        <v>0</v>
      </c>
      <c r="AC774" s="111">
        <f t="shared" si="610"/>
        <v>0</v>
      </c>
      <c r="AD774" s="111">
        <v>0</v>
      </c>
      <c r="AE774" s="111">
        <f t="shared" si="570"/>
        <v>227.67</v>
      </c>
      <c r="AF774" s="111">
        <v>0</v>
      </c>
      <c r="AG774" s="111">
        <f t="shared" si="611"/>
        <v>0</v>
      </c>
      <c r="AH774" s="111">
        <v>0</v>
      </c>
      <c r="AI774" s="111">
        <f t="shared" si="612"/>
        <v>0</v>
      </c>
      <c r="AJ774" s="111">
        <v>0</v>
      </c>
      <c r="AK774" s="111">
        <f t="shared" si="613"/>
        <v>0</v>
      </c>
      <c r="AL774" s="111">
        <f t="shared" si="571"/>
        <v>0</v>
      </c>
      <c r="AM774" s="111">
        <f t="shared" si="572"/>
        <v>0</v>
      </c>
      <c r="AN774" s="12">
        <f t="shared" si="573"/>
        <v>0</v>
      </c>
      <c r="AO774" s="12">
        <f t="shared" si="574"/>
        <v>2400</v>
      </c>
      <c r="AP774" s="12">
        <f t="shared" si="575"/>
        <v>-820</v>
      </c>
      <c r="AQ774" s="12">
        <f t="shared" si="576"/>
        <v>2400</v>
      </c>
      <c r="AR774" s="12">
        <f t="shared" si="577"/>
        <v>-820</v>
      </c>
      <c r="AS774" s="382">
        <f t="shared" si="578"/>
        <v>6</v>
      </c>
      <c r="AT774" s="111">
        <f t="shared" si="579"/>
        <v>366900</v>
      </c>
      <c r="AU774" s="111">
        <f t="shared" si="580"/>
        <v>6</v>
      </c>
      <c r="AV774" s="111">
        <f t="shared" si="581"/>
        <v>366900</v>
      </c>
      <c r="AW774" s="382">
        <f t="shared" si="582"/>
        <v>0</v>
      </c>
      <c r="AX774" s="111">
        <f t="shared" si="583"/>
        <v>0</v>
      </c>
      <c r="AY774" s="382">
        <f t="shared" si="584"/>
        <v>0</v>
      </c>
      <c r="AZ774" s="111">
        <f t="shared" si="585"/>
        <v>0</v>
      </c>
      <c r="BA774" s="382">
        <f t="shared" si="614"/>
        <v>2</v>
      </c>
      <c r="BB774" s="382">
        <f t="shared" si="615"/>
        <v>122280</v>
      </c>
      <c r="BC774" s="111">
        <f t="shared" si="616"/>
        <v>2</v>
      </c>
      <c r="BD774" s="111">
        <f t="shared" si="586"/>
        <v>122280</v>
      </c>
      <c r="BE774" s="382">
        <f t="shared" si="587"/>
        <v>0</v>
      </c>
      <c r="BF774" s="111">
        <f t="shared" si="588"/>
        <v>0</v>
      </c>
      <c r="BG774" s="382">
        <f t="shared" si="617"/>
        <v>0</v>
      </c>
      <c r="BH774" s="111">
        <f t="shared" si="589"/>
        <v>0</v>
      </c>
      <c r="BI774" s="145">
        <f t="shared" si="590"/>
        <v>20180326</v>
      </c>
      <c r="BJ774" s="12" t="str">
        <f t="shared" si="591"/>
        <v>9999</v>
      </c>
      <c r="BK774" s="111">
        <v>0</v>
      </c>
      <c r="BL774" s="111">
        <v>0</v>
      </c>
      <c r="BM774" s="6">
        <f t="shared" si="592"/>
        <v>6165</v>
      </c>
      <c r="BN774" s="6">
        <f t="shared" si="593"/>
        <v>0</v>
      </c>
      <c r="BO774" s="6">
        <f t="shared" si="594"/>
        <v>20298</v>
      </c>
      <c r="BP774" s="6">
        <f t="shared" si="595"/>
        <v>6288.3</v>
      </c>
      <c r="BQ774" s="6">
        <f t="shared" si="596"/>
        <v>4932</v>
      </c>
      <c r="BR774" s="6">
        <f t="shared" si="597"/>
        <v>0</v>
      </c>
      <c r="BS774" s="6">
        <f t="shared" si="598"/>
        <v>17832</v>
      </c>
      <c r="BT774" s="6">
        <f t="shared" si="599"/>
        <v>5055.3</v>
      </c>
      <c r="BU774" s="6">
        <f t="shared" si="600"/>
        <v>0</v>
      </c>
      <c r="BV774" s="6">
        <f t="shared" si="601"/>
        <v>0</v>
      </c>
    </row>
    <row r="775" spans="1:77" s="6" customFormat="1" x14ac:dyDescent="0.25">
      <c r="A775" s="167" t="str">
        <f t="shared" si="602"/>
        <v>comment</v>
      </c>
      <c r="B775" s="578" t="str">
        <f t="shared" si="603"/>
        <v>6001</v>
      </c>
      <c r="C775" s="12" t="str">
        <f t="shared" si="604"/>
        <v>B00101</v>
      </c>
      <c r="D775" s="12" t="str">
        <f t="shared" si="605"/>
        <v>6001</v>
      </c>
      <c r="E775" s="12" t="s">
        <v>594</v>
      </c>
      <c r="F775" s="12" t="str">
        <f t="shared" si="606"/>
        <v>CZCE</v>
      </c>
      <c r="G775" s="113" t="str">
        <f>G774</f>
        <v>SR809</v>
      </c>
      <c r="H775" s="111">
        <v>3</v>
      </c>
      <c r="I775" s="12">
        <f t="shared" si="554"/>
        <v>10</v>
      </c>
      <c r="J775" s="12">
        <f t="shared" si="555"/>
        <v>0</v>
      </c>
      <c r="K775" s="12">
        <f t="shared" si="556"/>
        <v>0</v>
      </c>
      <c r="L775" s="266">
        <f t="shared" si="557"/>
        <v>0</v>
      </c>
      <c r="M775" s="266">
        <f t="shared" si="558"/>
        <v>0</v>
      </c>
      <c r="N775" s="266">
        <f t="shared" si="559"/>
        <v>0</v>
      </c>
      <c r="O775" s="266">
        <f t="shared" si="560"/>
        <v>0</v>
      </c>
      <c r="P775" s="266">
        <f t="shared" si="607"/>
        <v>0</v>
      </c>
      <c r="Q775" s="266">
        <f t="shared" si="608"/>
        <v>0</v>
      </c>
      <c r="R775" s="12">
        <f t="shared" si="561"/>
        <v>6155</v>
      </c>
      <c r="S775" s="12">
        <f t="shared" si="562"/>
        <v>0</v>
      </c>
      <c r="T775" s="12">
        <f t="shared" si="563"/>
        <v>0</v>
      </c>
      <c r="U775" s="111">
        <f t="shared" si="564"/>
        <v>0</v>
      </c>
      <c r="V775" s="111">
        <f t="shared" si="565"/>
        <v>0</v>
      </c>
      <c r="W775" s="24">
        <f t="shared" si="566"/>
        <v>0</v>
      </c>
      <c r="X775" s="24">
        <f t="shared" si="567"/>
        <v>0</v>
      </c>
      <c r="Y775" s="111">
        <f t="shared" si="568"/>
        <v>0</v>
      </c>
      <c r="Z775" s="111">
        <f t="shared" si="609"/>
        <v>0</v>
      </c>
      <c r="AA775" s="305">
        <f t="shared" si="569"/>
        <v>0</v>
      </c>
      <c r="AB775" s="111">
        <v>0</v>
      </c>
      <c r="AC775" s="111">
        <f t="shared" si="610"/>
        <v>0</v>
      </c>
      <c r="AD775" s="111">
        <v>0</v>
      </c>
      <c r="AE775" s="111">
        <f t="shared" si="570"/>
        <v>0</v>
      </c>
      <c r="AF775" s="111">
        <v>0</v>
      </c>
      <c r="AG775" s="111">
        <f t="shared" si="611"/>
        <v>0</v>
      </c>
      <c r="AH775" s="111">
        <v>0</v>
      </c>
      <c r="AI775" s="111">
        <f t="shared" si="612"/>
        <v>0</v>
      </c>
      <c r="AJ775" s="111">
        <v>0</v>
      </c>
      <c r="AK775" s="111">
        <f t="shared" si="613"/>
        <v>0</v>
      </c>
      <c r="AL775" s="111">
        <f t="shared" si="571"/>
        <v>0</v>
      </c>
      <c r="AM775" s="111">
        <f t="shared" si="572"/>
        <v>0</v>
      </c>
      <c r="AN775" s="12">
        <f t="shared" si="573"/>
        <v>0</v>
      </c>
      <c r="AO775" s="12">
        <f t="shared" si="574"/>
        <v>0</v>
      </c>
      <c r="AP775" s="12">
        <f t="shared" si="575"/>
        <v>0</v>
      </c>
      <c r="AQ775" s="12">
        <f t="shared" si="576"/>
        <v>0</v>
      </c>
      <c r="AR775" s="12">
        <f t="shared" si="577"/>
        <v>0</v>
      </c>
      <c r="AS775" s="382">
        <f t="shared" si="578"/>
        <v>0</v>
      </c>
      <c r="AT775" s="111">
        <f t="shared" si="579"/>
        <v>0</v>
      </c>
      <c r="AU775" s="111">
        <f t="shared" si="580"/>
        <v>0</v>
      </c>
      <c r="AV775" s="111">
        <f t="shared" si="581"/>
        <v>0</v>
      </c>
      <c r="AW775" s="382">
        <f t="shared" si="582"/>
        <v>0</v>
      </c>
      <c r="AX775" s="111">
        <f t="shared" si="583"/>
        <v>0</v>
      </c>
      <c r="AY775" s="382">
        <f t="shared" si="584"/>
        <v>0</v>
      </c>
      <c r="AZ775" s="111">
        <f t="shared" si="585"/>
        <v>0</v>
      </c>
      <c r="BA775" s="382">
        <f t="shared" si="614"/>
        <v>0</v>
      </c>
      <c r="BB775" s="382">
        <f t="shared" si="615"/>
        <v>0</v>
      </c>
      <c r="BC775" s="111">
        <f t="shared" si="616"/>
        <v>0</v>
      </c>
      <c r="BD775" s="111">
        <f t="shared" si="586"/>
        <v>0</v>
      </c>
      <c r="BE775" s="382">
        <f t="shared" si="587"/>
        <v>0</v>
      </c>
      <c r="BF775" s="111">
        <f t="shared" si="588"/>
        <v>0</v>
      </c>
      <c r="BG775" s="382">
        <f t="shared" si="617"/>
        <v>0</v>
      </c>
      <c r="BH775" s="111">
        <f t="shared" si="589"/>
        <v>0</v>
      </c>
      <c r="BI775" s="145">
        <f t="shared" si="590"/>
        <v>20180326</v>
      </c>
      <c r="BJ775" s="12" t="str">
        <f t="shared" si="591"/>
        <v>9999</v>
      </c>
      <c r="BK775" s="111">
        <v>0</v>
      </c>
      <c r="BL775" s="111">
        <v>0</v>
      </c>
      <c r="BM775" s="6">
        <f t="shared" si="592"/>
        <v>0</v>
      </c>
      <c r="BN775" s="6">
        <f t="shared" si="593"/>
        <v>0</v>
      </c>
      <c r="BO775" s="6">
        <f t="shared" si="594"/>
        <v>0</v>
      </c>
      <c r="BP775" s="6">
        <f t="shared" si="595"/>
        <v>0</v>
      </c>
      <c r="BQ775" s="6">
        <f t="shared" si="596"/>
        <v>0</v>
      </c>
      <c r="BR775" s="6">
        <f t="shared" si="597"/>
        <v>0</v>
      </c>
      <c r="BS775" s="6">
        <f t="shared" si="598"/>
        <v>0</v>
      </c>
      <c r="BT775" s="6">
        <f t="shared" si="599"/>
        <v>0</v>
      </c>
      <c r="BU775" s="6">
        <f t="shared" si="600"/>
        <v>0</v>
      </c>
      <c r="BV775" s="6">
        <f t="shared" si="601"/>
        <v>0</v>
      </c>
    </row>
    <row r="776" spans="1:77" s="156" customFormat="1" x14ac:dyDescent="0.25">
      <c r="A776" s="167" t="str">
        <f t="shared" si="602"/>
        <v/>
      </c>
      <c r="B776" s="604" t="str">
        <f t="shared" si="603"/>
        <v>6001</v>
      </c>
      <c r="C776" s="324" t="str">
        <f t="shared" si="604"/>
        <v>B00101</v>
      </c>
      <c r="D776" s="324" t="str">
        <f t="shared" si="605"/>
        <v>6001</v>
      </c>
      <c r="E776" s="324" t="s">
        <v>594</v>
      </c>
      <c r="F776" s="324" t="str">
        <f t="shared" si="606"/>
        <v>CZCE</v>
      </c>
      <c r="G776" s="216" t="str">
        <f>C239</f>
        <v>OI811</v>
      </c>
      <c r="H776" s="217">
        <v>1</v>
      </c>
      <c r="I776" s="324">
        <f t="shared" si="554"/>
        <v>10</v>
      </c>
      <c r="J776" s="324">
        <f t="shared" si="555"/>
        <v>2</v>
      </c>
      <c r="K776" s="324">
        <f t="shared" si="556"/>
        <v>2</v>
      </c>
      <c r="L776" s="325">
        <f t="shared" si="557"/>
        <v>0</v>
      </c>
      <c r="M776" s="325">
        <f t="shared" si="558"/>
        <v>6293.4</v>
      </c>
      <c r="N776" s="325">
        <f t="shared" si="559"/>
        <v>0</v>
      </c>
      <c r="O776" s="325">
        <f t="shared" si="560"/>
        <v>5059.4000000000005</v>
      </c>
      <c r="P776" s="325">
        <f t="shared" si="607"/>
        <v>0</v>
      </c>
      <c r="Q776" s="325">
        <f t="shared" si="608"/>
        <v>0</v>
      </c>
      <c r="R776" s="324">
        <f t="shared" si="561"/>
        <v>6160</v>
      </c>
      <c r="S776" s="12">
        <f t="shared" si="562"/>
        <v>122340</v>
      </c>
      <c r="T776" s="12">
        <f t="shared" si="563"/>
        <v>122320</v>
      </c>
      <c r="U776" s="217">
        <f t="shared" si="564"/>
        <v>0</v>
      </c>
      <c r="V776" s="217">
        <f t="shared" si="565"/>
        <v>0</v>
      </c>
      <c r="W776" s="326">
        <f t="shared" si="566"/>
        <v>0</v>
      </c>
      <c r="X776" s="326">
        <f t="shared" si="567"/>
        <v>0</v>
      </c>
      <c r="Y776" s="217">
        <f t="shared" si="568"/>
        <v>142.33000000000001</v>
      </c>
      <c r="Z776" s="217">
        <f t="shared" si="609"/>
        <v>0</v>
      </c>
      <c r="AA776" s="327">
        <f t="shared" si="569"/>
        <v>56.93</v>
      </c>
      <c r="AB776" s="217">
        <v>0</v>
      </c>
      <c r="AC776" s="217">
        <f t="shared" si="610"/>
        <v>0</v>
      </c>
      <c r="AD776" s="217">
        <v>0</v>
      </c>
      <c r="AE776" s="217">
        <f t="shared" si="570"/>
        <v>113.86</v>
      </c>
      <c r="AF776" s="217">
        <v>0</v>
      </c>
      <c r="AG776" s="217">
        <f t="shared" si="611"/>
        <v>0</v>
      </c>
      <c r="AH776" s="217">
        <v>0</v>
      </c>
      <c r="AI776" s="217">
        <f t="shared" si="612"/>
        <v>0</v>
      </c>
      <c r="AJ776" s="217">
        <v>0</v>
      </c>
      <c r="AK776" s="111">
        <f t="shared" si="613"/>
        <v>0</v>
      </c>
      <c r="AL776" s="217">
        <f t="shared" si="571"/>
        <v>0</v>
      </c>
      <c r="AM776" s="217">
        <f t="shared" si="572"/>
        <v>0</v>
      </c>
      <c r="AN776" s="324">
        <f t="shared" si="573"/>
        <v>0</v>
      </c>
      <c r="AO776" s="324">
        <f t="shared" si="574"/>
        <v>860</v>
      </c>
      <c r="AP776" s="324">
        <f t="shared" si="575"/>
        <v>-880</v>
      </c>
      <c r="AQ776" s="324">
        <f t="shared" si="576"/>
        <v>860</v>
      </c>
      <c r="AR776" s="324">
        <f t="shared" si="577"/>
        <v>-880</v>
      </c>
      <c r="AS776" s="382">
        <f t="shared" si="578"/>
        <v>2</v>
      </c>
      <c r="AT776" s="217">
        <f t="shared" si="579"/>
        <v>122340</v>
      </c>
      <c r="AU776" s="217">
        <f t="shared" si="580"/>
        <v>2</v>
      </c>
      <c r="AV776" s="217">
        <f t="shared" si="581"/>
        <v>122340</v>
      </c>
      <c r="AW776" s="382">
        <f t="shared" si="582"/>
        <v>0</v>
      </c>
      <c r="AX776" s="217">
        <f t="shared" si="583"/>
        <v>0</v>
      </c>
      <c r="AY776" s="382">
        <f t="shared" si="584"/>
        <v>0</v>
      </c>
      <c r="AZ776" s="217">
        <f t="shared" si="585"/>
        <v>0</v>
      </c>
      <c r="BA776" s="382">
        <f t="shared" si="614"/>
        <v>2</v>
      </c>
      <c r="BB776" s="382">
        <f t="shared" si="615"/>
        <v>122320</v>
      </c>
      <c r="BC776" s="217">
        <f t="shared" si="616"/>
        <v>2</v>
      </c>
      <c r="BD776" s="217">
        <f t="shared" si="586"/>
        <v>122320</v>
      </c>
      <c r="BE776" s="382">
        <f t="shared" si="587"/>
        <v>0</v>
      </c>
      <c r="BF776" s="217">
        <f t="shared" si="588"/>
        <v>0</v>
      </c>
      <c r="BG776" s="382">
        <f t="shared" si="617"/>
        <v>0</v>
      </c>
      <c r="BH776" s="217">
        <f t="shared" si="589"/>
        <v>0</v>
      </c>
      <c r="BI776" s="328">
        <f t="shared" si="590"/>
        <v>20180326</v>
      </c>
      <c r="BJ776" s="324" t="str">
        <f t="shared" si="591"/>
        <v>9999</v>
      </c>
      <c r="BK776" s="217">
        <v>0</v>
      </c>
      <c r="BL776" s="217">
        <v>0</v>
      </c>
      <c r="BM776" s="156">
        <f t="shared" si="592"/>
        <v>0</v>
      </c>
      <c r="BN776" s="156">
        <f t="shared" si="593"/>
        <v>0</v>
      </c>
      <c r="BO776" s="156">
        <f t="shared" si="594"/>
        <v>0</v>
      </c>
      <c r="BP776" s="156">
        <f t="shared" si="595"/>
        <v>6293.4</v>
      </c>
      <c r="BQ776" s="156">
        <f t="shared" si="596"/>
        <v>0</v>
      </c>
      <c r="BR776" s="156">
        <f t="shared" si="597"/>
        <v>0</v>
      </c>
      <c r="BS776" s="156">
        <f t="shared" si="598"/>
        <v>0</v>
      </c>
      <c r="BT776" s="156">
        <f t="shared" si="599"/>
        <v>5059.4000000000005</v>
      </c>
      <c r="BU776" s="156">
        <f t="shared" si="600"/>
        <v>0</v>
      </c>
      <c r="BV776" s="156">
        <f t="shared" si="601"/>
        <v>0</v>
      </c>
    </row>
    <row r="777" spans="1:77" s="156" customFormat="1" x14ac:dyDescent="0.25">
      <c r="A777" s="167" t="str">
        <f t="shared" si="602"/>
        <v>comment</v>
      </c>
      <c r="B777" s="604" t="str">
        <f t="shared" si="603"/>
        <v>6001</v>
      </c>
      <c r="C777" s="324" t="str">
        <f t="shared" si="604"/>
        <v>B00101</v>
      </c>
      <c r="D777" s="324" t="str">
        <f t="shared" si="605"/>
        <v>6001</v>
      </c>
      <c r="E777" s="324" t="s">
        <v>594</v>
      </c>
      <c r="F777" s="324" t="str">
        <f t="shared" si="606"/>
        <v>CZCE</v>
      </c>
      <c r="G777" s="216" t="str">
        <f>G776</f>
        <v>OI811</v>
      </c>
      <c r="H777" s="217">
        <v>3</v>
      </c>
      <c r="I777" s="324">
        <f t="shared" si="554"/>
        <v>10</v>
      </c>
      <c r="J777" s="324">
        <f t="shared" si="555"/>
        <v>0</v>
      </c>
      <c r="K777" s="324">
        <f t="shared" si="556"/>
        <v>0</v>
      </c>
      <c r="L777" s="325">
        <f t="shared" si="557"/>
        <v>0</v>
      </c>
      <c r="M777" s="325">
        <f t="shared" si="558"/>
        <v>0</v>
      </c>
      <c r="N777" s="325">
        <f t="shared" si="559"/>
        <v>0</v>
      </c>
      <c r="O777" s="325">
        <f t="shared" si="560"/>
        <v>0</v>
      </c>
      <c r="P777" s="325">
        <f t="shared" si="607"/>
        <v>0</v>
      </c>
      <c r="Q777" s="325">
        <f t="shared" si="608"/>
        <v>0</v>
      </c>
      <c r="R777" s="324">
        <f t="shared" si="561"/>
        <v>6160</v>
      </c>
      <c r="S777" s="12">
        <f t="shared" si="562"/>
        <v>0</v>
      </c>
      <c r="T777" s="12">
        <f t="shared" si="563"/>
        <v>0</v>
      </c>
      <c r="U777" s="217">
        <f t="shared" si="564"/>
        <v>0</v>
      </c>
      <c r="V777" s="217">
        <f t="shared" si="565"/>
        <v>0</v>
      </c>
      <c r="W777" s="326">
        <f t="shared" si="566"/>
        <v>0</v>
      </c>
      <c r="X777" s="326">
        <f t="shared" si="567"/>
        <v>0</v>
      </c>
      <c r="Y777" s="217">
        <f t="shared" si="568"/>
        <v>0</v>
      </c>
      <c r="Z777" s="217">
        <f t="shared" si="609"/>
        <v>0</v>
      </c>
      <c r="AA777" s="327">
        <f t="shared" si="569"/>
        <v>0</v>
      </c>
      <c r="AB777" s="217">
        <v>0</v>
      </c>
      <c r="AC777" s="217">
        <f t="shared" si="610"/>
        <v>0</v>
      </c>
      <c r="AD777" s="217">
        <v>0</v>
      </c>
      <c r="AE777" s="217">
        <f t="shared" si="570"/>
        <v>0</v>
      </c>
      <c r="AF777" s="217">
        <v>0</v>
      </c>
      <c r="AG777" s="217">
        <f t="shared" si="611"/>
        <v>0</v>
      </c>
      <c r="AH777" s="217">
        <v>0</v>
      </c>
      <c r="AI777" s="217">
        <f t="shared" si="612"/>
        <v>0</v>
      </c>
      <c r="AJ777" s="217">
        <v>0</v>
      </c>
      <c r="AK777" s="111">
        <f t="shared" si="613"/>
        <v>0</v>
      </c>
      <c r="AL777" s="217">
        <f t="shared" si="571"/>
        <v>0</v>
      </c>
      <c r="AM777" s="217">
        <f t="shared" si="572"/>
        <v>0</v>
      </c>
      <c r="AN777" s="324">
        <f t="shared" si="573"/>
        <v>0</v>
      </c>
      <c r="AO777" s="324">
        <f t="shared" si="574"/>
        <v>0</v>
      </c>
      <c r="AP777" s="324">
        <f t="shared" si="575"/>
        <v>0</v>
      </c>
      <c r="AQ777" s="324">
        <f t="shared" si="576"/>
        <v>0</v>
      </c>
      <c r="AR777" s="324">
        <f t="shared" si="577"/>
        <v>0</v>
      </c>
      <c r="AS777" s="382">
        <f t="shared" si="578"/>
        <v>0</v>
      </c>
      <c r="AT777" s="217">
        <f t="shared" si="579"/>
        <v>0</v>
      </c>
      <c r="AU777" s="217">
        <f t="shared" si="580"/>
        <v>0</v>
      </c>
      <c r="AV777" s="217">
        <f t="shared" si="581"/>
        <v>0</v>
      </c>
      <c r="AW777" s="382">
        <f t="shared" si="582"/>
        <v>0</v>
      </c>
      <c r="AX777" s="217">
        <f t="shared" si="583"/>
        <v>0</v>
      </c>
      <c r="AY777" s="382">
        <f t="shared" si="584"/>
        <v>0</v>
      </c>
      <c r="AZ777" s="217">
        <f t="shared" si="585"/>
        <v>0</v>
      </c>
      <c r="BA777" s="382">
        <f t="shared" si="614"/>
        <v>0</v>
      </c>
      <c r="BB777" s="382">
        <f t="shared" si="615"/>
        <v>0</v>
      </c>
      <c r="BC777" s="217">
        <f t="shared" si="616"/>
        <v>0</v>
      </c>
      <c r="BD777" s="217">
        <f t="shared" si="586"/>
        <v>0</v>
      </c>
      <c r="BE777" s="382">
        <f t="shared" si="587"/>
        <v>0</v>
      </c>
      <c r="BF777" s="217">
        <f t="shared" si="588"/>
        <v>0</v>
      </c>
      <c r="BG777" s="382">
        <f t="shared" si="617"/>
        <v>0</v>
      </c>
      <c r="BH777" s="217">
        <f t="shared" si="589"/>
        <v>0</v>
      </c>
      <c r="BI777" s="328">
        <f t="shared" si="590"/>
        <v>20180326</v>
      </c>
      <c r="BJ777" s="324" t="str">
        <f t="shared" si="591"/>
        <v>9999</v>
      </c>
      <c r="BK777" s="217">
        <v>0</v>
      </c>
      <c r="BL777" s="217">
        <v>0</v>
      </c>
      <c r="BM777" s="156">
        <f t="shared" si="592"/>
        <v>0</v>
      </c>
      <c r="BN777" s="156">
        <f t="shared" si="593"/>
        <v>0</v>
      </c>
      <c r="BO777" s="156">
        <f t="shared" si="594"/>
        <v>0</v>
      </c>
      <c r="BP777" s="156">
        <f t="shared" si="595"/>
        <v>0</v>
      </c>
      <c r="BQ777" s="156">
        <f t="shared" si="596"/>
        <v>0</v>
      </c>
      <c r="BR777" s="156">
        <f t="shared" si="597"/>
        <v>0</v>
      </c>
      <c r="BS777" s="156">
        <f t="shared" si="598"/>
        <v>0</v>
      </c>
      <c r="BT777" s="156">
        <f t="shared" si="599"/>
        <v>0</v>
      </c>
      <c r="BU777" s="156">
        <f t="shared" si="600"/>
        <v>0</v>
      </c>
      <c r="BV777" s="156">
        <f t="shared" si="601"/>
        <v>0</v>
      </c>
    </row>
    <row r="778" spans="1:77" s="329" customFormat="1" x14ac:dyDescent="0.25">
      <c r="A778" s="167" t="str">
        <f t="shared" si="602"/>
        <v/>
      </c>
      <c r="B778" s="605" t="str">
        <f t="shared" si="603"/>
        <v>6001</v>
      </c>
      <c r="C778" s="330" t="str">
        <f>$C$9</f>
        <v>B00102</v>
      </c>
      <c r="D778" s="330" t="str">
        <f t="shared" si="605"/>
        <v>6001</v>
      </c>
      <c r="E778" s="330" t="s">
        <v>594</v>
      </c>
      <c r="F778" s="330" t="str">
        <f t="shared" si="606"/>
        <v>CZCE</v>
      </c>
      <c r="G778" s="217" t="str">
        <f>C240</f>
        <v>PTA807</v>
      </c>
      <c r="H778" s="217">
        <v>1</v>
      </c>
      <c r="I778" s="330">
        <f t="shared" si="554"/>
        <v>5</v>
      </c>
      <c r="J778" s="330">
        <f t="shared" si="555"/>
        <v>6</v>
      </c>
      <c r="K778" s="330">
        <f t="shared" si="556"/>
        <v>8</v>
      </c>
      <c r="L778" s="325">
        <f t="shared" si="557"/>
        <v>4855.5</v>
      </c>
      <c r="M778" s="325">
        <f t="shared" si="558"/>
        <v>15957.59</v>
      </c>
      <c r="N778" s="325">
        <f t="shared" si="559"/>
        <v>4237</v>
      </c>
      <c r="O778" s="325">
        <f t="shared" si="560"/>
        <v>13143.41</v>
      </c>
      <c r="P778" s="325">
        <f t="shared" si="607"/>
        <v>7675</v>
      </c>
      <c r="Q778" s="325">
        <f t="shared" si="608"/>
        <v>6140</v>
      </c>
      <c r="R778" s="330">
        <f t="shared" si="561"/>
        <v>6165</v>
      </c>
      <c r="S778" s="12">
        <f t="shared" si="562"/>
        <v>187400</v>
      </c>
      <c r="T778" s="12">
        <f t="shared" si="563"/>
        <v>244840</v>
      </c>
      <c r="U778" s="217">
        <f t="shared" si="564"/>
        <v>0</v>
      </c>
      <c r="V778" s="217">
        <f t="shared" si="565"/>
        <v>0</v>
      </c>
      <c r="W778" s="326">
        <f t="shared" si="566"/>
        <v>0</v>
      </c>
      <c r="X778" s="326">
        <f t="shared" si="567"/>
        <v>0</v>
      </c>
      <c r="Y778" s="217">
        <f t="shared" si="568"/>
        <v>485.06</v>
      </c>
      <c r="Z778" s="217">
        <f t="shared" si="609"/>
        <v>0</v>
      </c>
      <c r="AA778" s="327">
        <f t="shared" si="569"/>
        <v>228.13</v>
      </c>
      <c r="AB778" s="217">
        <v>0</v>
      </c>
      <c r="AC778" s="217">
        <f t="shared" si="610"/>
        <v>0</v>
      </c>
      <c r="AD778" s="217">
        <v>0</v>
      </c>
      <c r="AE778" s="217">
        <f t="shared" si="570"/>
        <v>371</v>
      </c>
      <c r="AF778" s="217">
        <v>0</v>
      </c>
      <c r="AG778" s="217">
        <f t="shared" si="611"/>
        <v>0</v>
      </c>
      <c r="AH778" s="217">
        <v>0</v>
      </c>
      <c r="AI778" s="217">
        <f t="shared" si="612"/>
        <v>0</v>
      </c>
      <c r="AJ778" s="217">
        <v>0</v>
      </c>
      <c r="AK778" s="111">
        <f t="shared" si="613"/>
        <v>0</v>
      </c>
      <c r="AL778" s="217">
        <f t="shared" si="571"/>
        <v>20</v>
      </c>
      <c r="AM778" s="217">
        <f t="shared" si="572"/>
        <v>0</v>
      </c>
      <c r="AN778" s="330">
        <f t="shared" si="573"/>
        <v>20</v>
      </c>
      <c r="AO778" s="330">
        <f t="shared" si="574"/>
        <v>-2450</v>
      </c>
      <c r="AP778" s="330">
        <f t="shared" si="575"/>
        <v>-1760</v>
      </c>
      <c r="AQ778" s="330">
        <f t="shared" si="576"/>
        <v>-2450</v>
      </c>
      <c r="AR778" s="330">
        <f t="shared" si="577"/>
        <v>-1760</v>
      </c>
      <c r="AS778" s="382">
        <f t="shared" si="578"/>
        <v>13</v>
      </c>
      <c r="AT778" s="217">
        <f t="shared" si="579"/>
        <v>401600</v>
      </c>
      <c r="AU778" s="217">
        <f t="shared" si="580"/>
        <v>13</v>
      </c>
      <c r="AV778" s="217">
        <f t="shared" si="581"/>
        <v>401600</v>
      </c>
      <c r="AW778" s="382">
        <f t="shared" si="582"/>
        <v>0</v>
      </c>
      <c r="AX778" s="217">
        <f t="shared" si="583"/>
        <v>0</v>
      </c>
      <c r="AY778" s="382">
        <f t="shared" si="584"/>
        <v>0</v>
      </c>
      <c r="AZ778" s="217">
        <f t="shared" si="585"/>
        <v>0</v>
      </c>
      <c r="BA778" s="382">
        <f t="shared" si="614"/>
        <v>15</v>
      </c>
      <c r="BB778" s="382">
        <f t="shared" si="615"/>
        <v>459060</v>
      </c>
      <c r="BC778" s="217">
        <f t="shared" si="616"/>
        <v>8</v>
      </c>
      <c r="BD778" s="217">
        <f t="shared" si="586"/>
        <v>244840</v>
      </c>
      <c r="BE778" s="382">
        <f t="shared" si="587"/>
        <v>0</v>
      </c>
      <c r="BF778" s="217">
        <f t="shared" si="588"/>
        <v>0</v>
      </c>
      <c r="BG778" s="382">
        <f t="shared" si="617"/>
        <v>7</v>
      </c>
      <c r="BH778" s="217">
        <f t="shared" si="589"/>
        <v>214220</v>
      </c>
      <c r="BI778" s="328">
        <f t="shared" si="590"/>
        <v>20180326</v>
      </c>
      <c r="BJ778" s="330" t="str">
        <f t="shared" si="591"/>
        <v>9999</v>
      </c>
      <c r="BK778" s="217">
        <v>0</v>
      </c>
      <c r="BL778" s="217">
        <v>0</v>
      </c>
      <c r="BM778" s="329">
        <f t="shared" si="592"/>
        <v>4638.75</v>
      </c>
      <c r="BN778" s="329">
        <f t="shared" si="593"/>
        <v>7885.88</v>
      </c>
      <c r="BO778" s="329">
        <f t="shared" si="594"/>
        <v>4855.5</v>
      </c>
      <c r="BP778" s="329">
        <f t="shared" si="595"/>
        <v>8071.7099999999991</v>
      </c>
      <c r="BQ778" s="329">
        <f t="shared" si="596"/>
        <v>3711</v>
      </c>
      <c r="BR778" s="329">
        <f t="shared" si="597"/>
        <v>6339.63</v>
      </c>
      <c r="BS778" s="329">
        <f t="shared" si="598"/>
        <v>4237</v>
      </c>
      <c r="BT778" s="329">
        <f t="shared" si="599"/>
        <v>6803.7800000000007</v>
      </c>
      <c r="BU778" s="329">
        <f t="shared" si="600"/>
        <v>0</v>
      </c>
      <c r="BV778" s="329">
        <f t="shared" si="601"/>
        <v>1</v>
      </c>
    </row>
    <row r="779" spans="1:77" s="329" customFormat="1" x14ac:dyDescent="0.25">
      <c r="A779" s="167" t="str">
        <f t="shared" si="602"/>
        <v/>
      </c>
      <c r="B779" s="605" t="str">
        <f t="shared" si="603"/>
        <v>6001</v>
      </c>
      <c r="C779" s="330" t="str">
        <f t="shared" ref="C779:C787" si="618">$C$9</f>
        <v>B00102</v>
      </c>
      <c r="D779" s="330" t="str">
        <f t="shared" si="605"/>
        <v>6001</v>
      </c>
      <c r="E779" s="330" t="s">
        <v>594</v>
      </c>
      <c r="F779" s="330" t="str">
        <f t="shared" si="606"/>
        <v>CZCE</v>
      </c>
      <c r="G779" s="217" t="str">
        <f>G778</f>
        <v>PTA807</v>
      </c>
      <c r="H779" s="217">
        <v>3</v>
      </c>
      <c r="I779" s="330">
        <f t="shared" si="554"/>
        <v>5</v>
      </c>
      <c r="J779" s="330">
        <f t="shared" si="555"/>
        <v>7</v>
      </c>
      <c r="K779" s="330">
        <f t="shared" si="556"/>
        <v>6</v>
      </c>
      <c r="L779" s="325">
        <f t="shared" si="557"/>
        <v>0</v>
      </c>
      <c r="M779" s="325">
        <f t="shared" si="558"/>
        <v>9834.15</v>
      </c>
      <c r="N779" s="325">
        <f t="shared" si="559"/>
        <v>0</v>
      </c>
      <c r="O779" s="325">
        <f t="shared" si="560"/>
        <v>7978.65</v>
      </c>
      <c r="P779" s="325">
        <f t="shared" si="607"/>
        <v>6385.6</v>
      </c>
      <c r="Q779" s="325">
        <f t="shared" si="608"/>
        <v>5157.6000000000004</v>
      </c>
      <c r="R779" s="330">
        <f t="shared" si="561"/>
        <v>6165</v>
      </c>
      <c r="S779" s="12">
        <f t="shared" si="562"/>
        <v>223680</v>
      </c>
      <c r="T779" s="12">
        <f t="shared" si="563"/>
        <v>183570</v>
      </c>
      <c r="U779" s="217">
        <f t="shared" si="564"/>
        <v>0</v>
      </c>
      <c r="V779" s="217">
        <f t="shared" si="565"/>
        <v>0</v>
      </c>
      <c r="W779" s="326">
        <f t="shared" si="566"/>
        <v>0</v>
      </c>
      <c r="X779" s="326">
        <f t="shared" si="567"/>
        <v>0</v>
      </c>
      <c r="Y779" s="217">
        <f t="shared" si="568"/>
        <v>382.29</v>
      </c>
      <c r="Z779" s="217">
        <f t="shared" si="609"/>
        <v>0</v>
      </c>
      <c r="AA779" s="327">
        <f t="shared" si="569"/>
        <v>172.4</v>
      </c>
      <c r="AB779" s="217">
        <v>0</v>
      </c>
      <c r="AC779" s="217">
        <f t="shared" si="610"/>
        <v>0</v>
      </c>
      <c r="AD779" s="217">
        <v>0</v>
      </c>
      <c r="AE779" s="217">
        <f t="shared" si="570"/>
        <v>382.29</v>
      </c>
      <c r="AF779" s="217">
        <v>0</v>
      </c>
      <c r="AG779" s="217">
        <f t="shared" si="611"/>
        <v>0</v>
      </c>
      <c r="AH779" s="217">
        <v>0</v>
      </c>
      <c r="AI779" s="217">
        <f t="shared" si="612"/>
        <v>0</v>
      </c>
      <c r="AJ779" s="217">
        <v>0</v>
      </c>
      <c r="AK779" s="111">
        <f t="shared" si="613"/>
        <v>0</v>
      </c>
      <c r="AL779" s="217">
        <f t="shared" si="571"/>
        <v>40</v>
      </c>
      <c r="AM779" s="217">
        <f t="shared" si="572"/>
        <v>0</v>
      </c>
      <c r="AN779" s="330">
        <f t="shared" si="573"/>
        <v>40</v>
      </c>
      <c r="AO779" s="330">
        <f t="shared" si="574"/>
        <v>-7905</v>
      </c>
      <c r="AP779" s="330">
        <f t="shared" si="575"/>
        <v>-1380</v>
      </c>
      <c r="AQ779" s="330">
        <f t="shared" si="576"/>
        <v>-7905</v>
      </c>
      <c r="AR779" s="330">
        <f t="shared" si="577"/>
        <v>-1380</v>
      </c>
      <c r="AS779" s="382">
        <f t="shared" si="578"/>
        <v>11</v>
      </c>
      <c r="AT779" s="217">
        <f t="shared" si="579"/>
        <v>346040</v>
      </c>
      <c r="AU779" s="217">
        <f t="shared" si="580"/>
        <v>11</v>
      </c>
      <c r="AV779" s="217">
        <f t="shared" si="581"/>
        <v>346040</v>
      </c>
      <c r="AW779" s="382">
        <f t="shared" si="582"/>
        <v>0</v>
      </c>
      <c r="AX779" s="217">
        <f t="shared" si="583"/>
        <v>0</v>
      </c>
      <c r="AY779" s="382">
        <f t="shared" si="584"/>
        <v>0</v>
      </c>
      <c r="AZ779" s="217">
        <f t="shared" si="585"/>
        <v>0</v>
      </c>
      <c r="BA779" s="382">
        <f t="shared" si="614"/>
        <v>10</v>
      </c>
      <c r="BB779" s="382">
        <f t="shared" si="615"/>
        <v>305970</v>
      </c>
      <c r="BC779" s="217">
        <f t="shared" si="616"/>
        <v>6</v>
      </c>
      <c r="BD779" s="217">
        <f t="shared" si="586"/>
        <v>183570</v>
      </c>
      <c r="BE779" s="382">
        <f t="shared" si="587"/>
        <v>0</v>
      </c>
      <c r="BF779" s="217">
        <f t="shared" si="588"/>
        <v>0</v>
      </c>
      <c r="BG779" s="382">
        <f t="shared" si="617"/>
        <v>4</v>
      </c>
      <c r="BH779" s="217">
        <f t="shared" si="589"/>
        <v>122400</v>
      </c>
      <c r="BI779" s="328">
        <f t="shared" si="590"/>
        <v>20180326</v>
      </c>
      <c r="BJ779" s="330" t="str">
        <f t="shared" si="591"/>
        <v>9999</v>
      </c>
      <c r="BK779" s="217">
        <v>0</v>
      </c>
      <c r="BL779" s="217">
        <v>0</v>
      </c>
      <c r="BM779" s="329">
        <f t="shared" si="592"/>
        <v>11256.7</v>
      </c>
      <c r="BN779" s="329">
        <f t="shared" si="593"/>
        <v>9834.15</v>
      </c>
      <c r="BO779" s="329">
        <f t="shared" si="594"/>
        <v>0</v>
      </c>
      <c r="BP779" s="329">
        <f t="shared" si="595"/>
        <v>0</v>
      </c>
      <c r="BQ779" s="329">
        <f t="shared" si="596"/>
        <v>9091.9500000000007</v>
      </c>
      <c r="BR779" s="329">
        <f t="shared" si="597"/>
        <v>7978.65</v>
      </c>
      <c r="BS779" s="329">
        <f t="shared" si="598"/>
        <v>0</v>
      </c>
      <c r="BT779" s="329">
        <f t="shared" si="599"/>
        <v>0</v>
      </c>
      <c r="BU779" s="329">
        <f t="shared" si="600"/>
        <v>0</v>
      </c>
      <c r="BV779" s="329">
        <f t="shared" si="601"/>
        <v>1</v>
      </c>
    </row>
    <row r="780" spans="1:77" s="329" customFormat="1" x14ac:dyDescent="0.25">
      <c r="A780" s="167" t="str">
        <f t="shared" si="602"/>
        <v/>
      </c>
      <c r="B780" s="605" t="str">
        <f t="shared" si="603"/>
        <v>6001</v>
      </c>
      <c r="C780" s="330" t="str">
        <f t="shared" si="618"/>
        <v>B00102</v>
      </c>
      <c r="D780" s="330" t="str">
        <f t="shared" si="605"/>
        <v>6001</v>
      </c>
      <c r="E780" s="330" t="s">
        <v>594</v>
      </c>
      <c r="F780" s="330" t="str">
        <f t="shared" si="606"/>
        <v>CZCE</v>
      </c>
      <c r="G780" s="216" t="str">
        <f>C241</f>
        <v>PTA809</v>
      </c>
      <c r="H780" s="217">
        <v>1</v>
      </c>
      <c r="I780" s="330">
        <f t="shared" si="554"/>
        <v>5</v>
      </c>
      <c r="J780" s="330">
        <f t="shared" si="555"/>
        <v>2</v>
      </c>
      <c r="K780" s="330">
        <f t="shared" si="556"/>
        <v>2</v>
      </c>
      <c r="L780" s="325">
        <f t="shared" si="557"/>
        <v>0</v>
      </c>
      <c r="M780" s="325">
        <f t="shared" si="558"/>
        <v>3156.9</v>
      </c>
      <c r="N780" s="325">
        <f t="shared" si="559"/>
        <v>0</v>
      </c>
      <c r="O780" s="325">
        <f t="shared" si="560"/>
        <v>2537.9</v>
      </c>
      <c r="P780" s="325">
        <f t="shared" si="607"/>
        <v>0</v>
      </c>
      <c r="Q780" s="325">
        <f t="shared" si="608"/>
        <v>0</v>
      </c>
      <c r="R780" s="330">
        <f t="shared" si="561"/>
        <v>6170</v>
      </c>
      <c r="S780" s="12">
        <f t="shared" si="562"/>
        <v>61240</v>
      </c>
      <c r="T780" s="12">
        <f t="shared" si="563"/>
        <v>61250</v>
      </c>
      <c r="U780" s="217">
        <f t="shared" si="564"/>
        <v>0</v>
      </c>
      <c r="V780" s="217">
        <f t="shared" si="565"/>
        <v>0</v>
      </c>
      <c r="W780" s="326">
        <f t="shared" si="566"/>
        <v>0</v>
      </c>
      <c r="X780" s="326">
        <f t="shared" si="567"/>
        <v>0</v>
      </c>
      <c r="Y780" s="217">
        <f t="shared" si="568"/>
        <v>81.25</v>
      </c>
      <c r="Z780" s="217">
        <f t="shared" si="609"/>
        <v>0</v>
      </c>
      <c r="AA780" s="327">
        <f t="shared" si="569"/>
        <v>32.5</v>
      </c>
      <c r="AB780" s="217">
        <v>0</v>
      </c>
      <c r="AC780" s="217">
        <f t="shared" si="610"/>
        <v>0</v>
      </c>
      <c r="AD780" s="217">
        <v>0</v>
      </c>
      <c r="AE780" s="217">
        <f t="shared" si="570"/>
        <v>65</v>
      </c>
      <c r="AF780" s="217">
        <v>0</v>
      </c>
      <c r="AG780" s="217">
        <f t="shared" si="611"/>
        <v>0</v>
      </c>
      <c r="AH780" s="217">
        <v>0</v>
      </c>
      <c r="AI780" s="217">
        <f t="shared" si="612"/>
        <v>0</v>
      </c>
      <c r="AJ780" s="217">
        <v>0</v>
      </c>
      <c r="AK780" s="111">
        <f t="shared" si="613"/>
        <v>0</v>
      </c>
      <c r="AL780" s="217">
        <f t="shared" si="571"/>
        <v>0</v>
      </c>
      <c r="AM780" s="217">
        <f t="shared" si="572"/>
        <v>0</v>
      </c>
      <c r="AN780" s="330">
        <f t="shared" si="573"/>
        <v>0</v>
      </c>
      <c r="AO780" s="330">
        <f t="shared" si="574"/>
        <v>460</v>
      </c>
      <c r="AP780" s="330">
        <f t="shared" si="575"/>
        <v>-450</v>
      </c>
      <c r="AQ780" s="330">
        <f t="shared" si="576"/>
        <v>460</v>
      </c>
      <c r="AR780" s="330">
        <f t="shared" si="577"/>
        <v>-450</v>
      </c>
      <c r="AS780" s="382">
        <f t="shared" si="578"/>
        <v>2</v>
      </c>
      <c r="AT780" s="217">
        <f t="shared" si="579"/>
        <v>61240</v>
      </c>
      <c r="AU780" s="217">
        <f t="shared" si="580"/>
        <v>2</v>
      </c>
      <c r="AV780" s="217">
        <f t="shared" si="581"/>
        <v>61240</v>
      </c>
      <c r="AW780" s="382">
        <f t="shared" si="582"/>
        <v>0</v>
      </c>
      <c r="AX780" s="217">
        <f t="shared" si="583"/>
        <v>0</v>
      </c>
      <c r="AY780" s="382">
        <f t="shared" si="584"/>
        <v>0</v>
      </c>
      <c r="AZ780" s="217">
        <f t="shared" si="585"/>
        <v>0</v>
      </c>
      <c r="BA780" s="382">
        <f t="shared" si="614"/>
        <v>2</v>
      </c>
      <c r="BB780" s="382">
        <f t="shared" si="615"/>
        <v>61250</v>
      </c>
      <c r="BC780" s="217">
        <f t="shared" si="616"/>
        <v>2</v>
      </c>
      <c r="BD780" s="217">
        <f t="shared" si="586"/>
        <v>61250</v>
      </c>
      <c r="BE780" s="382">
        <f t="shared" si="587"/>
        <v>0</v>
      </c>
      <c r="BF780" s="217">
        <f t="shared" si="588"/>
        <v>0</v>
      </c>
      <c r="BG780" s="382">
        <f t="shared" si="617"/>
        <v>0</v>
      </c>
      <c r="BH780" s="217">
        <f t="shared" si="589"/>
        <v>0</v>
      </c>
      <c r="BI780" s="328">
        <f t="shared" si="590"/>
        <v>20180326</v>
      </c>
      <c r="BJ780" s="330" t="str">
        <f t="shared" si="591"/>
        <v>9999</v>
      </c>
      <c r="BK780" s="217">
        <v>0</v>
      </c>
      <c r="BL780" s="217">
        <v>0</v>
      </c>
      <c r="BM780" s="329">
        <f t="shared" si="592"/>
        <v>0</v>
      </c>
      <c r="BN780" s="329">
        <f t="shared" si="593"/>
        <v>0</v>
      </c>
      <c r="BO780" s="329">
        <f t="shared" si="594"/>
        <v>0</v>
      </c>
      <c r="BP780" s="329">
        <f t="shared" si="595"/>
        <v>3156.9</v>
      </c>
      <c r="BQ780" s="329">
        <f t="shared" si="596"/>
        <v>0</v>
      </c>
      <c r="BR780" s="329">
        <f t="shared" si="597"/>
        <v>0</v>
      </c>
      <c r="BS780" s="329">
        <f t="shared" si="598"/>
        <v>0</v>
      </c>
      <c r="BT780" s="329">
        <f t="shared" si="599"/>
        <v>2537.9</v>
      </c>
      <c r="BU780" s="329">
        <f t="shared" si="600"/>
        <v>0</v>
      </c>
      <c r="BV780" s="329">
        <f t="shared" si="601"/>
        <v>1</v>
      </c>
    </row>
    <row r="781" spans="1:77" s="329" customFormat="1" x14ac:dyDescent="0.25">
      <c r="A781" s="167" t="str">
        <f t="shared" si="602"/>
        <v>comment</v>
      </c>
      <c r="B781" s="605" t="str">
        <f t="shared" si="603"/>
        <v>6001</v>
      </c>
      <c r="C781" s="330" t="str">
        <f t="shared" si="618"/>
        <v>B00102</v>
      </c>
      <c r="D781" s="330" t="str">
        <f t="shared" si="605"/>
        <v>6001</v>
      </c>
      <c r="E781" s="330" t="s">
        <v>594</v>
      </c>
      <c r="F781" s="330" t="str">
        <f t="shared" si="606"/>
        <v>CZCE</v>
      </c>
      <c r="G781" s="216" t="str">
        <f>G780</f>
        <v>PTA809</v>
      </c>
      <c r="H781" s="217">
        <v>3</v>
      </c>
      <c r="I781" s="330">
        <f t="shared" si="554"/>
        <v>5</v>
      </c>
      <c r="J781" s="330">
        <f t="shared" si="555"/>
        <v>0</v>
      </c>
      <c r="K781" s="330">
        <f t="shared" si="556"/>
        <v>0</v>
      </c>
      <c r="L781" s="325">
        <f t="shared" si="557"/>
        <v>0</v>
      </c>
      <c r="M781" s="325">
        <f t="shared" si="558"/>
        <v>0</v>
      </c>
      <c r="N781" s="325">
        <f t="shared" si="559"/>
        <v>0</v>
      </c>
      <c r="O781" s="325">
        <f t="shared" si="560"/>
        <v>0</v>
      </c>
      <c r="P781" s="325">
        <f>SUMPRODUCT(($D$607:$D$609=C781)*($E$607:$E$609=D781)*($H$607:$H$609=G781)*($K$607:$K$609=H781)*($V$607:$V$609))</f>
        <v>0</v>
      </c>
      <c r="Q781" s="325">
        <f t="shared" si="608"/>
        <v>0</v>
      </c>
      <c r="R781" s="330">
        <f t="shared" si="561"/>
        <v>6170</v>
      </c>
      <c r="S781" s="12">
        <f t="shared" si="562"/>
        <v>0</v>
      </c>
      <c r="T781" s="12">
        <f t="shared" si="563"/>
        <v>0</v>
      </c>
      <c r="U781" s="217">
        <f t="shared" si="564"/>
        <v>0</v>
      </c>
      <c r="V781" s="217">
        <f t="shared" si="565"/>
        <v>0</v>
      </c>
      <c r="W781" s="326">
        <f t="shared" si="566"/>
        <v>0</v>
      </c>
      <c r="X781" s="326">
        <f t="shared" si="567"/>
        <v>0</v>
      </c>
      <c r="Y781" s="217">
        <f t="shared" si="568"/>
        <v>0</v>
      </c>
      <c r="Z781" s="217">
        <f t="shared" si="609"/>
        <v>0</v>
      </c>
      <c r="AA781" s="327">
        <f t="shared" si="569"/>
        <v>0</v>
      </c>
      <c r="AB781" s="217">
        <v>0</v>
      </c>
      <c r="AC781" s="217">
        <f t="shared" si="610"/>
        <v>0</v>
      </c>
      <c r="AD781" s="217">
        <v>0</v>
      </c>
      <c r="AE781" s="217">
        <f t="shared" si="570"/>
        <v>0</v>
      </c>
      <c r="AF781" s="217">
        <v>0</v>
      </c>
      <c r="AG781" s="217">
        <f t="shared" si="611"/>
        <v>0</v>
      </c>
      <c r="AH781" s="217">
        <v>0</v>
      </c>
      <c r="AI781" s="217">
        <f t="shared" si="612"/>
        <v>0</v>
      </c>
      <c r="AJ781" s="217">
        <v>0</v>
      </c>
      <c r="AK781" s="111">
        <f t="shared" si="613"/>
        <v>0</v>
      </c>
      <c r="AL781" s="217">
        <f t="shared" si="571"/>
        <v>0</v>
      </c>
      <c r="AM781" s="217">
        <f t="shared" si="572"/>
        <v>0</v>
      </c>
      <c r="AN781" s="330">
        <f t="shared" si="573"/>
        <v>0</v>
      </c>
      <c r="AO781" s="330">
        <f t="shared" si="574"/>
        <v>0</v>
      </c>
      <c r="AP781" s="330">
        <f t="shared" si="575"/>
        <v>0</v>
      </c>
      <c r="AQ781" s="330">
        <f t="shared" si="576"/>
        <v>0</v>
      </c>
      <c r="AR781" s="330">
        <f t="shared" si="577"/>
        <v>0</v>
      </c>
      <c r="AS781" s="382">
        <f t="shared" si="578"/>
        <v>0</v>
      </c>
      <c r="AT781" s="217">
        <f t="shared" si="579"/>
        <v>0</v>
      </c>
      <c r="AU781" s="217">
        <f t="shared" si="580"/>
        <v>0</v>
      </c>
      <c r="AV781" s="217">
        <f t="shared" si="581"/>
        <v>0</v>
      </c>
      <c r="AW781" s="382">
        <f t="shared" si="582"/>
        <v>0</v>
      </c>
      <c r="AX781" s="217">
        <f t="shared" si="583"/>
        <v>0</v>
      </c>
      <c r="AY781" s="382">
        <f t="shared" si="584"/>
        <v>0</v>
      </c>
      <c r="AZ781" s="217">
        <f t="shared" si="585"/>
        <v>0</v>
      </c>
      <c r="BA781" s="382">
        <f t="shared" si="614"/>
        <v>0</v>
      </c>
      <c r="BB781" s="382">
        <f t="shared" si="615"/>
        <v>0</v>
      </c>
      <c r="BC781" s="217">
        <f t="shared" si="616"/>
        <v>0</v>
      </c>
      <c r="BD781" s="217">
        <f t="shared" si="586"/>
        <v>0</v>
      </c>
      <c r="BE781" s="382">
        <f t="shared" si="587"/>
        <v>0</v>
      </c>
      <c r="BF781" s="217">
        <f t="shared" si="588"/>
        <v>0</v>
      </c>
      <c r="BG781" s="382">
        <f t="shared" si="617"/>
        <v>0</v>
      </c>
      <c r="BH781" s="217">
        <f t="shared" si="589"/>
        <v>0</v>
      </c>
      <c r="BI781" s="328">
        <f t="shared" si="590"/>
        <v>20180326</v>
      </c>
      <c r="BJ781" s="330" t="str">
        <f t="shared" si="591"/>
        <v>9999</v>
      </c>
      <c r="BK781" s="217">
        <v>0</v>
      </c>
      <c r="BL781" s="217">
        <v>0</v>
      </c>
      <c r="BM781" s="329">
        <f t="shared" si="592"/>
        <v>0</v>
      </c>
      <c r="BN781" s="329">
        <f t="shared" si="593"/>
        <v>0</v>
      </c>
      <c r="BO781" s="329">
        <f t="shared" si="594"/>
        <v>0</v>
      </c>
      <c r="BP781" s="329">
        <f t="shared" si="595"/>
        <v>0</v>
      </c>
      <c r="BQ781" s="329">
        <f t="shared" si="596"/>
        <v>0</v>
      </c>
      <c r="BR781" s="329">
        <f t="shared" si="597"/>
        <v>0</v>
      </c>
      <c r="BS781" s="329">
        <f t="shared" si="598"/>
        <v>0</v>
      </c>
      <c r="BT781" s="329">
        <f t="shared" si="599"/>
        <v>0</v>
      </c>
      <c r="BU781" s="329">
        <f t="shared" si="600"/>
        <v>0</v>
      </c>
      <c r="BV781" s="329">
        <f t="shared" si="601"/>
        <v>1</v>
      </c>
    </row>
    <row r="782" spans="1:77" s="496" customFormat="1" x14ac:dyDescent="0.25">
      <c r="A782" s="197" t="str">
        <f t="shared" si="602"/>
        <v/>
      </c>
      <c r="B782" s="606" t="str">
        <f t="shared" si="603"/>
        <v>6001</v>
      </c>
      <c r="C782" s="489" t="str">
        <f t="shared" si="618"/>
        <v>B00102</v>
      </c>
      <c r="D782" s="489" t="str">
        <f t="shared" si="605"/>
        <v>6001</v>
      </c>
      <c r="E782" s="489" t="s">
        <v>228</v>
      </c>
      <c r="F782" s="489" t="str">
        <f t="shared" si="606"/>
        <v>CZCE</v>
      </c>
      <c r="G782" s="490" t="str">
        <f>C27</f>
        <v>PTA807C6500</v>
      </c>
      <c r="H782" s="491">
        <v>1</v>
      </c>
      <c r="I782" s="489">
        <f t="shared" si="554"/>
        <v>5</v>
      </c>
      <c r="J782" s="489">
        <f t="shared" si="555"/>
        <v>8</v>
      </c>
      <c r="K782" s="489">
        <f t="shared" si="556"/>
        <v>8</v>
      </c>
      <c r="L782" s="492">
        <f t="shared" si="557"/>
        <v>0</v>
      </c>
      <c r="M782" s="492">
        <f t="shared" si="558"/>
        <v>16319.44</v>
      </c>
      <c r="N782" s="492">
        <f t="shared" si="559"/>
        <v>0</v>
      </c>
      <c r="O782" s="492">
        <f t="shared" si="560"/>
        <v>14535.85</v>
      </c>
      <c r="P782" s="492">
        <f>SUMPRODUCT(($D$607:$D$609=C782)*($E$607:$E$609=D782)*($H$607:$H$609=G782)*($K$607:$K$609=H782)*($V$607:$V$609))</f>
        <v>0</v>
      </c>
      <c r="Q782" s="492">
        <f t="shared" si="608"/>
        <v>0</v>
      </c>
      <c r="R782" s="489">
        <f t="shared" si="561"/>
        <v>600</v>
      </c>
      <c r="S782" s="29">
        <f t="shared" si="562"/>
        <v>24920</v>
      </c>
      <c r="T782" s="29">
        <f t="shared" si="563"/>
        <v>24960</v>
      </c>
      <c r="U782" s="491">
        <f xml:space="preserve"> IF(BU782=1,I782*J782*R782,0)</f>
        <v>24000</v>
      </c>
      <c r="V782" s="491">
        <f t="shared" si="565"/>
        <v>24000</v>
      </c>
      <c r="W782" s="493">
        <f t="shared" si="566"/>
        <v>31200</v>
      </c>
      <c r="X782" s="493">
        <f t="shared" si="567"/>
        <v>37420</v>
      </c>
      <c r="Y782" s="491">
        <f t="shared" si="568"/>
        <v>136.43</v>
      </c>
      <c r="Z782" s="491">
        <f t="shared" si="609"/>
        <v>0</v>
      </c>
      <c r="AA782" s="494">
        <f t="shared" si="569"/>
        <v>57.72</v>
      </c>
      <c r="AB782" s="491">
        <v>0</v>
      </c>
      <c r="AC782" s="491">
        <f t="shared" si="610"/>
        <v>35.700000000000003</v>
      </c>
      <c r="AD782" s="491">
        <v>0</v>
      </c>
      <c r="AE782" s="491">
        <f t="shared" si="570"/>
        <v>107.57</v>
      </c>
      <c r="AF782" s="491">
        <v>0</v>
      </c>
      <c r="AG782" s="491">
        <f t="shared" si="611"/>
        <v>0</v>
      </c>
      <c r="AH782" s="491">
        <v>0</v>
      </c>
      <c r="AI782" s="491">
        <f t="shared" si="612"/>
        <v>27.200000000000003</v>
      </c>
      <c r="AJ782" s="491">
        <v>0</v>
      </c>
      <c r="AK782" s="115">
        <f t="shared" si="613"/>
        <v>0</v>
      </c>
      <c r="AL782" s="491">
        <f t="shared" si="571"/>
        <v>0</v>
      </c>
      <c r="AM782" s="491">
        <f t="shared" si="572"/>
        <v>0</v>
      </c>
      <c r="AN782" s="489">
        <f t="shared" si="573"/>
        <v>0</v>
      </c>
      <c r="AO782" s="489">
        <f t="shared" si="574"/>
        <v>0</v>
      </c>
      <c r="AP782" s="489">
        <f t="shared" si="575"/>
        <v>0</v>
      </c>
      <c r="AQ782" s="489">
        <f t="shared" si="576"/>
        <v>0</v>
      </c>
      <c r="AR782" s="489">
        <f t="shared" si="577"/>
        <v>0</v>
      </c>
      <c r="AS782" s="115">
        <f t="shared" si="578"/>
        <v>12</v>
      </c>
      <c r="AT782" s="491">
        <f>SUMPRODUCT(($F$486:$F$561=C782)*($G$486:$G$561=D782)*($L$486:$L$561=G782)*($P$486:$P$561=H782)*($O$486:$O$561=0)*($AE$486:$AE$561))</f>
        <v>37420</v>
      </c>
      <c r="AU782" s="491">
        <f t="shared" si="580"/>
        <v>10</v>
      </c>
      <c r="AV782" s="491">
        <f t="shared" si="581"/>
        <v>31150</v>
      </c>
      <c r="AW782" s="115">
        <f t="shared" si="582"/>
        <v>0</v>
      </c>
      <c r="AX782" s="491">
        <f t="shared" si="583"/>
        <v>0</v>
      </c>
      <c r="AY782" s="115">
        <f t="shared" si="584"/>
        <v>2</v>
      </c>
      <c r="AZ782" s="491">
        <f t="shared" si="585"/>
        <v>6270</v>
      </c>
      <c r="BA782" s="115">
        <f t="shared" si="614"/>
        <v>12</v>
      </c>
      <c r="BB782" s="115">
        <f>SUMPRODUCT(($F$486:$F$561=C782)*($G$486:$G$561=D782)*($L$486:$L$561=G782)*($P$486:$P$561=H782)*($O$486:$O$561=1)*($AE$486:$AE$561))</f>
        <v>31200</v>
      </c>
      <c r="BC782" s="491">
        <f t="shared" si="616"/>
        <v>10</v>
      </c>
      <c r="BD782" s="491">
        <f t="shared" si="586"/>
        <v>31200</v>
      </c>
      <c r="BE782" s="115">
        <f t="shared" si="587"/>
        <v>0</v>
      </c>
      <c r="BF782" s="491">
        <f t="shared" si="588"/>
        <v>0</v>
      </c>
      <c r="BG782" s="115">
        <f t="shared" si="617"/>
        <v>2</v>
      </c>
      <c r="BH782" s="491">
        <f t="shared" si="589"/>
        <v>0</v>
      </c>
      <c r="BI782" s="495">
        <f t="shared" si="590"/>
        <v>20180326</v>
      </c>
      <c r="BJ782" s="489" t="str">
        <f t="shared" si="591"/>
        <v>9999</v>
      </c>
      <c r="BK782" s="491">
        <v>0</v>
      </c>
      <c r="BL782" s="491">
        <v>0</v>
      </c>
      <c r="BM782" s="496">
        <f t="shared" si="592"/>
        <v>0</v>
      </c>
      <c r="BN782" s="496">
        <f t="shared" si="593"/>
        <v>16319.44</v>
      </c>
      <c r="BO782" s="496">
        <f t="shared" si="594"/>
        <v>0</v>
      </c>
      <c r="BP782" s="496">
        <f t="shared" si="595"/>
        <v>0</v>
      </c>
      <c r="BQ782" s="496">
        <f t="shared" si="596"/>
        <v>0</v>
      </c>
      <c r="BR782" s="496">
        <f t="shared" si="597"/>
        <v>14535.85</v>
      </c>
      <c r="BS782" s="496">
        <f t="shared" si="598"/>
        <v>0</v>
      </c>
      <c r="BT782" s="496">
        <f t="shared" si="599"/>
        <v>0</v>
      </c>
      <c r="BU782" s="496">
        <f t="shared" si="600"/>
        <v>1</v>
      </c>
      <c r="BV782" s="496">
        <f t="shared" si="601"/>
        <v>0</v>
      </c>
    </row>
    <row r="783" spans="1:77" s="329" customFormat="1" x14ac:dyDescent="0.25">
      <c r="A783" s="167" t="str">
        <f t="shared" si="602"/>
        <v/>
      </c>
      <c r="B783" s="605" t="str">
        <f t="shared" si="603"/>
        <v>6001</v>
      </c>
      <c r="C783" s="330" t="str">
        <f t="shared" si="618"/>
        <v>B00102</v>
      </c>
      <c r="D783" s="330" t="str">
        <f t="shared" si="605"/>
        <v>6001</v>
      </c>
      <c r="E783" s="330" t="s">
        <v>228</v>
      </c>
      <c r="F783" s="330" t="str">
        <f t="shared" si="606"/>
        <v>CZCE</v>
      </c>
      <c r="G783" s="216" t="str">
        <f>G782</f>
        <v>PTA807C6500</v>
      </c>
      <c r="H783" s="217">
        <v>3</v>
      </c>
      <c r="I783" s="330">
        <f t="shared" si="554"/>
        <v>5</v>
      </c>
      <c r="J783" s="330">
        <f t="shared" si="555"/>
        <v>5</v>
      </c>
      <c r="K783" s="330">
        <f t="shared" si="556"/>
        <v>10</v>
      </c>
      <c r="L783" s="325">
        <f t="shared" si="557"/>
        <v>0</v>
      </c>
      <c r="M783" s="325">
        <f t="shared" si="558"/>
        <v>42033.8</v>
      </c>
      <c r="N783" s="325">
        <f t="shared" si="559"/>
        <v>0</v>
      </c>
      <c r="O783" s="325">
        <f t="shared" si="560"/>
        <v>36648.879999999997</v>
      </c>
      <c r="P783" s="325">
        <f t="shared" ref="P783:P787" si="619">SUMPRODUCT(($D$607:$D$609=C783)*($E$607:$E$609=D783)*($H$607:$H$609=G783)*($K$607:$K$609=H783)*($V$607:$V$609))</f>
        <v>0</v>
      </c>
      <c r="Q783" s="325">
        <f t="shared" si="608"/>
        <v>0</v>
      </c>
      <c r="R783" s="330">
        <f t="shared" si="561"/>
        <v>600</v>
      </c>
      <c r="S783" s="12">
        <f t="shared" si="562"/>
        <v>15625</v>
      </c>
      <c r="T783" s="12">
        <f t="shared" si="563"/>
        <v>31300</v>
      </c>
      <c r="U783" s="217">
        <f t="shared" si="564"/>
        <v>15000</v>
      </c>
      <c r="V783" s="217">
        <f t="shared" si="565"/>
        <v>30000</v>
      </c>
      <c r="W783" s="326">
        <f t="shared" si="566"/>
        <v>31300</v>
      </c>
      <c r="X783" s="326">
        <f t="shared" si="567"/>
        <v>31250</v>
      </c>
      <c r="Y783" s="217">
        <f t="shared" si="568"/>
        <v>131.28</v>
      </c>
      <c r="Z783" s="217">
        <f t="shared" si="609"/>
        <v>0</v>
      </c>
      <c r="AA783" s="327">
        <f t="shared" si="569"/>
        <v>52.51</v>
      </c>
      <c r="AB783" s="217">
        <v>0</v>
      </c>
      <c r="AC783" s="217">
        <f t="shared" si="610"/>
        <v>89.25</v>
      </c>
      <c r="AD783" s="217">
        <v>0</v>
      </c>
      <c r="AE783" s="217">
        <f t="shared" si="570"/>
        <v>131.28</v>
      </c>
      <c r="AF783" s="217">
        <v>0</v>
      </c>
      <c r="AG783" s="217">
        <f t="shared" si="611"/>
        <v>0</v>
      </c>
      <c r="AH783" s="217">
        <v>0</v>
      </c>
      <c r="AI783" s="217">
        <f t="shared" si="612"/>
        <v>89.25</v>
      </c>
      <c r="AJ783" s="217">
        <v>0</v>
      </c>
      <c r="AK783" s="111">
        <f t="shared" si="613"/>
        <v>0</v>
      </c>
      <c r="AL783" s="217">
        <f t="shared" si="571"/>
        <v>0</v>
      </c>
      <c r="AM783" s="217">
        <f t="shared" si="572"/>
        <v>0</v>
      </c>
      <c r="AN783" s="330">
        <f t="shared" si="573"/>
        <v>0</v>
      </c>
      <c r="AO783" s="330">
        <f t="shared" si="574"/>
        <v>0</v>
      </c>
      <c r="AP783" s="330">
        <f t="shared" si="575"/>
        <v>0</v>
      </c>
      <c r="AQ783" s="330">
        <f t="shared" si="576"/>
        <v>0</v>
      </c>
      <c r="AR783" s="330">
        <f t="shared" si="577"/>
        <v>0</v>
      </c>
      <c r="AS783" s="382">
        <f t="shared" si="578"/>
        <v>10</v>
      </c>
      <c r="AT783" s="491">
        <f t="shared" ref="AT783:AT794" si="620">SUMPRODUCT(($F$486:$F$561=C783)*($G$486:$G$561=D783)*($L$486:$L$561=G783)*($P$486:$P$561=H783)*($O$486:$O$561=0)*($AE$486:$AE$561))</f>
        <v>31250</v>
      </c>
      <c r="AU783" s="217">
        <f t="shared" si="580"/>
        <v>10</v>
      </c>
      <c r="AV783" s="217">
        <f t="shared" si="581"/>
        <v>31250</v>
      </c>
      <c r="AW783" s="382">
        <f t="shared" si="582"/>
        <v>0</v>
      </c>
      <c r="AX783" s="217">
        <f t="shared" si="583"/>
        <v>0</v>
      </c>
      <c r="AY783" s="382">
        <f t="shared" si="584"/>
        <v>0</v>
      </c>
      <c r="AZ783" s="217">
        <f t="shared" si="585"/>
        <v>0</v>
      </c>
      <c r="BA783" s="382">
        <f t="shared" si="614"/>
        <v>15</v>
      </c>
      <c r="BB783" s="115">
        <f t="shared" ref="BB783:BB794" si="621">SUMPRODUCT(($F$486:$F$561=C783)*($G$486:$G$561=D783)*($L$486:$L$561=G783)*($P$486:$P$561=H783)*($O$486:$O$561=1)*($AE$486:$AE$561))</f>
        <v>31300</v>
      </c>
      <c r="BC783" s="217">
        <f t="shared" si="616"/>
        <v>10</v>
      </c>
      <c r="BD783" s="217">
        <f t="shared" si="586"/>
        <v>31300</v>
      </c>
      <c r="BE783" s="382">
        <f t="shared" si="587"/>
        <v>0</v>
      </c>
      <c r="BF783" s="217">
        <f t="shared" si="588"/>
        <v>0</v>
      </c>
      <c r="BG783" s="382">
        <f t="shared" si="617"/>
        <v>5</v>
      </c>
      <c r="BH783" s="217">
        <f t="shared" si="589"/>
        <v>0</v>
      </c>
      <c r="BI783" s="328">
        <f t="shared" si="590"/>
        <v>20180326</v>
      </c>
      <c r="BJ783" s="330" t="str">
        <f t="shared" si="591"/>
        <v>9999</v>
      </c>
      <c r="BK783" s="217">
        <v>0</v>
      </c>
      <c r="BL783" s="217">
        <v>0</v>
      </c>
      <c r="BM783" s="329">
        <f t="shared" si="592"/>
        <v>0</v>
      </c>
      <c r="BN783" s="329">
        <f t="shared" si="593"/>
        <v>42033.8</v>
      </c>
      <c r="BO783" s="329">
        <f t="shared" si="594"/>
        <v>0</v>
      </c>
      <c r="BP783" s="329">
        <f t="shared" si="595"/>
        <v>0</v>
      </c>
      <c r="BQ783" s="329">
        <f t="shared" si="596"/>
        <v>0</v>
      </c>
      <c r="BR783" s="329">
        <f t="shared" si="597"/>
        <v>36648.879999999997</v>
      </c>
      <c r="BS783" s="329">
        <f t="shared" si="598"/>
        <v>0</v>
      </c>
      <c r="BT783" s="329">
        <f t="shared" si="599"/>
        <v>0</v>
      </c>
      <c r="BU783" s="329">
        <f t="shared" si="600"/>
        <v>1</v>
      </c>
      <c r="BV783" s="329">
        <f t="shared" si="601"/>
        <v>0</v>
      </c>
    </row>
    <row r="784" spans="1:77" s="329" customFormat="1" x14ac:dyDescent="0.25">
      <c r="A784" s="167" t="str">
        <f t="shared" si="602"/>
        <v/>
      </c>
      <c r="B784" s="605" t="str">
        <f t="shared" si="603"/>
        <v>6001</v>
      </c>
      <c r="C784" s="330" t="str">
        <f t="shared" si="618"/>
        <v>B00102</v>
      </c>
      <c r="D784" s="330" t="str">
        <f t="shared" si="605"/>
        <v>6001</v>
      </c>
      <c r="E784" s="330" t="s">
        <v>228</v>
      </c>
      <c r="F784" s="330" t="str">
        <f t="shared" si="606"/>
        <v>CZCE</v>
      </c>
      <c r="G784" s="216" t="str">
        <f>C28</f>
        <v>PTA807P6200</v>
      </c>
      <c r="H784" s="217">
        <v>1</v>
      </c>
      <c r="I784" s="330">
        <f t="shared" si="554"/>
        <v>5</v>
      </c>
      <c r="J784" s="330">
        <f t="shared" si="555"/>
        <v>1</v>
      </c>
      <c r="K784" s="330">
        <f t="shared" si="556"/>
        <v>3</v>
      </c>
      <c r="L784" s="325">
        <f t="shared" si="557"/>
        <v>0</v>
      </c>
      <c r="M784" s="325">
        <f t="shared" si="558"/>
        <v>17641.5</v>
      </c>
      <c r="N784" s="325">
        <f t="shared" si="559"/>
        <v>0</v>
      </c>
      <c r="O784" s="325">
        <f t="shared" si="560"/>
        <v>15786</v>
      </c>
      <c r="P784" s="325">
        <f t="shared" si="619"/>
        <v>0</v>
      </c>
      <c r="Q784" s="325">
        <f t="shared" si="608"/>
        <v>0</v>
      </c>
      <c r="R784" s="330">
        <f t="shared" si="561"/>
        <v>605</v>
      </c>
      <c r="S784" s="12">
        <f t="shared" si="562"/>
        <v>3145</v>
      </c>
      <c r="T784" s="12">
        <f t="shared" si="563"/>
        <v>9450</v>
      </c>
      <c r="U784" s="217">
        <f t="shared" si="564"/>
        <v>3025</v>
      </c>
      <c r="V784" s="217">
        <f t="shared" si="565"/>
        <v>9075</v>
      </c>
      <c r="W784" s="326">
        <f t="shared" si="566"/>
        <v>9450</v>
      </c>
      <c r="X784" s="326">
        <f t="shared" si="567"/>
        <v>3145</v>
      </c>
      <c r="Y784" s="217">
        <f t="shared" si="568"/>
        <v>26.3</v>
      </c>
      <c r="Z784" s="217">
        <f t="shared" si="609"/>
        <v>0</v>
      </c>
      <c r="AA784" s="327">
        <f t="shared" si="569"/>
        <v>10.52</v>
      </c>
      <c r="AB784" s="217">
        <v>0</v>
      </c>
      <c r="AC784" s="217">
        <f t="shared" si="610"/>
        <v>0</v>
      </c>
      <c r="AD784" s="217">
        <v>0</v>
      </c>
      <c r="AE784" s="217">
        <f t="shared" si="570"/>
        <v>21.04</v>
      </c>
      <c r="AF784" s="217">
        <v>0</v>
      </c>
      <c r="AG784" s="217">
        <f t="shared" si="611"/>
        <v>0</v>
      </c>
      <c r="AH784" s="217">
        <v>0</v>
      </c>
      <c r="AI784" s="217">
        <f t="shared" si="612"/>
        <v>0</v>
      </c>
      <c r="AJ784" s="217">
        <v>0</v>
      </c>
      <c r="AK784" s="111">
        <f t="shared" si="613"/>
        <v>0</v>
      </c>
      <c r="AL784" s="217">
        <f t="shared" si="571"/>
        <v>0</v>
      </c>
      <c r="AM784" s="217">
        <f t="shared" si="572"/>
        <v>0</v>
      </c>
      <c r="AN784" s="330">
        <f t="shared" si="573"/>
        <v>0</v>
      </c>
      <c r="AO784" s="330">
        <f t="shared" si="574"/>
        <v>0</v>
      </c>
      <c r="AP784" s="330">
        <f t="shared" si="575"/>
        <v>0</v>
      </c>
      <c r="AQ784" s="330">
        <f t="shared" si="576"/>
        <v>0</v>
      </c>
      <c r="AR784" s="330">
        <f t="shared" si="577"/>
        <v>0</v>
      </c>
      <c r="AS784" s="382">
        <f t="shared" si="578"/>
        <v>1</v>
      </c>
      <c r="AT784" s="491">
        <f t="shared" si="620"/>
        <v>3145</v>
      </c>
      <c r="AU784" s="217">
        <f t="shared" si="580"/>
        <v>1</v>
      </c>
      <c r="AV784" s="217">
        <f t="shared" si="581"/>
        <v>3145</v>
      </c>
      <c r="AW784" s="382">
        <f t="shared" si="582"/>
        <v>0</v>
      </c>
      <c r="AX784" s="217">
        <f t="shared" si="583"/>
        <v>0</v>
      </c>
      <c r="AY784" s="382">
        <f t="shared" si="584"/>
        <v>0</v>
      </c>
      <c r="AZ784" s="217">
        <f t="shared" si="585"/>
        <v>0</v>
      </c>
      <c r="BA784" s="382">
        <f t="shared" si="614"/>
        <v>3</v>
      </c>
      <c r="BB784" s="115">
        <f t="shared" si="621"/>
        <v>9450</v>
      </c>
      <c r="BC784" s="217">
        <f t="shared" si="616"/>
        <v>3</v>
      </c>
      <c r="BD784" s="217">
        <f t="shared" si="586"/>
        <v>9450</v>
      </c>
      <c r="BE784" s="382">
        <f t="shared" si="587"/>
        <v>0</v>
      </c>
      <c r="BF784" s="217">
        <f t="shared" si="588"/>
        <v>0</v>
      </c>
      <c r="BG784" s="382">
        <f t="shared" si="617"/>
        <v>0</v>
      </c>
      <c r="BH784" s="217">
        <f t="shared" si="589"/>
        <v>0</v>
      </c>
      <c r="BI784" s="328">
        <f t="shared" si="590"/>
        <v>20180326</v>
      </c>
      <c r="BJ784" s="330" t="str">
        <f t="shared" si="591"/>
        <v>9999</v>
      </c>
      <c r="BK784" s="217">
        <v>0</v>
      </c>
      <c r="BL784" s="217">
        <v>0</v>
      </c>
      <c r="BM784" s="329">
        <f t="shared" si="592"/>
        <v>0</v>
      </c>
      <c r="BN784" s="329">
        <f t="shared" si="593"/>
        <v>9761</v>
      </c>
      <c r="BO784" s="329">
        <f t="shared" si="594"/>
        <v>0</v>
      </c>
      <c r="BP784" s="329">
        <f t="shared" si="595"/>
        <v>7880.5</v>
      </c>
      <c r="BQ784" s="329">
        <f t="shared" si="596"/>
        <v>0</v>
      </c>
      <c r="BR784" s="329">
        <f t="shared" si="597"/>
        <v>8524</v>
      </c>
      <c r="BS784" s="329">
        <f t="shared" si="598"/>
        <v>0</v>
      </c>
      <c r="BT784" s="329">
        <f t="shared" si="599"/>
        <v>7262</v>
      </c>
      <c r="BU784" s="329">
        <f t="shared" si="600"/>
        <v>1</v>
      </c>
      <c r="BV784" s="329">
        <f t="shared" si="601"/>
        <v>0</v>
      </c>
    </row>
    <row r="785" spans="1:74" s="329" customFormat="1" x14ac:dyDescent="0.25">
      <c r="A785" s="167" t="str">
        <f t="shared" si="602"/>
        <v>comment</v>
      </c>
      <c r="B785" s="605" t="str">
        <f t="shared" si="603"/>
        <v>6001</v>
      </c>
      <c r="C785" s="330" t="str">
        <f t="shared" si="618"/>
        <v>B00102</v>
      </c>
      <c r="D785" s="330" t="str">
        <f t="shared" si="605"/>
        <v>6001</v>
      </c>
      <c r="E785" s="330" t="s">
        <v>228</v>
      </c>
      <c r="F785" s="330" t="str">
        <f t="shared" si="606"/>
        <v>CZCE</v>
      </c>
      <c r="G785" s="216" t="str">
        <f>G784</f>
        <v>PTA807P6200</v>
      </c>
      <c r="H785" s="217">
        <v>3</v>
      </c>
      <c r="I785" s="330">
        <f t="shared" si="554"/>
        <v>5</v>
      </c>
      <c r="J785" s="330">
        <f t="shared" si="555"/>
        <v>0</v>
      </c>
      <c r="K785" s="330">
        <f t="shared" si="556"/>
        <v>0</v>
      </c>
      <c r="L785" s="325">
        <f t="shared" si="557"/>
        <v>0</v>
      </c>
      <c r="M785" s="325">
        <f t="shared" si="558"/>
        <v>0</v>
      </c>
      <c r="N785" s="325">
        <f t="shared" si="559"/>
        <v>0</v>
      </c>
      <c r="O785" s="325">
        <f t="shared" si="560"/>
        <v>0</v>
      </c>
      <c r="P785" s="325">
        <f t="shared" si="619"/>
        <v>0</v>
      </c>
      <c r="Q785" s="325">
        <f t="shared" si="608"/>
        <v>0</v>
      </c>
      <c r="R785" s="330">
        <f t="shared" si="561"/>
        <v>605</v>
      </c>
      <c r="S785" s="12">
        <f t="shared" si="562"/>
        <v>0</v>
      </c>
      <c r="T785" s="12">
        <f t="shared" si="563"/>
        <v>0</v>
      </c>
      <c r="U785" s="217">
        <f t="shared" si="564"/>
        <v>0</v>
      </c>
      <c r="V785" s="217">
        <f t="shared" si="565"/>
        <v>0</v>
      </c>
      <c r="W785" s="326">
        <f t="shared" si="566"/>
        <v>0</v>
      </c>
      <c r="X785" s="326">
        <f t="shared" si="567"/>
        <v>0</v>
      </c>
      <c r="Y785" s="217">
        <f t="shared" si="568"/>
        <v>0</v>
      </c>
      <c r="Z785" s="217">
        <f t="shared" si="609"/>
        <v>0</v>
      </c>
      <c r="AA785" s="327">
        <f t="shared" si="569"/>
        <v>0</v>
      </c>
      <c r="AB785" s="217">
        <v>0</v>
      </c>
      <c r="AC785" s="217">
        <f t="shared" si="610"/>
        <v>0</v>
      </c>
      <c r="AD785" s="217">
        <v>0</v>
      </c>
      <c r="AE785" s="217">
        <f t="shared" si="570"/>
        <v>0</v>
      </c>
      <c r="AF785" s="217">
        <v>0</v>
      </c>
      <c r="AG785" s="217">
        <f t="shared" si="611"/>
        <v>0</v>
      </c>
      <c r="AH785" s="217">
        <v>0</v>
      </c>
      <c r="AI785" s="217">
        <f t="shared" si="612"/>
        <v>0</v>
      </c>
      <c r="AJ785" s="217">
        <v>0</v>
      </c>
      <c r="AK785" s="111">
        <f t="shared" si="613"/>
        <v>0</v>
      </c>
      <c r="AL785" s="217">
        <f t="shared" si="571"/>
        <v>0</v>
      </c>
      <c r="AM785" s="217">
        <f t="shared" si="572"/>
        <v>0</v>
      </c>
      <c r="AN785" s="330">
        <f t="shared" si="573"/>
        <v>0</v>
      </c>
      <c r="AO785" s="330">
        <f t="shared" si="574"/>
        <v>0</v>
      </c>
      <c r="AP785" s="330">
        <f t="shared" si="575"/>
        <v>0</v>
      </c>
      <c r="AQ785" s="330">
        <f t="shared" si="576"/>
        <v>0</v>
      </c>
      <c r="AR785" s="330">
        <f t="shared" si="577"/>
        <v>0</v>
      </c>
      <c r="AS785" s="382">
        <f t="shared" si="578"/>
        <v>0</v>
      </c>
      <c r="AT785" s="491">
        <f t="shared" si="620"/>
        <v>0</v>
      </c>
      <c r="AU785" s="217">
        <f t="shared" si="580"/>
        <v>0</v>
      </c>
      <c r="AV785" s="217">
        <f t="shared" si="581"/>
        <v>0</v>
      </c>
      <c r="AW785" s="382">
        <f t="shared" si="582"/>
        <v>0</v>
      </c>
      <c r="AX785" s="217">
        <f t="shared" si="583"/>
        <v>0</v>
      </c>
      <c r="AY785" s="382">
        <f t="shared" si="584"/>
        <v>0</v>
      </c>
      <c r="AZ785" s="217">
        <f t="shared" si="585"/>
        <v>0</v>
      </c>
      <c r="BA785" s="382">
        <f t="shared" si="614"/>
        <v>0</v>
      </c>
      <c r="BB785" s="115">
        <f t="shared" si="621"/>
        <v>0</v>
      </c>
      <c r="BC785" s="217">
        <f t="shared" si="616"/>
        <v>0</v>
      </c>
      <c r="BD785" s="217">
        <f t="shared" si="586"/>
        <v>0</v>
      </c>
      <c r="BE785" s="382">
        <f t="shared" si="587"/>
        <v>0</v>
      </c>
      <c r="BF785" s="217">
        <f t="shared" si="588"/>
        <v>0</v>
      </c>
      <c r="BG785" s="382">
        <f t="shared" si="617"/>
        <v>0</v>
      </c>
      <c r="BH785" s="217">
        <f t="shared" si="589"/>
        <v>0</v>
      </c>
      <c r="BI785" s="328">
        <f t="shared" si="590"/>
        <v>20180326</v>
      </c>
      <c r="BJ785" s="330" t="str">
        <f t="shared" si="591"/>
        <v>9999</v>
      </c>
      <c r="BK785" s="217">
        <v>0</v>
      </c>
      <c r="BL785" s="217">
        <v>0</v>
      </c>
      <c r="BM785" s="329">
        <f t="shared" si="592"/>
        <v>0</v>
      </c>
      <c r="BN785" s="329">
        <f t="shared" si="593"/>
        <v>0</v>
      </c>
      <c r="BO785" s="329">
        <f t="shared" si="594"/>
        <v>0</v>
      </c>
      <c r="BP785" s="329">
        <f t="shared" si="595"/>
        <v>0</v>
      </c>
      <c r="BQ785" s="329">
        <f t="shared" si="596"/>
        <v>0</v>
      </c>
      <c r="BR785" s="329">
        <f t="shared" si="597"/>
        <v>0</v>
      </c>
      <c r="BS785" s="329">
        <f t="shared" si="598"/>
        <v>0</v>
      </c>
      <c r="BT785" s="329">
        <f t="shared" si="599"/>
        <v>0</v>
      </c>
      <c r="BU785" s="329">
        <f t="shared" si="600"/>
        <v>1</v>
      </c>
      <c r="BV785" s="329">
        <f t="shared" si="601"/>
        <v>0</v>
      </c>
    </row>
    <row r="786" spans="1:74" s="329" customFormat="1" x14ac:dyDescent="0.25">
      <c r="A786" s="167" t="str">
        <f t="shared" si="602"/>
        <v/>
      </c>
      <c r="B786" s="605" t="str">
        <f t="shared" si="603"/>
        <v>6001</v>
      </c>
      <c r="C786" s="330" t="str">
        <f t="shared" si="618"/>
        <v>B00102</v>
      </c>
      <c r="D786" s="330" t="str">
        <f t="shared" si="605"/>
        <v>6001</v>
      </c>
      <c r="E786" s="330" t="s">
        <v>228</v>
      </c>
      <c r="F786" s="330" t="str">
        <f t="shared" si="606"/>
        <v>CZCE</v>
      </c>
      <c r="G786" s="216" t="str">
        <f>C29</f>
        <v>PTA807P6500</v>
      </c>
      <c r="H786" s="217">
        <v>1</v>
      </c>
      <c r="I786" s="330">
        <f t="shared" si="554"/>
        <v>5</v>
      </c>
      <c r="J786" s="330">
        <f t="shared" si="555"/>
        <v>1</v>
      </c>
      <c r="K786" s="330">
        <f t="shared" si="556"/>
        <v>1</v>
      </c>
      <c r="L786" s="325">
        <f t="shared" si="557"/>
        <v>0</v>
      </c>
      <c r="M786" s="325">
        <f t="shared" si="558"/>
        <v>7905.5</v>
      </c>
      <c r="N786" s="325">
        <f t="shared" si="559"/>
        <v>0</v>
      </c>
      <c r="O786" s="325">
        <f t="shared" si="560"/>
        <v>7287</v>
      </c>
      <c r="P786" s="325">
        <f t="shared" si="619"/>
        <v>0</v>
      </c>
      <c r="Q786" s="325">
        <f t="shared" si="608"/>
        <v>0</v>
      </c>
      <c r="R786" s="330">
        <f t="shared" si="561"/>
        <v>610</v>
      </c>
      <c r="S786" s="12">
        <f t="shared" si="562"/>
        <v>3155</v>
      </c>
      <c r="T786" s="12">
        <f t="shared" si="563"/>
        <v>3160</v>
      </c>
      <c r="U786" s="217">
        <f t="shared" si="564"/>
        <v>3050</v>
      </c>
      <c r="V786" s="217">
        <f t="shared" si="565"/>
        <v>3050</v>
      </c>
      <c r="W786" s="326">
        <f t="shared" si="566"/>
        <v>3160</v>
      </c>
      <c r="X786" s="326">
        <f t="shared" si="567"/>
        <v>3155</v>
      </c>
      <c r="Y786" s="217">
        <f t="shared" si="568"/>
        <v>13.16</v>
      </c>
      <c r="Z786" s="217">
        <f t="shared" si="609"/>
        <v>0</v>
      </c>
      <c r="AA786" s="327">
        <f t="shared" si="569"/>
        <v>5.26</v>
      </c>
      <c r="AB786" s="217">
        <v>0</v>
      </c>
      <c r="AC786" s="217">
        <f t="shared" si="610"/>
        <v>0</v>
      </c>
      <c r="AD786" s="217">
        <v>0</v>
      </c>
      <c r="AE786" s="217">
        <f t="shared" si="570"/>
        <v>10.53</v>
      </c>
      <c r="AF786" s="217">
        <v>0</v>
      </c>
      <c r="AG786" s="217">
        <f t="shared" si="611"/>
        <v>0</v>
      </c>
      <c r="AH786" s="217">
        <v>0</v>
      </c>
      <c r="AI786" s="217">
        <f t="shared" si="612"/>
        <v>0</v>
      </c>
      <c r="AJ786" s="217">
        <v>0</v>
      </c>
      <c r="AK786" s="111">
        <f t="shared" si="613"/>
        <v>0</v>
      </c>
      <c r="AL786" s="217">
        <f t="shared" si="571"/>
        <v>0</v>
      </c>
      <c r="AM786" s="217">
        <f t="shared" si="572"/>
        <v>0</v>
      </c>
      <c r="AN786" s="330">
        <f t="shared" si="573"/>
        <v>0</v>
      </c>
      <c r="AO786" s="330">
        <f t="shared" si="574"/>
        <v>0</v>
      </c>
      <c r="AP786" s="330">
        <f t="shared" si="575"/>
        <v>0</v>
      </c>
      <c r="AQ786" s="330">
        <f t="shared" si="576"/>
        <v>0</v>
      </c>
      <c r="AR786" s="330">
        <f t="shared" si="577"/>
        <v>0</v>
      </c>
      <c r="AS786" s="382">
        <f t="shared" si="578"/>
        <v>1</v>
      </c>
      <c r="AT786" s="491">
        <f t="shared" si="620"/>
        <v>3155</v>
      </c>
      <c r="AU786" s="217">
        <f t="shared" si="580"/>
        <v>1</v>
      </c>
      <c r="AV786" s="217">
        <f t="shared" si="581"/>
        <v>3155</v>
      </c>
      <c r="AW786" s="382">
        <f t="shared" si="582"/>
        <v>0</v>
      </c>
      <c r="AX786" s="217">
        <f t="shared" si="583"/>
        <v>0</v>
      </c>
      <c r="AY786" s="382">
        <f t="shared" si="584"/>
        <v>0</v>
      </c>
      <c r="AZ786" s="217">
        <f t="shared" si="585"/>
        <v>0</v>
      </c>
      <c r="BA786" s="382">
        <f t="shared" si="614"/>
        <v>1</v>
      </c>
      <c r="BB786" s="115">
        <f t="shared" si="621"/>
        <v>3160</v>
      </c>
      <c r="BC786" s="217">
        <f t="shared" si="616"/>
        <v>1</v>
      </c>
      <c r="BD786" s="217">
        <f t="shared" si="586"/>
        <v>3160</v>
      </c>
      <c r="BE786" s="382">
        <f t="shared" si="587"/>
        <v>0</v>
      </c>
      <c r="BF786" s="217">
        <f t="shared" si="588"/>
        <v>0</v>
      </c>
      <c r="BG786" s="382">
        <f t="shared" si="617"/>
        <v>0</v>
      </c>
      <c r="BH786" s="217">
        <f t="shared" si="589"/>
        <v>0</v>
      </c>
      <c r="BI786" s="328">
        <f t="shared" si="590"/>
        <v>20180326</v>
      </c>
      <c r="BJ786" s="330" t="str">
        <f t="shared" si="591"/>
        <v>9999</v>
      </c>
      <c r="BK786" s="217">
        <v>0</v>
      </c>
      <c r="BL786" s="217">
        <v>0</v>
      </c>
      <c r="BM786" s="329">
        <f t="shared" si="592"/>
        <v>0</v>
      </c>
      <c r="BN786" s="329">
        <f t="shared" si="593"/>
        <v>0</v>
      </c>
      <c r="BO786" s="329">
        <f t="shared" si="594"/>
        <v>0</v>
      </c>
      <c r="BP786" s="329">
        <f t="shared" si="595"/>
        <v>7905.5</v>
      </c>
      <c r="BQ786" s="329">
        <f t="shared" si="596"/>
        <v>0</v>
      </c>
      <c r="BR786" s="329">
        <f t="shared" si="597"/>
        <v>0</v>
      </c>
      <c r="BS786" s="329">
        <f t="shared" si="598"/>
        <v>0</v>
      </c>
      <c r="BT786" s="329">
        <f t="shared" si="599"/>
        <v>7287</v>
      </c>
      <c r="BU786" s="329">
        <f t="shared" si="600"/>
        <v>1</v>
      </c>
      <c r="BV786" s="329">
        <f t="shared" si="601"/>
        <v>0</v>
      </c>
    </row>
    <row r="787" spans="1:74" s="329" customFormat="1" x14ac:dyDescent="0.25">
      <c r="A787" s="167" t="str">
        <f t="shared" si="602"/>
        <v>comment</v>
      </c>
      <c r="B787" s="605" t="str">
        <f t="shared" si="603"/>
        <v>6001</v>
      </c>
      <c r="C787" s="330" t="str">
        <f t="shared" si="618"/>
        <v>B00102</v>
      </c>
      <c r="D787" s="330" t="str">
        <f t="shared" si="605"/>
        <v>6001</v>
      </c>
      <c r="E787" s="330" t="s">
        <v>228</v>
      </c>
      <c r="F787" s="330" t="str">
        <f t="shared" si="606"/>
        <v>CZCE</v>
      </c>
      <c r="G787" s="216" t="str">
        <f>G786</f>
        <v>PTA807P6500</v>
      </c>
      <c r="H787" s="217">
        <v>3</v>
      </c>
      <c r="I787" s="330">
        <f t="shared" si="554"/>
        <v>5</v>
      </c>
      <c r="J787" s="330">
        <f t="shared" si="555"/>
        <v>0</v>
      </c>
      <c r="K787" s="330">
        <f t="shared" si="556"/>
        <v>0</v>
      </c>
      <c r="L787" s="325">
        <f t="shared" si="557"/>
        <v>0</v>
      </c>
      <c r="M787" s="325">
        <f t="shared" si="558"/>
        <v>0</v>
      </c>
      <c r="N787" s="325">
        <f t="shared" si="559"/>
        <v>0</v>
      </c>
      <c r="O787" s="325">
        <f t="shared" si="560"/>
        <v>0</v>
      </c>
      <c r="P787" s="325">
        <f t="shared" si="619"/>
        <v>0</v>
      </c>
      <c r="Q787" s="325">
        <f t="shared" si="608"/>
        <v>0</v>
      </c>
      <c r="R787" s="330">
        <f t="shared" si="561"/>
        <v>610</v>
      </c>
      <c r="S787" s="12">
        <f t="shared" si="562"/>
        <v>0</v>
      </c>
      <c r="T787" s="12">
        <f t="shared" si="563"/>
        <v>0</v>
      </c>
      <c r="U787" s="217">
        <f t="shared" si="564"/>
        <v>0</v>
      </c>
      <c r="V787" s="217">
        <f t="shared" si="565"/>
        <v>0</v>
      </c>
      <c r="W787" s="326">
        <f t="shared" si="566"/>
        <v>0</v>
      </c>
      <c r="X787" s="326">
        <f t="shared" si="567"/>
        <v>0</v>
      </c>
      <c r="Y787" s="217">
        <f t="shared" si="568"/>
        <v>0</v>
      </c>
      <c r="Z787" s="217">
        <f t="shared" si="609"/>
        <v>0</v>
      </c>
      <c r="AA787" s="327">
        <f t="shared" si="569"/>
        <v>0</v>
      </c>
      <c r="AB787" s="217">
        <v>0</v>
      </c>
      <c r="AC787" s="217">
        <f t="shared" si="610"/>
        <v>0</v>
      </c>
      <c r="AD787" s="217">
        <v>0</v>
      </c>
      <c r="AE787" s="217">
        <f t="shared" si="570"/>
        <v>0</v>
      </c>
      <c r="AF787" s="217">
        <v>0</v>
      </c>
      <c r="AG787" s="217">
        <f t="shared" si="611"/>
        <v>0</v>
      </c>
      <c r="AH787" s="217">
        <v>0</v>
      </c>
      <c r="AI787" s="217">
        <f t="shared" si="612"/>
        <v>0</v>
      </c>
      <c r="AJ787" s="217">
        <v>0</v>
      </c>
      <c r="AK787" s="111">
        <f t="shared" si="613"/>
        <v>0</v>
      </c>
      <c r="AL787" s="217">
        <f t="shared" si="571"/>
        <v>0</v>
      </c>
      <c r="AM787" s="217">
        <f t="shared" si="572"/>
        <v>0</v>
      </c>
      <c r="AN787" s="330">
        <f t="shared" si="573"/>
        <v>0</v>
      </c>
      <c r="AO787" s="330">
        <f t="shared" si="574"/>
        <v>0</v>
      </c>
      <c r="AP787" s="330">
        <f t="shared" si="575"/>
        <v>0</v>
      </c>
      <c r="AQ787" s="330">
        <f t="shared" si="576"/>
        <v>0</v>
      </c>
      <c r="AR787" s="330">
        <f t="shared" si="577"/>
        <v>0</v>
      </c>
      <c r="AS787" s="382">
        <f t="shared" si="578"/>
        <v>0</v>
      </c>
      <c r="AT787" s="491">
        <f t="shared" si="620"/>
        <v>0</v>
      </c>
      <c r="AU787" s="217">
        <f t="shared" si="580"/>
        <v>0</v>
      </c>
      <c r="AV787" s="217">
        <f t="shared" si="581"/>
        <v>0</v>
      </c>
      <c r="AW787" s="382">
        <f t="shared" si="582"/>
        <v>0</v>
      </c>
      <c r="AX787" s="217">
        <f t="shared" si="583"/>
        <v>0</v>
      </c>
      <c r="AY787" s="382">
        <f t="shared" si="584"/>
        <v>0</v>
      </c>
      <c r="AZ787" s="217">
        <f t="shared" si="585"/>
        <v>0</v>
      </c>
      <c r="BA787" s="382">
        <f t="shared" si="614"/>
        <v>0</v>
      </c>
      <c r="BB787" s="115">
        <f t="shared" si="621"/>
        <v>0</v>
      </c>
      <c r="BC787" s="217">
        <f t="shared" si="616"/>
        <v>0</v>
      </c>
      <c r="BD787" s="217">
        <f t="shared" si="586"/>
        <v>0</v>
      </c>
      <c r="BE787" s="382">
        <f t="shared" si="587"/>
        <v>0</v>
      </c>
      <c r="BF787" s="217">
        <f t="shared" si="588"/>
        <v>0</v>
      </c>
      <c r="BG787" s="382">
        <f t="shared" si="617"/>
        <v>0</v>
      </c>
      <c r="BH787" s="217">
        <f t="shared" si="589"/>
        <v>0</v>
      </c>
      <c r="BI787" s="328">
        <f t="shared" si="590"/>
        <v>20180326</v>
      </c>
      <c r="BJ787" s="330" t="str">
        <f t="shared" si="591"/>
        <v>9999</v>
      </c>
      <c r="BK787" s="217">
        <v>0</v>
      </c>
      <c r="BL787" s="217">
        <v>0</v>
      </c>
      <c r="BM787" s="329">
        <f t="shared" si="592"/>
        <v>0</v>
      </c>
      <c r="BN787" s="329">
        <f t="shared" si="593"/>
        <v>0</v>
      </c>
      <c r="BO787" s="329">
        <f t="shared" si="594"/>
        <v>0</v>
      </c>
      <c r="BP787" s="329">
        <f t="shared" si="595"/>
        <v>0</v>
      </c>
      <c r="BQ787" s="329">
        <f t="shared" si="596"/>
        <v>0</v>
      </c>
      <c r="BR787" s="329">
        <f t="shared" si="597"/>
        <v>0</v>
      </c>
      <c r="BS787" s="329">
        <f t="shared" si="598"/>
        <v>0</v>
      </c>
      <c r="BT787" s="329">
        <f t="shared" si="599"/>
        <v>0</v>
      </c>
      <c r="BU787" s="329">
        <f t="shared" si="600"/>
        <v>1</v>
      </c>
      <c r="BV787" s="329">
        <f t="shared" si="601"/>
        <v>0</v>
      </c>
    </row>
    <row r="788" spans="1:74" s="6" customFormat="1" x14ac:dyDescent="0.25">
      <c r="A788" s="167" t="str">
        <f t="shared" si="602"/>
        <v/>
      </c>
      <c r="B788" s="578" t="str">
        <f t="shared" si="603"/>
        <v>6001</v>
      </c>
      <c r="C788" s="12" t="str">
        <f t="shared" si="604"/>
        <v>B00101</v>
      </c>
      <c r="D788" s="12" t="str">
        <f t="shared" si="605"/>
        <v>6001</v>
      </c>
      <c r="E788" s="12" t="s">
        <v>594</v>
      </c>
      <c r="F788" s="12" t="str">
        <f t="shared" si="606"/>
        <v>CZCE</v>
      </c>
      <c r="G788" s="113" t="str">
        <f>C245</f>
        <v>SR807C6500</v>
      </c>
      <c r="H788" s="111">
        <v>1</v>
      </c>
      <c r="I788" s="12">
        <f t="shared" si="554"/>
        <v>10</v>
      </c>
      <c r="J788" s="12">
        <f t="shared" si="555"/>
        <v>10</v>
      </c>
      <c r="K788" s="12">
        <f t="shared" si="556"/>
        <v>7</v>
      </c>
      <c r="L788" s="266">
        <f t="shared" si="557"/>
        <v>0</v>
      </c>
      <c r="M788" s="311">
        <f t="shared" si="558"/>
        <v>32876.839999999997</v>
      </c>
      <c r="N788" s="311">
        <f t="shared" si="559"/>
        <v>0</v>
      </c>
      <c r="O788" s="311">
        <f t="shared" si="560"/>
        <v>29651.200000000001</v>
      </c>
      <c r="P788" s="266">
        <f t="shared" si="607"/>
        <v>0</v>
      </c>
      <c r="Q788" s="266">
        <f t="shared" si="608"/>
        <v>0</v>
      </c>
      <c r="R788" s="12">
        <f t="shared" si="561"/>
        <v>615</v>
      </c>
      <c r="S788" s="12">
        <f t="shared" si="562"/>
        <v>60900</v>
      </c>
      <c r="T788" s="12">
        <f t="shared" si="563"/>
        <v>42840</v>
      </c>
      <c r="U788" s="111">
        <f t="shared" si="564"/>
        <v>61500</v>
      </c>
      <c r="V788" s="111">
        <f t="shared" si="565"/>
        <v>43050</v>
      </c>
      <c r="W788" s="24">
        <f t="shared" si="566"/>
        <v>207310</v>
      </c>
      <c r="X788" s="24">
        <f t="shared" si="567"/>
        <v>188710</v>
      </c>
      <c r="Y788" s="244">
        <f t="shared" si="568"/>
        <v>421.62</v>
      </c>
      <c r="Z788" s="111">
        <f t="shared" si="609"/>
        <v>0</v>
      </c>
      <c r="AA788" s="305">
        <f t="shared" si="569"/>
        <v>209.21</v>
      </c>
      <c r="AB788" s="111">
        <v>0</v>
      </c>
      <c r="AC788" s="111">
        <f t="shared" si="610"/>
        <v>94.5</v>
      </c>
      <c r="AD788" s="111">
        <v>0</v>
      </c>
      <c r="AE788" s="111">
        <f t="shared" si="570"/>
        <v>317.01</v>
      </c>
      <c r="AF788" s="111">
        <v>0</v>
      </c>
      <c r="AG788" s="111">
        <f t="shared" si="611"/>
        <v>0</v>
      </c>
      <c r="AH788" s="111">
        <v>0</v>
      </c>
      <c r="AI788" s="111">
        <f t="shared" ref="AI788:AI794" si="622">SUMPRODUCT(($D$626:$D$641=C788)*($E$626:$E$641=D788)*($H$626:$H$641=G788)*($L$626:$L$641=H788)*($V$626:$V$641))</f>
        <v>72</v>
      </c>
      <c r="AJ788" s="111">
        <v>0</v>
      </c>
      <c r="AK788" s="111">
        <f t="shared" si="613"/>
        <v>0</v>
      </c>
      <c r="AL788" s="111">
        <f t="shared" si="571"/>
        <v>0</v>
      </c>
      <c r="AM788" s="111">
        <f t="shared" si="572"/>
        <v>0</v>
      </c>
      <c r="AN788" s="12">
        <f t="shared" si="573"/>
        <v>0</v>
      </c>
      <c r="AO788" s="12">
        <f t="shared" si="574"/>
        <v>0</v>
      </c>
      <c r="AP788" s="12">
        <f t="shared" si="575"/>
        <v>0</v>
      </c>
      <c r="AQ788" s="12">
        <f t="shared" si="576"/>
        <v>0</v>
      </c>
      <c r="AR788" s="12">
        <f t="shared" si="577"/>
        <v>0</v>
      </c>
      <c r="AS788" s="382">
        <f t="shared" si="578"/>
        <v>34</v>
      </c>
      <c r="AT788" s="491">
        <f t="shared" si="620"/>
        <v>188710</v>
      </c>
      <c r="AU788" s="111">
        <f t="shared" si="580"/>
        <v>19</v>
      </c>
      <c r="AV788" s="111">
        <f t="shared" si="581"/>
        <v>115130</v>
      </c>
      <c r="AW788" s="382">
        <f t="shared" si="582"/>
        <v>0</v>
      </c>
      <c r="AX788" s="111">
        <f t="shared" si="583"/>
        <v>0</v>
      </c>
      <c r="AY788" s="382">
        <f t="shared" si="584"/>
        <v>15</v>
      </c>
      <c r="AZ788" s="111">
        <f t="shared" si="585"/>
        <v>73580</v>
      </c>
      <c r="BA788" s="382">
        <f t="shared" si="614"/>
        <v>34</v>
      </c>
      <c r="BB788" s="115">
        <f t="shared" si="621"/>
        <v>207310</v>
      </c>
      <c r="BC788" s="111">
        <f t="shared" si="616"/>
        <v>25</v>
      </c>
      <c r="BD788" s="111">
        <f t="shared" si="586"/>
        <v>152900</v>
      </c>
      <c r="BE788" s="382">
        <f t="shared" si="587"/>
        <v>0</v>
      </c>
      <c r="BF788" s="111">
        <f t="shared" si="588"/>
        <v>0</v>
      </c>
      <c r="BG788" s="382">
        <f t="shared" si="617"/>
        <v>9</v>
      </c>
      <c r="BH788" s="111">
        <f t="shared" si="589"/>
        <v>54410</v>
      </c>
      <c r="BI788" s="145">
        <f t="shared" si="590"/>
        <v>20180326</v>
      </c>
      <c r="BJ788" s="12" t="str">
        <f t="shared" si="591"/>
        <v>9999</v>
      </c>
      <c r="BK788" s="111">
        <v>0</v>
      </c>
      <c r="BL788" s="111">
        <v>0</v>
      </c>
      <c r="BM788" s="6">
        <f t="shared" si="592"/>
        <v>0</v>
      </c>
      <c r="BN788" s="6">
        <f t="shared" si="593"/>
        <v>32876.839999999997</v>
      </c>
      <c r="BO788" s="6">
        <f t="shared" si="594"/>
        <v>0</v>
      </c>
      <c r="BP788" s="6">
        <f t="shared" si="595"/>
        <v>0</v>
      </c>
      <c r="BQ788" s="6">
        <f t="shared" si="596"/>
        <v>0</v>
      </c>
      <c r="BR788" s="6">
        <f t="shared" si="597"/>
        <v>29651.200000000001</v>
      </c>
      <c r="BS788" s="6">
        <f t="shared" si="598"/>
        <v>0</v>
      </c>
      <c r="BT788" s="6">
        <f t="shared" si="599"/>
        <v>0</v>
      </c>
      <c r="BU788" s="6">
        <f t="shared" si="600"/>
        <v>1</v>
      </c>
      <c r="BV788" s="6">
        <f t="shared" si="601"/>
        <v>0</v>
      </c>
    </row>
    <row r="789" spans="1:74" s="6" customFormat="1" x14ac:dyDescent="0.25">
      <c r="A789" s="167" t="str">
        <f t="shared" si="602"/>
        <v/>
      </c>
      <c r="B789" s="578" t="str">
        <f t="shared" si="603"/>
        <v>6001</v>
      </c>
      <c r="C789" s="12" t="str">
        <f t="shared" si="604"/>
        <v>B00101</v>
      </c>
      <c r="D789" s="12" t="str">
        <f t="shared" si="605"/>
        <v>6001</v>
      </c>
      <c r="E789" s="12" t="s">
        <v>594</v>
      </c>
      <c r="F789" s="12" t="str">
        <f t="shared" si="606"/>
        <v>CZCE</v>
      </c>
      <c r="G789" s="113" t="str">
        <f>C245</f>
        <v>SR807C6500</v>
      </c>
      <c r="H789" s="111">
        <v>3</v>
      </c>
      <c r="I789" s="12">
        <f t="shared" si="554"/>
        <v>10</v>
      </c>
      <c r="J789" s="12">
        <f t="shared" si="555"/>
        <v>3</v>
      </c>
      <c r="K789" s="12">
        <f t="shared" si="556"/>
        <v>10</v>
      </c>
      <c r="L789" s="266">
        <f t="shared" si="557"/>
        <v>0</v>
      </c>
      <c r="M789" s="311">
        <f t="shared" si="558"/>
        <v>84654.3</v>
      </c>
      <c r="N789" s="311">
        <f t="shared" si="559"/>
        <v>0</v>
      </c>
      <c r="O789" s="311">
        <f t="shared" si="560"/>
        <v>74744</v>
      </c>
      <c r="P789" s="266">
        <f t="shared" si="607"/>
        <v>0</v>
      </c>
      <c r="Q789" s="266">
        <f t="shared" si="608"/>
        <v>0</v>
      </c>
      <c r="R789" s="12">
        <f t="shared" si="561"/>
        <v>615</v>
      </c>
      <c r="S789" s="12">
        <f t="shared" si="562"/>
        <v>18030</v>
      </c>
      <c r="T789" s="12">
        <f t="shared" si="563"/>
        <v>61000</v>
      </c>
      <c r="U789" s="111">
        <f t="shared" si="564"/>
        <v>18450</v>
      </c>
      <c r="V789" s="111">
        <f t="shared" si="565"/>
        <v>61500</v>
      </c>
      <c r="W789" s="24">
        <f t="shared" si="566"/>
        <v>67060</v>
      </c>
      <c r="X789" s="24">
        <f t="shared" si="567"/>
        <v>48060</v>
      </c>
      <c r="Y789" s="111">
        <f t="shared" si="568"/>
        <v>147.74</v>
      </c>
      <c r="Z789" s="111">
        <f t="shared" si="609"/>
        <v>0</v>
      </c>
      <c r="AA789" s="305">
        <f t="shared" si="569"/>
        <v>61.02</v>
      </c>
      <c r="AB789" s="111">
        <v>0</v>
      </c>
      <c r="AC789" s="111">
        <f t="shared" si="610"/>
        <v>126</v>
      </c>
      <c r="AD789" s="111">
        <v>0</v>
      </c>
      <c r="AE789" s="111">
        <f t="shared" si="570"/>
        <v>147.74</v>
      </c>
      <c r="AF789" s="111">
        <v>0</v>
      </c>
      <c r="AG789" s="111">
        <f t="shared" si="611"/>
        <v>0</v>
      </c>
      <c r="AH789" s="111">
        <v>0</v>
      </c>
      <c r="AI789" s="111">
        <f t="shared" si="622"/>
        <v>126</v>
      </c>
      <c r="AJ789" s="111">
        <v>0</v>
      </c>
      <c r="AK789" s="111">
        <f t="shared" si="613"/>
        <v>0</v>
      </c>
      <c r="AL789" s="111">
        <f t="shared" si="571"/>
        <v>0</v>
      </c>
      <c r="AM789" s="111">
        <f t="shared" si="572"/>
        <v>0</v>
      </c>
      <c r="AN789" s="12">
        <f t="shared" si="573"/>
        <v>0</v>
      </c>
      <c r="AO789" s="12">
        <f t="shared" si="574"/>
        <v>0</v>
      </c>
      <c r="AP789" s="12">
        <f t="shared" si="575"/>
        <v>0</v>
      </c>
      <c r="AQ789" s="12">
        <f t="shared" si="576"/>
        <v>0</v>
      </c>
      <c r="AR789" s="12">
        <f t="shared" si="577"/>
        <v>0</v>
      </c>
      <c r="AS789" s="382">
        <f t="shared" si="578"/>
        <v>8</v>
      </c>
      <c r="AT789" s="491">
        <f t="shared" si="620"/>
        <v>48060</v>
      </c>
      <c r="AU789" s="111">
        <f t="shared" si="580"/>
        <v>8</v>
      </c>
      <c r="AV789" s="111">
        <f t="shared" si="581"/>
        <v>48060</v>
      </c>
      <c r="AW789" s="382">
        <f t="shared" si="582"/>
        <v>0</v>
      </c>
      <c r="AX789" s="111">
        <f t="shared" si="583"/>
        <v>0</v>
      </c>
      <c r="AY789" s="382">
        <f t="shared" si="584"/>
        <v>0</v>
      </c>
      <c r="AZ789" s="111">
        <f t="shared" si="585"/>
        <v>0</v>
      </c>
      <c r="BA789" s="382">
        <f t="shared" si="614"/>
        <v>15</v>
      </c>
      <c r="BB789" s="115">
        <f t="shared" si="621"/>
        <v>67060</v>
      </c>
      <c r="BC789" s="111">
        <f t="shared" si="616"/>
        <v>10</v>
      </c>
      <c r="BD789" s="111">
        <f t="shared" si="586"/>
        <v>61000</v>
      </c>
      <c r="BE789" s="382">
        <f t="shared" si="587"/>
        <v>0</v>
      </c>
      <c r="BF789" s="111">
        <f t="shared" si="588"/>
        <v>0</v>
      </c>
      <c r="BG789" s="382">
        <f t="shared" si="617"/>
        <v>5</v>
      </c>
      <c r="BH789" s="111">
        <f t="shared" si="589"/>
        <v>6060</v>
      </c>
      <c r="BI789" s="145">
        <f t="shared" si="590"/>
        <v>20180326</v>
      </c>
      <c r="BJ789" s="12" t="str">
        <f t="shared" si="591"/>
        <v>9999</v>
      </c>
      <c r="BK789" s="111">
        <v>0</v>
      </c>
      <c r="BL789" s="111">
        <v>0</v>
      </c>
      <c r="BM789" s="6">
        <f t="shared" si="592"/>
        <v>0</v>
      </c>
      <c r="BN789" s="6">
        <f t="shared" si="593"/>
        <v>84654.3</v>
      </c>
      <c r="BO789" s="6">
        <f t="shared" si="594"/>
        <v>0</v>
      </c>
      <c r="BP789" s="6">
        <f t="shared" si="595"/>
        <v>0</v>
      </c>
      <c r="BQ789" s="6">
        <f t="shared" si="596"/>
        <v>0</v>
      </c>
      <c r="BR789" s="6">
        <f t="shared" si="597"/>
        <v>74744</v>
      </c>
      <c r="BS789" s="6">
        <f t="shared" si="598"/>
        <v>0</v>
      </c>
      <c r="BT789" s="6">
        <f t="shared" si="599"/>
        <v>0</v>
      </c>
      <c r="BU789" s="6">
        <f t="shared" si="600"/>
        <v>1</v>
      </c>
      <c r="BV789" s="6">
        <f t="shared" si="601"/>
        <v>0</v>
      </c>
    </row>
    <row r="790" spans="1:74" s="6" customFormat="1" x14ac:dyDescent="0.25">
      <c r="A790" s="167" t="str">
        <f t="shared" si="602"/>
        <v/>
      </c>
      <c r="B790" s="578" t="str">
        <f t="shared" si="603"/>
        <v>6001</v>
      </c>
      <c r="C790" s="12" t="str">
        <f t="shared" si="604"/>
        <v>B00101</v>
      </c>
      <c r="D790" s="12" t="str">
        <f t="shared" si="605"/>
        <v>6001</v>
      </c>
      <c r="E790" s="12" t="s">
        <v>594</v>
      </c>
      <c r="F790" s="12" t="str">
        <f t="shared" si="606"/>
        <v>CZCE</v>
      </c>
      <c r="G790" s="113" t="str">
        <f>C246</f>
        <v>SR807P6500</v>
      </c>
      <c r="H790" s="111">
        <v>1</v>
      </c>
      <c r="I790" s="12">
        <f t="shared" si="554"/>
        <v>10</v>
      </c>
      <c r="J790" s="12">
        <f t="shared" si="555"/>
        <v>1</v>
      </c>
      <c r="K790" s="12">
        <f t="shared" si="556"/>
        <v>5</v>
      </c>
      <c r="L790" s="266">
        <f t="shared" si="557"/>
        <v>0</v>
      </c>
      <c r="M790" s="266">
        <f t="shared" si="558"/>
        <v>45734</v>
      </c>
      <c r="N790" s="266">
        <f t="shared" si="559"/>
        <v>0</v>
      </c>
      <c r="O790" s="266">
        <f t="shared" si="560"/>
        <v>40806</v>
      </c>
      <c r="P790" s="266">
        <f t="shared" si="607"/>
        <v>0</v>
      </c>
      <c r="Q790" s="266">
        <f t="shared" si="608"/>
        <v>0</v>
      </c>
      <c r="R790" s="12">
        <f t="shared" si="561"/>
        <v>620</v>
      </c>
      <c r="S790" s="12">
        <f t="shared" si="562"/>
        <v>6160</v>
      </c>
      <c r="T790" s="12">
        <f t="shared" si="563"/>
        <v>30850</v>
      </c>
      <c r="U790" s="111">
        <f t="shared" si="564"/>
        <v>6200</v>
      </c>
      <c r="V790" s="111">
        <f t="shared" si="565"/>
        <v>31000</v>
      </c>
      <c r="W790" s="24">
        <f t="shared" si="566"/>
        <v>30850</v>
      </c>
      <c r="X790" s="24">
        <f t="shared" si="567"/>
        <v>6160</v>
      </c>
      <c r="Y790" s="111">
        <f t="shared" si="568"/>
        <v>48.51</v>
      </c>
      <c r="Z790" s="111">
        <f t="shared" si="609"/>
        <v>0</v>
      </c>
      <c r="AA790" s="305">
        <f t="shared" si="569"/>
        <v>19.399999999999999</v>
      </c>
      <c r="AB790" s="111">
        <v>0</v>
      </c>
      <c r="AC790" s="111">
        <f t="shared" si="610"/>
        <v>0</v>
      </c>
      <c r="AD790" s="111">
        <v>0</v>
      </c>
      <c r="AE790" s="111">
        <f t="shared" si="570"/>
        <v>38.799999999999997</v>
      </c>
      <c r="AF790" s="111">
        <v>0</v>
      </c>
      <c r="AG790" s="111">
        <f t="shared" si="611"/>
        <v>0</v>
      </c>
      <c r="AH790" s="111">
        <v>0</v>
      </c>
      <c r="AI790" s="111">
        <f t="shared" si="622"/>
        <v>0</v>
      </c>
      <c r="AJ790" s="111">
        <v>0</v>
      </c>
      <c r="AK790" s="111">
        <f t="shared" si="613"/>
        <v>0</v>
      </c>
      <c r="AL790" s="111">
        <f t="shared" si="571"/>
        <v>0</v>
      </c>
      <c r="AM790" s="111">
        <f t="shared" si="572"/>
        <v>0</v>
      </c>
      <c r="AN790" s="12">
        <f t="shared" si="573"/>
        <v>0</v>
      </c>
      <c r="AO790" s="12">
        <f t="shared" si="574"/>
        <v>0</v>
      </c>
      <c r="AP790" s="12">
        <f t="shared" si="575"/>
        <v>0</v>
      </c>
      <c r="AQ790" s="12">
        <f t="shared" si="576"/>
        <v>0</v>
      </c>
      <c r="AR790" s="12">
        <f t="shared" si="577"/>
        <v>0</v>
      </c>
      <c r="AS790" s="382">
        <f t="shared" si="578"/>
        <v>1</v>
      </c>
      <c r="AT790" s="491">
        <f t="shared" si="620"/>
        <v>6160</v>
      </c>
      <c r="AU790" s="111">
        <f t="shared" si="580"/>
        <v>1</v>
      </c>
      <c r="AV790" s="111">
        <f t="shared" si="581"/>
        <v>6160</v>
      </c>
      <c r="AW790" s="382">
        <f t="shared" si="582"/>
        <v>0</v>
      </c>
      <c r="AX790" s="111">
        <f t="shared" si="583"/>
        <v>0</v>
      </c>
      <c r="AY790" s="382">
        <f t="shared" si="584"/>
        <v>0</v>
      </c>
      <c r="AZ790" s="111">
        <f t="shared" si="585"/>
        <v>0</v>
      </c>
      <c r="BA790" s="382">
        <f t="shared" si="614"/>
        <v>5</v>
      </c>
      <c r="BB790" s="115">
        <f t="shared" si="621"/>
        <v>30850</v>
      </c>
      <c r="BC790" s="111">
        <f t="shared" si="616"/>
        <v>5</v>
      </c>
      <c r="BD790" s="111">
        <f t="shared" si="586"/>
        <v>30850</v>
      </c>
      <c r="BE790" s="382">
        <f t="shared" si="587"/>
        <v>0</v>
      </c>
      <c r="BF790" s="111">
        <f t="shared" si="588"/>
        <v>0</v>
      </c>
      <c r="BG790" s="382">
        <f t="shared" si="617"/>
        <v>0</v>
      </c>
      <c r="BH790" s="111">
        <f t="shared" si="589"/>
        <v>0</v>
      </c>
      <c r="BI790" s="145">
        <f t="shared" si="590"/>
        <v>20180326</v>
      </c>
      <c r="BJ790" s="12" t="str">
        <f t="shared" si="591"/>
        <v>9999</v>
      </c>
      <c r="BK790" s="111">
        <v>0</v>
      </c>
      <c r="BL790" s="111">
        <v>0</v>
      </c>
      <c r="BM790" s="6">
        <f t="shared" si="592"/>
        <v>0</v>
      </c>
      <c r="BN790" s="6">
        <f t="shared" si="593"/>
        <v>29688</v>
      </c>
      <c r="BO790" s="6">
        <f t="shared" si="594"/>
        <v>0</v>
      </c>
      <c r="BP790" s="6">
        <f t="shared" si="595"/>
        <v>16046</v>
      </c>
      <c r="BQ790" s="6">
        <f t="shared" si="596"/>
        <v>0</v>
      </c>
      <c r="BR790" s="6">
        <f t="shared" si="597"/>
        <v>25992</v>
      </c>
      <c r="BS790" s="6">
        <f t="shared" si="598"/>
        <v>0</v>
      </c>
      <c r="BT790" s="6">
        <f t="shared" si="599"/>
        <v>14814</v>
      </c>
      <c r="BU790" s="6">
        <f t="shared" si="600"/>
        <v>1</v>
      </c>
      <c r="BV790" s="6">
        <f t="shared" si="601"/>
        <v>0</v>
      </c>
    </row>
    <row r="791" spans="1:74" s="6" customFormat="1" x14ac:dyDescent="0.25">
      <c r="A791" s="167" t="str">
        <f t="shared" si="602"/>
        <v/>
      </c>
      <c r="B791" s="578" t="str">
        <f t="shared" si="603"/>
        <v>6001</v>
      </c>
      <c r="C791" s="12" t="str">
        <f t="shared" si="604"/>
        <v>B00101</v>
      </c>
      <c r="D791" s="12" t="str">
        <f t="shared" si="605"/>
        <v>6001</v>
      </c>
      <c r="E791" s="12" t="s">
        <v>594</v>
      </c>
      <c r="F791" s="12" t="str">
        <f t="shared" si="606"/>
        <v>CZCE</v>
      </c>
      <c r="G791" s="113" t="str">
        <f>C246</f>
        <v>SR807P6500</v>
      </c>
      <c r="H791" s="111">
        <v>3</v>
      </c>
      <c r="I791" s="12">
        <f t="shared" si="554"/>
        <v>10</v>
      </c>
      <c r="J791" s="12">
        <f t="shared" si="555"/>
        <v>2</v>
      </c>
      <c r="K791" s="12">
        <f t="shared" si="556"/>
        <v>3</v>
      </c>
      <c r="L791" s="266">
        <f t="shared" si="557"/>
        <v>0</v>
      </c>
      <c r="M791" s="266">
        <f t="shared" si="558"/>
        <v>30426.959999999999</v>
      </c>
      <c r="N791" s="266">
        <f t="shared" si="559"/>
        <v>0</v>
      </c>
      <c r="O791" s="266">
        <f t="shared" si="560"/>
        <v>26361.599999999999</v>
      </c>
      <c r="P791" s="266">
        <f t="shared" si="607"/>
        <v>0</v>
      </c>
      <c r="Q791" s="266">
        <f t="shared" si="608"/>
        <v>0</v>
      </c>
      <c r="R791" s="12">
        <f t="shared" si="561"/>
        <v>620</v>
      </c>
      <c r="S791" s="12">
        <f t="shared" si="562"/>
        <v>12360</v>
      </c>
      <c r="T791" s="12">
        <f t="shared" si="563"/>
        <v>18570</v>
      </c>
      <c r="U791" s="111">
        <f t="shared" si="564"/>
        <v>12400</v>
      </c>
      <c r="V791" s="111">
        <f t="shared" si="565"/>
        <v>18600</v>
      </c>
      <c r="W791" s="24">
        <f t="shared" si="566"/>
        <v>30950</v>
      </c>
      <c r="X791" s="24">
        <f t="shared" si="567"/>
        <v>24720</v>
      </c>
      <c r="Y791" s="111">
        <f t="shared" si="568"/>
        <v>72.84</v>
      </c>
      <c r="Z791" s="111">
        <f t="shared" si="609"/>
        <v>0</v>
      </c>
      <c r="AA791" s="305">
        <f t="shared" si="569"/>
        <v>29.13</v>
      </c>
      <c r="AB791" s="111">
        <v>0</v>
      </c>
      <c r="AC791" s="111">
        <f t="shared" si="610"/>
        <v>63</v>
      </c>
      <c r="AD791" s="111">
        <v>0</v>
      </c>
      <c r="AE791" s="111">
        <f t="shared" si="570"/>
        <v>72.84</v>
      </c>
      <c r="AF791" s="111">
        <v>0</v>
      </c>
      <c r="AG791" s="111">
        <f t="shared" si="611"/>
        <v>0</v>
      </c>
      <c r="AH791" s="111">
        <v>0</v>
      </c>
      <c r="AI791" s="111">
        <f t="shared" si="622"/>
        <v>63</v>
      </c>
      <c r="AJ791" s="111">
        <v>0</v>
      </c>
      <c r="AK791" s="111">
        <f t="shared" si="613"/>
        <v>0</v>
      </c>
      <c r="AL791" s="111">
        <f t="shared" si="571"/>
        <v>0</v>
      </c>
      <c r="AM791" s="111">
        <f t="shared" si="572"/>
        <v>0</v>
      </c>
      <c r="AN791" s="12">
        <f t="shared" si="573"/>
        <v>0</v>
      </c>
      <c r="AO791" s="12">
        <f t="shared" si="574"/>
        <v>0</v>
      </c>
      <c r="AP791" s="12">
        <f t="shared" si="575"/>
        <v>0</v>
      </c>
      <c r="AQ791" s="12">
        <f t="shared" si="576"/>
        <v>0</v>
      </c>
      <c r="AR791" s="12">
        <f t="shared" si="577"/>
        <v>0</v>
      </c>
      <c r="AS791" s="382">
        <f t="shared" si="578"/>
        <v>4</v>
      </c>
      <c r="AT791" s="491">
        <f t="shared" si="620"/>
        <v>24720</v>
      </c>
      <c r="AU791" s="111">
        <f t="shared" si="580"/>
        <v>4</v>
      </c>
      <c r="AV791" s="111">
        <f t="shared" si="581"/>
        <v>24720</v>
      </c>
      <c r="AW791" s="382">
        <f t="shared" si="582"/>
        <v>0</v>
      </c>
      <c r="AX791" s="111">
        <f t="shared" si="583"/>
        <v>0</v>
      </c>
      <c r="AY791" s="382">
        <f t="shared" si="584"/>
        <v>0</v>
      </c>
      <c r="AZ791" s="111">
        <f t="shared" si="585"/>
        <v>0</v>
      </c>
      <c r="BA791" s="382">
        <f t="shared" si="614"/>
        <v>7</v>
      </c>
      <c r="BB791" s="115">
        <f t="shared" si="621"/>
        <v>30950</v>
      </c>
      <c r="BC791" s="111">
        <f t="shared" si="616"/>
        <v>5</v>
      </c>
      <c r="BD791" s="111">
        <f t="shared" si="586"/>
        <v>30950</v>
      </c>
      <c r="BE791" s="382">
        <f t="shared" si="587"/>
        <v>0</v>
      </c>
      <c r="BF791" s="111">
        <f t="shared" si="588"/>
        <v>0</v>
      </c>
      <c r="BG791" s="382">
        <f t="shared" si="617"/>
        <v>2</v>
      </c>
      <c r="BH791" s="111">
        <f t="shared" si="589"/>
        <v>0</v>
      </c>
      <c r="BI791" s="145">
        <f t="shared" si="590"/>
        <v>20180326</v>
      </c>
      <c r="BJ791" s="12" t="str">
        <f t="shared" si="591"/>
        <v>9999</v>
      </c>
      <c r="BK791" s="111">
        <v>0</v>
      </c>
      <c r="BL791" s="111">
        <v>0</v>
      </c>
      <c r="BM791" s="6">
        <f t="shared" si="592"/>
        <v>0</v>
      </c>
      <c r="BN791" s="6">
        <f t="shared" si="593"/>
        <v>30426.959999999999</v>
      </c>
      <c r="BO791" s="6">
        <f t="shared" si="594"/>
        <v>0</v>
      </c>
      <c r="BP791" s="6">
        <f t="shared" si="595"/>
        <v>0</v>
      </c>
      <c r="BQ791" s="6">
        <f t="shared" si="596"/>
        <v>0</v>
      </c>
      <c r="BR791" s="6">
        <f t="shared" si="597"/>
        <v>26361.599999999999</v>
      </c>
      <c r="BS791" s="6">
        <f t="shared" si="598"/>
        <v>0</v>
      </c>
      <c r="BT791" s="6">
        <f t="shared" si="599"/>
        <v>0</v>
      </c>
      <c r="BU791" s="6">
        <f t="shared" si="600"/>
        <v>1</v>
      </c>
      <c r="BV791" s="6">
        <f t="shared" si="601"/>
        <v>0</v>
      </c>
    </row>
    <row r="792" spans="1:74" s="528" customFormat="1" x14ac:dyDescent="0.25">
      <c r="A792" s="546" t="str">
        <f t="shared" si="602"/>
        <v/>
      </c>
      <c r="B792" s="607" t="str">
        <f t="shared" si="603"/>
        <v>6001</v>
      </c>
      <c r="C792" s="529" t="str">
        <f t="shared" si="604"/>
        <v>B00101</v>
      </c>
      <c r="D792" s="529" t="str">
        <f t="shared" si="605"/>
        <v>6001</v>
      </c>
      <c r="E792" s="529" t="s">
        <v>228</v>
      </c>
      <c r="F792" s="529" t="str">
        <f t="shared" si="606"/>
        <v>CZCE</v>
      </c>
      <c r="G792" s="530" t="str">
        <f>C33</f>
        <v>SR809C6600</v>
      </c>
      <c r="H792" s="531">
        <v>1</v>
      </c>
      <c r="I792" s="532">
        <f t="shared" si="554"/>
        <v>10</v>
      </c>
      <c r="J792" s="529">
        <f t="shared" si="555"/>
        <v>0</v>
      </c>
      <c r="K792" s="529">
        <f t="shared" si="556"/>
        <v>4</v>
      </c>
      <c r="L792" s="533">
        <f t="shared" si="557"/>
        <v>0</v>
      </c>
      <c r="M792" s="534">
        <f t="shared" si="558"/>
        <v>16722.310000000001</v>
      </c>
      <c r="N792" s="534">
        <f t="shared" si="559"/>
        <v>0</v>
      </c>
      <c r="O792" s="534">
        <f t="shared" si="560"/>
        <v>15427.65</v>
      </c>
      <c r="P792" s="534">
        <f t="shared" ref="P792" si="623">SUMPRODUCT(($D$607:$D$609=C792)*($E$607:$E$609=D792)*($H$607:$H$609=G792)*($K$607:$K$609=H792)*($V$607:$V$609))</f>
        <v>0</v>
      </c>
      <c r="Q792" s="534">
        <f t="shared" ref="Q792" si="624">SUMPRODUCT(($D$607:$D$609=C792)*($E$607:$E$609=D792)*($H$607:$H$609=G792)*($K$607:$K$609=H792)*($W$607:$W$609))</f>
        <v>0</v>
      </c>
      <c r="R792" s="532">
        <f t="shared" ref="R792" si="625" xml:space="preserve"> VLOOKUP(G792,$C$237:$F$249,3,FALSE)</f>
        <v>645</v>
      </c>
      <c r="S792" s="532">
        <f t="shared" si="562"/>
        <v>0</v>
      </c>
      <c r="T792" s="529">
        <f t="shared" si="563"/>
        <v>25200</v>
      </c>
      <c r="U792" s="535">
        <f t="shared" ref="U792" si="626" xml:space="preserve"> IF(BU792=1,I792*J792*R792,0)</f>
        <v>0</v>
      </c>
      <c r="V792" s="535">
        <f t="shared" ref="V792" si="627" xml:space="preserve"> IF(BU792=1,I792*K792*R792,0)</f>
        <v>25800</v>
      </c>
      <c r="W792" s="536">
        <f t="shared" si="566"/>
        <v>25200</v>
      </c>
      <c r="X792" s="537">
        <f t="shared" ref="X792" si="628">SUMPRODUCT(($F$486:$F$561=C792)*($G$486:$G$561=D792)*(($L$486:$L$561=G792)*($P$486:$P$561=H792)*($AK$486:$AK$561)))</f>
        <v>0</v>
      </c>
      <c r="Y792" s="535">
        <f t="shared" ref="Y792" si="629">ROUND(SUMPRODUCT(($F$486:$F$561=C792)*($G$486:$G$561=D792)*($L$486:$L$561=G792)*($P$486:$P$561=H792)*($AA$486:$AA$561)),2)</f>
        <v>32.6</v>
      </c>
      <c r="Z792" s="535">
        <f t="shared" ref="Z792" si="630">SUMPRODUCT(($D$596:$D$601=C792)*($E$596:$E$601=D792)*($H$596:$H$601=G792)*($K$596:$K$601=H792)*($N$596:$N$601=1)*($T$596:$T$601))</f>
        <v>0</v>
      </c>
      <c r="AA792" s="538">
        <f t="shared" si="569"/>
        <v>13.04</v>
      </c>
      <c r="AB792" s="531">
        <v>0</v>
      </c>
      <c r="AC792" s="531">
        <f t="shared" si="610"/>
        <v>0</v>
      </c>
      <c r="AD792" s="535">
        <v>0</v>
      </c>
      <c r="AE792" s="531">
        <f t="shared" si="570"/>
        <v>26.08</v>
      </c>
      <c r="AF792" s="535">
        <v>0</v>
      </c>
      <c r="AG792" s="535">
        <f t="shared" ref="AG792" si="631">SUMPRODUCT(($D$596:$D$601=C792)*($E$596:$E$601=D792)*($H$596:$H$601=G792)*($K$596:$K$601=H792)*($N$596:$N$601=2)*($T$596:$T$601))</f>
        <v>0</v>
      </c>
      <c r="AH792" s="535">
        <v>0</v>
      </c>
      <c r="AI792" s="535">
        <f t="shared" ref="AI792" si="632">SUMPRODUCT(($D$626:$D$641=C792)*($E$626:$E$641=D792)*($H$626:$H$641=G792)*($L$626:$L$641=H792)*($V$626:$V$641))</f>
        <v>0</v>
      </c>
      <c r="AJ792" s="531">
        <v>0</v>
      </c>
      <c r="AK792" s="531">
        <f t="shared" si="613"/>
        <v>0</v>
      </c>
      <c r="AL792" s="531">
        <f t="shared" si="571"/>
        <v>0</v>
      </c>
      <c r="AM792" s="531">
        <f t="shared" si="572"/>
        <v>0</v>
      </c>
      <c r="AN792" s="529">
        <f t="shared" si="573"/>
        <v>0</v>
      </c>
      <c r="AO792" s="529">
        <f t="shared" si="574"/>
        <v>0</v>
      </c>
      <c r="AP792" s="529">
        <f t="shared" si="575"/>
        <v>0</v>
      </c>
      <c r="AQ792" s="529">
        <f t="shared" si="576"/>
        <v>0</v>
      </c>
      <c r="AR792" s="529">
        <f t="shared" si="577"/>
        <v>0</v>
      </c>
      <c r="AS792" s="539">
        <f t="shared" si="578"/>
        <v>0</v>
      </c>
      <c r="AT792" s="540">
        <f t="shared" ref="AT792" si="633">SUMPRODUCT(($F$486:$F$561=C792)*($G$486:$G$561=D792)*($L$486:$L$561=G792)*($P$486:$P$561=H792)*($O$486:$O$561=0)*($AE$486:$AE$561))</f>
        <v>0</v>
      </c>
      <c r="AU792" s="535">
        <f t="shared" ref="AU792" si="634">SUMPRODUCT(($F$486:$F$561=C792)*($G$486:$G$561=D792)*($L$486:$L$561=G792)*($P$486:$P$561=H792)*($O$486:$O$561=0)*($N$486:$N$561=0)*($Q$486:$Q$561))</f>
        <v>0</v>
      </c>
      <c r="AV792" s="535">
        <f t="shared" ref="AV792" si="635">SUMPRODUCT(($F$486:$F$561=C792)*($G$486:$G$561=D792)*($L$486:$L$561=G792)*($P$486:$P$561=H792)*($O$486:$O$561=0)*($N$486:$N$561=0)*($AE$486:$AE$561))</f>
        <v>0</v>
      </c>
      <c r="AW792" s="539">
        <f t="shared" ref="AW792" si="636">SUMPRODUCT(($F$486:$F$561=C792)*($G$486:$G$561=D792)*($L$486:$L$561=G792)*($P$486:$P$561=H792)*($O$486:$O$561=0)*($N$486:$N$561=1)*($Q$486:$Q$561))+SUMPRODUCT(($D$626:$D$649=C792)*($E$626:$E$649=D792)*($H$626:$H$649=G792)*($L$626:$L$649=H792)*($K$626:$K$649=1)*($AD$626:$AD$649=1)*($O$626:$O$649=0)*($N$626:$N$649))</f>
        <v>0</v>
      </c>
      <c r="AX792" s="535">
        <f t="shared" ref="AX792" si="637">SUMPRODUCT(($F$486:$F$561=C792)*($G$486:$G$561=D792)*($L$486:$L$561=G792)*($P$486:$P$561=H792)*($O$486:$O$561=0)*($N$486:$N$561=1)*($AE$486:$AE$561))</f>
        <v>0</v>
      </c>
      <c r="AY792" s="539">
        <f t="shared" ref="AY792" si="638">SUMPRODUCT(($F$486:$F$561=C792)*($G$486:$G$561=D792)*($L$486:$L$561=G792)*($P$486:$P$561=H792)*($O$486:$O$561=0)*($N$486:$N$561=3)*($Q$486:$Q$561))+SUMPRODUCT(($D$626:$D$649=C792)*($E$626:$E$649=D792)*($H$626:$H$649=G792)*($L$626:$L$649=H792)*($K$626:$K$649=1)*($AD$626:$AD$649=3)*($O$626:$O$649=0)*($N$626:$N$649))</f>
        <v>0</v>
      </c>
      <c r="AZ792" s="531">
        <f t="shared" si="585"/>
        <v>0</v>
      </c>
      <c r="BA792" s="531">
        <f t="shared" si="614"/>
        <v>4</v>
      </c>
      <c r="BB792" s="531">
        <f t="shared" si="621"/>
        <v>25200</v>
      </c>
      <c r="BC792" s="531">
        <f t="shared" si="616"/>
        <v>4</v>
      </c>
      <c r="BD792" s="531">
        <f t="shared" si="586"/>
        <v>25200</v>
      </c>
      <c r="BE792" s="531">
        <f t="shared" si="587"/>
        <v>0</v>
      </c>
      <c r="BF792" s="531">
        <f t="shared" si="588"/>
        <v>0</v>
      </c>
      <c r="BG792" s="531">
        <f t="shared" si="617"/>
        <v>0</v>
      </c>
      <c r="BH792" s="531">
        <f t="shared" si="589"/>
        <v>0</v>
      </c>
      <c r="BI792" s="541">
        <f t="shared" si="590"/>
        <v>20180326</v>
      </c>
      <c r="BJ792" s="532" t="str">
        <f t="shared" si="591"/>
        <v>9999</v>
      </c>
      <c r="BK792" s="535">
        <v>0</v>
      </c>
      <c r="BL792" s="535">
        <v>0</v>
      </c>
      <c r="BM792" s="528">
        <f t="shared" si="592"/>
        <v>0</v>
      </c>
      <c r="BN792" s="528">
        <f t="shared" si="593"/>
        <v>16722.310000000001</v>
      </c>
      <c r="BO792" s="528">
        <f t="shared" si="594"/>
        <v>0</v>
      </c>
      <c r="BP792" s="528">
        <f t="shared" si="595"/>
        <v>0</v>
      </c>
      <c r="BQ792" s="528">
        <f t="shared" si="596"/>
        <v>0</v>
      </c>
      <c r="BR792" s="528">
        <f t="shared" si="597"/>
        <v>15427.65</v>
      </c>
      <c r="BS792" s="528">
        <f t="shared" si="598"/>
        <v>0</v>
      </c>
      <c r="BT792" s="528">
        <f t="shared" si="599"/>
        <v>0</v>
      </c>
      <c r="BU792" s="528">
        <v>1</v>
      </c>
      <c r="BV792" s="528">
        <v>0</v>
      </c>
    </row>
    <row r="793" spans="1:74" s="6" customFormat="1" x14ac:dyDescent="0.25">
      <c r="A793" s="167" t="str">
        <f t="shared" si="602"/>
        <v/>
      </c>
      <c r="B793" s="578" t="str">
        <f t="shared" si="603"/>
        <v>6001</v>
      </c>
      <c r="C793" s="12" t="str">
        <f t="shared" si="604"/>
        <v>B00101</v>
      </c>
      <c r="D793" s="12" t="str">
        <f t="shared" si="605"/>
        <v>6001</v>
      </c>
      <c r="E793" s="12" t="s">
        <v>594</v>
      </c>
      <c r="F793" s="12" t="str">
        <f t="shared" si="606"/>
        <v>CZCE</v>
      </c>
      <c r="G793" s="113" t="str">
        <f>C247</f>
        <v>SR807P6400</v>
      </c>
      <c r="H793" s="111">
        <v>1</v>
      </c>
      <c r="I793" s="12">
        <f t="shared" si="554"/>
        <v>10</v>
      </c>
      <c r="J793" s="12">
        <f t="shared" si="555"/>
        <v>2</v>
      </c>
      <c r="K793" s="12">
        <f t="shared" si="556"/>
        <v>1</v>
      </c>
      <c r="L793" s="266">
        <f t="shared" si="557"/>
        <v>0</v>
      </c>
      <c r="M793" s="266">
        <f t="shared" si="558"/>
        <v>16096</v>
      </c>
      <c r="N793" s="266">
        <f t="shared" si="559"/>
        <v>0</v>
      </c>
      <c r="O793" s="266">
        <f t="shared" si="560"/>
        <v>14864</v>
      </c>
      <c r="P793" s="266">
        <f t="shared" si="607"/>
        <v>0</v>
      </c>
      <c r="Q793" s="266">
        <f t="shared" si="608"/>
        <v>0</v>
      </c>
      <c r="R793" s="12">
        <f t="shared" si="561"/>
        <v>625</v>
      </c>
      <c r="S793" s="12">
        <f t="shared" si="562"/>
        <v>12410</v>
      </c>
      <c r="T793" s="12">
        <f t="shared" si="563"/>
        <v>6220</v>
      </c>
      <c r="U793" s="111">
        <f t="shared" si="564"/>
        <v>12500</v>
      </c>
      <c r="V793" s="111">
        <f t="shared" si="565"/>
        <v>6250</v>
      </c>
      <c r="W793" s="24">
        <f t="shared" si="566"/>
        <v>6220</v>
      </c>
      <c r="X793" s="24">
        <f t="shared" si="567"/>
        <v>12410</v>
      </c>
      <c r="Y793" s="111">
        <f t="shared" si="568"/>
        <v>24.32</v>
      </c>
      <c r="Z793" s="111">
        <f t="shared" si="609"/>
        <v>0</v>
      </c>
      <c r="AA793" s="305">
        <f t="shared" si="569"/>
        <v>9.7200000000000006</v>
      </c>
      <c r="AB793" s="111">
        <v>0</v>
      </c>
      <c r="AC793" s="111">
        <f t="shared" si="610"/>
        <v>0</v>
      </c>
      <c r="AD793" s="111">
        <v>0</v>
      </c>
      <c r="AE793" s="111">
        <f t="shared" si="570"/>
        <v>19.45</v>
      </c>
      <c r="AF793" s="111">
        <v>0</v>
      </c>
      <c r="AG793" s="111">
        <f t="shared" si="611"/>
        <v>0</v>
      </c>
      <c r="AH793" s="111">
        <v>0</v>
      </c>
      <c r="AI793" s="111">
        <f t="shared" si="622"/>
        <v>0</v>
      </c>
      <c r="AJ793" s="111">
        <v>0</v>
      </c>
      <c r="AK793" s="111">
        <f t="shared" si="613"/>
        <v>0</v>
      </c>
      <c r="AL793" s="111">
        <f t="shared" si="571"/>
        <v>0</v>
      </c>
      <c r="AM793" s="111">
        <f t="shared" si="572"/>
        <v>0</v>
      </c>
      <c r="AN793" s="12">
        <f t="shared" si="573"/>
        <v>0</v>
      </c>
      <c r="AO793" s="12">
        <f t="shared" si="574"/>
        <v>0</v>
      </c>
      <c r="AP793" s="12">
        <f t="shared" si="575"/>
        <v>0</v>
      </c>
      <c r="AQ793" s="12">
        <f t="shared" si="576"/>
        <v>0</v>
      </c>
      <c r="AR793" s="12">
        <f t="shared" si="577"/>
        <v>0</v>
      </c>
      <c r="AS793" s="382">
        <f t="shared" si="578"/>
        <v>2</v>
      </c>
      <c r="AT793" s="491">
        <f t="shared" si="620"/>
        <v>12410</v>
      </c>
      <c r="AU793" s="111">
        <f t="shared" si="580"/>
        <v>2</v>
      </c>
      <c r="AV793" s="111">
        <f t="shared" si="581"/>
        <v>12410</v>
      </c>
      <c r="AW793" s="382">
        <f t="shared" si="582"/>
        <v>0</v>
      </c>
      <c r="AX793" s="111">
        <f t="shared" si="583"/>
        <v>0</v>
      </c>
      <c r="AY793" s="382">
        <f t="shared" si="584"/>
        <v>0</v>
      </c>
      <c r="AZ793" s="111">
        <f t="shared" si="585"/>
        <v>0</v>
      </c>
      <c r="BA793" s="382">
        <f t="shared" si="614"/>
        <v>1</v>
      </c>
      <c r="BB793" s="115">
        <f t="shared" si="621"/>
        <v>6220</v>
      </c>
      <c r="BC793" s="111">
        <f t="shared" si="616"/>
        <v>1</v>
      </c>
      <c r="BD793" s="111">
        <f t="shared" si="586"/>
        <v>6220</v>
      </c>
      <c r="BE793" s="382">
        <f t="shared" si="587"/>
        <v>0</v>
      </c>
      <c r="BF793" s="111">
        <f t="shared" si="588"/>
        <v>0</v>
      </c>
      <c r="BG793" s="382">
        <f t="shared" si="617"/>
        <v>0</v>
      </c>
      <c r="BH793" s="111">
        <f t="shared" si="589"/>
        <v>0</v>
      </c>
      <c r="BI793" s="145">
        <f t="shared" si="590"/>
        <v>20180326</v>
      </c>
      <c r="BJ793" s="12" t="str">
        <f t="shared" si="591"/>
        <v>9999</v>
      </c>
      <c r="BK793" s="111">
        <v>0</v>
      </c>
      <c r="BL793" s="111">
        <v>0</v>
      </c>
      <c r="BM793" s="6">
        <f t="shared" si="592"/>
        <v>0</v>
      </c>
      <c r="BN793" s="6">
        <f t="shared" si="593"/>
        <v>0</v>
      </c>
      <c r="BO793" s="6">
        <f t="shared" si="594"/>
        <v>0</v>
      </c>
      <c r="BP793" s="6">
        <f t="shared" si="595"/>
        <v>16096</v>
      </c>
      <c r="BQ793" s="6">
        <f t="shared" si="596"/>
        <v>0</v>
      </c>
      <c r="BR793" s="6">
        <f t="shared" si="597"/>
        <v>0</v>
      </c>
      <c r="BS793" s="6">
        <f t="shared" si="598"/>
        <v>0</v>
      </c>
      <c r="BT793" s="6">
        <f t="shared" si="599"/>
        <v>14864</v>
      </c>
      <c r="BU793" s="6">
        <f t="shared" si="600"/>
        <v>1</v>
      </c>
      <c r="BV793" s="6">
        <f t="shared" si="601"/>
        <v>0</v>
      </c>
    </row>
    <row r="794" spans="1:74" x14ac:dyDescent="0.25">
      <c r="A794" s="167" t="str">
        <f t="shared" si="602"/>
        <v>comment</v>
      </c>
      <c r="B794" s="578" t="str">
        <f t="shared" si="603"/>
        <v>6001</v>
      </c>
      <c r="C794" s="12" t="str">
        <f t="shared" si="604"/>
        <v>B00101</v>
      </c>
      <c r="D794" s="12" t="str">
        <f t="shared" si="605"/>
        <v>6001</v>
      </c>
      <c r="E794" s="12" t="s">
        <v>594</v>
      </c>
      <c r="F794" s="50" t="str">
        <f t="shared" si="606"/>
        <v>CZCE</v>
      </c>
      <c r="G794" s="109" t="str">
        <f>C247</f>
        <v>SR807P6400</v>
      </c>
      <c r="H794" s="92">
        <v>3</v>
      </c>
      <c r="I794" s="50">
        <f t="shared" si="554"/>
        <v>10</v>
      </c>
      <c r="J794" s="12">
        <f t="shared" si="555"/>
        <v>0</v>
      </c>
      <c r="K794" s="12">
        <f t="shared" si="556"/>
        <v>0</v>
      </c>
      <c r="L794" s="266">
        <f t="shared" si="557"/>
        <v>0</v>
      </c>
      <c r="M794" s="266">
        <f t="shared" si="558"/>
        <v>0</v>
      </c>
      <c r="N794" s="266">
        <f t="shared" si="559"/>
        <v>0</v>
      </c>
      <c r="O794" s="266">
        <f t="shared" si="560"/>
        <v>0</v>
      </c>
      <c r="P794" s="313">
        <f t="shared" si="607"/>
        <v>0</v>
      </c>
      <c r="Q794" s="313">
        <f t="shared" si="608"/>
        <v>0</v>
      </c>
      <c r="R794" s="50">
        <f t="shared" si="561"/>
        <v>625</v>
      </c>
      <c r="S794" s="12">
        <f t="shared" si="562"/>
        <v>0</v>
      </c>
      <c r="T794" s="12">
        <f t="shared" si="563"/>
        <v>0</v>
      </c>
      <c r="U794" s="92">
        <f t="shared" si="564"/>
        <v>0</v>
      </c>
      <c r="V794" s="92">
        <f t="shared" si="565"/>
        <v>0</v>
      </c>
      <c r="W794" s="24">
        <f t="shared" si="566"/>
        <v>0</v>
      </c>
      <c r="X794" s="24">
        <f t="shared" si="567"/>
        <v>0</v>
      </c>
      <c r="Y794" s="111">
        <f t="shared" si="568"/>
        <v>0</v>
      </c>
      <c r="Z794" s="92">
        <f t="shared" si="609"/>
        <v>0</v>
      </c>
      <c r="AA794" s="305">
        <f t="shared" si="569"/>
        <v>0</v>
      </c>
      <c r="AB794" s="92">
        <v>0</v>
      </c>
      <c r="AC794" s="111">
        <f t="shared" si="610"/>
        <v>0</v>
      </c>
      <c r="AD794" s="92">
        <v>0</v>
      </c>
      <c r="AE794" s="111">
        <f t="shared" si="570"/>
        <v>0</v>
      </c>
      <c r="AF794" s="92">
        <v>0</v>
      </c>
      <c r="AG794" s="111">
        <f t="shared" si="611"/>
        <v>0</v>
      </c>
      <c r="AH794" s="92">
        <v>0</v>
      </c>
      <c r="AI794" s="92">
        <f t="shared" si="622"/>
        <v>0</v>
      </c>
      <c r="AJ794" s="92">
        <v>0</v>
      </c>
      <c r="AK794" s="111">
        <f t="shared" si="613"/>
        <v>0</v>
      </c>
      <c r="AL794" s="111">
        <f t="shared" si="571"/>
        <v>0</v>
      </c>
      <c r="AM794" s="111">
        <f t="shared" si="572"/>
        <v>0</v>
      </c>
      <c r="AN794" s="12">
        <f t="shared" si="573"/>
        <v>0</v>
      </c>
      <c r="AO794" s="12">
        <f t="shared" si="574"/>
        <v>0</v>
      </c>
      <c r="AP794" s="12">
        <f t="shared" si="575"/>
        <v>0</v>
      </c>
      <c r="AQ794" s="12">
        <f t="shared" si="576"/>
        <v>0</v>
      </c>
      <c r="AR794" s="12">
        <f t="shared" si="577"/>
        <v>0</v>
      </c>
      <c r="AS794" s="382">
        <f t="shared" si="578"/>
        <v>0</v>
      </c>
      <c r="AT794" s="491">
        <f t="shared" si="620"/>
        <v>0</v>
      </c>
      <c r="AU794" s="111">
        <f t="shared" si="580"/>
        <v>0</v>
      </c>
      <c r="AV794" s="111">
        <f t="shared" si="581"/>
        <v>0</v>
      </c>
      <c r="AW794" s="382">
        <f t="shared" si="582"/>
        <v>0</v>
      </c>
      <c r="AX794" s="111">
        <f t="shared" si="583"/>
        <v>0</v>
      </c>
      <c r="AY794" s="382">
        <f t="shared" si="584"/>
        <v>0</v>
      </c>
      <c r="AZ794" s="111">
        <f t="shared" si="585"/>
        <v>0</v>
      </c>
      <c r="BA794" s="382">
        <f t="shared" si="614"/>
        <v>0</v>
      </c>
      <c r="BB794" s="115">
        <f t="shared" si="621"/>
        <v>0</v>
      </c>
      <c r="BC794" s="111">
        <f t="shared" si="616"/>
        <v>0</v>
      </c>
      <c r="BD794" s="111">
        <f t="shared" si="586"/>
        <v>0</v>
      </c>
      <c r="BE794" s="382">
        <f t="shared" si="587"/>
        <v>0</v>
      </c>
      <c r="BF794" s="111">
        <f t="shared" si="588"/>
        <v>0</v>
      </c>
      <c r="BG794" s="382">
        <f t="shared" si="617"/>
        <v>0</v>
      </c>
      <c r="BH794" s="111">
        <f t="shared" si="589"/>
        <v>0</v>
      </c>
      <c r="BI794" s="145">
        <f t="shared" si="590"/>
        <v>20180326</v>
      </c>
      <c r="BJ794" s="12" t="str">
        <f t="shared" si="591"/>
        <v>9999</v>
      </c>
      <c r="BK794" s="92">
        <v>0</v>
      </c>
      <c r="BL794" s="92">
        <v>0</v>
      </c>
      <c r="BM794" s="6">
        <f t="shared" si="592"/>
        <v>0</v>
      </c>
      <c r="BN794" s="6">
        <f t="shared" si="593"/>
        <v>0</v>
      </c>
      <c r="BO794">
        <f t="shared" si="594"/>
        <v>0</v>
      </c>
      <c r="BP794">
        <f t="shared" si="595"/>
        <v>0</v>
      </c>
      <c r="BQ794" s="6">
        <f t="shared" si="596"/>
        <v>0</v>
      </c>
      <c r="BR794" s="6">
        <f t="shared" si="597"/>
        <v>0</v>
      </c>
      <c r="BS794">
        <f t="shared" si="598"/>
        <v>0</v>
      </c>
      <c r="BT794">
        <f t="shared" si="599"/>
        <v>0</v>
      </c>
      <c r="BU794">
        <f t="shared" si="600"/>
        <v>1</v>
      </c>
      <c r="BV794">
        <f t="shared" si="601"/>
        <v>0</v>
      </c>
    </row>
    <row r="795" spans="1:74" x14ac:dyDescent="0.25">
      <c r="B795" s="3"/>
      <c r="C795" s="3"/>
      <c r="D795" s="3"/>
      <c r="E795" s="3"/>
      <c r="F795" s="159"/>
      <c r="G795" s="160"/>
      <c r="H795" s="126"/>
      <c r="I795" s="159"/>
      <c r="J795" s="159"/>
      <c r="K795" s="159"/>
      <c r="L795" s="159"/>
      <c r="M795" s="159"/>
      <c r="N795" s="159"/>
      <c r="O795" s="159"/>
      <c r="P795" s="159"/>
      <c r="Q795" s="159"/>
      <c r="R795" s="159"/>
      <c r="S795" s="159"/>
      <c r="T795" s="159"/>
      <c r="U795" s="126"/>
      <c r="V795" s="126"/>
      <c r="W795" s="38"/>
      <c r="X795" s="38"/>
      <c r="Y795" s="260"/>
      <c r="Z795" s="126"/>
      <c r="AA795" s="126"/>
      <c r="AB795" s="126"/>
      <c r="AC795" s="126"/>
      <c r="AD795" s="126"/>
      <c r="AE795" s="126"/>
      <c r="AF795" s="126"/>
      <c r="AG795" s="126"/>
      <c r="AH795" s="126"/>
      <c r="AI795" s="126"/>
      <c r="AJ795" s="126"/>
      <c r="AK795" s="126"/>
      <c r="AL795" s="126"/>
      <c r="AM795" s="126"/>
      <c r="AN795" s="126"/>
      <c r="AO795" s="141"/>
      <c r="AP795" s="141"/>
      <c r="AQ795" s="141"/>
      <c r="AR795" s="141"/>
      <c r="AS795" s="126"/>
      <c r="AT795" s="126"/>
      <c r="AU795" s="126"/>
      <c r="AV795" s="126"/>
      <c r="AW795" s="126"/>
      <c r="AX795" s="126"/>
      <c r="AY795" s="126"/>
      <c r="AZ795" s="126"/>
      <c r="BA795" s="126"/>
      <c r="BB795" s="126"/>
      <c r="BC795" s="126"/>
      <c r="BD795" s="126"/>
      <c r="BE795" s="126"/>
      <c r="BF795" s="126"/>
      <c r="BG795" s="126"/>
      <c r="BH795" s="126"/>
      <c r="BI795" s="161"/>
      <c r="BJ795" s="3"/>
      <c r="BK795" s="126"/>
      <c r="BL795" s="126"/>
    </row>
    <row r="796" spans="1:74" x14ac:dyDescent="0.25">
      <c r="A796" s="126" t="s">
        <v>978</v>
      </c>
      <c r="B796" s="3" t="s">
        <v>992</v>
      </c>
      <c r="C796" s="3"/>
      <c r="D796" s="3"/>
      <c r="E796" s="3"/>
      <c r="F796" s="159"/>
      <c r="G796" s="160"/>
      <c r="H796" s="126"/>
      <c r="I796" s="159"/>
      <c r="J796" s="159"/>
      <c r="K796" s="159"/>
      <c r="L796" s="159"/>
      <c r="M796" s="159"/>
      <c r="N796" s="159"/>
      <c r="O796" s="159"/>
      <c r="P796" s="159"/>
      <c r="Q796" s="159"/>
      <c r="R796" s="159"/>
      <c r="S796" s="159"/>
      <c r="T796" s="159"/>
      <c r="U796" s="126"/>
      <c r="V796" s="126"/>
      <c r="W796" s="38"/>
      <c r="X796" s="38"/>
      <c r="Y796" s="126"/>
      <c r="Z796" s="126"/>
      <c r="AA796" s="126"/>
      <c r="AB796" s="126"/>
      <c r="AC796" s="126"/>
      <c r="AD796" s="126"/>
      <c r="AE796" s="126"/>
      <c r="AF796" s="126"/>
      <c r="AG796" s="126"/>
      <c r="AH796" s="126"/>
      <c r="AI796" s="126"/>
      <c r="AJ796" s="126"/>
      <c r="AK796" s="126"/>
      <c r="AL796" s="126"/>
      <c r="AM796" s="126"/>
      <c r="AN796" s="126"/>
      <c r="AO796" s="141"/>
      <c r="AP796" s="141"/>
      <c r="AQ796" s="141"/>
      <c r="AR796" s="141"/>
      <c r="AS796" s="126"/>
      <c r="AT796" s="126"/>
      <c r="AU796" s="126"/>
      <c r="AV796" s="126"/>
      <c r="AW796" s="126"/>
      <c r="AX796" s="126"/>
      <c r="AY796" s="126"/>
      <c r="AZ796" s="126"/>
      <c r="BA796" s="399"/>
      <c r="BB796" s="126"/>
      <c r="BC796" s="126"/>
      <c r="BD796" s="126"/>
      <c r="BE796" s="126"/>
      <c r="BF796" s="126"/>
      <c r="BG796" s="126"/>
      <c r="BH796" s="126"/>
      <c r="BI796" s="161"/>
      <c r="BJ796" s="3"/>
      <c r="BK796" s="126"/>
      <c r="BL796" s="126"/>
    </row>
    <row r="797" spans="1:74" x14ac:dyDescent="0.25">
      <c r="A797" s="57" t="s">
        <v>124</v>
      </c>
      <c r="B797" s="57" t="s">
        <v>981</v>
      </c>
      <c r="C797" s="3"/>
      <c r="D797" s="3"/>
      <c r="E797" s="3"/>
      <c r="F797" s="159"/>
      <c r="G797" s="160"/>
      <c r="H797" s="126"/>
      <c r="I797" s="159"/>
      <c r="J797" s="159"/>
      <c r="K797" s="159"/>
      <c r="L797" s="159"/>
      <c r="M797" s="159"/>
      <c r="N797" s="159"/>
      <c r="O797" s="159"/>
      <c r="P797" s="159"/>
      <c r="Q797" s="159"/>
      <c r="R797" s="159"/>
      <c r="S797" s="159"/>
      <c r="T797" s="159"/>
      <c r="U797" s="126"/>
      <c r="V797" s="126"/>
      <c r="W797" s="38"/>
      <c r="X797" s="38"/>
      <c r="Y797" s="126"/>
      <c r="Z797" s="126"/>
      <c r="AA797" s="126"/>
      <c r="AB797" s="126"/>
      <c r="AC797" s="126"/>
      <c r="AD797" s="126"/>
      <c r="AE797" s="126"/>
      <c r="AF797" s="126"/>
      <c r="AG797" s="126"/>
      <c r="AH797" s="126"/>
      <c r="AI797" s="126"/>
      <c r="AJ797" s="126"/>
      <c r="AK797" s="126"/>
      <c r="AL797" s="126"/>
      <c r="AM797" s="126"/>
      <c r="AN797" s="126"/>
      <c r="AO797" s="141"/>
      <c r="AP797" s="141"/>
      <c r="AQ797" s="141"/>
      <c r="AR797" s="141"/>
      <c r="AS797" s="126"/>
      <c r="AT797" s="126"/>
      <c r="AU797" s="126"/>
      <c r="AV797" s="126"/>
      <c r="AW797" s="126"/>
      <c r="AX797" s="126"/>
      <c r="AY797" s="126"/>
      <c r="AZ797" s="126"/>
      <c r="BA797" s="126"/>
      <c r="BB797" s="126"/>
      <c r="BC797" s="126"/>
      <c r="BD797" s="126"/>
      <c r="BE797" s="126"/>
      <c r="BF797" s="126"/>
      <c r="BG797" s="126"/>
      <c r="BH797" s="126"/>
      <c r="BI797" s="161"/>
      <c r="BJ797" s="3"/>
      <c r="BK797" s="126"/>
      <c r="BL797" s="126"/>
    </row>
    <row r="798" spans="1:74" x14ac:dyDescent="0.25">
      <c r="A798" s="126" t="s">
        <v>975</v>
      </c>
      <c r="B798" s="733" t="s">
        <v>1374</v>
      </c>
      <c r="C798" s="721"/>
      <c r="D798" s="721"/>
      <c r="E798" s="721"/>
      <c r="F798" s="721"/>
      <c r="G798" s="721"/>
      <c r="H798" s="721"/>
      <c r="I798" s="721"/>
      <c r="J798" s="721"/>
      <c r="K798" s="721"/>
      <c r="L798" s="721"/>
      <c r="M798" s="721"/>
      <c r="N798" s="721"/>
      <c r="O798" s="721"/>
      <c r="P798" s="721"/>
      <c r="Q798" s="734"/>
      <c r="R798" s="159"/>
      <c r="S798" s="159"/>
      <c r="T798" s="159"/>
      <c r="U798" s="126"/>
      <c r="V798" s="126"/>
      <c r="W798" s="38"/>
      <c r="X798" s="38"/>
      <c r="Y798" s="126"/>
      <c r="Z798" s="126"/>
      <c r="AA798" s="126"/>
      <c r="AB798" s="126"/>
      <c r="AC798" s="126"/>
      <c r="AD798" s="126"/>
      <c r="AE798" s="126"/>
      <c r="AF798" s="126"/>
      <c r="AG798" s="126"/>
      <c r="AH798" s="126"/>
      <c r="AI798" s="126"/>
      <c r="AJ798" s="126"/>
      <c r="AK798" s="126"/>
      <c r="AL798" s="126"/>
      <c r="AM798" s="126"/>
      <c r="AN798" s="126"/>
      <c r="AO798" s="141"/>
      <c r="AP798" s="141"/>
      <c r="AQ798" s="141"/>
      <c r="AR798" s="141"/>
      <c r="AS798" s="126"/>
      <c r="AT798" s="126"/>
      <c r="AU798" s="126"/>
      <c r="AV798" s="126"/>
      <c r="AW798" s="126"/>
      <c r="AX798" s="126"/>
      <c r="AY798" s="126"/>
      <c r="AZ798" s="126"/>
      <c r="BA798" s="126"/>
      <c r="BB798" s="126"/>
      <c r="BC798" s="126"/>
      <c r="BD798" s="126"/>
      <c r="BE798" s="126"/>
      <c r="BF798" s="126"/>
      <c r="BG798" s="126"/>
      <c r="BH798" s="126"/>
      <c r="BI798" s="161"/>
      <c r="BJ798" s="3"/>
      <c r="BK798" s="126"/>
      <c r="BL798" s="126"/>
    </row>
    <row r="799" spans="1:74" x14ac:dyDescent="0.25">
      <c r="A799" s="126" t="s">
        <v>1371</v>
      </c>
      <c r="B799" s="98" t="s">
        <v>112</v>
      </c>
      <c r="C799" s="92" t="s">
        <v>998</v>
      </c>
      <c r="D799" s="92" t="s">
        <v>999</v>
      </c>
      <c r="E799" s="92" t="s">
        <v>1000</v>
      </c>
      <c r="F799" s="92" t="s">
        <v>1001</v>
      </c>
      <c r="G799" s="92" t="s">
        <v>1001</v>
      </c>
      <c r="H799" s="92" t="s">
        <v>1002</v>
      </c>
      <c r="I799" s="92" t="s">
        <v>1003</v>
      </c>
      <c r="J799" s="92" t="s">
        <v>1004</v>
      </c>
      <c r="K799" s="92" t="s">
        <v>1005</v>
      </c>
      <c r="L799" s="92" t="s">
        <v>1006</v>
      </c>
      <c r="M799" s="99" t="s">
        <v>1007</v>
      </c>
      <c r="N799" s="92" t="s">
        <v>1008</v>
      </c>
      <c r="O799" s="92" t="s">
        <v>1009</v>
      </c>
      <c r="P799" s="98" t="s">
        <v>841</v>
      </c>
      <c r="Q799" s="92" t="s">
        <v>842</v>
      </c>
      <c r="R799" s="92" t="s">
        <v>840</v>
      </c>
      <c r="S799" s="126"/>
      <c r="T799" s="126"/>
      <c r="U799" s="38"/>
      <c r="V799" s="38"/>
      <c r="W799" s="126"/>
      <c r="X799" s="126"/>
      <c r="Y799" s="126"/>
      <c r="Z799" s="126"/>
      <c r="AA799" s="126"/>
      <c r="AB799" s="126"/>
      <c r="AC799" s="126"/>
      <c r="AD799" s="126"/>
      <c r="AE799" s="126"/>
      <c r="AF799" s="126"/>
      <c r="AG799" s="126"/>
      <c r="AH799" s="126"/>
      <c r="AI799" s="126"/>
      <c r="AJ799" s="126"/>
      <c r="AK799" s="126"/>
      <c r="AL799" s="126"/>
      <c r="AM799" s="141"/>
      <c r="AN799" s="141"/>
      <c r="AO799" s="141"/>
      <c r="AP799" s="141"/>
      <c r="AQ799" s="126"/>
      <c r="AR799" s="126"/>
      <c r="AS799" s="126"/>
      <c r="AT799" s="126"/>
      <c r="AU799" s="126"/>
      <c r="AV799" s="126"/>
      <c r="AW799" s="126"/>
      <c r="AX799" s="126"/>
      <c r="AY799" s="126"/>
      <c r="AZ799" s="126"/>
      <c r="BA799" s="126"/>
      <c r="BB799" s="126"/>
      <c r="BC799" s="126"/>
      <c r="BD799" s="126"/>
      <c r="BE799" s="126"/>
      <c r="BF799" s="126"/>
      <c r="BG799" s="161"/>
      <c r="BH799" s="3"/>
      <c r="BI799" s="126"/>
      <c r="BJ799" s="126"/>
    </row>
    <row r="800" spans="1:74" x14ac:dyDescent="0.25">
      <c r="B800" s="98" t="s">
        <v>25</v>
      </c>
      <c r="C800" s="92" t="s">
        <v>149</v>
      </c>
      <c r="D800" s="92" t="s">
        <v>26</v>
      </c>
      <c r="E800" s="92" t="s">
        <v>27</v>
      </c>
      <c r="F800" s="92" t="s">
        <v>1807</v>
      </c>
      <c r="G800" s="92" t="s">
        <v>1808</v>
      </c>
      <c r="H800" s="92" t="s">
        <v>28</v>
      </c>
      <c r="I800" s="92" t="s">
        <v>995</v>
      </c>
      <c r="J800" s="92" t="s">
        <v>996</v>
      </c>
      <c r="K800" s="92" t="s">
        <v>997</v>
      </c>
      <c r="L800" s="92" t="s">
        <v>691</v>
      </c>
      <c r="M800" s="99" t="s">
        <v>375</v>
      </c>
      <c r="N800" s="92" t="s">
        <v>690</v>
      </c>
      <c r="O800" s="92" t="s">
        <v>32</v>
      </c>
      <c r="P800" s="98" t="s">
        <v>22</v>
      </c>
      <c r="Q800" s="92" t="s">
        <v>23</v>
      </c>
      <c r="R800" s="92" t="s">
        <v>24</v>
      </c>
      <c r="S800" s="126"/>
      <c r="T800" s="126"/>
      <c r="U800" s="38"/>
      <c r="V800" s="38"/>
      <c r="W800" s="126"/>
      <c r="X800" s="126"/>
      <c r="Y800" s="126"/>
      <c r="Z800" s="126"/>
      <c r="AA800" s="126"/>
      <c r="AB800" s="126"/>
      <c r="AC800" s="126"/>
      <c r="AD800" s="126"/>
      <c r="AE800" s="126"/>
      <c r="AF800" s="126"/>
      <c r="AG800" s="126"/>
      <c r="AH800" s="126"/>
      <c r="AI800" s="126"/>
      <c r="AJ800" s="126"/>
      <c r="AK800" s="126"/>
      <c r="AL800" s="126"/>
      <c r="AM800" s="141"/>
      <c r="AN800" s="141"/>
      <c r="AO800" s="141"/>
      <c r="AP800" s="141"/>
      <c r="AQ800" s="126"/>
      <c r="AR800" s="126"/>
      <c r="AS800" s="126"/>
      <c r="AT800" s="126"/>
      <c r="AU800" s="126"/>
      <c r="AV800" s="126"/>
      <c r="AW800" s="126"/>
      <c r="AX800" s="126"/>
      <c r="AY800" s="126"/>
      <c r="AZ800" s="126"/>
      <c r="BA800" s="126"/>
      <c r="BB800" s="126"/>
      <c r="BC800" s="126"/>
      <c r="BD800" s="126"/>
      <c r="BE800" s="126"/>
      <c r="BF800" s="126"/>
      <c r="BG800" s="161"/>
      <c r="BH800" s="3"/>
      <c r="BI800" s="126"/>
      <c r="BJ800" s="126"/>
    </row>
    <row r="801" spans="1:62" x14ac:dyDescent="0.25">
      <c r="A801" s="126" t="str">
        <f t="shared" ref="A801:A843" si="639">IF(H801=0,"comment","")</f>
        <v/>
      </c>
      <c r="B801" s="578" t="str">
        <f>$B$8</f>
        <v>6001</v>
      </c>
      <c r="C801" s="12" t="str">
        <f>$C$8</f>
        <v>B00101</v>
      </c>
      <c r="D801" s="109" t="str">
        <f>G772</f>
        <v>SR807</v>
      </c>
      <c r="E801" s="92">
        <v>1</v>
      </c>
      <c r="F801" s="50">
        <v>0</v>
      </c>
      <c r="G801" s="50">
        <f>IF(F801=0,2,3)</f>
        <v>2</v>
      </c>
      <c r="H801" s="50">
        <f t="shared" ref="H801:H843" si="640">IF(F801=0,SUMPRODUCT(($C$772:$C$794=C801)*($G$772:$G$794=D801)*($H$772:$H$794=E801)*($J$772:$J$794)),SUMPRODUCT(($C$772:$C$794=C801)*($G$772:$G$794=D801)*($H$772:$H$794=E801)*($K$772:$K$794)))</f>
        <v>8</v>
      </c>
      <c r="I801" s="50">
        <f xml:space="preserve"> VLOOKUP(D801,$C$237:$F$249,2,FALSE)</f>
        <v>6150</v>
      </c>
      <c r="J801" s="50">
        <f xml:space="preserve"> VLOOKUP(D801,$C$237:$F$249,3,FALSE)</f>
        <v>6150</v>
      </c>
      <c r="K801" s="50">
        <f t="shared" ref="K801:K838" si="641">IF(F801=0,SUMPRODUCT(($C$772:$C$794=C801)*($G$772:$G$794=D801)*($H$772:$H$794=E801)*($AO$772:$AO$794)),SUMPRODUCT(($C$772:$C$794=C801)*($G$772:$G$794=D801)*($H$772:$H$794=E801)*($AP$772:$AP$794)))</f>
        <v>3200</v>
      </c>
      <c r="L801" s="50">
        <f t="shared" ref="L801:L838" si="642">IF(F801=0,SUMPRODUCT(($C$772:$C$794=C801)*($G$772:$G$794=D801)*($H$772:$H$794=E801)*($AQ$772:$AQ$794)),SUMPRODUCT(($C$772:$C$794=C801)*($G$772:$G$794=D801)*($H$772:$H$794=E801)*($AR$772:$AR$794)))</f>
        <v>3200</v>
      </c>
      <c r="M801" s="162">
        <f t="shared" ref="M801:M838" si="643">IF(F801=0,SUMPRODUCT(($C$772:$C$794=C801)*($G$772:$G$794=D801)*($H$772:$H$794=E801)*($L$772:$L$794)),SUMPRODUCT(($C$772:$C$794=C801)*($G$772:$G$794=D801)*($H$772:$H$794=E801)*($M$772:$M$794)))</f>
        <v>9846</v>
      </c>
      <c r="N801" s="50">
        <f t="shared" ref="N801:N838" si="644">IF(F801=0,SUMPRODUCT(($C$772:$C$794=C801)*($G$772:$G$794=D801)*($H$772:$H$794=E801)*($N$772:$N$794)),SUMPRODUCT(($C$772:$C$794=C801)*($G$772:$G$794=D801)*($H$772:$H$794=E801)*($O$772:$O$794)))</f>
        <v>8614</v>
      </c>
      <c r="O801" s="50">
        <f t="shared" ref="O801:O843" si="645" xml:space="preserve"> VLOOKUP(D801,$C$22:$L$34,3,FALSE)</f>
        <v>10</v>
      </c>
      <c r="P801" s="92">
        <f>$B$2</f>
        <v>20180326</v>
      </c>
      <c r="Q801" s="92" t="str">
        <f>$F$8</f>
        <v>9999</v>
      </c>
      <c r="R801" s="12" t="str">
        <f>$B$22</f>
        <v>CZCE</v>
      </c>
      <c r="S801" s="126"/>
      <c r="T801" s="126"/>
      <c r="U801" s="38"/>
      <c r="V801" s="38"/>
      <c r="W801" s="126"/>
      <c r="X801" s="126"/>
      <c r="Y801" s="126"/>
      <c r="Z801" s="126"/>
      <c r="AA801" s="126"/>
      <c r="AB801" s="126"/>
      <c r="AC801" s="126"/>
      <c r="AD801" s="126"/>
      <c r="AE801" s="126"/>
      <c r="AF801" s="126"/>
      <c r="AG801" s="126"/>
      <c r="AH801" s="126"/>
      <c r="AI801" s="126"/>
      <c r="AJ801" s="126"/>
      <c r="AK801" s="126"/>
      <c r="AL801" s="126"/>
      <c r="AM801" s="141"/>
      <c r="AN801" s="141"/>
      <c r="AO801" s="141"/>
      <c r="AP801" s="141"/>
      <c r="AQ801" s="126"/>
      <c r="AR801" s="126"/>
      <c r="AS801" s="126"/>
      <c r="AT801" s="126"/>
      <c r="AU801" s="126"/>
      <c r="AV801" s="126"/>
      <c r="AW801" s="126"/>
      <c r="AX801" s="126"/>
      <c r="AY801" s="126"/>
      <c r="AZ801" s="126"/>
      <c r="BA801" s="126"/>
      <c r="BB801" s="126"/>
      <c r="BC801" s="126"/>
      <c r="BD801" s="126"/>
      <c r="BE801" s="126"/>
      <c r="BF801" s="126"/>
      <c r="BG801" s="161"/>
      <c r="BH801" s="3"/>
      <c r="BI801" s="126"/>
      <c r="BJ801" s="126"/>
    </row>
    <row r="802" spans="1:62" x14ac:dyDescent="0.25">
      <c r="A802" s="126" t="str">
        <f t="shared" si="639"/>
        <v/>
      </c>
      <c r="B802" s="578" t="str">
        <f t="shared" ref="B802:B843" si="646">$B$8</f>
        <v>6001</v>
      </c>
      <c r="C802" s="12" t="str">
        <f t="shared" ref="C802:C843" si="647">$C$8</f>
        <v>B00101</v>
      </c>
      <c r="D802" s="109" t="str">
        <f>D801</f>
        <v>SR807</v>
      </c>
      <c r="E802" s="92">
        <v>1</v>
      </c>
      <c r="F802" s="50">
        <v>1</v>
      </c>
      <c r="G802" s="50">
        <f t="shared" ref="G802:G843" si="648">IF(F802=0,2,3)</f>
        <v>3</v>
      </c>
      <c r="H802" s="50">
        <f t="shared" si="640"/>
        <v>11</v>
      </c>
      <c r="I802" s="50">
        <f t="shared" ref="I802:I843" si="649" xml:space="preserve"> VLOOKUP(D802,$C$237:$F$249,2,FALSE)</f>
        <v>6150</v>
      </c>
      <c r="J802" s="50">
        <f t="shared" ref="J802:J843" si="650" xml:space="preserve"> VLOOKUP(D802,$C$237:$F$249,3,FALSE)</f>
        <v>6150</v>
      </c>
      <c r="K802" s="50">
        <f t="shared" si="641"/>
        <v>6730</v>
      </c>
      <c r="L802" s="50">
        <f t="shared" si="642"/>
        <v>6730</v>
      </c>
      <c r="M802" s="162">
        <f t="shared" si="643"/>
        <v>35152.01</v>
      </c>
      <c r="N802" s="50">
        <f t="shared" si="644"/>
        <v>28930.399999999998</v>
      </c>
      <c r="O802" s="50">
        <f t="shared" si="645"/>
        <v>10</v>
      </c>
      <c r="P802" s="92">
        <f t="shared" ref="P802:P843" si="651">$B$2</f>
        <v>20180326</v>
      </c>
      <c r="Q802" s="92" t="str">
        <f t="shared" ref="Q802:Q843" si="652">$F$8</f>
        <v>9999</v>
      </c>
      <c r="R802" s="12" t="str">
        <f t="shared" ref="R802:R843" si="653">$B$22</f>
        <v>CZCE</v>
      </c>
      <c r="S802" s="126"/>
      <c r="T802" s="126"/>
      <c r="U802" s="38"/>
      <c r="V802" s="38"/>
      <c r="W802" s="126"/>
      <c r="X802" s="126"/>
      <c r="Y802" s="126"/>
      <c r="Z802" s="126"/>
      <c r="AA802" s="126"/>
      <c r="AB802" s="126"/>
      <c r="AC802" s="126"/>
      <c r="AD802" s="126"/>
      <c r="AE802" s="126"/>
      <c r="AF802" s="126"/>
      <c r="AG802" s="126"/>
      <c r="AH802" s="126"/>
      <c r="AI802" s="126"/>
      <c r="AJ802" s="126"/>
      <c r="AK802" s="126"/>
      <c r="AL802" s="126"/>
      <c r="AM802" s="141"/>
      <c r="AN802" s="141"/>
      <c r="AO802" s="141"/>
      <c r="AP802" s="141"/>
      <c r="AQ802" s="126"/>
      <c r="AR802" s="126"/>
      <c r="AS802" s="126"/>
      <c r="AT802" s="126"/>
      <c r="AU802" s="126"/>
      <c r="AV802" s="126"/>
      <c r="AW802" s="126"/>
      <c r="AX802" s="126"/>
      <c r="AY802" s="126"/>
      <c r="AZ802" s="126"/>
      <c r="BA802" s="126"/>
      <c r="BB802" s="126"/>
      <c r="BC802" s="126"/>
      <c r="BD802" s="126"/>
      <c r="BE802" s="126"/>
      <c r="BF802" s="126"/>
      <c r="BG802" s="161"/>
      <c r="BH802" s="3"/>
      <c r="BI802" s="126"/>
      <c r="BJ802" s="126"/>
    </row>
    <row r="803" spans="1:62" x14ac:dyDescent="0.25">
      <c r="A803" s="126" t="str">
        <f t="shared" si="639"/>
        <v/>
      </c>
      <c r="B803" s="578" t="str">
        <f t="shared" si="646"/>
        <v>6001</v>
      </c>
      <c r="C803" s="12" t="str">
        <f t="shared" si="647"/>
        <v>B00101</v>
      </c>
      <c r="D803" s="109" t="str">
        <f>D801</f>
        <v>SR807</v>
      </c>
      <c r="E803" s="92">
        <v>3</v>
      </c>
      <c r="F803" s="50">
        <v>0</v>
      </c>
      <c r="G803" s="50">
        <f t="shared" si="648"/>
        <v>2</v>
      </c>
      <c r="H803" s="50">
        <f t="shared" si="640"/>
        <v>9</v>
      </c>
      <c r="I803" s="50">
        <f t="shared" si="649"/>
        <v>6150</v>
      </c>
      <c r="J803" s="50">
        <f t="shared" si="650"/>
        <v>6150</v>
      </c>
      <c r="K803" s="50">
        <f t="shared" si="641"/>
        <v>-11900</v>
      </c>
      <c r="L803" s="50">
        <f t="shared" si="642"/>
        <v>-11900</v>
      </c>
      <c r="M803" s="162">
        <f t="shared" si="643"/>
        <v>0</v>
      </c>
      <c r="N803" s="50">
        <f t="shared" si="644"/>
        <v>0</v>
      </c>
      <c r="O803" s="50">
        <f t="shared" si="645"/>
        <v>10</v>
      </c>
      <c r="P803" s="92">
        <f t="shared" si="651"/>
        <v>20180326</v>
      </c>
      <c r="Q803" s="92" t="str">
        <f t="shared" si="652"/>
        <v>9999</v>
      </c>
      <c r="R803" s="12" t="str">
        <f t="shared" si="653"/>
        <v>CZCE</v>
      </c>
      <c r="S803" s="126"/>
      <c r="T803" s="126"/>
      <c r="U803" s="38"/>
      <c r="V803" s="38"/>
      <c r="W803" s="126"/>
      <c r="X803" s="126"/>
      <c r="Y803" s="126"/>
      <c r="Z803" s="126"/>
      <c r="AA803" s="126"/>
      <c r="AB803" s="126"/>
      <c r="AC803" s="126"/>
      <c r="AD803" s="126"/>
      <c r="AE803" s="126"/>
      <c r="AF803" s="126"/>
      <c r="AG803" s="126"/>
      <c r="AH803" s="126"/>
      <c r="AI803" s="126"/>
      <c r="AJ803" s="126"/>
      <c r="AK803" s="126"/>
      <c r="AL803" s="126"/>
      <c r="AM803" s="141"/>
      <c r="AN803" s="141"/>
      <c r="AO803" s="141"/>
      <c r="AP803" s="141"/>
      <c r="AQ803" s="126"/>
      <c r="AR803" s="126"/>
      <c r="AS803" s="126"/>
      <c r="AT803" s="126"/>
      <c r="AU803" s="126"/>
      <c r="AV803" s="126"/>
      <c r="AW803" s="126"/>
      <c r="AX803" s="126"/>
      <c r="AY803" s="126"/>
      <c r="AZ803" s="126"/>
      <c r="BA803" s="126"/>
      <c r="BB803" s="126"/>
      <c r="BC803" s="126"/>
      <c r="BD803" s="126"/>
      <c r="BE803" s="126"/>
      <c r="BF803" s="126"/>
      <c r="BG803" s="161"/>
      <c r="BH803" s="3"/>
      <c r="BI803" s="126"/>
      <c r="BJ803" s="126"/>
    </row>
    <row r="804" spans="1:62" x14ac:dyDescent="0.25">
      <c r="A804" s="126" t="str">
        <f t="shared" si="639"/>
        <v/>
      </c>
      <c r="B804" s="578" t="str">
        <f t="shared" si="646"/>
        <v>6001</v>
      </c>
      <c r="C804" s="12" t="str">
        <f t="shared" si="647"/>
        <v>B00101</v>
      </c>
      <c r="D804" s="109" t="str">
        <f>D803</f>
        <v>SR807</v>
      </c>
      <c r="E804" s="92">
        <v>3</v>
      </c>
      <c r="F804" s="50">
        <v>1</v>
      </c>
      <c r="G804" s="50">
        <f t="shared" si="648"/>
        <v>3</v>
      </c>
      <c r="H804" s="50">
        <f t="shared" si="640"/>
        <v>11</v>
      </c>
      <c r="I804" s="50">
        <f t="shared" si="649"/>
        <v>6150</v>
      </c>
      <c r="J804" s="50">
        <f t="shared" si="650"/>
        <v>6150</v>
      </c>
      <c r="K804" s="50">
        <f t="shared" si="641"/>
        <v>2550</v>
      </c>
      <c r="L804" s="50">
        <f t="shared" si="642"/>
        <v>2550</v>
      </c>
      <c r="M804" s="162">
        <f t="shared" si="643"/>
        <v>28828.799999999999</v>
      </c>
      <c r="N804" s="50">
        <f t="shared" si="644"/>
        <v>23284.799999999999</v>
      </c>
      <c r="O804" s="50">
        <f t="shared" si="645"/>
        <v>10</v>
      </c>
      <c r="P804" s="92">
        <f t="shared" si="651"/>
        <v>20180326</v>
      </c>
      <c r="Q804" s="92" t="str">
        <f t="shared" si="652"/>
        <v>9999</v>
      </c>
      <c r="R804" s="12" t="str">
        <f t="shared" si="653"/>
        <v>CZCE</v>
      </c>
      <c r="S804" s="126"/>
      <c r="T804" s="126"/>
      <c r="U804" s="38"/>
      <c r="V804" s="38"/>
      <c r="W804" s="126"/>
      <c r="X804" s="126"/>
      <c r="Y804" s="126"/>
      <c r="Z804" s="126"/>
      <c r="AA804" s="126"/>
      <c r="AB804" s="126"/>
      <c r="AC804" s="126"/>
      <c r="AD804" s="126"/>
      <c r="AE804" s="126"/>
      <c r="AF804" s="126"/>
      <c r="AG804" s="126"/>
      <c r="AH804" s="126"/>
      <c r="AI804" s="126"/>
      <c r="AJ804" s="126"/>
      <c r="AK804" s="126"/>
      <c r="AL804" s="126"/>
      <c r="AM804" s="141"/>
      <c r="AN804" s="141"/>
      <c r="AO804" s="141"/>
      <c r="AP804" s="141"/>
      <c r="AQ804" s="126"/>
      <c r="AR804" s="126"/>
      <c r="AS804" s="126"/>
      <c r="AT804" s="126"/>
      <c r="AU804" s="126"/>
      <c r="AV804" s="126"/>
      <c r="AW804" s="126"/>
      <c r="AX804" s="126"/>
      <c r="AY804" s="126"/>
      <c r="AZ804" s="126"/>
      <c r="BA804" s="126"/>
      <c r="BB804" s="126"/>
      <c r="BC804" s="126"/>
      <c r="BD804" s="126"/>
      <c r="BE804" s="126"/>
      <c r="BF804" s="126"/>
      <c r="BG804" s="161"/>
      <c r="BH804" s="3"/>
      <c r="BI804" s="126"/>
      <c r="BJ804" s="126"/>
    </row>
    <row r="805" spans="1:62" x14ac:dyDescent="0.25">
      <c r="A805" s="126" t="str">
        <f t="shared" si="639"/>
        <v/>
      </c>
      <c r="B805" s="578" t="str">
        <f t="shared" si="646"/>
        <v>6001</v>
      </c>
      <c r="C805" s="12" t="str">
        <f t="shared" si="647"/>
        <v>B00101</v>
      </c>
      <c r="D805" s="109" t="str">
        <f>G774</f>
        <v>SR809</v>
      </c>
      <c r="E805" s="92">
        <v>1</v>
      </c>
      <c r="F805" s="50">
        <v>0</v>
      </c>
      <c r="G805" s="50">
        <f t="shared" si="648"/>
        <v>2</v>
      </c>
      <c r="H805" s="50">
        <f t="shared" si="640"/>
        <v>6</v>
      </c>
      <c r="I805" s="50">
        <f t="shared" si="649"/>
        <v>6155</v>
      </c>
      <c r="J805" s="50">
        <f t="shared" si="650"/>
        <v>6155</v>
      </c>
      <c r="K805" s="50">
        <f t="shared" si="641"/>
        <v>2400</v>
      </c>
      <c r="L805" s="50">
        <f t="shared" si="642"/>
        <v>2400</v>
      </c>
      <c r="M805" s="162">
        <f t="shared" si="643"/>
        <v>26463</v>
      </c>
      <c r="N805" s="50">
        <f t="shared" si="644"/>
        <v>22764</v>
      </c>
      <c r="O805" s="50">
        <f t="shared" si="645"/>
        <v>10</v>
      </c>
      <c r="P805" s="92">
        <f t="shared" si="651"/>
        <v>20180326</v>
      </c>
      <c r="Q805" s="92" t="str">
        <f t="shared" si="652"/>
        <v>9999</v>
      </c>
      <c r="R805" s="12" t="str">
        <f t="shared" si="653"/>
        <v>CZCE</v>
      </c>
      <c r="S805" s="126"/>
      <c r="T805" s="126"/>
      <c r="U805" s="38"/>
      <c r="V805" s="38"/>
      <c r="W805" s="126"/>
      <c r="X805" s="126"/>
      <c r="Y805" s="126"/>
      <c r="Z805" s="126"/>
      <c r="AA805" s="126"/>
      <c r="AB805" s="126"/>
      <c r="AC805" s="126"/>
      <c r="AD805" s="126"/>
      <c r="AE805" s="126"/>
      <c r="AF805" s="126"/>
      <c r="AG805" s="126"/>
      <c r="AH805" s="126"/>
      <c r="AI805" s="126"/>
      <c r="AJ805" s="126"/>
      <c r="AK805" s="126"/>
      <c r="AL805" s="126"/>
      <c r="AM805" s="141"/>
      <c r="AN805" s="141"/>
      <c r="AO805" s="141"/>
      <c r="AP805" s="141"/>
      <c r="AQ805" s="126"/>
      <c r="AR805" s="126"/>
      <c r="AS805" s="126"/>
      <c r="AT805" s="126"/>
      <c r="AU805" s="126"/>
      <c r="AV805" s="126"/>
      <c r="AW805" s="126"/>
      <c r="AX805" s="126"/>
      <c r="AY805" s="126"/>
      <c r="AZ805" s="126"/>
      <c r="BA805" s="126"/>
      <c r="BB805" s="126"/>
      <c r="BC805" s="126"/>
      <c r="BD805" s="126"/>
      <c r="BE805" s="126"/>
      <c r="BF805" s="126"/>
      <c r="BG805" s="161"/>
      <c r="BH805" s="3"/>
      <c r="BI805" s="126"/>
      <c r="BJ805" s="126"/>
    </row>
    <row r="806" spans="1:62" x14ac:dyDescent="0.25">
      <c r="A806" s="126" t="str">
        <f t="shared" si="639"/>
        <v/>
      </c>
      <c r="B806" s="578" t="str">
        <f t="shared" si="646"/>
        <v>6001</v>
      </c>
      <c r="C806" s="12" t="str">
        <f t="shared" si="647"/>
        <v>B00101</v>
      </c>
      <c r="D806" s="109" t="str">
        <f>D805</f>
        <v>SR809</v>
      </c>
      <c r="E806" s="92">
        <v>1</v>
      </c>
      <c r="F806" s="50">
        <v>1</v>
      </c>
      <c r="G806" s="50">
        <f t="shared" si="648"/>
        <v>3</v>
      </c>
      <c r="H806" s="50">
        <f t="shared" si="640"/>
        <v>2</v>
      </c>
      <c r="I806" s="50">
        <f t="shared" si="649"/>
        <v>6155</v>
      </c>
      <c r="J806" s="50">
        <f t="shared" si="650"/>
        <v>6155</v>
      </c>
      <c r="K806" s="50">
        <f t="shared" si="641"/>
        <v>-820</v>
      </c>
      <c r="L806" s="50">
        <f t="shared" si="642"/>
        <v>-820</v>
      </c>
      <c r="M806" s="162">
        <f t="shared" si="643"/>
        <v>6288.3</v>
      </c>
      <c r="N806" s="50">
        <f t="shared" si="644"/>
        <v>5055.3</v>
      </c>
      <c r="O806" s="50">
        <f t="shared" si="645"/>
        <v>10</v>
      </c>
      <c r="P806" s="92">
        <f t="shared" si="651"/>
        <v>20180326</v>
      </c>
      <c r="Q806" s="92" t="str">
        <f t="shared" si="652"/>
        <v>9999</v>
      </c>
      <c r="R806" s="12" t="str">
        <f t="shared" si="653"/>
        <v>CZCE</v>
      </c>
      <c r="S806" s="126"/>
      <c r="T806" s="126"/>
      <c r="U806" s="38"/>
      <c r="V806" s="38"/>
      <c r="W806" s="126"/>
      <c r="X806" s="126"/>
      <c r="Y806" s="126"/>
      <c r="Z806" s="126"/>
      <c r="AA806" s="126"/>
      <c r="AB806" s="126"/>
      <c r="AC806" s="126"/>
      <c r="AD806" s="126"/>
      <c r="AE806" s="126"/>
      <c r="AF806" s="126"/>
      <c r="AG806" s="126"/>
      <c r="AH806" s="126"/>
      <c r="AI806" s="126"/>
      <c r="AJ806" s="126"/>
      <c r="AK806" s="126"/>
      <c r="AL806" s="126"/>
      <c r="AM806" s="141"/>
      <c r="AN806" s="141"/>
      <c r="AO806" s="141"/>
      <c r="AP806" s="141"/>
      <c r="AQ806" s="126"/>
      <c r="AR806" s="126"/>
      <c r="AS806" s="126"/>
      <c r="AT806" s="126"/>
      <c r="AU806" s="126"/>
      <c r="AV806" s="126"/>
      <c r="AW806" s="126"/>
      <c r="AX806" s="126"/>
      <c r="AY806" s="126"/>
      <c r="AZ806" s="126"/>
      <c r="BA806" s="126"/>
      <c r="BB806" s="126"/>
      <c r="BC806" s="126"/>
      <c r="BD806" s="126"/>
      <c r="BE806" s="126"/>
      <c r="BF806" s="126"/>
      <c r="BG806" s="161"/>
      <c r="BH806" s="3"/>
      <c r="BI806" s="126"/>
      <c r="BJ806" s="126"/>
    </row>
    <row r="807" spans="1:62" x14ac:dyDescent="0.25">
      <c r="A807" s="126" t="str">
        <f t="shared" si="639"/>
        <v>comment</v>
      </c>
      <c r="B807" s="578" t="str">
        <f t="shared" si="646"/>
        <v>6001</v>
      </c>
      <c r="C807" s="12" t="str">
        <f t="shared" si="647"/>
        <v>B00101</v>
      </c>
      <c r="D807" s="109" t="str">
        <f>D805</f>
        <v>SR809</v>
      </c>
      <c r="E807" s="92">
        <v>3</v>
      </c>
      <c r="F807" s="50">
        <v>0</v>
      </c>
      <c r="G807" s="50">
        <f t="shared" si="648"/>
        <v>2</v>
      </c>
      <c r="H807" s="50">
        <f t="shared" si="640"/>
        <v>0</v>
      </c>
      <c r="I807" s="50">
        <f t="shared" si="649"/>
        <v>6155</v>
      </c>
      <c r="J807" s="50">
        <f t="shared" si="650"/>
        <v>6155</v>
      </c>
      <c r="K807" s="50">
        <f t="shared" si="641"/>
        <v>0</v>
      </c>
      <c r="L807" s="50">
        <f t="shared" si="642"/>
        <v>0</v>
      </c>
      <c r="M807" s="162">
        <f t="shared" si="643"/>
        <v>0</v>
      </c>
      <c r="N807" s="50">
        <f t="shared" si="644"/>
        <v>0</v>
      </c>
      <c r="O807" s="50">
        <f t="shared" si="645"/>
        <v>10</v>
      </c>
      <c r="P807" s="92">
        <f t="shared" si="651"/>
        <v>20180326</v>
      </c>
      <c r="Q807" s="92" t="str">
        <f t="shared" si="652"/>
        <v>9999</v>
      </c>
      <c r="R807" s="12" t="str">
        <f t="shared" si="653"/>
        <v>CZCE</v>
      </c>
      <c r="S807" s="126"/>
      <c r="T807" s="126"/>
      <c r="U807" s="38"/>
      <c r="V807" s="38"/>
      <c r="W807" s="126"/>
      <c r="X807" s="126"/>
      <c r="Y807" s="126"/>
      <c r="Z807" s="126"/>
      <c r="AA807" s="126"/>
      <c r="AB807" s="126"/>
      <c r="AC807" s="126"/>
      <c r="AD807" s="126"/>
      <c r="AE807" s="126"/>
      <c r="AF807" s="126"/>
      <c r="AG807" s="126"/>
      <c r="AH807" s="126"/>
      <c r="AI807" s="126"/>
      <c r="AJ807" s="126"/>
      <c r="AK807" s="126"/>
      <c r="AL807" s="126"/>
      <c r="AM807" s="141"/>
      <c r="AN807" s="141"/>
      <c r="AO807" s="141"/>
      <c r="AP807" s="141"/>
      <c r="AQ807" s="126"/>
      <c r="AR807" s="126"/>
      <c r="AS807" s="126"/>
      <c r="AT807" s="126"/>
      <c r="AU807" s="126"/>
      <c r="AV807" s="126"/>
      <c r="AW807" s="126"/>
      <c r="AX807" s="126"/>
      <c r="AY807" s="126"/>
      <c r="AZ807" s="126"/>
      <c r="BA807" s="126"/>
      <c r="BB807" s="126"/>
      <c r="BC807" s="126"/>
      <c r="BD807" s="126"/>
      <c r="BE807" s="126"/>
      <c r="BF807" s="126"/>
      <c r="BG807" s="161"/>
      <c r="BH807" s="3"/>
      <c r="BI807" s="126"/>
      <c r="BJ807" s="126"/>
    </row>
    <row r="808" spans="1:62" x14ac:dyDescent="0.25">
      <c r="A808" s="126" t="str">
        <f t="shared" si="639"/>
        <v>comment</v>
      </c>
      <c r="B808" s="578" t="str">
        <f t="shared" si="646"/>
        <v>6001</v>
      </c>
      <c r="C808" s="12" t="str">
        <f t="shared" si="647"/>
        <v>B00101</v>
      </c>
      <c r="D808" s="109" t="str">
        <f>D805</f>
        <v>SR809</v>
      </c>
      <c r="E808" s="92">
        <v>3</v>
      </c>
      <c r="F808" s="50">
        <v>1</v>
      </c>
      <c r="G808" s="50">
        <f t="shared" si="648"/>
        <v>3</v>
      </c>
      <c r="H808" s="50">
        <f t="shared" si="640"/>
        <v>0</v>
      </c>
      <c r="I808" s="50">
        <f t="shared" si="649"/>
        <v>6155</v>
      </c>
      <c r="J808" s="50">
        <f t="shared" si="650"/>
        <v>6155</v>
      </c>
      <c r="K808" s="50">
        <f t="shared" si="641"/>
        <v>0</v>
      </c>
      <c r="L808" s="50">
        <f t="shared" si="642"/>
        <v>0</v>
      </c>
      <c r="M808" s="162">
        <f t="shared" si="643"/>
        <v>0</v>
      </c>
      <c r="N808" s="50">
        <f t="shared" si="644"/>
        <v>0</v>
      </c>
      <c r="O808" s="50">
        <f t="shared" si="645"/>
        <v>10</v>
      </c>
      <c r="P808" s="92">
        <f t="shared" si="651"/>
        <v>20180326</v>
      </c>
      <c r="Q808" s="92" t="str">
        <f t="shared" si="652"/>
        <v>9999</v>
      </c>
      <c r="R808" s="12" t="str">
        <f t="shared" si="653"/>
        <v>CZCE</v>
      </c>
      <c r="S808" s="126"/>
      <c r="T808" s="126"/>
      <c r="U808" s="38"/>
      <c r="V808" s="38"/>
      <c r="W808" s="126"/>
      <c r="X808" s="126"/>
      <c r="Y808" s="126"/>
      <c r="Z808" s="126"/>
      <c r="AA808" s="126"/>
      <c r="AB808" s="126"/>
      <c r="AC808" s="126"/>
      <c r="AD808" s="126"/>
      <c r="AE808" s="126"/>
      <c r="AF808" s="126"/>
      <c r="AG808" s="126"/>
      <c r="AH808" s="126"/>
      <c r="AI808" s="126"/>
      <c r="AJ808" s="126"/>
      <c r="AK808" s="126"/>
      <c r="AL808" s="126"/>
      <c r="AM808" s="141"/>
      <c r="AN808" s="141"/>
      <c r="AO808" s="141"/>
      <c r="AP808" s="141"/>
      <c r="AQ808" s="126"/>
      <c r="AR808" s="126"/>
      <c r="AS808" s="126"/>
      <c r="AT808" s="126"/>
      <c r="AU808" s="126"/>
      <c r="AV808" s="126"/>
      <c r="AW808" s="126"/>
      <c r="AX808" s="126"/>
      <c r="AY808" s="126"/>
      <c r="AZ808" s="126"/>
      <c r="BA808" s="126"/>
      <c r="BB808" s="126"/>
      <c r="BC808" s="126"/>
      <c r="BD808" s="126"/>
      <c r="BE808" s="126"/>
      <c r="BF808" s="126"/>
      <c r="BG808" s="161"/>
      <c r="BH808" s="3"/>
      <c r="BI808" s="126"/>
      <c r="BJ808" s="126"/>
    </row>
    <row r="809" spans="1:62" x14ac:dyDescent="0.25">
      <c r="A809" s="126" t="str">
        <f t="shared" si="639"/>
        <v/>
      </c>
      <c r="B809" s="578" t="str">
        <f t="shared" si="646"/>
        <v>6001</v>
      </c>
      <c r="C809" s="12" t="str">
        <f t="shared" si="647"/>
        <v>B00101</v>
      </c>
      <c r="D809" s="109" t="str">
        <f>G776</f>
        <v>OI811</v>
      </c>
      <c r="E809" s="92">
        <v>1</v>
      </c>
      <c r="F809" s="50">
        <v>0</v>
      </c>
      <c r="G809" s="50">
        <f t="shared" si="648"/>
        <v>2</v>
      </c>
      <c r="H809" s="50">
        <f t="shared" si="640"/>
        <v>2</v>
      </c>
      <c r="I809" s="50">
        <f t="shared" si="649"/>
        <v>6160</v>
      </c>
      <c r="J809" s="50">
        <f t="shared" si="650"/>
        <v>6160</v>
      </c>
      <c r="K809" s="50">
        <f t="shared" si="641"/>
        <v>860</v>
      </c>
      <c r="L809" s="50">
        <f t="shared" si="642"/>
        <v>860</v>
      </c>
      <c r="M809" s="162">
        <f t="shared" si="643"/>
        <v>0</v>
      </c>
      <c r="N809" s="50">
        <f t="shared" si="644"/>
        <v>0</v>
      </c>
      <c r="O809" s="50">
        <f t="shared" si="645"/>
        <v>10</v>
      </c>
      <c r="P809" s="92">
        <f t="shared" si="651"/>
        <v>20180326</v>
      </c>
      <c r="Q809" s="92" t="str">
        <f t="shared" si="652"/>
        <v>9999</v>
      </c>
      <c r="R809" s="12" t="str">
        <f t="shared" si="653"/>
        <v>CZCE</v>
      </c>
      <c r="S809" s="126"/>
      <c r="T809" s="126"/>
      <c r="U809" s="38"/>
      <c r="V809" s="38"/>
      <c r="W809" s="126"/>
      <c r="X809" s="126"/>
      <c r="Y809" s="126"/>
      <c r="Z809" s="126"/>
      <c r="AA809" s="126"/>
      <c r="AB809" s="126"/>
      <c r="AC809" s="126"/>
      <c r="AD809" s="126"/>
      <c r="AE809" s="126"/>
      <c r="AF809" s="126"/>
      <c r="AG809" s="126"/>
      <c r="AH809" s="126"/>
      <c r="AI809" s="126"/>
      <c r="AJ809" s="126"/>
      <c r="AK809" s="126"/>
      <c r="AL809" s="126"/>
      <c r="AM809" s="141"/>
      <c r="AN809" s="141"/>
      <c r="AO809" s="141"/>
      <c r="AP809" s="141"/>
      <c r="AQ809" s="126"/>
      <c r="AR809" s="126"/>
      <c r="AS809" s="126"/>
      <c r="AT809" s="126"/>
      <c r="AU809" s="126"/>
      <c r="AV809" s="126"/>
      <c r="AW809" s="126"/>
      <c r="AX809" s="126"/>
      <c r="AY809" s="126"/>
      <c r="AZ809" s="126"/>
      <c r="BA809" s="126"/>
      <c r="BB809" s="126"/>
      <c r="BC809" s="126"/>
      <c r="BD809" s="126"/>
      <c r="BE809" s="126"/>
      <c r="BF809" s="126"/>
      <c r="BG809" s="161"/>
      <c r="BH809" s="3"/>
      <c r="BI809" s="126"/>
      <c r="BJ809" s="126"/>
    </row>
    <row r="810" spans="1:62" x14ac:dyDescent="0.25">
      <c r="A810" s="126" t="str">
        <f t="shared" si="639"/>
        <v/>
      </c>
      <c r="B810" s="578" t="str">
        <f t="shared" si="646"/>
        <v>6001</v>
      </c>
      <c r="C810" s="12" t="str">
        <f t="shared" si="647"/>
        <v>B00101</v>
      </c>
      <c r="D810" s="109" t="str">
        <f>D809</f>
        <v>OI811</v>
      </c>
      <c r="E810" s="92">
        <v>1</v>
      </c>
      <c r="F810" s="50">
        <v>1</v>
      </c>
      <c r="G810" s="50">
        <f t="shared" si="648"/>
        <v>3</v>
      </c>
      <c r="H810" s="50">
        <f t="shared" si="640"/>
        <v>2</v>
      </c>
      <c r="I810" s="50">
        <f t="shared" si="649"/>
        <v>6160</v>
      </c>
      <c r="J810" s="50">
        <f t="shared" si="650"/>
        <v>6160</v>
      </c>
      <c r="K810" s="50">
        <f t="shared" si="641"/>
        <v>-880</v>
      </c>
      <c r="L810" s="50">
        <f t="shared" si="642"/>
        <v>-880</v>
      </c>
      <c r="M810" s="162">
        <f t="shared" si="643"/>
        <v>6293.4</v>
      </c>
      <c r="N810" s="50">
        <f t="shared" si="644"/>
        <v>5059.4000000000005</v>
      </c>
      <c r="O810" s="50">
        <f t="shared" si="645"/>
        <v>10</v>
      </c>
      <c r="P810" s="92">
        <f t="shared" si="651"/>
        <v>20180326</v>
      </c>
      <c r="Q810" s="92" t="str">
        <f t="shared" si="652"/>
        <v>9999</v>
      </c>
      <c r="R810" s="12" t="str">
        <f t="shared" si="653"/>
        <v>CZCE</v>
      </c>
      <c r="S810" s="126"/>
      <c r="T810" s="126"/>
      <c r="U810" s="38"/>
      <c r="V810" s="38"/>
      <c r="W810" s="126"/>
      <c r="X810" s="126"/>
      <c r="Y810" s="126"/>
      <c r="Z810" s="126"/>
      <c r="AA810" s="126"/>
      <c r="AB810" s="126"/>
      <c r="AC810" s="126"/>
      <c r="AD810" s="126"/>
      <c r="AE810" s="126"/>
      <c r="AF810" s="126"/>
      <c r="AG810" s="126"/>
      <c r="AH810" s="126"/>
      <c r="AI810" s="126"/>
      <c r="AJ810" s="126"/>
      <c r="AK810" s="126"/>
      <c r="AL810" s="126"/>
      <c r="AM810" s="141"/>
      <c r="AN810" s="141"/>
      <c r="AO810" s="141"/>
      <c r="AP810" s="141"/>
      <c r="AQ810" s="126"/>
      <c r="AR810" s="126"/>
      <c r="AS810" s="126"/>
      <c r="AT810" s="126"/>
      <c r="AU810" s="126"/>
      <c r="AV810" s="126"/>
      <c r="AW810" s="126"/>
      <c r="AX810" s="126"/>
      <c r="AY810" s="126"/>
      <c r="AZ810" s="126"/>
      <c r="BA810" s="126"/>
      <c r="BB810" s="126"/>
      <c r="BC810" s="126"/>
      <c r="BD810" s="126"/>
      <c r="BE810" s="126"/>
      <c r="BF810" s="126"/>
      <c r="BG810" s="161"/>
      <c r="BH810" s="3"/>
      <c r="BI810" s="126"/>
      <c r="BJ810" s="126"/>
    </row>
    <row r="811" spans="1:62" x14ac:dyDescent="0.25">
      <c r="A811" s="126" t="str">
        <f t="shared" si="639"/>
        <v>comment</v>
      </c>
      <c r="B811" s="578" t="str">
        <f t="shared" si="646"/>
        <v>6001</v>
      </c>
      <c r="C811" s="12" t="str">
        <f t="shared" si="647"/>
        <v>B00101</v>
      </c>
      <c r="D811" s="109" t="str">
        <f>D809</f>
        <v>OI811</v>
      </c>
      <c r="E811" s="92">
        <v>3</v>
      </c>
      <c r="F811" s="50">
        <v>0</v>
      </c>
      <c r="G811" s="50">
        <f t="shared" si="648"/>
        <v>2</v>
      </c>
      <c r="H811" s="50">
        <f t="shared" si="640"/>
        <v>0</v>
      </c>
      <c r="I811" s="50">
        <f t="shared" si="649"/>
        <v>6160</v>
      </c>
      <c r="J811" s="50">
        <f t="shared" si="650"/>
        <v>6160</v>
      </c>
      <c r="K811" s="50">
        <f t="shared" si="641"/>
        <v>0</v>
      </c>
      <c r="L811" s="50">
        <f t="shared" si="642"/>
        <v>0</v>
      </c>
      <c r="M811" s="162">
        <f t="shared" si="643"/>
        <v>0</v>
      </c>
      <c r="N811" s="50">
        <f t="shared" si="644"/>
        <v>0</v>
      </c>
      <c r="O811" s="50">
        <f t="shared" si="645"/>
        <v>10</v>
      </c>
      <c r="P811" s="92">
        <f t="shared" si="651"/>
        <v>20180326</v>
      </c>
      <c r="Q811" s="92" t="str">
        <f t="shared" si="652"/>
        <v>9999</v>
      </c>
      <c r="R811" s="12" t="str">
        <f t="shared" si="653"/>
        <v>CZCE</v>
      </c>
      <c r="S811" s="126"/>
      <c r="T811" s="126"/>
      <c r="U811" s="38"/>
      <c r="V811" s="38"/>
      <c r="W811" s="126"/>
      <c r="X811" s="126"/>
      <c r="Y811" s="126"/>
      <c r="Z811" s="126"/>
      <c r="AA811" s="126"/>
      <c r="AB811" s="126"/>
      <c r="AC811" s="126"/>
      <c r="AD811" s="126"/>
      <c r="AE811" s="126"/>
      <c r="AF811" s="126"/>
      <c r="AG811" s="126"/>
      <c r="AH811" s="126"/>
      <c r="AI811" s="126"/>
      <c r="AJ811" s="126"/>
      <c r="AK811" s="126"/>
      <c r="AL811" s="126"/>
      <c r="AM811" s="141"/>
      <c r="AN811" s="141"/>
      <c r="AO811" s="141"/>
      <c r="AP811" s="141"/>
      <c r="AQ811" s="126"/>
      <c r="AR811" s="126"/>
      <c r="AS811" s="126"/>
      <c r="AT811" s="126"/>
      <c r="AU811" s="126"/>
      <c r="AV811" s="126"/>
      <c r="AW811" s="126"/>
      <c r="AX811" s="126"/>
      <c r="AY811" s="126"/>
      <c r="AZ811" s="126"/>
      <c r="BA811" s="126"/>
      <c r="BB811" s="126"/>
      <c r="BC811" s="126"/>
      <c r="BD811" s="126"/>
      <c r="BE811" s="126"/>
      <c r="BF811" s="126"/>
      <c r="BG811" s="161"/>
      <c r="BH811" s="3"/>
      <c r="BI811" s="126"/>
      <c r="BJ811" s="126"/>
    </row>
    <row r="812" spans="1:62" x14ac:dyDescent="0.25">
      <c r="A812" s="126" t="str">
        <f t="shared" si="639"/>
        <v>comment</v>
      </c>
      <c r="B812" s="578" t="str">
        <f t="shared" si="646"/>
        <v>6001</v>
      </c>
      <c r="C812" s="12" t="str">
        <f t="shared" si="647"/>
        <v>B00101</v>
      </c>
      <c r="D812" s="109" t="str">
        <f>D809</f>
        <v>OI811</v>
      </c>
      <c r="E812" s="92">
        <v>3</v>
      </c>
      <c r="F812" s="50">
        <v>1</v>
      </c>
      <c r="G812" s="50">
        <f t="shared" si="648"/>
        <v>3</v>
      </c>
      <c r="H812" s="50">
        <f t="shared" si="640"/>
        <v>0</v>
      </c>
      <c r="I812" s="50">
        <f t="shared" si="649"/>
        <v>6160</v>
      </c>
      <c r="J812" s="50">
        <f t="shared" si="650"/>
        <v>6160</v>
      </c>
      <c r="K812" s="50">
        <f t="shared" si="641"/>
        <v>0</v>
      </c>
      <c r="L812" s="50">
        <f t="shared" si="642"/>
        <v>0</v>
      </c>
      <c r="M812" s="162">
        <f t="shared" si="643"/>
        <v>0</v>
      </c>
      <c r="N812" s="50">
        <f t="shared" si="644"/>
        <v>0</v>
      </c>
      <c r="O812" s="50">
        <f t="shared" si="645"/>
        <v>10</v>
      </c>
      <c r="P812" s="92">
        <f t="shared" si="651"/>
        <v>20180326</v>
      </c>
      <c r="Q812" s="92" t="str">
        <f t="shared" si="652"/>
        <v>9999</v>
      </c>
      <c r="R812" s="12" t="str">
        <f t="shared" si="653"/>
        <v>CZCE</v>
      </c>
      <c r="S812" s="126"/>
      <c r="T812" s="126"/>
      <c r="U812" s="38"/>
      <c r="V812" s="38"/>
      <c r="W812" s="126"/>
      <c r="X812" s="126"/>
      <c r="Y812" s="126"/>
      <c r="Z812" s="126"/>
      <c r="AA812" s="126"/>
      <c r="AB812" s="126"/>
      <c r="AC812" s="126"/>
      <c r="AD812" s="126"/>
      <c r="AE812" s="126"/>
      <c r="AF812" s="126"/>
      <c r="AG812" s="126"/>
      <c r="AH812" s="126"/>
      <c r="AI812" s="126"/>
      <c r="AJ812" s="126"/>
      <c r="AK812" s="126"/>
      <c r="AL812" s="126"/>
      <c r="AM812" s="141"/>
      <c r="AN812" s="141"/>
      <c r="AO812" s="141"/>
      <c r="AP812" s="141"/>
      <c r="AQ812" s="126"/>
      <c r="AR812" s="126"/>
      <c r="AS812" s="126"/>
      <c r="AT812" s="126"/>
      <c r="AU812" s="126"/>
      <c r="AV812" s="126"/>
      <c r="AW812" s="126"/>
      <c r="AX812" s="126"/>
      <c r="AY812" s="126"/>
      <c r="AZ812" s="126"/>
      <c r="BA812" s="126"/>
      <c r="BB812" s="126"/>
      <c r="BC812" s="126"/>
      <c r="BD812" s="126"/>
      <c r="BE812" s="126"/>
      <c r="BF812" s="126"/>
      <c r="BG812" s="161"/>
      <c r="BH812" s="3"/>
      <c r="BI812" s="126"/>
      <c r="BJ812" s="126"/>
    </row>
    <row r="813" spans="1:62" x14ac:dyDescent="0.25">
      <c r="A813" s="126" t="str">
        <f t="shared" si="639"/>
        <v/>
      </c>
      <c r="B813" s="578" t="str">
        <f t="shared" si="646"/>
        <v>6001</v>
      </c>
      <c r="C813" s="12" t="str">
        <f>$C$9</f>
        <v>B00102</v>
      </c>
      <c r="D813" s="109" t="str">
        <f>G778</f>
        <v>PTA807</v>
      </c>
      <c r="E813" s="92">
        <v>1</v>
      </c>
      <c r="F813" s="50">
        <v>0</v>
      </c>
      <c r="G813" s="50">
        <f t="shared" si="648"/>
        <v>2</v>
      </c>
      <c r="H813" s="50">
        <f t="shared" si="640"/>
        <v>6</v>
      </c>
      <c r="I813" s="50">
        <f t="shared" si="649"/>
        <v>6165</v>
      </c>
      <c r="J813" s="50">
        <f t="shared" si="650"/>
        <v>6165</v>
      </c>
      <c r="K813" s="50">
        <f t="shared" si="641"/>
        <v>-2450</v>
      </c>
      <c r="L813" s="50">
        <f t="shared" si="642"/>
        <v>-2450</v>
      </c>
      <c r="M813" s="162">
        <f t="shared" si="643"/>
        <v>4855.5</v>
      </c>
      <c r="N813" s="50">
        <f t="shared" si="644"/>
        <v>4237</v>
      </c>
      <c r="O813" s="50">
        <f t="shared" si="645"/>
        <v>5</v>
      </c>
      <c r="P813" s="92">
        <f t="shared" si="651"/>
        <v>20180326</v>
      </c>
      <c r="Q813" s="92" t="str">
        <f t="shared" si="652"/>
        <v>9999</v>
      </c>
      <c r="R813" s="12" t="str">
        <f t="shared" si="653"/>
        <v>CZCE</v>
      </c>
      <c r="S813" s="126"/>
      <c r="T813" s="126"/>
      <c r="U813" s="38"/>
      <c r="V813" s="38"/>
      <c r="W813" s="126"/>
      <c r="X813" s="126"/>
      <c r="Y813" s="126"/>
      <c r="Z813" s="126"/>
      <c r="AA813" s="126"/>
      <c r="AB813" s="126"/>
      <c r="AC813" s="126"/>
      <c r="AD813" s="126"/>
      <c r="AE813" s="126"/>
      <c r="AF813" s="126"/>
      <c r="AG813" s="126"/>
      <c r="AH813" s="126"/>
      <c r="AI813" s="126"/>
      <c r="AJ813" s="126"/>
      <c r="AK813" s="126"/>
      <c r="AL813" s="126"/>
      <c r="AM813" s="141"/>
      <c r="AN813" s="141"/>
      <c r="AO813" s="141"/>
      <c r="AP813" s="141"/>
      <c r="AQ813" s="126"/>
      <c r="AR813" s="126"/>
      <c r="AS813" s="126"/>
      <c r="AT813" s="126"/>
      <c r="AU813" s="126"/>
      <c r="AV813" s="126"/>
      <c r="AW813" s="126"/>
      <c r="AX813" s="126"/>
      <c r="AY813" s="126"/>
      <c r="AZ813" s="126"/>
      <c r="BA813" s="126"/>
      <c r="BB813" s="126"/>
      <c r="BC813" s="126"/>
      <c r="BD813" s="126"/>
      <c r="BE813" s="126"/>
      <c r="BF813" s="126"/>
      <c r="BG813" s="161"/>
      <c r="BH813" s="3"/>
      <c r="BI813" s="126"/>
      <c r="BJ813" s="126"/>
    </row>
    <row r="814" spans="1:62" x14ac:dyDescent="0.25">
      <c r="A814" s="126" t="str">
        <f t="shared" si="639"/>
        <v/>
      </c>
      <c r="B814" s="578" t="str">
        <f t="shared" si="646"/>
        <v>6001</v>
      </c>
      <c r="C814" s="12" t="str">
        <f t="shared" ref="C814:C830" si="654">$C$9</f>
        <v>B00102</v>
      </c>
      <c r="D814" s="109" t="str">
        <f>D813</f>
        <v>PTA807</v>
      </c>
      <c r="E814" s="92">
        <v>1</v>
      </c>
      <c r="F814" s="50">
        <v>1</v>
      </c>
      <c r="G814" s="50">
        <f t="shared" si="648"/>
        <v>3</v>
      </c>
      <c r="H814" s="50">
        <f t="shared" si="640"/>
        <v>8</v>
      </c>
      <c r="I814" s="50">
        <f t="shared" si="649"/>
        <v>6165</v>
      </c>
      <c r="J814" s="50">
        <f t="shared" si="650"/>
        <v>6165</v>
      </c>
      <c r="K814" s="50">
        <f t="shared" si="641"/>
        <v>-1760</v>
      </c>
      <c r="L814" s="50">
        <f t="shared" si="642"/>
        <v>-1760</v>
      </c>
      <c r="M814" s="162">
        <f t="shared" si="643"/>
        <v>15957.59</v>
      </c>
      <c r="N814" s="50">
        <f t="shared" si="644"/>
        <v>13143.41</v>
      </c>
      <c r="O814" s="50">
        <f t="shared" si="645"/>
        <v>5</v>
      </c>
      <c r="P814" s="92">
        <f t="shared" si="651"/>
        <v>20180326</v>
      </c>
      <c r="Q814" s="92" t="str">
        <f t="shared" si="652"/>
        <v>9999</v>
      </c>
      <c r="R814" s="12" t="str">
        <f t="shared" si="653"/>
        <v>CZCE</v>
      </c>
      <c r="S814" s="126"/>
      <c r="T814" s="126"/>
      <c r="U814" s="38"/>
      <c r="V814" s="38"/>
      <c r="W814" s="126"/>
      <c r="X814" s="126"/>
      <c r="Y814" s="126"/>
      <c r="Z814" s="126"/>
      <c r="AA814" s="126"/>
      <c r="AB814" s="126"/>
      <c r="AC814" s="126"/>
      <c r="AD814" s="126"/>
      <c r="AE814" s="126"/>
      <c r="AF814" s="126"/>
      <c r="AG814" s="126"/>
      <c r="AH814" s="126"/>
      <c r="AI814" s="126"/>
      <c r="AJ814" s="126"/>
      <c r="AK814" s="126"/>
      <c r="AL814" s="126"/>
      <c r="AM814" s="141"/>
      <c r="AN814" s="141"/>
      <c r="AO814" s="141"/>
      <c r="AP814" s="141"/>
      <c r="AQ814" s="126"/>
      <c r="AR814" s="126"/>
      <c r="AS814" s="126"/>
      <c r="AT814" s="126"/>
      <c r="AU814" s="126"/>
      <c r="AV814" s="126"/>
      <c r="AW814" s="126"/>
      <c r="AX814" s="126"/>
      <c r="AY814" s="126"/>
      <c r="AZ814" s="126"/>
      <c r="BA814" s="126"/>
      <c r="BB814" s="126"/>
      <c r="BC814" s="126"/>
      <c r="BD814" s="126"/>
      <c r="BE814" s="126"/>
      <c r="BF814" s="126"/>
      <c r="BG814" s="161"/>
      <c r="BH814" s="3"/>
      <c r="BI814" s="126"/>
      <c r="BJ814" s="126"/>
    </row>
    <row r="815" spans="1:62" x14ac:dyDescent="0.25">
      <c r="A815" s="126" t="str">
        <f t="shared" si="639"/>
        <v/>
      </c>
      <c r="B815" s="578" t="str">
        <f t="shared" si="646"/>
        <v>6001</v>
      </c>
      <c r="C815" s="12" t="str">
        <f t="shared" si="654"/>
        <v>B00102</v>
      </c>
      <c r="D815" s="109" t="str">
        <f>D813</f>
        <v>PTA807</v>
      </c>
      <c r="E815" s="92">
        <v>3</v>
      </c>
      <c r="F815" s="50">
        <v>0</v>
      </c>
      <c r="G815" s="50">
        <f t="shared" si="648"/>
        <v>2</v>
      </c>
      <c r="H815" s="50">
        <f t="shared" si="640"/>
        <v>7</v>
      </c>
      <c r="I815" s="50">
        <f t="shared" si="649"/>
        <v>6165</v>
      </c>
      <c r="J815" s="50">
        <f t="shared" si="650"/>
        <v>6165</v>
      </c>
      <c r="K815" s="50">
        <f t="shared" si="641"/>
        <v>-7905</v>
      </c>
      <c r="L815" s="50">
        <f t="shared" si="642"/>
        <v>-7905</v>
      </c>
      <c r="M815" s="162">
        <f t="shared" si="643"/>
        <v>0</v>
      </c>
      <c r="N815" s="50">
        <f t="shared" si="644"/>
        <v>0</v>
      </c>
      <c r="O815" s="50">
        <f t="shared" si="645"/>
        <v>5</v>
      </c>
      <c r="P815" s="92">
        <f t="shared" si="651"/>
        <v>20180326</v>
      </c>
      <c r="Q815" s="92" t="str">
        <f t="shared" si="652"/>
        <v>9999</v>
      </c>
      <c r="R815" s="12" t="str">
        <f t="shared" si="653"/>
        <v>CZCE</v>
      </c>
      <c r="S815" s="126"/>
      <c r="T815" s="126"/>
      <c r="U815" s="38"/>
      <c r="V815" s="38"/>
      <c r="W815" s="126"/>
      <c r="X815" s="126"/>
      <c r="Y815" s="126"/>
      <c r="Z815" s="126"/>
      <c r="AA815" s="126"/>
      <c r="AB815" s="126"/>
      <c r="AC815" s="126"/>
      <c r="AD815" s="126"/>
      <c r="AE815" s="126"/>
      <c r="AF815" s="126"/>
      <c r="AG815" s="126"/>
      <c r="AH815" s="126"/>
      <c r="AI815" s="126"/>
      <c r="AJ815" s="126"/>
      <c r="AK815" s="126"/>
      <c r="AL815" s="126"/>
      <c r="AM815" s="141"/>
      <c r="AN815" s="141"/>
      <c r="AO815" s="141"/>
      <c r="AP815" s="141"/>
      <c r="AQ815" s="126"/>
      <c r="AR815" s="126"/>
      <c r="AS815" s="126"/>
      <c r="AT815" s="126"/>
      <c r="AU815" s="126"/>
      <c r="AV815" s="126"/>
      <c r="AW815" s="126"/>
      <c r="AX815" s="126"/>
      <c r="AY815" s="126"/>
      <c r="AZ815" s="126"/>
      <c r="BA815" s="126"/>
      <c r="BB815" s="126"/>
      <c r="BC815" s="126"/>
      <c r="BD815" s="126"/>
      <c r="BE815" s="126"/>
      <c r="BF815" s="126"/>
      <c r="BG815" s="161"/>
      <c r="BH815" s="3"/>
      <c r="BI815" s="126"/>
      <c r="BJ815" s="126"/>
    </row>
    <row r="816" spans="1:62" x14ac:dyDescent="0.25">
      <c r="A816" s="126" t="str">
        <f t="shared" si="639"/>
        <v/>
      </c>
      <c r="B816" s="578" t="str">
        <f t="shared" si="646"/>
        <v>6001</v>
      </c>
      <c r="C816" s="12" t="str">
        <f t="shared" si="654"/>
        <v>B00102</v>
      </c>
      <c r="D816" s="109" t="str">
        <f>D813</f>
        <v>PTA807</v>
      </c>
      <c r="E816" s="92">
        <v>3</v>
      </c>
      <c r="F816" s="50">
        <v>1</v>
      </c>
      <c r="G816" s="50">
        <f t="shared" si="648"/>
        <v>3</v>
      </c>
      <c r="H816" s="50">
        <f t="shared" si="640"/>
        <v>6</v>
      </c>
      <c r="I816" s="50">
        <f t="shared" si="649"/>
        <v>6165</v>
      </c>
      <c r="J816" s="50">
        <f t="shared" si="650"/>
        <v>6165</v>
      </c>
      <c r="K816" s="50">
        <f t="shared" si="641"/>
        <v>-1380</v>
      </c>
      <c r="L816" s="50">
        <f t="shared" si="642"/>
        <v>-1380</v>
      </c>
      <c r="M816" s="162">
        <f t="shared" si="643"/>
        <v>9834.15</v>
      </c>
      <c r="N816" s="50">
        <f t="shared" si="644"/>
        <v>7978.65</v>
      </c>
      <c r="O816" s="50">
        <f t="shared" si="645"/>
        <v>5</v>
      </c>
      <c r="P816" s="92">
        <f t="shared" si="651"/>
        <v>20180326</v>
      </c>
      <c r="Q816" s="92" t="str">
        <f t="shared" si="652"/>
        <v>9999</v>
      </c>
      <c r="R816" s="12" t="str">
        <f t="shared" si="653"/>
        <v>CZCE</v>
      </c>
      <c r="S816" s="126"/>
      <c r="T816" s="126"/>
      <c r="U816" s="38"/>
      <c r="V816" s="38"/>
      <c r="W816" s="126"/>
      <c r="X816" s="126"/>
      <c r="Y816" s="126"/>
      <c r="Z816" s="126"/>
      <c r="AA816" s="126"/>
      <c r="AB816" s="126"/>
      <c r="AC816" s="126"/>
      <c r="AD816" s="126"/>
      <c r="AE816" s="126"/>
      <c r="AF816" s="126"/>
      <c r="AG816" s="126"/>
      <c r="AH816" s="126"/>
      <c r="AI816" s="126"/>
      <c r="AJ816" s="126"/>
      <c r="AK816" s="126"/>
      <c r="AL816" s="126"/>
      <c r="AM816" s="141"/>
      <c r="AN816" s="141"/>
      <c r="AO816" s="141"/>
      <c r="AP816" s="141"/>
      <c r="AQ816" s="126"/>
      <c r="AR816" s="126"/>
      <c r="AS816" s="126"/>
      <c r="AT816" s="126"/>
      <c r="AU816" s="126"/>
      <c r="AV816" s="126"/>
      <c r="AW816" s="126"/>
      <c r="AX816" s="126"/>
      <c r="AY816" s="126"/>
      <c r="AZ816" s="126"/>
      <c r="BA816" s="126"/>
      <c r="BB816" s="126"/>
      <c r="BC816" s="126"/>
      <c r="BD816" s="126"/>
      <c r="BE816" s="126"/>
      <c r="BF816" s="126"/>
      <c r="BG816" s="161"/>
      <c r="BH816" s="3"/>
      <c r="BI816" s="126"/>
      <c r="BJ816" s="126"/>
    </row>
    <row r="817" spans="1:62" x14ac:dyDescent="0.25">
      <c r="A817" s="126" t="str">
        <f t="shared" si="639"/>
        <v/>
      </c>
      <c r="B817" s="578" t="str">
        <f t="shared" si="646"/>
        <v>6001</v>
      </c>
      <c r="C817" s="12" t="str">
        <f t="shared" si="654"/>
        <v>B00102</v>
      </c>
      <c r="D817" s="109" t="str">
        <f>G780</f>
        <v>PTA809</v>
      </c>
      <c r="E817" s="92">
        <v>1</v>
      </c>
      <c r="F817" s="50">
        <v>0</v>
      </c>
      <c r="G817" s="50">
        <f t="shared" si="648"/>
        <v>2</v>
      </c>
      <c r="H817" s="50">
        <f t="shared" si="640"/>
        <v>2</v>
      </c>
      <c r="I817" s="50">
        <f t="shared" si="649"/>
        <v>6170</v>
      </c>
      <c r="J817" s="50">
        <f t="shared" si="650"/>
        <v>6170</v>
      </c>
      <c r="K817" s="50">
        <f t="shared" si="641"/>
        <v>460</v>
      </c>
      <c r="L817" s="50">
        <f t="shared" si="642"/>
        <v>460</v>
      </c>
      <c r="M817" s="162">
        <f t="shared" si="643"/>
        <v>0</v>
      </c>
      <c r="N817" s="50">
        <f t="shared" si="644"/>
        <v>0</v>
      </c>
      <c r="O817" s="50">
        <f t="shared" si="645"/>
        <v>5</v>
      </c>
      <c r="P817" s="92">
        <f t="shared" si="651"/>
        <v>20180326</v>
      </c>
      <c r="Q817" s="92" t="str">
        <f t="shared" si="652"/>
        <v>9999</v>
      </c>
      <c r="R817" s="12" t="str">
        <f t="shared" si="653"/>
        <v>CZCE</v>
      </c>
      <c r="S817" s="126"/>
      <c r="T817" s="126"/>
      <c r="U817" s="38"/>
      <c r="V817" s="38"/>
      <c r="W817" s="126"/>
      <c r="X817" s="126"/>
      <c r="Y817" s="126"/>
      <c r="Z817" s="126"/>
      <c r="AA817" s="126"/>
      <c r="AB817" s="126"/>
      <c r="AC817" s="126"/>
      <c r="AD817" s="126"/>
      <c r="AE817" s="126"/>
      <c r="AF817" s="126"/>
      <c r="AG817" s="126"/>
      <c r="AH817" s="126"/>
      <c r="AI817" s="126"/>
      <c r="AJ817" s="126"/>
      <c r="AK817" s="126"/>
      <c r="AL817" s="126"/>
      <c r="AM817" s="141"/>
      <c r="AN817" s="141"/>
      <c r="AO817" s="141"/>
      <c r="AP817" s="141"/>
      <c r="AQ817" s="126"/>
      <c r="AR817" s="126"/>
      <c r="AS817" s="126"/>
      <c r="AT817" s="126"/>
      <c r="AU817" s="126"/>
      <c r="AV817" s="126"/>
      <c r="AW817" s="126"/>
      <c r="AX817" s="126"/>
      <c r="AY817" s="126"/>
      <c r="AZ817" s="126"/>
      <c r="BA817" s="126"/>
      <c r="BB817" s="126"/>
      <c r="BC817" s="126"/>
      <c r="BD817" s="126"/>
      <c r="BE817" s="126"/>
      <c r="BF817" s="126"/>
      <c r="BG817" s="161"/>
      <c r="BH817" s="3"/>
      <c r="BI817" s="126"/>
      <c r="BJ817" s="126"/>
    </row>
    <row r="818" spans="1:62" x14ac:dyDescent="0.25">
      <c r="A818" s="126" t="str">
        <f t="shared" si="639"/>
        <v/>
      </c>
      <c r="B818" s="578" t="str">
        <f t="shared" si="646"/>
        <v>6001</v>
      </c>
      <c r="C818" s="12" t="str">
        <f t="shared" si="654"/>
        <v>B00102</v>
      </c>
      <c r="D818" s="109" t="str">
        <f>D817</f>
        <v>PTA809</v>
      </c>
      <c r="E818" s="92">
        <v>1</v>
      </c>
      <c r="F818" s="50">
        <v>1</v>
      </c>
      <c r="G818" s="50">
        <f t="shared" si="648"/>
        <v>3</v>
      </c>
      <c r="H818" s="50">
        <f t="shared" si="640"/>
        <v>2</v>
      </c>
      <c r="I818" s="50">
        <f t="shared" si="649"/>
        <v>6170</v>
      </c>
      <c r="J818" s="50">
        <f t="shared" si="650"/>
        <v>6170</v>
      </c>
      <c r="K818" s="50">
        <f t="shared" si="641"/>
        <v>-450</v>
      </c>
      <c r="L818" s="50">
        <f t="shared" si="642"/>
        <v>-450</v>
      </c>
      <c r="M818" s="162">
        <f t="shared" si="643"/>
        <v>3156.9</v>
      </c>
      <c r="N818" s="50">
        <f t="shared" si="644"/>
        <v>2537.9</v>
      </c>
      <c r="O818" s="50">
        <f t="shared" si="645"/>
        <v>5</v>
      </c>
      <c r="P818" s="92">
        <f t="shared" si="651"/>
        <v>20180326</v>
      </c>
      <c r="Q818" s="92" t="str">
        <f t="shared" si="652"/>
        <v>9999</v>
      </c>
      <c r="R818" s="12" t="str">
        <f t="shared" si="653"/>
        <v>CZCE</v>
      </c>
      <c r="S818" s="126"/>
      <c r="T818" s="126"/>
      <c r="U818" s="38"/>
      <c r="V818" s="38"/>
      <c r="W818" s="126"/>
      <c r="X818" s="126"/>
      <c r="Y818" s="126"/>
      <c r="Z818" s="126"/>
      <c r="AA818" s="126"/>
      <c r="AB818" s="126"/>
      <c r="AC818" s="126"/>
      <c r="AD818" s="126"/>
      <c r="AE818" s="126"/>
      <c r="AF818" s="126"/>
      <c r="AG818" s="126"/>
      <c r="AH818" s="126"/>
      <c r="AI818" s="126"/>
      <c r="AJ818" s="126"/>
      <c r="AK818" s="126"/>
      <c r="AL818" s="126"/>
      <c r="AM818" s="141"/>
      <c r="AN818" s="141"/>
      <c r="AO818" s="141"/>
      <c r="AP818" s="141"/>
      <c r="AQ818" s="126"/>
      <c r="AR818" s="126"/>
      <c r="AS818" s="126"/>
      <c r="AT818" s="126"/>
      <c r="AU818" s="126"/>
      <c r="AV818" s="126"/>
      <c r="AW818" s="126"/>
      <c r="AX818" s="126"/>
      <c r="AY818" s="126"/>
      <c r="AZ818" s="126"/>
      <c r="BA818" s="126"/>
      <c r="BB818" s="126"/>
      <c r="BC818" s="126"/>
      <c r="BD818" s="126"/>
      <c r="BE818" s="126"/>
      <c r="BF818" s="126"/>
      <c r="BG818" s="161"/>
      <c r="BH818" s="3"/>
      <c r="BI818" s="126"/>
      <c r="BJ818" s="126"/>
    </row>
    <row r="819" spans="1:62" x14ac:dyDescent="0.25">
      <c r="A819" s="126" t="str">
        <f t="shared" si="639"/>
        <v>comment</v>
      </c>
      <c r="B819" s="578" t="str">
        <f t="shared" si="646"/>
        <v>6001</v>
      </c>
      <c r="C819" s="12" t="str">
        <f t="shared" si="654"/>
        <v>B00102</v>
      </c>
      <c r="D819" s="109" t="str">
        <f>D817</f>
        <v>PTA809</v>
      </c>
      <c r="E819" s="92">
        <v>3</v>
      </c>
      <c r="F819" s="50">
        <v>0</v>
      </c>
      <c r="G819" s="50">
        <f t="shared" si="648"/>
        <v>2</v>
      </c>
      <c r="H819" s="50">
        <f t="shared" si="640"/>
        <v>0</v>
      </c>
      <c r="I819" s="50">
        <f t="shared" si="649"/>
        <v>6170</v>
      </c>
      <c r="J819" s="50">
        <f t="shared" si="650"/>
        <v>6170</v>
      </c>
      <c r="K819" s="50">
        <f t="shared" si="641"/>
        <v>0</v>
      </c>
      <c r="L819" s="50">
        <f t="shared" si="642"/>
        <v>0</v>
      </c>
      <c r="M819" s="162">
        <f t="shared" si="643"/>
        <v>0</v>
      </c>
      <c r="N819" s="50">
        <f t="shared" si="644"/>
        <v>0</v>
      </c>
      <c r="O819" s="50">
        <f t="shared" si="645"/>
        <v>5</v>
      </c>
      <c r="P819" s="92">
        <f t="shared" si="651"/>
        <v>20180326</v>
      </c>
      <c r="Q819" s="92" t="str">
        <f t="shared" si="652"/>
        <v>9999</v>
      </c>
      <c r="R819" s="12" t="str">
        <f t="shared" si="653"/>
        <v>CZCE</v>
      </c>
      <c r="S819" s="126"/>
      <c r="T819" s="126"/>
      <c r="U819" s="38"/>
      <c r="V819" s="38"/>
      <c r="W819" s="126"/>
      <c r="X819" s="126"/>
      <c r="Y819" s="126"/>
      <c r="Z819" s="126"/>
      <c r="AA819" s="126"/>
      <c r="AB819" s="126"/>
      <c r="AC819" s="126"/>
      <c r="AD819" s="126"/>
      <c r="AE819" s="126"/>
      <c r="AF819" s="126"/>
      <c r="AG819" s="126"/>
      <c r="AH819" s="126"/>
      <c r="AI819" s="126"/>
      <c r="AJ819" s="126"/>
      <c r="AK819" s="126"/>
      <c r="AL819" s="126"/>
      <c r="AM819" s="141"/>
      <c r="AN819" s="141"/>
      <c r="AO819" s="141"/>
      <c r="AP819" s="141"/>
      <c r="AQ819" s="126"/>
      <c r="AR819" s="126"/>
      <c r="AS819" s="126"/>
      <c r="AT819" s="126"/>
      <c r="AU819" s="126"/>
      <c r="AV819" s="126"/>
      <c r="AW819" s="126"/>
      <c r="AX819" s="126"/>
      <c r="AY819" s="126"/>
      <c r="AZ819" s="126"/>
      <c r="BA819" s="126"/>
      <c r="BB819" s="126"/>
      <c r="BC819" s="126"/>
      <c r="BD819" s="126"/>
      <c r="BE819" s="126"/>
      <c r="BF819" s="126"/>
      <c r="BG819" s="161"/>
      <c r="BH819" s="3"/>
      <c r="BI819" s="126"/>
      <c r="BJ819" s="126"/>
    </row>
    <row r="820" spans="1:62" x14ac:dyDescent="0.25">
      <c r="A820" s="126" t="str">
        <f t="shared" si="639"/>
        <v>comment</v>
      </c>
      <c r="B820" s="578" t="str">
        <f t="shared" si="646"/>
        <v>6001</v>
      </c>
      <c r="C820" s="12" t="str">
        <f t="shared" si="654"/>
        <v>B00102</v>
      </c>
      <c r="D820" s="109" t="str">
        <f>D817</f>
        <v>PTA809</v>
      </c>
      <c r="E820" s="92">
        <v>3</v>
      </c>
      <c r="F820" s="50">
        <v>1</v>
      </c>
      <c r="G820" s="50">
        <f t="shared" si="648"/>
        <v>3</v>
      </c>
      <c r="H820" s="50">
        <f t="shared" si="640"/>
        <v>0</v>
      </c>
      <c r="I820" s="50">
        <f t="shared" si="649"/>
        <v>6170</v>
      </c>
      <c r="J820" s="50">
        <f t="shared" si="650"/>
        <v>6170</v>
      </c>
      <c r="K820" s="50">
        <f t="shared" si="641"/>
        <v>0</v>
      </c>
      <c r="L820" s="50">
        <f t="shared" si="642"/>
        <v>0</v>
      </c>
      <c r="M820" s="162">
        <f t="shared" si="643"/>
        <v>0</v>
      </c>
      <c r="N820" s="50">
        <f t="shared" si="644"/>
        <v>0</v>
      </c>
      <c r="O820" s="50">
        <f t="shared" si="645"/>
        <v>5</v>
      </c>
      <c r="P820" s="92">
        <f t="shared" si="651"/>
        <v>20180326</v>
      </c>
      <c r="Q820" s="92" t="str">
        <f t="shared" si="652"/>
        <v>9999</v>
      </c>
      <c r="R820" s="12" t="str">
        <f t="shared" si="653"/>
        <v>CZCE</v>
      </c>
      <c r="S820" s="126"/>
      <c r="T820" s="126"/>
      <c r="U820" s="38"/>
      <c r="V820" s="38"/>
      <c r="W820" s="126"/>
      <c r="X820" s="126"/>
      <c r="Y820" s="126"/>
      <c r="Z820" s="126"/>
      <c r="AA820" s="126"/>
      <c r="AB820" s="126"/>
      <c r="AC820" s="126"/>
      <c r="AD820" s="126"/>
      <c r="AE820" s="126"/>
      <c r="AF820" s="126"/>
      <c r="AG820" s="126"/>
      <c r="AH820" s="126"/>
      <c r="AI820" s="126"/>
      <c r="AJ820" s="126"/>
      <c r="AK820" s="126"/>
      <c r="AL820" s="126"/>
      <c r="AM820" s="141"/>
      <c r="AN820" s="141"/>
      <c r="AO820" s="141"/>
      <c r="AP820" s="141"/>
      <c r="AQ820" s="126"/>
      <c r="AR820" s="126"/>
      <c r="AS820" s="126"/>
      <c r="AT820" s="126"/>
      <c r="AU820" s="126"/>
      <c r="AV820" s="126"/>
      <c r="AW820" s="126"/>
      <c r="AX820" s="126"/>
      <c r="AY820" s="126"/>
      <c r="AZ820" s="126"/>
      <c r="BA820" s="126"/>
      <c r="BB820" s="126"/>
      <c r="BC820" s="126"/>
      <c r="BD820" s="126"/>
      <c r="BE820" s="126"/>
      <c r="BF820" s="126"/>
      <c r="BG820" s="161"/>
      <c r="BH820" s="3"/>
      <c r="BI820" s="126"/>
      <c r="BJ820" s="126"/>
    </row>
    <row r="821" spans="1:62" x14ac:dyDescent="0.25">
      <c r="A821" s="126" t="str">
        <f t="shared" si="639"/>
        <v/>
      </c>
      <c r="B821" s="578" t="str">
        <f t="shared" si="646"/>
        <v>6001</v>
      </c>
      <c r="C821" s="12" t="str">
        <f t="shared" si="654"/>
        <v>B00102</v>
      </c>
      <c r="D821" s="109" t="str">
        <f>C27</f>
        <v>PTA807C6500</v>
      </c>
      <c r="E821" s="92">
        <v>1</v>
      </c>
      <c r="F821" s="50">
        <v>0</v>
      </c>
      <c r="G821" s="50">
        <f t="shared" si="648"/>
        <v>2</v>
      </c>
      <c r="H821" s="50">
        <f t="shared" si="640"/>
        <v>8</v>
      </c>
      <c r="I821" s="50">
        <f t="shared" si="649"/>
        <v>600</v>
      </c>
      <c r="J821" s="50">
        <f t="shared" si="650"/>
        <v>600</v>
      </c>
      <c r="K821" s="50">
        <f t="shared" si="641"/>
        <v>0</v>
      </c>
      <c r="L821" s="50">
        <f t="shared" si="642"/>
        <v>0</v>
      </c>
      <c r="M821" s="162">
        <f t="shared" si="643"/>
        <v>0</v>
      </c>
      <c r="N821" s="50">
        <f t="shared" si="644"/>
        <v>0</v>
      </c>
      <c r="O821" s="50">
        <f t="shared" si="645"/>
        <v>5</v>
      </c>
      <c r="P821" s="92">
        <f t="shared" si="651"/>
        <v>20180326</v>
      </c>
      <c r="Q821" s="92" t="str">
        <f t="shared" si="652"/>
        <v>9999</v>
      </c>
      <c r="R821" s="12" t="str">
        <f t="shared" si="653"/>
        <v>CZCE</v>
      </c>
      <c r="S821" s="126"/>
      <c r="T821" s="126"/>
      <c r="U821" s="38"/>
      <c r="V821" s="38"/>
      <c r="W821" s="126"/>
      <c r="X821" s="126"/>
      <c r="Y821" s="126"/>
      <c r="Z821" s="126"/>
      <c r="AA821" s="126"/>
      <c r="AB821" s="126"/>
      <c r="AC821" s="126"/>
      <c r="AD821" s="126"/>
      <c r="AE821" s="126"/>
      <c r="AF821" s="126"/>
      <c r="AG821" s="126"/>
      <c r="AH821" s="126"/>
      <c r="AI821" s="126"/>
      <c r="AJ821" s="126"/>
      <c r="AK821" s="126"/>
      <c r="AL821" s="126"/>
      <c r="AM821" s="141"/>
      <c r="AN821" s="141"/>
      <c r="AO821" s="141"/>
      <c r="AP821" s="141"/>
      <c r="AQ821" s="126"/>
      <c r="AR821" s="126"/>
      <c r="AS821" s="126"/>
      <c r="AT821" s="126"/>
      <c r="AU821" s="126"/>
      <c r="AV821" s="126"/>
      <c r="AW821" s="126"/>
      <c r="AX821" s="126"/>
      <c r="AY821" s="126"/>
      <c r="AZ821" s="126"/>
      <c r="BA821" s="126"/>
      <c r="BB821" s="126"/>
      <c r="BC821" s="126"/>
      <c r="BD821" s="126"/>
      <c r="BE821" s="126"/>
      <c r="BF821" s="126"/>
      <c r="BG821" s="161"/>
      <c r="BH821" s="3"/>
      <c r="BI821" s="126"/>
      <c r="BJ821" s="126"/>
    </row>
    <row r="822" spans="1:62" x14ac:dyDescent="0.25">
      <c r="A822" s="126" t="str">
        <f t="shared" si="639"/>
        <v/>
      </c>
      <c r="B822" s="578" t="str">
        <f t="shared" si="646"/>
        <v>6001</v>
      </c>
      <c r="C822" s="12" t="str">
        <f t="shared" si="654"/>
        <v>B00102</v>
      </c>
      <c r="D822" s="109" t="str">
        <f>D821</f>
        <v>PTA807C6500</v>
      </c>
      <c r="E822" s="92">
        <v>1</v>
      </c>
      <c r="F822" s="50">
        <v>1</v>
      </c>
      <c r="G822" s="50">
        <f t="shared" si="648"/>
        <v>3</v>
      </c>
      <c r="H822" s="50">
        <f t="shared" si="640"/>
        <v>8</v>
      </c>
      <c r="I822" s="50">
        <f t="shared" si="649"/>
        <v>600</v>
      </c>
      <c r="J822" s="50">
        <f t="shared" si="650"/>
        <v>600</v>
      </c>
      <c r="K822" s="50">
        <f t="shared" si="641"/>
        <v>0</v>
      </c>
      <c r="L822" s="50">
        <f t="shared" si="642"/>
        <v>0</v>
      </c>
      <c r="M822" s="162">
        <f t="shared" si="643"/>
        <v>16319.44</v>
      </c>
      <c r="N822" s="50">
        <f t="shared" si="644"/>
        <v>14535.85</v>
      </c>
      <c r="O822" s="50">
        <f t="shared" si="645"/>
        <v>5</v>
      </c>
      <c r="P822" s="92">
        <f t="shared" si="651"/>
        <v>20180326</v>
      </c>
      <c r="Q822" s="92" t="str">
        <f t="shared" si="652"/>
        <v>9999</v>
      </c>
      <c r="R822" s="12" t="str">
        <f t="shared" si="653"/>
        <v>CZCE</v>
      </c>
      <c r="S822" s="126"/>
      <c r="T822" s="126"/>
      <c r="U822" s="38"/>
      <c r="V822" s="38"/>
      <c r="W822" s="126"/>
      <c r="X822" s="126"/>
      <c r="Y822" s="126"/>
      <c r="Z822" s="126"/>
      <c r="AA822" s="126"/>
      <c r="AB822" s="126"/>
      <c r="AC822" s="126"/>
      <c r="AD822" s="126"/>
      <c r="AE822" s="126"/>
      <c r="AF822" s="126"/>
      <c r="AG822" s="126"/>
      <c r="AH822" s="126"/>
      <c r="AI822" s="126"/>
      <c r="AJ822" s="126"/>
      <c r="AK822" s="126"/>
      <c r="AL822" s="126"/>
      <c r="AM822" s="141"/>
      <c r="AN822" s="141"/>
      <c r="AO822" s="141"/>
      <c r="AP822" s="141"/>
      <c r="AQ822" s="126"/>
      <c r="AR822" s="126"/>
      <c r="AS822" s="126"/>
      <c r="AT822" s="126"/>
      <c r="AU822" s="126"/>
      <c r="AV822" s="126"/>
      <c r="AW822" s="126"/>
      <c r="AX822" s="126"/>
      <c r="AY822" s="126"/>
      <c r="AZ822" s="126"/>
      <c r="BA822" s="126"/>
      <c r="BB822" s="126"/>
      <c r="BC822" s="126"/>
      <c r="BD822" s="126"/>
      <c r="BE822" s="126"/>
      <c r="BF822" s="126"/>
      <c r="BG822" s="161"/>
      <c r="BH822" s="3"/>
      <c r="BI822" s="126"/>
      <c r="BJ822" s="126"/>
    </row>
    <row r="823" spans="1:62" x14ac:dyDescent="0.25">
      <c r="A823" s="126" t="str">
        <f t="shared" si="639"/>
        <v/>
      </c>
      <c r="B823" s="578" t="str">
        <f t="shared" si="646"/>
        <v>6001</v>
      </c>
      <c r="C823" s="12" t="str">
        <f t="shared" si="654"/>
        <v>B00102</v>
      </c>
      <c r="D823" s="109" t="str">
        <f>D821</f>
        <v>PTA807C6500</v>
      </c>
      <c r="E823" s="92">
        <v>3</v>
      </c>
      <c r="F823" s="50">
        <v>0</v>
      </c>
      <c r="G823" s="50">
        <f t="shared" si="648"/>
        <v>2</v>
      </c>
      <c r="H823" s="50">
        <f t="shared" si="640"/>
        <v>5</v>
      </c>
      <c r="I823" s="50">
        <f t="shared" si="649"/>
        <v>600</v>
      </c>
      <c r="J823" s="50">
        <f t="shared" si="650"/>
        <v>600</v>
      </c>
      <c r="K823" s="50">
        <f t="shared" si="641"/>
        <v>0</v>
      </c>
      <c r="L823" s="50">
        <f t="shared" si="642"/>
        <v>0</v>
      </c>
      <c r="M823" s="162">
        <f t="shared" si="643"/>
        <v>0</v>
      </c>
      <c r="N823" s="50">
        <f t="shared" si="644"/>
        <v>0</v>
      </c>
      <c r="O823" s="50">
        <f t="shared" si="645"/>
        <v>5</v>
      </c>
      <c r="P823" s="92">
        <f t="shared" si="651"/>
        <v>20180326</v>
      </c>
      <c r="Q823" s="92" t="str">
        <f t="shared" si="652"/>
        <v>9999</v>
      </c>
      <c r="R823" s="12" t="str">
        <f t="shared" si="653"/>
        <v>CZCE</v>
      </c>
      <c r="S823" s="126"/>
      <c r="T823" s="126"/>
      <c r="U823" s="38"/>
      <c r="V823" s="38"/>
      <c r="W823" s="126"/>
      <c r="X823" s="126"/>
      <c r="Y823" s="126"/>
      <c r="Z823" s="126"/>
      <c r="AA823" s="126"/>
      <c r="AB823" s="126"/>
      <c r="AC823" s="126"/>
      <c r="AD823" s="126"/>
      <c r="AE823" s="126"/>
      <c r="AF823" s="126"/>
      <c r="AG823" s="126"/>
      <c r="AH823" s="126"/>
      <c r="AI823" s="126"/>
      <c r="AJ823" s="126"/>
      <c r="AK823" s="126"/>
      <c r="AL823" s="126"/>
      <c r="AM823" s="141"/>
      <c r="AN823" s="141"/>
      <c r="AO823" s="141"/>
      <c r="AP823" s="141"/>
      <c r="AQ823" s="126"/>
      <c r="AR823" s="126"/>
      <c r="AS823" s="126"/>
      <c r="AT823" s="126"/>
      <c r="AU823" s="126"/>
      <c r="AV823" s="126"/>
      <c r="AW823" s="126"/>
      <c r="AX823" s="126"/>
      <c r="AY823" s="126"/>
      <c r="AZ823" s="126"/>
      <c r="BA823" s="126"/>
      <c r="BB823" s="126"/>
      <c r="BC823" s="126"/>
      <c r="BD823" s="126"/>
      <c r="BE823" s="126"/>
      <c r="BF823" s="126"/>
      <c r="BG823" s="161"/>
      <c r="BH823" s="3"/>
      <c r="BI823" s="126"/>
      <c r="BJ823" s="126"/>
    </row>
    <row r="824" spans="1:62" x14ac:dyDescent="0.25">
      <c r="A824" s="126" t="str">
        <f t="shared" si="639"/>
        <v/>
      </c>
      <c r="B824" s="578" t="str">
        <f t="shared" si="646"/>
        <v>6001</v>
      </c>
      <c r="C824" s="12" t="str">
        <f t="shared" si="654"/>
        <v>B00102</v>
      </c>
      <c r="D824" s="109" t="str">
        <f>D821</f>
        <v>PTA807C6500</v>
      </c>
      <c r="E824" s="92">
        <v>3</v>
      </c>
      <c r="F824" s="50">
        <v>1</v>
      </c>
      <c r="G824" s="50">
        <f t="shared" si="648"/>
        <v>3</v>
      </c>
      <c r="H824" s="50">
        <f t="shared" si="640"/>
        <v>10</v>
      </c>
      <c r="I824" s="50">
        <f t="shared" si="649"/>
        <v>600</v>
      </c>
      <c r="J824" s="50">
        <f t="shared" si="650"/>
        <v>600</v>
      </c>
      <c r="K824" s="50">
        <f t="shared" si="641"/>
        <v>0</v>
      </c>
      <c r="L824" s="50">
        <f t="shared" si="642"/>
        <v>0</v>
      </c>
      <c r="M824" s="162">
        <f t="shared" si="643"/>
        <v>42033.8</v>
      </c>
      <c r="N824" s="50">
        <f t="shared" si="644"/>
        <v>36648.879999999997</v>
      </c>
      <c r="O824" s="50">
        <f t="shared" si="645"/>
        <v>5</v>
      </c>
      <c r="P824" s="92">
        <f t="shared" si="651"/>
        <v>20180326</v>
      </c>
      <c r="Q824" s="92" t="str">
        <f t="shared" si="652"/>
        <v>9999</v>
      </c>
      <c r="R824" s="12" t="str">
        <f t="shared" si="653"/>
        <v>CZCE</v>
      </c>
      <c r="S824" s="126"/>
      <c r="T824" s="126"/>
      <c r="U824" s="38"/>
      <c r="V824" s="38"/>
      <c r="W824" s="126"/>
      <c r="X824" s="126"/>
      <c r="Y824" s="126"/>
      <c r="Z824" s="126"/>
      <c r="AA824" s="126"/>
      <c r="AB824" s="126"/>
      <c r="AC824" s="126"/>
      <c r="AD824" s="126"/>
      <c r="AE824" s="126"/>
      <c r="AF824" s="126"/>
      <c r="AG824" s="126"/>
      <c r="AH824" s="126"/>
      <c r="AI824" s="126"/>
      <c r="AJ824" s="126"/>
      <c r="AK824" s="126"/>
      <c r="AL824" s="126"/>
      <c r="AM824" s="141"/>
      <c r="AN824" s="141"/>
      <c r="AO824" s="141"/>
      <c r="AP824" s="141"/>
      <c r="AQ824" s="126"/>
      <c r="AR824" s="126"/>
      <c r="AS824" s="126"/>
      <c r="AT824" s="126"/>
      <c r="AU824" s="126"/>
      <c r="AV824" s="126"/>
      <c r="AW824" s="126"/>
      <c r="AX824" s="126"/>
      <c r="AY824" s="126"/>
      <c r="AZ824" s="126"/>
      <c r="BA824" s="126"/>
      <c r="BB824" s="126"/>
      <c r="BC824" s="126"/>
      <c r="BD824" s="126"/>
      <c r="BE824" s="126"/>
      <c r="BF824" s="126"/>
      <c r="BG824" s="161"/>
      <c r="BH824" s="3"/>
      <c r="BI824" s="126"/>
      <c r="BJ824" s="126"/>
    </row>
    <row r="825" spans="1:62" x14ac:dyDescent="0.25">
      <c r="A825" s="126" t="str">
        <f t="shared" si="639"/>
        <v/>
      </c>
      <c r="B825" s="578" t="str">
        <f t="shared" si="646"/>
        <v>6001</v>
      </c>
      <c r="C825" s="12" t="str">
        <f t="shared" si="654"/>
        <v>B00102</v>
      </c>
      <c r="D825" s="109" t="str">
        <f>C28</f>
        <v>PTA807P6200</v>
      </c>
      <c r="E825" s="92">
        <v>1</v>
      </c>
      <c r="F825" s="50">
        <v>0</v>
      </c>
      <c r="G825" s="50">
        <f t="shared" si="648"/>
        <v>2</v>
      </c>
      <c r="H825" s="50">
        <f t="shared" si="640"/>
        <v>1</v>
      </c>
      <c r="I825" s="50">
        <f t="shared" si="649"/>
        <v>605</v>
      </c>
      <c r="J825" s="50">
        <f t="shared" si="650"/>
        <v>605</v>
      </c>
      <c r="K825" s="50">
        <f t="shared" si="641"/>
        <v>0</v>
      </c>
      <c r="L825" s="50">
        <f t="shared" si="642"/>
        <v>0</v>
      </c>
      <c r="M825" s="162">
        <f t="shared" si="643"/>
        <v>0</v>
      </c>
      <c r="N825" s="50">
        <f t="shared" si="644"/>
        <v>0</v>
      </c>
      <c r="O825" s="50">
        <f t="shared" si="645"/>
        <v>5</v>
      </c>
      <c r="P825" s="92">
        <f t="shared" si="651"/>
        <v>20180326</v>
      </c>
      <c r="Q825" s="92" t="str">
        <f t="shared" si="652"/>
        <v>9999</v>
      </c>
      <c r="R825" s="12" t="str">
        <f t="shared" si="653"/>
        <v>CZCE</v>
      </c>
      <c r="S825" s="126"/>
      <c r="T825" s="126"/>
      <c r="U825" s="38"/>
      <c r="V825" s="38"/>
      <c r="W825" s="126"/>
      <c r="X825" s="126"/>
      <c r="Y825" s="126"/>
      <c r="Z825" s="126"/>
      <c r="AA825" s="126"/>
      <c r="AB825" s="126"/>
      <c r="AC825" s="126"/>
      <c r="AD825" s="126"/>
      <c r="AE825" s="126"/>
      <c r="AF825" s="126"/>
      <c r="AG825" s="126"/>
      <c r="AH825" s="126"/>
      <c r="AI825" s="126"/>
      <c r="AJ825" s="126"/>
      <c r="AK825" s="126"/>
      <c r="AL825" s="126"/>
      <c r="AM825" s="141"/>
      <c r="AN825" s="141"/>
      <c r="AO825" s="141"/>
      <c r="AP825" s="141"/>
      <c r="AQ825" s="126"/>
      <c r="AR825" s="126"/>
      <c r="AS825" s="126"/>
      <c r="AT825" s="126"/>
      <c r="AU825" s="126"/>
      <c r="AV825" s="126"/>
      <c r="AW825" s="126"/>
      <c r="AX825" s="126"/>
      <c r="AY825" s="126"/>
      <c r="AZ825" s="126"/>
      <c r="BA825" s="126"/>
      <c r="BB825" s="126"/>
      <c r="BC825" s="126"/>
      <c r="BD825" s="126"/>
      <c r="BE825" s="126"/>
      <c r="BF825" s="126"/>
      <c r="BG825" s="161"/>
      <c r="BH825" s="3"/>
      <c r="BI825" s="126"/>
      <c r="BJ825" s="126"/>
    </row>
    <row r="826" spans="1:62" x14ac:dyDescent="0.25">
      <c r="A826" s="126" t="str">
        <f t="shared" si="639"/>
        <v/>
      </c>
      <c r="B826" s="578" t="str">
        <f t="shared" si="646"/>
        <v>6001</v>
      </c>
      <c r="C826" s="12" t="str">
        <f t="shared" si="654"/>
        <v>B00102</v>
      </c>
      <c r="D826" s="109" t="str">
        <f>D825</f>
        <v>PTA807P6200</v>
      </c>
      <c r="E826" s="92">
        <v>1</v>
      </c>
      <c r="F826" s="50">
        <v>1</v>
      </c>
      <c r="G826" s="50">
        <f t="shared" si="648"/>
        <v>3</v>
      </c>
      <c r="H826" s="50">
        <f t="shared" si="640"/>
        <v>3</v>
      </c>
      <c r="I826" s="50">
        <f t="shared" si="649"/>
        <v>605</v>
      </c>
      <c r="J826" s="50">
        <f t="shared" si="650"/>
        <v>605</v>
      </c>
      <c r="K826" s="50">
        <f t="shared" si="641"/>
        <v>0</v>
      </c>
      <c r="L826" s="50">
        <f t="shared" si="642"/>
        <v>0</v>
      </c>
      <c r="M826" s="162">
        <f t="shared" si="643"/>
        <v>17641.5</v>
      </c>
      <c r="N826" s="50">
        <f t="shared" si="644"/>
        <v>15786</v>
      </c>
      <c r="O826" s="50">
        <f t="shared" si="645"/>
        <v>5</v>
      </c>
      <c r="P826" s="92">
        <f t="shared" si="651"/>
        <v>20180326</v>
      </c>
      <c r="Q826" s="92" t="str">
        <f t="shared" si="652"/>
        <v>9999</v>
      </c>
      <c r="R826" s="12" t="str">
        <f t="shared" si="653"/>
        <v>CZCE</v>
      </c>
      <c r="S826" s="126"/>
      <c r="T826" s="126"/>
      <c r="U826" s="38"/>
      <c r="V826" s="38"/>
      <c r="W826" s="126"/>
      <c r="X826" s="126"/>
      <c r="Y826" s="126"/>
      <c r="Z826" s="126"/>
      <c r="AA826" s="126"/>
      <c r="AB826" s="126"/>
      <c r="AC826" s="126"/>
      <c r="AD826" s="126"/>
      <c r="AE826" s="126"/>
      <c r="AF826" s="126"/>
      <c r="AG826" s="126"/>
      <c r="AH826" s="126"/>
      <c r="AI826" s="126"/>
      <c r="AJ826" s="126"/>
      <c r="AK826" s="126"/>
      <c r="AL826" s="126"/>
      <c r="AM826" s="141"/>
      <c r="AN826" s="141"/>
      <c r="AO826" s="141"/>
      <c r="AP826" s="141"/>
      <c r="AQ826" s="126"/>
      <c r="AR826" s="126"/>
      <c r="AS826" s="126"/>
      <c r="AT826" s="126"/>
      <c r="AU826" s="126"/>
      <c r="AV826" s="126"/>
      <c r="AW826" s="126"/>
      <c r="AX826" s="126"/>
      <c r="AY826" s="126"/>
      <c r="AZ826" s="126"/>
      <c r="BA826" s="126"/>
      <c r="BB826" s="126"/>
      <c r="BC826" s="126"/>
      <c r="BD826" s="126"/>
      <c r="BE826" s="126"/>
      <c r="BF826" s="126"/>
      <c r="BG826" s="161"/>
      <c r="BH826" s="3"/>
      <c r="BI826" s="126"/>
      <c r="BJ826" s="126"/>
    </row>
    <row r="827" spans="1:62" x14ac:dyDescent="0.25">
      <c r="A827" s="126" t="str">
        <f t="shared" si="639"/>
        <v>comment</v>
      </c>
      <c r="B827" s="578" t="str">
        <f t="shared" si="646"/>
        <v>6001</v>
      </c>
      <c r="C827" s="12" t="str">
        <f t="shared" si="654"/>
        <v>B00102</v>
      </c>
      <c r="D827" s="109" t="str">
        <f>D825</f>
        <v>PTA807P6200</v>
      </c>
      <c r="E827" s="92">
        <v>3</v>
      </c>
      <c r="F827" s="50">
        <v>0</v>
      </c>
      <c r="G827" s="50">
        <f t="shared" si="648"/>
        <v>2</v>
      </c>
      <c r="H827" s="50">
        <f t="shared" si="640"/>
        <v>0</v>
      </c>
      <c r="I827" s="50">
        <f t="shared" si="649"/>
        <v>605</v>
      </c>
      <c r="J827" s="50">
        <f t="shared" si="650"/>
        <v>605</v>
      </c>
      <c r="K827" s="50">
        <f t="shared" si="641"/>
        <v>0</v>
      </c>
      <c r="L827" s="50">
        <f t="shared" si="642"/>
        <v>0</v>
      </c>
      <c r="M827" s="162">
        <f t="shared" si="643"/>
        <v>0</v>
      </c>
      <c r="N827" s="50">
        <f t="shared" si="644"/>
        <v>0</v>
      </c>
      <c r="O827" s="50">
        <f t="shared" si="645"/>
        <v>5</v>
      </c>
      <c r="P827" s="92">
        <f t="shared" si="651"/>
        <v>20180326</v>
      </c>
      <c r="Q827" s="92" t="str">
        <f t="shared" si="652"/>
        <v>9999</v>
      </c>
      <c r="R827" s="12" t="str">
        <f t="shared" si="653"/>
        <v>CZCE</v>
      </c>
      <c r="S827" s="126"/>
      <c r="T827" s="126"/>
      <c r="U827" s="38"/>
      <c r="V827" s="38"/>
      <c r="W827" s="126"/>
      <c r="X827" s="126"/>
      <c r="Y827" s="126"/>
      <c r="Z827" s="126"/>
      <c r="AA827" s="126"/>
      <c r="AB827" s="126"/>
      <c r="AC827" s="126"/>
      <c r="AD827" s="126"/>
      <c r="AE827" s="126"/>
      <c r="AF827" s="126"/>
      <c r="AG827" s="126"/>
      <c r="AH827" s="126"/>
      <c r="AI827" s="126"/>
      <c r="AJ827" s="126"/>
      <c r="AK827" s="126"/>
      <c r="AL827" s="126"/>
      <c r="AM827" s="141"/>
      <c r="AN827" s="141"/>
      <c r="AO827" s="141"/>
      <c r="AP827" s="141"/>
      <c r="AQ827" s="126"/>
      <c r="AR827" s="126"/>
      <c r="AS827" s="126"/>
      <c r="AT827" s="126"/>
      <c r="AU827" s="126"/>
      <c r="AV827" s="126"/>
      <c r="AW827" s="126"/>
      <c r="AX827" s="126"/>
      <c r="AY827" s="126"/>
      <c r="AZ827" s="126"/>
      <c r="BA827" s="126"/>
      <c r="BB827" s="126"/>
      <c r="BC827" s="126"/>
      <c r="BD827" s="126"/>
      <c r="BE827" s="126"/>
      <c r="BF827" s="126"/>
      <c r="BG827" s="161"/>
      <c r="BH827" s="3"/>
      <c r="BI827" s="126"/>
      <c r="BJ827" s="126"/>
    </row>
    <row r="828" spans="1:62" x14ac:dyDescent="0.25">
      <c r="A828" s="126" t="str">
        <f t="shared" si="639"/>
        <v>comment</v>
      </c>
      <c r="B828" s="578" t="str">
        <f t="shared" si="646"/>
        <v>6001</v>
      </c>
      <c r="C828" s="12" t="str">
        <f t="shared" si="654"/>
        <v>B00102</v>
      </c>
      <c r="D828" s="109" t="str">
        <f>D825</f>
        <v>PTA807P6200</v>
      </c>
      <c r="E828" s="92">
        <v>3</v>
      </c>
      <c r="F828" s="50">
        <v>1</v>
      </c>
      <c r="G828" s="50">
        <f t="shared" si="648"/>
        <v>3</v>
      </c>
      <c r="H828" s="50">
        <f t="shared" si="640"/>
        <v>0</v>
      </c>
      <c r="I828" s="50">
        <f t="shared" si="649"/>
        <v>605</v>
      </c>
      <c r="J828" s="50">
        <f t="shared" si="650"/>
        <v>605</v>
      </c>
      <c r="K828" s="50">
        <f t="shared" si="641"/>
        <v>0</v>
      </c>
      <c r="L828" s="50">
        <f t="shared" si="642"/>
        <v>0</v>
      </c>
      <c r="M828" s="162">
        <f t="shared" si="643"/>
        <v>0</v>
      </c>
      <c r="N828" s="50">
        <f t="shared" si="644"/>
        <v>0</v>
      </c>
      <c r="O828" s="50">
        <f t="shared" si="645"/>
        <v>5</v>
      </c>
      <c r="P828" s="92">
        <f t="shared" si="651"/>
        <v>20180326</v>
      </c>
      <c r="Q828" s="92" t="str">
        <f t="shared" si="652"/>
        <v>9999</v>
      </c>
      <c r="R828" s="12" t="str">
        <f t="shared" si="653"/>
        <v>CZCE</v>
      </c>
      <c r="S828" s="126"/>
      <c r="T828" s="126"/>
      <c r="U828" s="38"/>
      <c r="V828" s="38"/>
      <c r="W828" s="126"/>
      <c r="X828" s="126"/>
      <c r="Y828" s="126"/>
      <c r="Z828" s="126"/>
      <c r="AA828" s="126"/>
      <c r="AB828" s="126"/>
      <c r="AC828" s="126"/>
      <c r="AD828" s="126"/>
      <c r="AE828" s="126"/>
      <c r="AF828" s="126"/>
      <c r="AG828" s="126"/>
      <c r="AH828" s="126"/>
      <c r="AI828" s="126"/>
      <c r="AJ828" s="126"/>
      <c r="AK828" s="126"/>
      <c r="AL828" s="126"/>
      <c r="AM828" s="141"/>
      <c r="AN828" s="141"/>
      <c r="AO828" s="141"/>
      <c r="AP828" s="141"/>
      <c r="AQ828" s="126"/>
      <c r="AR828" s="126"/>
      <c r="AS828" s="126"/>
      <c r="AT828" s="126"/>
      <c r="AU828" s="126"/>
      <c r="AV828" s="126"/>
      <c r="AW828" s="126"/>
      <c r="AX828" s="126"/>
      <c r="AY828" s="126"/>
      <c r="AZ828" s="126"/>
      <c r="BA828" s="126"/>
      <c r="BB828" s="126"/>
      <c r="BC828" s="126"/>
      <c r="BD828" s="126"/>
      <c r="BE828" s="126"/>
      <c r="BF828" s="126"/>
      <c r="BG828" s="161"/>
      <c r="BH828" s="3"/>
      <c r="BI828" s="126"/>
      <c r="BJ828" s="126"/>
    </row>
    <row r="829" spans="1:62" x14ac:dyDescent="0.25">
      <c r="A829" s="126" t="str">
        <f t="shared" si="639"/>
        <v/>
      </c>
      <c r="B829" s="578" t="str">
        <f t="shared" si="646"/>
        <v>6001</v>
      </c>
      <c r="C829" s="12" t="str">
        <f t="shared" si="654"/>
        <v>B00102</v>
      </c>
      <c r="D829" s="109" t="str">
        <f>C29</f>
        <v>PTA807P6500</v>
      </c>
      <c r="E829" s="92">
        <v>1</v>
      </c>
      <c r="F829" s="50">
        <v>0</v>
      </c>
      <c r="G829" s="50">
        <f t="shared" si="648"/>
        <v>2</v>
      </c>
      <c r="H829" s="50">
        <f t="shared" si="640"/>
        <v>1</v>
      </c>
      <c r="I829" s="50">
        <f t="shared" si="649"/>
        <v>610</v>
      </c>
      <c r="J829" s="50">
        <f t="shared" si="650"/>
        <v>610</v>
      </c>
      <c r="K829" s="50">
        <f t="shared" si="641"/>
        <v>0</v>
      </c>
      <c r="L829" s="50">
        <f t="shared" si="642"/>
        <v>0</v>
      </c>
      <c r="M829" s="162">
        <f t="shared" si="643"/>
        <v>0</v>
      </c>
      <c r="N829" s="50">
        <f t="shared" si="644"/>
        <v>0</v>
      </c>
      <c r="O829" s="50">
        <f t="shared" si="645"/>
        <v>5</v>
      </c>
      <c r="P829" s="92">
        <f t="shared" si="651"/>
        <v>20180326</v>
      </c>
      <c r="Q829" s="92" t="str">
        <f t="shared" si="652"/>
        <v>9999</v>
      </c>
      <c r="R829" s="12" t="str">
        <f t="shared" si="653"/>
        <v>CZCE</v>
      </c>
      <c r="S829" s="126"/>
      <c r="T829" s="126"/>
      <c r="U829" s="38"/>
      <c r="V829" s="38"/>
      <c r="W829" s="126"/>
      <c r="X829" s="126"/>
      <c r="Y829" s="126"/>
      <c r="Z829" s="126"/>
      <c r="AA829" s="126"/>
      <c r="AB829" s="126"/>
      <c r="AC829" s="126"/>
      <c r="AD829" s="126"/>
      <c r="AE829" s="126"/>
      <c r="AF829" s="126"/>
      <c r="AG829" s="126"/>
      <c r="AH829" s="126"/>
      <c r="AI829" s="126"/>
      <c r="AJ829" s="126"/>
      <c r="AK829" s="126"/>
      <c r="AL829" s="126"/>
      <c r="AM829" s="141"/>
      <c r="AN829" s="141"/>
      <c r="AO829" s="141"/>
      <c r="AP829" s="141"/>
      <c r="AQ829" s="126"/>
      <c r="AR829" s="126"/>
      <c r="AS829" s="126"/>
      <c r="AT829" s="126"/>
      <c r="AU829" s="126"/>
      <c r="AV829" s="126"/>
      <c r="AW829" s="126"/>
      <c r="AX829" s="126"/>
      <c r="AY829" s="126"/>
      <c r="AZ829" s="126"/>
      <c r="BA829" s="126"/>
      <c r="BB829" s="126"/>
      <c r="BC829" s="126"/>
      <c r="BD829" s="126"/>
      <c r="BE829" s="126"/>
      <c r="BF829" s="126"/>
      <c r="BG829" s="161"/>
      <c r="BH829" s="3"/>
      <c r="BI829" s="126"/>
      <c r="BJ829" s="126"/>
    </row>
    <row r="830" spans="1:62" x14ac:dyDescent="0.25">
      <c r="A830" s="126" t="str">
        <f t="shared" si="639"/>
        <v/>
      </c>
      <c r="B830" s="578" t="str">
        <f t="shared" si="646"/>
        <v>6001</v>
      </c>
      <c r="C830" s="12" t="str">
        <f t="shared" si="654"/>
        <v>B00102</v>
      </c>
      <c r="D830" s="109" t="str">
        <f>D829</f>
        <v>PTA807P6500</v>
      </c>
      <c r="E830" s="92">
        <v>1</v>
      </c>
      <c r="F830" s="50">
        <v>1</v>
      </c>
      <c r="G830" s="50">
        <f t="shared" si="648"/>
        <v>3</v>
      </c>
      <c r="H830" s="50">
        <f t="shared" si="640"/>
        <v>1</v>
      </c>
      <c r="I830" s="50">
        <f t="shared" si="649"/>
        <v>610</v>
      </c>
      <c r="J830" s="50">
        <f t="shared" si="650"/>
        <v>610</v>
      </c>
      <c r="K830" s="50">
        <f t="shared" si="641"/>
        <v>0</v>
      </c>
      <c r="L830" s="50">
        <f t="shared" si="642"/>
        <v>0</v>
      </c>
      <c r="M830" s="162">
        <f t="shared" si="643"/>
        <v>7905.5</v>
      </c>
      <c r="N830" s="50">
        <f t="shared" si="644"/>
        <v>7287</v>
      </c>
      <c r="O830" s="50">
        <f t="shared" si="645"/>
        <v>5</v>
      </c>
      <c r="P830" s="92">
        <f t="shared" si="651"/>
        <v>20180326</v>
      </c>
      <c r="Q830" s="92" t="str">
        <f t="shared" si="652"/>
        <v>9999</v>
      </c>
      <c r="R830" s="12" t="str">
        <f t="shared" si="653"/>
        <v>CZCE</v>
      </c>
      <c r="S830" s="126"/>
      <c r="T830" s="126"/>
      <c r="U830" s="38"/>
      <c r="V830" s="38"/>
      <c r="W830" s="126"/>
      <c r="X830" s="126"/>
      <c r="Y830" s="126"/>
      <c r="Z830" s="126"/>
      <c r="AA830" s="126"/>
      <c r="AB830" s="126"/>
      <c r="AC830" s="126"/>
      <c r="AD830" s="126"/>
      <c r="AE830" s="126"/>
      <c r="AF830" s="126"/>
      <c r="AG830" s="126"/>
      <c r="AH830" s="126"/>
      <c r="AI830" s="126"/>
      <c r="AJ830" s="126"/>
      <c r="AK830" s="126"/>
      <c r="AL830" s="126"/>
      <c r="AM830" s="141"/>
      <c r="AN830" s="141"/>
      <c r="AO830" s="141"/>
      <c r="AP830" s="141"/>
      <c r="AQ830" s="126"/>
      <c r="AR830" s="126"/>
      <c r="AS830" s="126"/>
      <c r="AT830" s="126"/>
      <c r="AU830" s="126"/>
      <c r="AV830" s="126"/>
      <c r="AW830" s="126"/>
      <c r="AX830" s="126"/>
      <c r="AY830" s="126"/>
      <c r="AZ830" s="126"/>
      <c r="BA830" s="126"/>
      <c r="BB830" s="126"/>
      <c r="BC830" s="126"/>
      <c r="BD830" s="126"/>
      <c r="BE830" s="126"/>
      <c r="BF830" s="126"/>
      <c r="BG830" s="161"/>
      <c r="BH830" s="3"/>
      <c r="BI830" s="126"/>
      <c r="BJ830" s="126"/>
    </row>
    <row r="831" spans="1:62" ht="15" customHeight="1" x14ac:dyDescent="0.25">
      <c r="A831" s="126" t="str">
        <f t="shared" si="639"/>
        <v/>
      </c>
      <c r="B831" s="578" t="str">
        <f t="shared" si="646"/>
        <v>6001</v>
      </c>
      <c r="C831" s="12" t="str">
        <f t="shared" si="647"/>
        <v>B00101</v>
      </c>
      <c r="D831" s="109" t="str">
        <f>G788</f>
        <v>SR807C6500</v>
      </c>
      <c r="E831" s="92">
        <v>1</v>
      </c>
      <c r="F831" s="50">
        <v>0</v>
      </c>
      <c r="G831" s="50">
        <f t="shared" si="648"/>
        <v>2</v>
      </c>
      <c r="H831" s="50">
        <f t="shared" si="640"/>
        <v>10</v>
      </c>
      <c r="I831" s="50">
        <f t="shared" si="649"/>
        <v>615</v>
      </c>
      <c r="J831" s="50">
        <f t="shared" si="650"/>
        <v>615</v>
      </c>
      <c r="K831" s="50">
        <f t="shared" si="641"/>
        <v>0</v>
      </c>
      <c r="L831" s="50">
        <f t="shared" si="642"/>
        <v>0</v>
      </c>
      <c r="M831" s="162">
        <f t="shared" si="643"/>
        <v>0</v>
      </c>
      <c r="N831" s="50">
        <f t="shared" si="644"/>
        <v>0</v>
      </c>
      <c r="O831" s="50">
        <f t="shared" si="645"/>
        <v>10</v>
      </c>
      <c r="P831" s="92">
        <f t="shared" si="651"/>
        <v>20180326</v>
      </c>
      <c r="Q831" s="92" t="str">
        <f t="shared" si="652"/>
        <v>9999</v>
      </c>
      <c r="R831" s="12" t="str">
        <f t="shared" si="653"/>
        <v>CZCE</v>
      </c>
      <c r="S831" s="126"/>
      <c r="T831" s="126"/>
      <c r="U831" s="38"/>
      <c r="V831" s="38"/>
      <c r="W831" s="126"/>
      <c r="X831" s="126"/>
      <c r="Y831" s="126"/>
      <c r="Z831" s="126"/>
      <c r="AA831" s="126"/>
      <c r="AB831" s="126"/>
      <c r="AC831" s="126"/>
      <c r="AD831" s="126"/>
      <c r="AE831" s="126"/>
      <c r="AF831" s="126"/>
      <c r="AG831" s="126"/>
      <c r="AH831" s="126"/>
      <c r="AI831" s="126"/>
      <c r="AJ831" s="126"/>
      <c r="AK831" s="126"/>
      <c r="AL831" s="126"/>
      <c r="AM831" s="141"/>
      <c r="AN831" s="141"/>
      <c r="AO831" s="141"/>
      <c r="AP831" s="141"/>
      <c r="AQ831" s="126"/>
      <c r="AR831" s="126"/>
      <c r="AS831" s="126"/>
      <c r="AT831" s="126"/>
      <c r="AU831" s="126"/>
      <c r="AV831" s="126"/>
      <c r="AW831" s="126"/>
      <c r="AX831" s="126"/>
      <c r="AY831" s="126"/>
      <c r="AZ831" s="126"/>
      <c r="BA831" s="126"/>
      <c r="BB831" s="126"/>
      <c r="BC831" s="126"/>
      <c r="BD831" s="126"/>
      <c r="BE831" s="126"/>
      <c r="BF831" s="126"/>
      <c r="BG831" s="161"/>
      <c r="BH831" s="3"/>
      <c r="BI831" s="126"/>
      <c r="BJ831" s="126"/>
    </row>
    <row r="832" spans="1:62" x14ac:dyDescent="0.25">
      <c r="A832" s="126" t="str">
        <f t="shared" si="639"/>
        <v/>
      </c>
      <c r="B832" s="578" t="str">
        <f t="shared" si="646"/>
        <v>6001</v>
      </c>
      <c r="C832" s="12" t="str">
        <f t="shared" si="647"/>
        <v>B00101</v>
      </c>
      <c r="D832" s="109" t="str">
        <f>D831</f>
        <v>SR807C6500</v>
      </c>
      <c r="E832" s="92">
        <v>1</v>
      </c>
      <c r="F832" s="50">
        <v>1</v>
      </c>
      <c r="G832" s="50">
        <f t="shared" si="648"/>
        <v>3</v>
      </c>
      <c r="H832" s="50">
        <f t="shared" si="640"/>
        <v>7</v>
      </c>
      <c r="I832" s="50">
        <f t="shared" si="649"/>
        <v>615</v>
      </c>
      <c r="J832" s="50">
        <f t="shared" si="650"/>
        <v>615</v>
      </c>
      <c r="K832" s="50">
        <f t="shared" si="641"/>
        <v>0</v>
      </c>
      <c r="L832" s="50">
        <f t="shared" si="642"/>
        <v>0</v>
      </c>
      <c r="M832" s="162">
        <f t="shared" si="643"/>
        <v>32876.839999999997</v>
      </c>
      <c r="N832" s="50">
        <f t="shared" si="644"/>
        <v>29651.200000000001</v>
      </c>
      <c r="O832" s="50">
        <f t="shared" si="645"/>
        <v>10</v>
      </c>
      <c r="P832" s="92">
        <f t="shared" si="651"/>
        <v>20180326</v>
      </c>
      <c r="Q832" s="92" t="str">
        <f t="shared" si="652"/>
        <v>9999</v>
      </c>
      <c r="R832" s="12" t="str">
        <f t="shared" si="653"/>
        <v>CZCE</v>
      </c>
      <c r="S832" s="126"/>
      <c r="T832" s="126"/>
      <c r="U832" s="38"/>
      <c r="V832" s="38"/>
      <c r="W832" s="126"/>
      <c r="X832" s="126"/>
      <c r="Y832" s="126"/>
      <c r="Z832" s="126"/>
      <c r="AA832" s="126"/>
      <c r="AB832" s="126"/>
      <c r="AC832" s="126"/>
      <c r="AD832" s="126"/>
      <c r="AE832" s="126"/>
      <c r="AF832" s="126"/>
      <c r="AG832" s="126"/>
      <c r="AH832" s="126"/>
      <c r="AI832" s="126"/>
      <c r="AJ832" s="126"/>
      <c r="AK832" s="126"/>
      <c r="AL832" s="126"/>
      <c r="AM832" s="141"/>
      <c r="AN832" s="141"/>
      <c r="AO832" s="141"/>
      <c r="AP832" s="141"/>
      <c r="AQ832" s="126"/>
      <c r="AR832" s="126"/>
      <c r="AS832" s="126"/>
      <c r="AT832" s="126"/>
      <c r="AU832" s="126"/>
      <c r="AV832" s="126"/>
      <c r="AW832" s="126"/>
      <c r="AX832" s="126"/>
      <c r="AY832" s="126"/>
      <c r="AZ832" s="126"/>
      <c r="BA832" s="126"/>
      <c r="BB832" s="126"/>
      <c r="BC832" s="126"/>
      <c r="BD832" s="126"/>
      <c r="BE832" s="126"/>
      <c r="BF832" s="126"/>
      <c r="BG832" s="161"/>
      <c r="BH832" s="3"/>
      <c r="BI832" s="126"/>
      <c r="BJ832" s="126"/>
    </row>
    <row r="833" spans="1:62" x14ac:dyDescent="0.25">
      <c r="A833" s="126" t="str">
        <f t="shared" si="639"/>
        <v/>
      </c>
      <c r="B833" s="578" t="str">
        <f t="shared" si="646"/>
        <v>6001</v>
      </c>
      <c r="C833" s="12" t="str">
        <f t="shared" si="647"/>
        <v>B00101</v>
      </c>
      <c r="D833" s="109" t="str">
        <f>D831</f>
        <v>SR807C6500</v>
      </c>
      <c r="E833" s="92">
        <v>3</v>
      </c>
      <c r="F833" s="50">
        <v>0</v>
      </c>
      <c r="G833" s="50">
        <f t="shared" si="648"/>
        <v>2</v>
      </c>
      <c r="H833" s="50">
        <f t="shared" si="640"/>
        <v>3</v>
      </c>
      <c r="I833" s="50">
        <f t="shared" si="649"/>
        <v>615</v>
      </c>
      <c r="J833" s="50">
        <f t="shared" si="650"/>
        <v>615</v>
      </c>
      <c r="K833" s="50">
        <f t="shared" si="641"/>
        <v>0</v>
      </c>
      <c r="L833" s="50">
        <f t="shared" si="642"/>
        <v>0</v>
      </c>
      <c r="M833" s="162">
        <f t="shared" si="643"/>
        <v>0</v>
      </c>
      <c r="N833" s="50">
        <f t="shared" si="644"/>
        <v>0</v>
      </c>
      <c r="O833" s="50">
        <f t="shared" si="645"/>
        <v>10</v>
      </c>
      <c r="P833" s="92">
        <f t="shared" si="651"/>
        <v>20180326</v>
      </c>
      <c r="Q833" s="92" t="str">
        <f t="shared" si="652"/>
        <v>9999</v>
      </c>
      <c r="R833" s="12" t="str">
        <f t="shared" si="653"/>
        <v>CZCE</v>
      </c>
      <c r="S833" s="126"/>
      <c r="T833" s="126"/>
      <c r="U833" s="38"/>
      <c r="V833" s="38"/>
      <c r="W833" s="126"/>
      <c r="X833" s="126"/>
      <c r="Y833" s="126"/>
      <c r="Z833" s="126"/>
      <c r="AA833" s="126"/>
      <c r="AB833" s="126"/>
      <c r="AC833" s="126"/>
      <c r="AD833" s="126"/>
      <c r="AE833" s="126"/>
      <c r="AF833" s="126"/>
      <c r="AG833" s="126"/>
      <c r="AH833" s="126"/>
      <c r="AI833" s="126"/>
      <c r="AJ833" s="126"/>
      <c r="AK833" s="126"/>
      <c r="AL833" s="126"/>
      <c r="AM833" s="141"/>
      <c r="AN833" s="141"/>
      <c r="AO833" s="141"/>
      <c r="AP833" s="141"/>
      <c r="AQ833" s="126"/>
      <c r="AR833" s="126"/>
      <c r="AS833" s="126"/>
      <c r="AT833" s="126"/>
      <c r="AU833" s="126"/>
      <c r="AV833" s="126"/>
      <c r="AW833" s="126"/>
      <c r="AX833" s="126"/>
      <c r="AY833" s="126"/>
      <c r="AZ833" s="126"/>
      <c r="BA833" s="126"/>
      <c r="BB833" s="126"/>
      <c r="BC833" s="126"/>
      <c r="BD833" s="126"/>
      <c r="BE833" s="126"/>
      <c r="BF833" s="126"/>
      <c r="BG833" s="161"/>
      <c r="BH833" s="3"/>
      <c r="BI833" s="126"/>
      <c r="BJ833" s="126"/>
    </row>
    <row r="834" spans="1:62" x14ac:dyDescent="0.25">
      <c r="A834" s="126" t="str">
        <f t="shared" si="639"/>
        <v/>
      </c>
      <c r="B834" s="578" t="str">
        <f t="shared" si="646"/>
        <v>6001</v>
      </c>
      <c r="C834" s="12" t="str">
        <f t="shared" si="647"/>
        <v>B00101</v>
      </c>
      <c r="D834" s="109" t="str">
        <f>D831</f>
        <v>SR807C6500</v>
      </c>
      <c r="E834" s="92">
        <v>3</v>
      </c>
      <c r="F834" s="50">
        <v>1</v>
      </c>
      <c r="G834" s="50">
        <f t="shared" si="648"/>
        <v>3</v>
      </c>
      <c r="H834" s="50">
        <f t="shared" si="640"/>
        <v>10</v>
      </c>
      <c r="I834" s="50">
        <f t="shared" si="649"/>
        <v>615</v>
      </c>
      <c r="J834" s="50">
        <f t="shared" si="650"/>
        <v>615</v>
      </c>
      <c r="K834" s="50">
        <f t="shared" si="641"/>
        <v>0</v>
      </c>
      <c r="L834" s="50">
        <f t="shared" si="642"/>
        <v>0</v>
      </c>
      <c r="M834" s="162">
        <f t="shared" si="643"/>
        <v>84654.3</v>
      </c>
      <c r="N834" s="50">
        <f t="shared" si="644"/>
        <v>74744</v>
      </c>
      <c r="O834" s="50">
        <f t="shared" si="645"/>
        <v>10</v>
      </c>
      <c r="P834" s="92">
        <f t="shared" si="651"/>
        <v>20180326</v>
      </c>
      <c r="Q834" s="92" t="str">
        <f t="shared" si="652"/>
        <v>9999</v>
      </c>
      <c r="R834" s="12" t="str">
        <f t="shared" si="653"/>
        <v>CZCE</v>
      </c>
      <c r="S834" s="126"/>
      <c r="T834" s="126"/>
      <c r="U834" s="38"/>
      <c r="V834" s="38"/>
      <c r="W834" s="126"/>
      <c r="X834" s="126"/>
      <c r="Y834" s="126"/>
      <c r="Z834" s="126"/>
      <c r="AA834" s="126"/>
      <c r="AB834" s="126"/>
      <c r="AC834" s="126"/>
      <c r="AD834" s="126"/>
      <c r="AE834" s="126"/>
      <c r="AF834" s="126"/>
      <c r="AG834" s="126"/>
      <c r="AH834" s="126"/>
      <c r="AI834" s="126"/>
      <c r="AJ834" s="126"/>
      <c r="AK834" s="126"/>
      <c r="AL834" s="126"/>
      <c r="AM834" s="141"/>
      <c r="AN834" s="141"/>
      <c r="AO834" s="141"/>
      <c r="AP834" s="141"/>
      <c r="AQ834" s="126"/>
      <c r="AR834" s="126"/>
      <c r="AS834" s="126"/>
      <c r="AT834" s="126"/>
      <c r="AU834" s="126"/>
      <c r="AV834" s="126"/>
      <c r="AW834" s="126"/>
      <c r="AX834" s="126"/>
      <c r="AY834" s="126"/>
      <c r="AZ834" s="126"/>
      <c r="BA834" s="126"/>
      <c r="BB834" s="126"/>
      <c r="BC834" s="126"/>
      <c r="BD834" s="126"/>
      <c r="BE834" s="126"/>
      <c r="BF834" s="126"/>
      <c r="BG834" s="161"/>
      <c r="BH834" s="3"/>
      <c r="BI834" s="126"/>
      <c r="BJ834" s="126"/>
    </row>
    <row r="835" spans="1:62" x14ac:dyDescent="0.25">
      <c r="A835" s="126" t="str">
        <f t="shared" si="639"/>
        <v/>
      </c>
      <c r="B835" s="578" t="str">
        <f t="shared" si="646"/>
        <v>6001</v>
      </c>
      <c r="C835" s="12" t="str">
        <f t="shared" si="647"/>
        <v>B00101</v>
      </c>
      <c r="D835" s="109" t="str">
        <f>G790</f>
        <v>SR807P6500</v>
      </c>
      <c r="E835" s="92">
        <v>1</v>
      </c>
      <c r="F835" s="50">
        <v>0</v>
      </c>
      <c r="G835" s="50">
        <f t="shared" si="648"/>
        <v>2</v>
      </c>
      <c r="H835" s="50">
        <f t="shared" si="640"/>
        <v>1</v>
      </c>
      <c r="I835" s="50">
        <f t="shared" si="649"/>
        <v>620</v>
      </c>
      <c r="J835" s="50">
        <f t="shared" si="650"/>
        <v>620</v>
      </c>
      <c r="K835" s="50">
        <f t="shared" si="641"/>
        <v>0</v>
      </c>
      <c r="L835" s="50">
        <f t="shared" si="642"/>
        <v>0</v>
      </c>
      <c r="M835" s="162">
        <f t="shared" si="643"/>
        <v>0</v>
      </c>
      <c r="N835" s="50">
        <f t="shared" si="644"/>
        <v>0</v>
      </c>
      <c r="O835" s="50">
        <f t="shared" si="645"/>
        <v>10</v>
      </c>
      <c r="P835" s="92">
        <f t="shared" si="651"/>
        <v>20180326</v>
      </c>
      <c r="Q835" s="92" t="str">
        <f t="shared" si="652"/>
        <v>9999</v>
      </c>
      <c r="R835" s="12" t="str">
        <f t="shared" si="653"/>
        <v>CZCE</v>
      </c>
      <c r="S835" s="126"/>
      <c r="T835" s="126"/>
      <c r="U835" s="38"/>
      <c r="V835" s="38"/>
      <c r="W835" s="126"/>
      <c r="X835" s="126"/>
      <c r="Y835" s="126"/>
      <c r="Z835" s="126"/>
      <c r="AA835" s="126"/>
      <c r="AB835" s="126"/>
      <c r="AC835" s="126"/>
      <c r="AD835" s="126"/>
      <c r="AE835" s="126"/>
      <c r="AF835" s="126"/>
      <c r="AG835" s="126"/>
      <c r="AH835" s="126"/>
      <c r="AI835" s="126"/>
      <c r="AJ835" s="126"/>
      <c r="AK835" s="126"/>
      <c r="AL835" s="126"/>
      <c r="AM835" s="141"/>
      <c r="AN835" s="141"/>
      <c r="AO835" s="141"/>
      <c r="AP835" s="141"/>
      <c r="AQ835" s="126"/>
      <c r="AR835" s="126"/>
      <c r="AS835" s="126"/>
      <c r="AT835" s="126"/>
      <c r="AU835" s="126"/>
      <c r="AV835" s="126"/>
      <c r="AW835" s="126"/>
      <c r="AX835" s="126"/>
      <c r="AY835" s="126"/>
      <c r="AZ835" s="126"/>
      <c r="BA835" s="126"/>
      <c r="BB835" s="126"/>
      <c r="BC835" s="126"/>
      <c r="BD835" s="126"/>
      <c r="BE835" s="126"/>
      <c r="BF835" s="126"/>
      <c r="BG835" s="161"/>
      <c r="BH835" s="3"/>
      <c r="BI835" s="126"/>
      <c r="BJ835" s="126"/>
    </row>
    <row r="836" spans="1:62" x14ac:dyDescent="0.25">
      <c r="A836" s="126" t="str">
        <f t="shared" si="639"/>
        <v/>
      </c>
      <c r="B836" s="578" t="str">
        <f t="shared" si="646"/>
        <v>6001</v>
      </c>
      <c r="C836" s="12" t="str">
        <f t="shared" si="647"/>
        <v>B00101</v>
      </c>
      <c r="D836" s="109" t="str">
        <f>D835</f>
        <v>SR807P6500</v>
      </c>
      <c r="E836" s="92">
        <v>1</v>
      </c>
      <c r="F836" s="50">
        <v>1</v>
      </c>
      <c r="G836" s="50">
        <f t="shared" si="648"/>
        <v>3</v>
      </c>
      <c r="H836" s="50">
        <f t="shared" si="640"/>
        <v>5</v>
      </c>
      <c r="I836" s="50">
        <f t="shared" si="649"/>
        <v>620</v>
      </c>
      <c r="J836" s="50">
        <f t="shared" si="650"/>
        <v>620</v>
      </c>
      <c r="K836" s="50">
        <f t="shared" si="641"/>
        <v>0</v>
      </c>
      <c r="L836" s="50">
        <f t="shared" si="642"/>
        <v>0</v>
      </c>
      <c r="M836" s="162">
        <f t="shared" si="643"/>
        <v>45734</v>
      </c>
      <c r="N836" s="50">
        <f t="shared" si="644"/>
        <v>40806</v>
      </c>
      <c r="O836" s="50">
        <f t="shared" si="645"/>
        <v>10</v>
      </c>
      <c r="P836" s="92">
        <f t="shared" si="651"/>
        <v>20180326</v>
      </c>
      <c r="Q836" s="92" t="str">
        <f t="shared" si="652"/>
        <v>9999</v>
      </c>
      <c r="R836" s="12" t="str">
        <f t="shared" si="653"/>
        <v>CZCE</v>
      </c>
      <c r="S836" s="126"/>
      <c r="T836" s="126"/>
      <c r="U836" s="38"/>
      <c r="V836" s="38"/>
      <c r="W836" s="126"/>
      <c r="X836" s="126"/>
      <c r="Y836" s="126"/>
      <c r="Z836" s="126"/>
      <c r="AA836" s="126"/>
      <c r="AB836" s="126"/>
      <c r="AC836" s="126"/>
      <c r="AD836" s="126"/>
      <c r="AE836" s="126"/>
      <c r="AF836" s="126"/>
      <c r="AG836" s="126"/>
      <c r="AH836" s="126"/>
      <c r="AI836" s="126"/>
      <c r="AJ836" s="126"/>
      <c r="AK836" s="126"/>
      <c r="AL836" s="126"/>
      <c r="AM836" s="141"/>
      <c r="AN836" s="141"/>
      <c r="AO836" s="141"/>
      <c r="AP836" s="141"/>
      <c r="AQ836" s="126"/>
      <c r="AR836" s="126"/>
      <c r="AS836" s="126"/>
      <c r="AT836" s="126"/>
      <c r="AU836" s="126"/>
      <c r="AV836" s="126"/>
      <c r="AW836" s="126"/>
      <c r="AX836" s="126"/>
      <c r="AY836" s="126"/>
      <c r="AZ836" s="126"/>
      <c r="BA836" s="126"/>
      <c r="BB836" s="126"/>
      <c r="BC836" s="126"/>
      <c r="BD836" s="126"/>
      <c r="BE836" s="126"/>
      <c r="BF836" s="126"/>
      <c r="BG836" s="161"/>
      <c r="BH836" s="3"/>
      <c r="BI836" s="126"/>
      <c r="BJ836" s="126"/>
    </row>
    <row r="837" spans="1:62" x14ac:dyDescent="0.25">
      <c r="A837" s="126" t="str">
        <f t="shared" si="639"/>
        <v/>
      </c>
      <c r="B837" s="578" t="str">
        <f t="shared" si="646"/>
        <v>6001</v>
      </c>
      <c r="C837" s="12" t="str">
        <f t="shared" si="647"/>
        <v>B00101</v>
      </c>
      <c r="D837" s="109" t="str">
        <f>D835</f>
        <v>SR807P6500</v>
      </c>
      <c r="E837" s="92">
        <v>3</v>
      </c>
      <c r="F837" s="50">
        <v>0</v>
      </c>
      <c r="G837" s="50">
        <f t="shared" si="648"/>
        <v>2</v>
      </c>
      <c r="H837" s="50">
        <f t="shared" si="640"/>
        <v>2</v>
      </c>
      <c r="I837" s="50">
        <f t="shared" si="649"/>
        <v>620</v>
      </c>
      <c r="J837" s="50">
        <f t="shared" si="650"/>
        <v>620</v>
      </c>
      <c r="K837" s="50">
        <f t="shared" si="641"/>
        <v>0</v>
      </c>
      <c r="L837" s="50">
        <f t="shared" si="642"/>
        <v>0</v>
      </c>
      <c r="M837" s="162">
        <f t="shared" si="643"/>
        <v>0</v>
      </c>
      <c r="N837" s="50">
        <f t="shared" si="644"/>
        <v>0</v>
      </c>
      <c r="O837" s="50">
        <f t="shared" si="645"/>
        <v>10</v>
      </c>
      <c r="P837" s="92">
        <f t="shared" si="651"/>
        <v>20180326</v>
      </c>
      <c r="Q837" s="92" t="str">
        <f t="shared" si="652"/>
        <v>9999</v>
      </c>
      <c r="R837" s="12" t="str">
        <f t="shared" si="653"/>
        <v>CZCE</v>
      </c>
      <c r="S837" s="126"/>
      <c r="T837" s="126"/>
      <c r="U837" s="38"/>
      <c r="V837" s="38"/>
      <c r="W837" s="126"/>
      <c r="X837" s="126"/>
      <c r="Y837" s="126"/>
      <c r="Z837" s="126"/>
      <c r="AA837" s="126"/>
      <c r="AB837" s="126"/>
      <c r="AC837" s="126"/>
      <c r="AD837" s="126"/>
      <c r="AE837" s="126"/>
      <c r="AF837" s="126"/>
      <c r="AG837" s="126"/>
      <c r="AH837" s="126"/>
      <c r="AI837" s="126"/>
      <c r="AJ837" s="126"/>
      <c r="AK837" s="126"/>
      <c r="AL837" s="126"/>
      <c r="AM837" s="141"/>
      <c r="AN837" s="141"/>
      <c r="AO837" s="141"/>
      <c r="AP837" s="141"/>
      <c r="AQ837" s="126"/>
      <c r="AR837" s="126"/>
      <c r="AS837" s="126"/>
      <c r="AT837" s="126"/>
      <c r="AU837" s="126"/>
      <c r="AV837" s="126"/>
      <c r="AW837" s="126"/>
      <c r="AX837" s="126"/>
      <c r="AY837" s="126"/>
      <c r="AZ837" s="126"/>
      <c r="BA837" s="126"/>
      <c r="BB837" s="126"/>
      <c r="BC837" s="126"/>
      <c r="BD837" s="126"/>
      <c r="BE837" s="126"/>
      <c r="BF837" s="126"/>
      <c r="BG837" s="161"/>
      <c r="BH837" s="3"/>
      <c r="BI837" s="126"/>
      <c r="BJ837" s="126"/>
    </row>
    <row r="838" spans="1:62" x14ac:dyDescent="0.25">
      <c r="A838" s="126" t="str">
        <f t="shared" si="639"/>
        <v/>
      </c>
      <c r="B838" s="578" t="str">
        <f t="shared" si="646"/>
        <v>6001</v>
      </c>
      <c r="C838" s="12" t="str">
        <f t="shared" si="647"/>
        <v>B00101</v>
      </c>
      <c r="D838" s="109" t="str">
        <f>D835</f>
        <v>SR807P6500</v>
      </c>
      <c r="E838" s="92">
        <v>3</v>
      </c>
      <c r="F838" s="50">
        <v>1</v>
      </c>
      <c r="G838" s="50">
        <f t="shared" si="648"/>
        <v>3</v>
      </c>
      <c r="H838" s="50">
        <f t="shared" si="640"/>
        <v>3</v>
      </c>
      <c r="I838" s="50">
        <f t="shared" si="649"/>
        <v>620</v>
      </c>
      <c r="J838" s="50">
        <f t="shared" si="650"/>
        <v>620</v>
      </c>
      <c r="K838" s="50">
        <f t="shared" si="641"/>
        <v>0</v>
      </c>
      <c r="L838" s="50">
        <f t="shared" si="642"/>
        <v>0</v>
      </c>
      <c r="M838" s="162">
        <f t="shared" si="643"/>
        <v>30426.959999999999</v>
      </c>
      <c r="N838" s="50">
        <f t="shared" si="644"/>
        <v>26361.599999999999</v>
      </c>
      <c r="O838" s="50">
        <f t="shared" si="645"/>
        <v>10</v>
      </c>
      <c r="P838" s="92">
        <f t="shared" si="651"/>
        <v>20180326</v>
      </c>
      <c r="Q838" s="92" t="str">
        <f t="shared" si="652"/>
        <v>9999</v>
      </c>
      <c r="R838" s="12" t="str">
        <f t="shared" si="653"/>
        <v>CZCE</v>
      </c>
      <c r="S838" s="126"/>
      <c r="T838" s="126"/>
      <c r="U838" s="38"/>
      <c r="V838" s="38"/>
      <c r="W838" s="126"/>
      <c r="X838" s="126"/>
      <c r="Y838" s="126"/>
      <c r="Z838" s="126"/>
      <c r="AA838" s="126"/>
      <c r="AB838" s="126"/>
      <c r="AC838" s="126"/>
      <c r="AD838" s="126"/>
      <c r="AE838" s="126"/>
      <c r="AF838" s="126"/>
      <c r="AG838" s="126"/>
      <c r="AH838" s="126"/>
      <c r="AI838" s="126"/>
      <c r="AJ838" s="126"/>
      <c r="AK838" s="126"/>
      <c r="AL838" s="126"/>
      <c r="AM838" s="141"/>
      <c r="AN838" s="141"/>
      <c r="AO838" s="141"/>
      <c r="AP838" s="141"/>
      <c r="AQ838" s="126"/>
      <c r="AR838" s="126"/>
      <c r="AS838" s="126"/>
      <c r="AT838" s="126"/>
      <c r="AU838" s="126"/>
      <c r="AV838" s="126"/>
      <c r="AW838" s="126"/>
      <c r="AX838" s="126"/>
      <c r="AY838" s="126"/>
      <c r="AZ838" s="126"/>
      <c r="BA838" s="126"/>
      <c r="BB838" s="126"/>
      <c r="BC838" s="126"/>
      <c r="BD838" s="126"/>
      <c r="BE838" s="126"/>
      <c r="BF838" s="126"/>
      <c r="BG838" s="161"/>
      <c r="BH838" s="3"/>
      <c r="BI838" s="126"/>
      <c r="BJ838" s="126"/>
    </row>
    <row r="839" spans="1:62" s="528" customFormat="1" x14ac:dyDescent="0.25">
      <c r="A839" s="546" t="str">
        <f t="shared" si="639"/>
        <v/>
      </c>
      <c r="B839" s="607" t="str">
        <f t="shared" si="646"/>
        <v>6001</v>
      </c>
      <c r="C839" s="529" t="str">
        <f t="shared" si="647"/>
        <v>B00101</v>
      </c>
      <c r="D839" s="542" t="str">
        <f>C33</f>
        <v>SR809C6600</v>
      </c>
      <c r="E839" s="543">
        <v>1</v>
      </c>
      <c r="F839" s="529">
        <v>1</v>
      </c>
      <c r="G839" s="529">
        <f t="shared" si="648"/>
        <v>3</v>
      </c>
      <c r="H839" s="529">
        <f t="shared" si="640"/>
        <v>4</v>
      </c>
      <c r="I839" s="50">
        <f t="shared" si="649"/>
        <v>630</v>
      </c>
      <c r="J839" s="50">
        <f t="shared" si="650"/>
        <v>645</v>
      </c>
      <c r="K839" s="544">
        <f t="shared" ref="K839" si="655">IF(F839=0,SUMPRODUCT(($C$772:$C$794=C839)*($G$772:$G$794=D839)*($H$772:$H$794=E839)*($AO$772:$AO$794)),SUMPRODUCT(($C$772:$C$794=C839)*($G$772:$G$794=D839)*($H$772:$H$794=E839)*($AP$772:$AP$794)))</f>
        <v>0</v>
      </c>
      <c r="L839" s="544">
        <f t="shared" ref="L839" si="656">IF(F839=0,SUMPRODUCT(($C$772:$C$794=C839)*($G$772:$G$794=D839)*($H$772:$H$794=E839)*($AQ$772:$AQ$794)),SUMPRODUCT(($C$772:$C$794=C839)*($G$772:$G$794=D839)*($H$772:$H$794=E839)*($AR$772:$AR$794)))</f>
        <v>0</v>
      </c>
      <c r="M839" s="545">
        <f t="shared" ref="M839" si="657">IF(F839=0,SUMPRODUCT(($C$772:$C$794=C839)*($G$772:$G$794=D839)*($H$772:$H$794=E839)*($L$772:$L$794)),SUMPRODUCT(($C$772:$C$794=C839)*($G$772:$G$794=D839)*($H$772:$H$794=E839)*($M$772:$M$794)))</f>
        <v>16722.310000000001</v>
      </c>
      <c r="N839" s="544">
        <f t="shared" ref="N839" si="658">IF(F839=0,SUMPRODUCT(($C$772:$C$794=C839)*($G$772:$G$794=D839)*($H$772:$H$794=E839)*($N$772:$N$794)),SUMPRODUCT(($C$772:$C$794=C839)*($G$772:$G$794=D839)*($H$772:$H$794=E839)*($O$772:$O$794)))</f>
        <v>15427.65</v>
      </c>
      <c r="O839" s="544">
        <f t="shared" ref="O839" si="659" xml:space="preserve"> VLOOKUP(D839,$C$22:$L$34,3,FALSE)</f>
        <v>10</v>
      </c>
      <c r="P839" s="261">
        <f t="shared" si="651"/>
        <v>20180326</v>
      </c>
      <c r="Q839" s="261" t="str">
        <f t="shared" si="652"/>
        <v>9999</v>
      </c>
      <c r="R839" s="527" t="str">
        <f t="shared" si="653"/>
        <v>CZCE</v>
      </c>
      <c r="S839" s="546"/>
      <c r="T839" s="546"/>
      <c r="U839" s="547"/>
      <c r="V839" s="547"/>
      <c r="W839" s="546"/>
      <c r="X839" s="546"/>
      <c r="Y839" s="546"/>
      <c r="Z839" s="546"/>
      <c r="AA839" s="546"/>
      <c r="AB839" s="546"/>
      <c r="AC839" s="546"/>
      <c r="AD839" s="546"/>
      <c r="AE839" s="546"/>
      <c r="AF839" s="546"/>
      <c r="AG839" s="546"/>
      <c r="AH839" s="546"/>
      <c r="AI839" s="546"/>
      <c r="AJ839" s="546"/>
      <c r="AK839" s="546"/>
      <c r="AL839" s="546"/>
      <c r="AM839" s="548"/>
      <c r="AN839" s="548"/>
      <c r="AO839" s="548"/>
      <c r="AP839" s="548"/>
      <c r="AQ839" s="546"/>
      <c r="AR839" s="546"/>
      <c r="AS839" s="546"/>
      <c r="AT839" s="546"/>
      <c r="AU839" s="546"/>
      <c r="AV839" s="546"/>
      <c r="AW839" s="546"/>
      <c r="AX839" s="546"/>
      <c r="AY839" s="546"/>
      <c r="AZ839" s="546"/>
      <c r="BA839" s="546"/>
      <c r="BB839" s="546"/>
      <c r="BC839" s="546"/>
      <c r="BD839" s="546"/>
      <c r="BE839" s="546"/>
      <c r="BF839" s="546"/>
      <c r="BG839" s="549"/>
      <c r="BH839" s="548"/>
      <c r="BI839" s="546"/>
      <c r="BJ839" s="546"/>
    </row>
    <row r="840" spans="1:62" x14ac:dyDescent="0.25">
      <c r="A840" s="126" t="str">
        <f t="shared" si="639"/>
        <v/>
      </c>
      <c r="B840" s="578" t="str">
        <f t="shared" si="646"/>
        <v>6001</v>
      </c>
      <c r="C840" s="12" t="str">
        <f t="shared" si="647"/>
        <v>B00101</v>
      </c>
      <c r="D840" s="109" t="str">
        <f>G793</f>
        <v>SR807P6400</v>
      </c>
      <c r="E840" s="92">
        <v>1</v>
      </c>
      <c r="F840" s="50">
        <v>0</v>
      </c>
      <c r="G840" s="50">
        <f t="shared" si="648"/>
        <v>2</v>
      </c>
      <c r="H840" s="50">
        <f t="shared" si="640"/>
        <v>2</v>
      </c>
      <c r="I840" s="50">
        <f t="shared" si="649"/>
        <v>625</v>
      </c>
      <c r="J840" s="50">
        <f t="shared" si="650"/>
        <v>625</v>
      </c>
      <c r="K840" s="50">
        <f>IF(F840=0,SUMPRODUCT(($C$772:$C$794=C840)*($G$772:$G$794=D840)*($H$772:$H$794=E840)*($AO$772:$AO$794)),SUMPRODUCT(($C$772:$C$794=C840)*($G$772:$G$794=D840)*($H$772:$H$794=E840)*($AP$772:$AP$794)))</f>
        <v>0</v>
      </c>
      <c r="L840" s="50">
        <f>IF(F840=0,SUMPRODUCT(($C$772:$C$794=C840)*($G$772:$G$794=D840)*($H$772:$H$794=E840)*($AQ$772:$AQ$794)),SUMPRODUCT(($C$772:$C$794=C840)*($G$772:$G$794=D840)*($H$772:$H$794=E840)*($AR$772:$AR$794)))</f>
        <v>0</v>
      </c>
      <c r="M840" s="162">
        <f>IF(F840=0,SUMPRODUCT(($C$772:$C$794=C840)*($G$772:$G$794=D840)*($H$772:$H$794=E840)*($L$772:$L$794)),SUMPRODUCT(($C$772:$C$794=C840)*($G$772:$G$794=D840)*($H$772:$H$794=E840)*($M$772:$M$794)))</f>
        <v>0</v>
      </c>
      <c r="N840" s="50">
        <f>IF(F840=0,SUMPRODUCT(($C$772:$C$794=C840)*($G$772:$G$794=D840)*($H$772:$H$794=E840)*($N$772:$N$794)),SUMPRODUCT(($C$772:$C$794=C840)*($G$772:$G$794=D840)*($H$772:$H$794=E840)*($O$772:$O$794)))</f>
        <v>0</v>
      </c>
      <c r="O840" s="50">
        <f t="shared" si="645"/>
        <v>10</v>
      </c>
      <c r="P840" s="92">
        <f t="shared" si="651"/>
        <v>20180326</v>
      </c>
      <c r="Q840" s="92" t="str">
        <f t="shared" si="652"/>
        <v>9999</v>
      </c>
      <c r="R840" s="12" t="str">
        <f t="shared" si="653"/>
        <v>CZCE</v>
      </c>
      <c r="S840" s="126"/>
      <c r="T840" s="126"/>
      <c r="U840" s="38"/>
      <c r="V840" s="38"/>
      <c r="W840" s="126"/>
      <c r="X840" s="126"/>
      <c r="Y840" s="126"/>
      <c r="Z840" s="126"/>
      <c r="AA840" s="126"/>
      <c r="AB840" s="126"/>
      <c r="AC840" s="126"/>
      <c r="AD840" s="126"/>
      <c r="AE840" s="126"/>
      <c r="AF840" s="126"/>
      <c r="AG840" s="126"/>
      <c r="AH840" s="126"/>
      <c r="AI840" s="126"/>
      <c r="AJ840" s="126"/>
      <c r="AK840" s="126"/>
      <c r="AL840" s="126"/>
      <c r="AM840" s="141"/>
      <c r="AN840" s="141"/>
      <c r="AO840" s="141"/>
      <c r="AP840" s="141"/>
      <c r="AQ840" s="126"/>
      <c r="AR840" s="126"/>
      <c r="AS840" s="126"/>
      <c r="AT840" s="126"/>
      <c r="AU840" s="126"/>
      <c r="AV840" s="126"/>
      <c r="AW840" s="126"/>
      <c r="AX840" s="126"/>
      <c r="AY840" s="126"/>
      <c r="AZ840" s="126"/>
      <c r="BA840" s="126"/>
      <c r="BB840" s="126"/>
      <c r="BC840" s="126"/>
      <c r="BD840" s="126"/>
      <c r="BE840" s="126"/>
      <c r="BF840" s="126"/>
      <c r="BG840" s="161"/>
      <c r="BH840" s="3"/>
      <c r="BI840" s="126"/>
      <c r="BJ840" s="126"/>
    </row>
    <row r="841" spans="1:62" x14ac:dyDescent="0.25">
      <c r="A841" s="126" t="str">
        <f t="shared" si="639"/>
        <v/>
      </c>
      <c r="B841" s="578" t="str">
        <f t="shared" si="646"/>
        <v>6001</v>
      </c>
      <c r="C841" s="12" t="str">
        <f t="shared" si="647"/>
        <v>B00101</v>
      </c>
      <c r="D841" s="109" t="str">
        <f>D840</f>
        <v>SR807P6400</v>
      </c>
      <c r="E841" s="92">
        <v>1</v>
      </c>
      <c r="F841" s="50">
        <v>1</v>
      </c>
      <c r="G841" s="50">
        <f t="shared" si="648"/>
        <v>3</v>
      </c>
      <c r="H841" s="50">
        <f t="shared" si="640"/>
        <v>1</v>
      </c>
      <c r="I841" s="50">
        <f t="shared" si="649"/>
        <v>625</v>
      </c>
      <c r="J841" s="50">
        <f t="shared" si="650"/>
        <v>625</v>
      </c>
      <c r="K841" s="50">
        <f>IF(F841=0,SUMPRODUCT(($C$772:$C$794=C841)*($G$772:$G$794=D841)*($H$772:$H$794=E841)*($AO$772:$AO$794)),SUMPRODUCT(($C$772:$C$794=C841)*($G$772:$G$794=D841)*($H$772:$H$794=E841)*($AP$772:$AP$794)))</f>
        <v>0</v>
      </c>
      <c r="L841" s="50">
        <f>IF(F841=0,SUMPRODUCT(($C$772:$C$794=C841)*($G$772:$G$794=D841)*($H$772:$H$794=E841)*($AQ$772:$AQ$794)),SUMPRODUCT(($C$772:$C$794=C841)*($G$772:$G$794=D841)*($H$772:$H$794=E841)*($AR$772:$AR$794)))</f>
        <v>0</v>
      </c>
      <c r="M841" s="162">
        <f>IF(F841=0,SUMPRODUCT(($C$772:$C$794=C841)*($G$772:$G$794=D841)*($H$772:$H$794=E841)*($L$772:$L$794)),SUMPRODUCT(($C$772:$C$794=C841)*($G$772:$G$794=D841)*($H$772:$H$794=E841)*($M$772:$M$794)))</f>
        <v>16096</v>
      </c>
      <c r="N841" s="50">
        <f>IF(F841=0,SUMPRODUCT(($C$772:$C$794=C841)*($G$772:$G$794=D841)*($H$772:$H$794=E841)*($N$772:$N$794)),SUMPRODUCT(($C$772:$C$794=C841)*($G$772:$G$794=D841)*($H$772:$H$794=E841)*($O$772:$O$794)))</f>
        <v>14864</v>
      </c>
      <c r="O841" s="50">
        <f t="shared" si="645"/>
        <v>10</v>
      </c>
      <c r="P841" s="92">
        <f t="shared" si="651"/>
        <v>20180326</v>
      </c>
      <c r="Q841" s="92" t="str">
        <f t="shared" si="652"/>
        <v>9999</v>
      </c>
      <c r="R841" s="12" t="str">
        <f t="shared" si="653"/>
        <v>CZCE</v>
      </c>
      <c r="S841" s="126"/>
      <c r="T841" s="126"/>
      <c r="U841" s="38"/>
      <c r="V841" s="38"/>
      <c r="W841" s="126"/>
      <c r="X841" s="126"/>
      <c r="Y841" s="126"/>
      <c r="Z841" s="126"/>
      <c r="AA841" s="126"/>
      <c r="AB841" s="126"/>
      <c r="AC841" s="126"/>
      <c r="AD841" s="126"/>
      <c r="AE841" s="126"/>
      <c r="AF841" s="126"/>
      <c r="AG841" s="126"/>
      <c r="AH841" s="126"/>
      <c r="AI841" s="126"/>
      <c r="AJ841" s="126"/>
      <c r="AK841" s="126"/>
      <c r="AL841" s="126"/>
      <c r="AM841" s="141"/>
      <c r="AN841" s="141"/>
      <c r="AO841" s="141"/>
      <c r="AP841" s="141"/>
      <c r="AQ841" s="126"/>
      <c r="AR841" s="126"/>
      <c r="AS841" s="126"/>
      <c r="AT841" s="126"/>
      <c r="AU841" s="126"/>
      <c r="AV841" s="126"/>
      <c r="AW841" s="126"/>
      <c r="AX841" s="126"/>
      <c r="AY841" s="126"/>
      <c r="AZ841" s="126"/>
      <c r="BA841" s="126"/>
      <c r="BB841" s="126"/>
      <c r="BC841" s="126"/>
      <c r="BD841" s="126"/>
      <c r="BE841" s="126"/>
      <c r="BF841" s="126"/>
      <c r="BG841" s="161"/>
      <c r="BH841" s="3"/>
      <c r="BI841" s="126"/>
      <c r="BJ841" s="126"/>
    </row>
    <row r="842" spans="1:62" x14ac:dyDescent="0.25">
      <c r="A842" s="126" t="str">
        <f t="shared" si="639"/>
        <v>comment</v>
      </c>
      <c r="B842" s="578" t="str">
        <f t="shared" si="646"/>
        <v>6001</v>
      </c>
      <c r="C842" s="12" t="str">
        <f t="shared" si="647"/>
        <v>B00101</v>
      </c>
      <c r="D842" s="109" t="str">
        <f>D840</f>
        <v>SR807P6400</v>
      </c>
      <c r="E842" s="92">
        <v>3</v>
      </c>
      <c r="F842" s="50">
        <v>0</v>
      </c>
      <c r="G842" s="50">
        <f t="shared" si="648"/>
        <v>2</v>
      </c>
      <c r="H842" s="50">
        <f t="shared" si="640"/>
        <v>0</v>
      </c>
      <c r="I842" s="50">
        <f t="shared" si="649"/>
        <v>625</v>
      </c>
      <c r="J842" s="50">
        <f t="shared" si="650"/>
        <v>625</v>
      </c>
      <c r="K842" s="50">
        <f>IF(F842=0,SUMPRODUCT(($C$772:$C$794=C842)*($G$772:$G$794=D842)*($H$772:$H$794=E842)*($AO$772:$AO$794)),SUMPRODUCT(($C$772:$C$794=C842)*($G$772:$G$794=D842)*($H$772:$H$794=E842)*($AP$772:$AP$794)))</f>
        <v>0</v>
      </c>
      <c r="L842" s="50">
        <f>IF(F842=0,SUMPRODUCT(($C$772:$C$794=C842)*($G$772:$G$794=D842)*($H$772:$H$794=E842)*($AQ$772:$AQ$794)),SUMPRODUCT(($C$772:$C$794=C842)*($G$772:$G$794=D842)*($H$772:$H$794=E842)*($AR$772:$AR$794)))</f>
        <v>0</v>
      </c>
      <c r="M842" s="162">
        <f>IF(F842=0,SUMPRODUCT(($C$772:$C$794=C842)*($G$772:$G$794=D842)*($H$772:$H$794=E842)*($L$772:$L$794)),SUMPRODUCT(($C$772:$C$794=C842)*($G$772:$G$794=D842)*($H$772:$H$794=E842)*($M$772:$M$794)))</f>
        <v>0</v>
      </c>
      <c r="N842" s="50">
        <f>IF(F842=0,SUMPRODUCT(($C$772:$C$794=C842)*($G$772:$G$794=D842)*($H$772:$H$794=E842)*($N$772:$N$794)),SUMPRODUCT(($C$772:$C$794=C842)*($G$772:$G$794=D842)*($H$772:$H$794=E842)*($O$772:$O$794)))</f>
        <v>0</v>
      </c>
      <c r="O842" s="50">
        <f t="shared" si="645"/>
        <v>10</v>
      </c>
      <c r="P842" s="92">
        <f t="shared" si="651"/>
        <v>20180326</v>
      </c>
      <c r="Q842" s="92" t="str">
        <f t="shared" si="652"/>
        <v>9999</v>
      </c>
      <c r="R842" s="12" t="str">
        <f t="shared" si="653"/>
        <v>CZCE</v>
      </c>
      <c r="S842" s="126"/>
      <c r="T842" s="126"/>
      <c r="U842" s="38"/>
      <c r="V842" s="38"/>
      <c r="W842" s="126"/>
      <c r="X842" s="126"/>
      <c r="Y842" s="126"/>
      <c r="Z842" s="126"/>
      <c r="AA842" s="126"/>
      <c r="AB842" s="126"/>
      <c r="AC842" s="126"/>
      <c r="AD842" s="126"/>
      <c r="AE842" s="126"/>
      <c r="AF842" s="126"/>
      <c r="AG842" s="126"/>
      <c r="AH842" s="126"/>
      <c r="AI842" s="126"/>
      <c r="AJ842" s="126"/>
      <c r="AK842" s="126"/>
      <c r="AL842" s="126"/>
      <c r="AM842" s="141"/>
      <c r="AN842" s="141"/>
      <c r="AO842" s="141"/>
      <c r="AP842" s="141"/>
      <c r="AQ842" s="126"/>
      <c r="AR842" s="126"/>
      <c r="AS842" s="126"/>
      <c r="AT842" s="126"/>
      <c r="AU842" s="126"/>
      <c r="AV842" s="126"/>
      <c r="AW842" s="126"/>
      <c r="AX842" s="126"/>
      <c r="AY842" s="126"/>
      <c r="AZ842" s="126"/>
      <c r="BA842" s="126"/>
      <c r="BB842" s="126"/>
      <c r="BC842" s="126"/>
      <c r="BD842" s="126"/>
      <c r="BE842" s="126"/>
      <c r="BF842" s="126"/>
      <c r="BG842" s="161"/>
      <c r="BH842" s="3"/>
      <c r="BI842" s="126"/>
      <c r="BJ842" s="126"/>
    </row>
    <row r="843" spans="1:62" x14ac:dyDescent="0.25">
      <c r="A843" s="126" t="str">
        <f t="shared" si="639"/>
        <v>comment</v>
      </c>
      <c r="B843" s="578" t="str">
        <f t="shared" si="646"/>
        <v>6001</v>
      </c>
      <c r="C843" s="12" t="str">
        <f t="shared" si="647"/>
        <v>B00101</v>
      </c>
      <c r="D843" s="109" t="str">
        <f>D840</f>
        <v>SR807P6400</v>
      </c>
      <c r="E843" s="92">
        <v>3</v>
      </c>
      <c r="F843" s="50">
        <v>1</v>
      </c>
      <c r="G843" s="50">
        <f t="shared" si="648"/>
        <v>3</v>
      </c>
      <c r="H843" s="50">
        <f t="shared" si="640"/>
        <v>0</v>
      </c>
      <c r="I843" s="50">
        <f t="shared" si="649"/>
        <v>625</v>
      </c>
      <c r="J843" s="50">
        <f t="shared" si="650"/>
        <v>625</v>
      </c>
      <c r="K843" s="50">
        <f>IF(F843=0,SUMPRODUCT(($C$772:$C$794=C843)*($G$772:$G$794=D843)*($H$772:$H$794=E843)*($AO$772:$AO$794)),SUMPRODUCT(($C$772:$C$794=C843)*($G$772:$G$794=D843)*($H$772:$H$794=E843)*($AP$772:$AP$794)))</f>
        <v>0</v>
      </c>
      <c r="L843" s="50">
        <f>IF(F843=0,SUMPRODUCT(($C$772:$C$794=C843)*($G$772:$G$794=D843)*($H$772:$H$794=E843)*($AQ$772:$AQ$794)),SUMPRODUCT(($C$772:$C$794=C843)*($G$772:$G$794=D843)*($H$772:$H$794=E843)*($AR$772:$AR$794)))</f>
        <v>0</v>
      </c>
      <c r="M843" s="162">
        <f>IF(F843=0,SUMPRODUCT(($C$772:$C$794=C843)*($G$772:$G$794=D843)*($H$772:$H$794=E843)*($L$772:$L$794)),SUMPRODUCT(($C$772:$C$794=C843)*($G$772:$G$794=D843)*($H$772:$H$794=E843)*($M$772:$M$794)))</f>
        <v>0</v>
      </c>
      <c r="N843" s="50">
        <f>IF(F843=0,SUMPRODUCT(($C$772:$C$794=C843)*($G$772:$G$794=D843)*($H$772:$H$794=E843)*($N$772:$N$794)),SUMPRODUCT(($C$772:$C$794=C843)*($G$772:$G$794=D843)*($H$772:$H$794=E843)*($O$772:$O$794)))</f>
        <v>0</v>
      </c>
      <c r="O843" s="50">
        <f t="shared" si="645"/>
        <v>10</v>
      </c>
      <c r="P843" s="92">
        <f t="shared" si="651"/>
        <v>20180326</v>
      </c>
      <c r="Q843" s="92" t="str">
        <f t="shared" si="652"/>
        <v>9999</v>
      </c>
      <c r="R843" s="12" t="str">
        <f t="shared" si="653"/>
        <v>CZCE</v>
      </c>
      <c r="S843" s="126"/>
      <c r="T843" s="126"/>
      <c r="U843" s="38"/>
      <c r="V843" s="38"/>
      <c r="W843" s="126"/>
      <c r="X843" s="126"/>
      <c r="Y843" s="126"/>
      <c r="Z843" s="126"/>
      <c r="AA843" s="126"/>
      <c r="AB843" s="126"/>
      <c r="AC843" s="126"/>
      <c r="AD843" s="126"/>
      <c r="AE843" s="126"/>
      <c r="AF843" s="126"/>
      <c r="AG843" s="126"/>
      <c r="AH843" s="126"/>
      <c r="AI843" s="126"/>
      <c r="AJ843" s="126"/>
      <c r="AK843" s="126"/>
      <c r="AL843" s="126"/>
      <c r="AM843" s="141"/>
      <c r="AN843" s="141"/>
      <c r="AO843" s="141"/>
      <c r="AP843" s="141"/>
      <c r="AQ843" s="126"/>
      <c r="AR843" s="126"/>
      <c r="AS843" s="126"/>
      <c r="AT843" s="126"/>
      <c r="AU843" s="126"/>
      <c r="AV843" s="126"/>
      <c r="AW843" s="126"/>
      <c r="AX843" s="126"/>
      <c r="AY843" s="126"/>
      <c r="AZ843" s="126"/>
      <c r="BA843" s="126"/>
      <c r="BB843" s="126"/>
      <c r="BC843" s="126"/>
      <c r="BD843" s="126"/>
      <c r="BE843" s="126"/>
      <c r="BF843" s="126"/>
      <c r="BG843" s="161"/>
      <c r="BH843" s="3"/>
      <c r="BI843" s="126"/>
      <c r="BJ843" s="126"/>
    </row>
    <row r="845" spans="1:62" x14ac:dyDescent="0.25">
      <c r="A845" s="126" t="s">
        <v>993</v>
      </c>
      <c r="B845" t="s">
        <v>714</v>
      </c>
    </row>
    <row r="846" spans="1:62" ht="15" customHeight="1" x14ac:dyDescent="0.25">
      <c r="A846" s="57" t="s">
        <v>124</v>
      </c>
      <c r="B846" s="57" t="s">
        <v>981</v>
      </c>
    </row>
    <row r="847" spans="1:62" x14ac:dyDescent="0.25">
      <c r="A847" s="57" t="s">
        <v>973</v>
      </c>
      <c r="B847" s="731" t="s">
        <v>713</v>
      </c>
      <c r="C847" s="721"/>
      <c r="D847" s="721"/>
      <c r="E847" s="721"/>
      <c r="F847" s="721"/>
      <c r="G847" s="721"/>
      <c r="H847" s="721"/>
      <c r="I847" s="721"/>
      <c r="J847" s="721"/>
      <c r="K847" s="721"/>
      <c r="L847" s="721"/>
      <c r="M847" s="721"/>
      <c r="N847" s="721"/>
      <c r="O847" s="721"/>
      <c r="P847" s="721"/>
      <c r="Q847" s="721"/>
      <c r="R847" s="721"/>
      <c r="S847" s="721"/>
      <c r="T847" s="721"/>
      <c r="U847" s="721"/>
      <c r="V847" s="721"/>
      <c r="W847" s="721"/>
      <c r="X847" s="721"/>
      <c r="Y847" s="721"/>
      <c r="Z847" s="721"/>
      <c r="AA847" s="721"/>
      <c r="AB847" s="721"/>
      <c r="AC847" s="721"/>
      <c r="AD847" s="721"/>
      <c r="AE847" s="721"/>
      <c r="AF847" s="721"/>
      <c r="AG847" s="721"/>
      <c r="AH847" s="721"/>
      <c r="AI847" s="721"/>
      <c r="AJ847" s="721"/>
      <c r="AK847" s="721"/>
      <c r="AL847" s="721"/>
      <c r="AM847" s="721"/>
      <c r="AN847" s="721"/>
      <c r="AO847" s="721"/>
      <c r="AP847" s="721"/>
      <c r="AQ847" s="721"/>
    </row>
    <row r="848" spans="1:62" x14ac:dyDescent="0.25">
      <c r="A848" s="126" t="s">
        <v>1366</v>
      </c>
      <c r="B848" s="608" t="s">
        <v>595</v>
      </c>
      <c r="C848" s="148" t="s">
        <v>843</v>
      </c>
      <c r="D848" s="148" t="s">
        <v>686</v>
      </c>
      <c r="E848" s="148" t="s">
        <v>688</v>
      </c>
      <c r="F848" s="148" t="s">
        <v>703</v>
      </c>
      <c r="G848" s="148" t="s">
        <v>683</v>
      </c>
      <c r="H848" s="148" t="s">
        <v>684</v>
      </c>
      <c r="I848" s="148" t="s">
        <v>704</v>
      </c>
      <c r="J848" s="148" t="s">
        <v>705</v>
      </c>
      <c r="K848" s="148" t="s">
        <v>706</v>
      </c>
      <c r="L848" s="148" t="s">
        <v>707</v>
      </c>
      <c r="M848" s="148" t="s">
        <v>708</v>
      </c>
      <c r="N848" s="148" t="s">
        <v>694</v>
      </c>
      <c r="O848" s="148" t="s">
        <v>63</v>
      </c>
      <c r="P848" s="148" t="s">
        <v>695</v>
      </c>
      <c r="Q848" s="148" t="s">
        <v>696</v>
      </c>
      <c r="R848" s="148" t="s">
        <v>693</v>
      </c>
      <c r="S848" s="148" t="s">
        <v>692</v>
      </c>
      <c r="T848" s="148" t="s">
        <v>728</v>
      </c>
      <c r="U848" s="148" t="s">
        <v>21</v>
      </c>
      <c r="V848" s="148" t="s">
        <v>689</v>
      </c>
      <c r="W848" s="148" t="s">
        <v>102</v>
      </c>
      <c r="X848" s="148" t="s">
        <v>53</v>
      </c>
      <c r="Y848" s="148" t="s">
        <v>54</v>
      </c>
      <c r="Z848" s="148" t="s">
        <v>106</v>
      </c>
      <c r="AA848" s="148" t="s">
        <v>107</v>
      </c>
      <c r="AB848" s="148" t="s">
        <v>698</v>
      </c>
      <c r="AC848" s="148" t="s">
        <v>729</v>
      </c>
      <c r="AD848" s="148" t="s">
        <v>6</v>
      </c>
      <c r="AE848" s="148" t="s">
        <v>103</v>
      </c>
      <c r="AF848" s="148" t="s">
        <v>730</v>
      </c>
      <c r="AG848" s="148" t="s">
        <v>55</v>
      </c>
      <c r="AH848" s="148" t="s">
        <v>56</v>
      </c>
      <c r="AI848" s="148" t="s">
        <v>699</v>
      </c>
      <c r="AJ848" s="148" t="s">
        <v>641</v>
      </c>
      <c r="AK848" s="148" t="s">
        <v>642</v>
      </c>
      <c r="AL848" s="148" t="s">
        <v>700</v>
      </c>
      <c r="AM848" s="148" t="s">
        <v>701</v>
      </c>
      <c r="AN848" s="148" t="s">
        <v>702</v>
      </c>
      <c r="AO848" s="148" t="s">
        <v>846</v>
      </c>
      <c r="AP848" s="148" t="s">
        <v>1562</v>
      </c>
      <c r="AQ848" s="148" t="s">
        <v>1563</v>
      </c>
    </row>
    <row r="849" spans="1:68" x14ac:dyDescent="0.25">
      <c r="B849" s="608" t="s">
        <v>844</v>
      </c>
      <c r="C849" s="148" t="s">
        <v>845</v>
      </c>
      <c r="D849" s="148" t="s">
        <v>710</v>
      </c>
      <c r="E849" s="148" t="s">
        <v>709</v>
      </c>
      <c r="F849" s="148" t="s">
        <v>726</v>
      </c>
      <c r="G849" s="148" t="s">
        <v>727</v>
      </c>
      <c r="H849" s="148" t="s">
        <v>731</v>
      </c>
      <c r="I849" s="148" t="s">
        <v>732</v>
      </c>
      <c r="J849" s="148" t="s">
        <v>733</v>
      </c>
      <c r="K849" s="148" t="s">
        <v>734</v>
      </c>
      <c r="L849" s="148" t="s">
        <v>735</v>
      </c>
      <c r="M849" s="148" t="s">
        <v>736</v>
      </c>
      <c r="N849" s="148" t="s">
        <v>737</v>
      </c>
      <c r="O849" s="148" t="s">
        <v>738</v>
      </c>
      <c r="P849" s="148" t="s">
        <v>739</v>
      </c>
      <c r="Q849" s="148" t="s">
        <v>740</v>
      </c>
      <c r="R849" s="148" t="s">
        <v>741</v>
      </c>
      <c r="S849" s="148" t="s">
        <v>742</v>
      </c>
      <c r="T849" s="148" t="s">
        <v>743</v>
      </c>
      <c r="U849" s="148" t="s">
        <v>744</v>
      </c>
      <c r="V849" s="148" t="s">
        <v>745</v>
      </c>
      <c r="W849" s="148" t="s">
        <v>746</v>
      </c>
      <c r="X849" s="148" t="s">
        <v>747</v>
      </c>
      <c r="Y849" s="148" t="s">
        <v>748</v>
      </c>
      <c r="Z849" s="148" t="s">
        <v>749</v>
      </c>
      <c r="AA849" s="148" t="s">
        <v>750</v>
      </c>
      <c r="AB849" s="148" t="s">
        <v>751</v>
      </c>
      <c r="AC849" s="148" t="s">
        <v>752</v>
      </c>
      <c r="AD849" s="148" t="s">
        <v>753</v>
      </c>
      <c r="AE849" s="148" t="s">
        <v>754</v>
      </c>
      <c r="AF849" s="148" t="s">
        <v>755</v>
      </c>
      <c r="AG849" s="148" t="s">
        <v>756</v>
      </c>
      <c r="AH849" s="148" t="s">
        <v>757</v>
      </c>
      <c r="AI849" s="148" t="s">
        <v>758</v>
      </c>
      <c r="AJ849" s="148" t="s">
        <v>759</v>
      </c>
      <c r="AK849" s="148" t="s">
        <v>760</v>
      </c>
      <c r="AL849" s="148" t="s">
        <v>761</v>
      </c>
      <c r="AM849" s="148" t="s">
        <v>762</v>
      </c>
      <c r="AN849" s="148" t="s">
        <v>763</v>
      </c>
      <c r="AO849" s="148" t="s">
        <v>847</v>
      </c>
      <c r="AP849" s="148" t="s">
        <v>1561</v>
      </c>
      <c r="AQ849" s="148" t="s">
        <v>1563</v>
      </c>
    </row>
    <row r="850" spans="1:68" s="6" customFormat="1" x14ac:dyDescent="0.25">
      <c r="A850" s="167"/>
      <c r="B850" s="571">
        <f>$B$2</f>
        <v>20180326</v>
      </c>
      <c r="C850" s="111" t="str">
        <f>$F$8</f>
        <v>9999</v>
      </c>
      <c r="D850" s="12" t="str">
        <f>$D$8</f>
        <v>6001</v>
      </c>
      <c r="E850" s="12" t="s">
        <v>717</v>
      </c>
      <c r="F850" s="111">
        <f>G850+H850+I850</f>
        <v>471146.89999999991</v>
      </c>
      <c r="G850" s="111">
        <f>SUMPRODUCT(($D$772:$D$794=D850)*($E$772:$E$794=E850)*($H$772:$H$794=1)*($L$772:$L$794))+SUMPRODUCT(($D$772:$D$794=D850)*($E$772:$E$794=E850)*($H$772:$H$794=1)*($M$772:$M$794))</f>
        <v>261308.28999999998</v>
      </c>
      <c r="H850" s="111">
        <f>SUMPRODUCT(($D$772:$D$794=D850)*($E$772:$E$794=E850)*($H$772:$H$794=3)*($L$772:$L$794))+SUMPRODUCT(($D$772:$D$794=D850)*($E$772:$E$794=E850)*($H$772:$H$794=3)*($M$772:$M$794))</f>
        <v>195778.00999999998</v>
      </c>
      <c r="I850" s="111">
        <f>SUMPRODUCT(($D$772:$D$794=D850)*($E$772:$E$794=E850)*($P$772:$P$794))</f>
        <v>14060.6</v>
      </c>
      <c r="J850" s="111">
        <f>K850+L850+M850</f>
        <v>409014.63999999996</v>
      </c>
      <c r="K850" s="111">
        <f>SUMPRODUCT(($D$772:$D$794=D850)*($E$772:$E$794=E850)*($H$772:$H$794=1)*($N$772:$N$794))+SUMPRODUCT(($D$772:$D$794=D850)*($E$772:$E$794=E850)*($H$772:$H$794=1)*($O$772:$O$794))</f>
        <v>228699.11</v>
      </c>
      <c r="L850" s="111">
        <f>SUMPRODUCT(($D$772:$D$794=D850)*($E$772:$E$794=E850)*($H$772:$H$794=3)*($N$772:$N$794))+SUMPRODUCT(($D$772:$D$794=D850)*($E$772:$E$794=E850)*($H$772:$H$794=3)*($O$772:$O$794))</f>
        <v>169017.93</v>
      </c>
      <c r="M850" s="111">
        <f>SUMPRODUCT(($D$772:$D$794=D850)*($E$772:$E$794=E850)*($Q$772:$Q$794))</f>
        <v>11297.6</v>
      </c>
      <c r="N850" s="111">
        <f>O850+P850+AL850</f>
        <v>-11845</v>
      </c>
      <c r="O850" s="111">
        <f>SUMPRODUCT(($D$772:$D$794=D850)*($E$772:$E$794=E850)*($AL$772:$AL$794))+SUMPRODUCT(($D$772:$D$794=D850)*($E$772:$E$794=E850)*($AM$772:$AM$794))</f>
        <v>-500</v>
      </c>
      <c r="P850" s="111">
        <f>SUMPRODUCT(($D$772:$D$794=D850)*($E$772:$E$794=E850)*($AO$772:$AO$794))+SUMPRODUCT(($D$772:$D$794=D850)*($E$772:$E$794=E850)*($AP$772:$AP$794))</f>
        <v>-11345</v>
      </c>
      <c r="Q850" s="111">
        <f>R850+S850</f>
        <v>-11845</v>
      </c>
      <c r="R850" s="111">
        <f>SUMPRODUCT(($D$772:$D$794=D850)*($E$772:$E$794=E850)*($AN$772:$AN$794))+SUMPRODUCT(($D$772:$D$794=D850)*($E$772:$E$794=E850)*($AM$772:$AM$794))</f>
        <v>-500</v>
      </c>
      <c r="S850" s="111">
        <f>SUMPRODUCT(($D$772:$D$794=D850)*($E$772:$E$794=E850)*($AQ$772:$AQ$794))+SUMPRODUCT(($D$772:$D$794=D850)*($E$772:$E$794=E850)*($AR$772:$AR$794))</f>
        <v>-11345</v>
      </c>
      <c r="T850" s="111">
        <f>SUMPRODUCT(($D$772:$D$794=D850)*($E$772:$E$794=E850)*($Y$772:$Y$794))</f>
        <v>4231.5700000000006</v>
      </c>
      <c r="U850" s="111">
        <f>SUMPRODUCT(($D$772:$D$794=D850)*($E$772:$E$794=E850)*($Z$772:$Z$794))</f>
        <v>0</v>
      </c>
      <c r="V850" s="111">
        <f>SUMPRODUCT(($D$772:$D$794=D850)*($E$772:$E$794=E850)*($AA$772:$AA$794))</f>
        <v>1860.1100000000001</v>
      </c>
      <c r="W850" s="111">
        <f>SUMPRODUCT(($D$772:$D$794=D850)*($E$772:$E$794=E850)*($AB$772:$AB$794))</f>
        <v>0</v>
      </c>
      <c r="X850" s="111">
        <f>SUMPRODUCT(($D$772:$D$794=D850)*($E$772:$E$794=E850)*($AC$772:$AC$794))</f>
        <v>408.45</v>
      </c>
      <c r="Y850" s="111">
        <f>SUMPRODUCT(($D$772:$D$794=D850)*($E$772:$E$794=E850)*($AD$772:$AD$794))</f>
        <v>0</v>
      </c>
      <c r="Z850" s="111">
        <f>SUMPRODUCT(($D$772:$D$794=D850)*($E$772:$E$794=E850)*($BV$772:$BV$794=1)*($L$772:$L$794))+SUMPRODUCT(($D$772:$D$794=D850)*($E$772:$E$794=E850)*($BV$772:$BV$794=1)*($M$772:$M$794))+SUMPRODUCT(($D$772:$D$794=D850)*($E$772:$E$794=E850)*($BV$772:$BV$794=1)*($P$772:$P$794))</f>
        <v>47864.74</v>
      </c>
      <c r="AA850" s="111">
        <f>SUMPRODUCT(($D$772:$D$794=D850)*($E$772:$E$794=E850)*($W$772:$BV$794=1)*($AK$772:$AK$794))+SUMPRODUCT(($D$772:$D$794=D850)*($E$772:$E$794=E850)*($W$772:$BV$794=1)*($AL$772:$AL$794))+SUMPRODUCT(($D$772:$D$794=D850)*($E$772:$E$794=E850)*($W$772:$BV$794=1)*($AO$772:$AO$794))+SUMPRODUCT(($D$772:$D$794=D850)*($E$772:$E$794=E850)*($W$772:$BV$794=1)*($AP$772:$AP$794))</f>
        <v>-13425</v>
      </c>
      <c r="AB850" s="111">
        <f>SUMPRODUCT(($D$772:$D$794=D850)*($E$772:$E$794=E850)*($BV$772:$BV$794=1)*($Y$772:$Y$794))+SUMPRODUCT(($D$772:$D$794=D850)*($E$772:$E$794=E850)*($BV$772:$BV$794=1)*($Z$772:$Z$794))+SUMPRODUCT(($D$772:$D$794=D850)*($E$772:$E$794=E850)*($BV$772:$BV$794=1)*($AA$772:$AA$794))+SUMPRODUCT(($D$772:$D$794=D850)*($E$772:$E$794=E850)*($BV$772:$BV$794=1)*($AB$772:$AB$794))+SUMPRODUCT(($D$772:$D$794=D850)*($E$772:$E$794=E850)*($BV$772:$BV$794=1)*($AC$772:$AC$794))+SUMPRODUCT(($D$772:$D$794=D850)*($E$772:$E$794=E850)*($BV$772:$BV$794=1)*($AD$772:$AD$794))</f>
        <v>1381.63</v>
      </c>
      <c r="AC850" s="111">
        <f>SUMPRODUCT(($D$772:$D$794=D850)*($E$772:$E$794=E850)*($AE$772:$AE$794))</f>
        <v>3603.4700000000003</v>
      </c>
      <c r="AD850" s="111">
        <f>SUMPRODUCT(($D$772:$D$794=D850)*($E$772:$E$794=E850)*($AG$772:$AG$794))</f>
        <v>0</v>
      </c>
      <c r="AE850" s="111">
        <v>0</v>
      </c>
      <c r="AF850" s="111">
        <v>0</v>
      </c>
      <c r="AG850" s="111">
        <f>SUMPRODUCT(($D$772:$D$794=D850)*($E$772:$E$794=E850)*($AI$772:$AI$794))</f>
        <v>377.45</v>
      </c>
      <c r="AH850" s="111">
        <f>SUMPRODUCT(($D$772:$D$794=D850)*($E$772:$E$794=E850)*($AJ$772:$AJ$794))</f>
        <v>0</v>
      </c>
      <c r="AI850" s="271">
        <f>SUMPRODUCT(($D$772:$D$794=D850)*($E$772:$E$794=E850)*($BV$772:$BV$794=1)*($N$772:$N$794))+SUMPRODUCT(($D$772:$D$794=D850)*($E$772:$E$794=E850)*($BV$772:$BV$794=1)*($O$772:$O$794))+SUMPRODUCT(($D$772:$D$794=D850)*($E$772:$E$794=E850)*($BV$772:$BV$794=1)*($Q$772:$Q$794))</f>
        <v>39194.559999999998</v>
      </c>
      <c r="AJ850" s="111">
        <f>SUMPRODUCT(($D$772:$D$794=D850)*($E$772:$E$794=E850)*($W$772:$W$794))</f>
        <v>442700</v>
      </c>
      <c r="AK850" s="111">
        <f>SUMPRODUCT(($D$772:$D$794=D850)*($E$772:$E$794=E850)*($X$772:$X$794))</f>
        <v>355030</v>
      </c>
      <c r="AL850" s="111">
        <v>0</v>
      </c>
      <c r="AM850" s="111">
        <f>SUMPRODUCT(($E$704:$E$754=D850)*($J$704:$J$754=0)*($AT$704:$AT$754=E850)*($P$704:$P$754))</f>
        <v>156125</v>
      </c>
      <c r="AN850" s="111">
        <f>SUMPRODUCT(($E$704:$E$754=D850)*($J$704:$J$754=1)*($AT$704:$AT$754=E850)*($P$704:$P$754))</f>
        <v>252325</v>
      </c>
      <c r="AO850" s="111" t="str">
        <f>$B$22</f>
        <v>CZCE</v>
      </c>
      <c r="AP850" s="111">
        <f>SUMPRODUCT(($D$772:$D$794=D850)*($E$772:$E$794=E850)*($BV$772:$BV$794=1)*($W$772:$W$794))</f>
        <v>0</v>
      </c>
      <c r="AQ850" s="111">
        <f>SUMPRODUCT(($D$772:$D$794=D850)*($E$772:$E$794=E850)*($BV$772:$BV$794=1)*($X$772:$X$794))</f>
        <v>0</v>
      </c>
    </row>
    <row r="851" spans="1:68" s="6" customFormat="1" x14ac:dyDescent="0.25">
      <c r="A851" s="167"/>
      <c r="B851" s="571">
        <f>$B$2</f>
        <v>20180326</v>
      </c>
      <c r="C851" s="111" t="str">
        <f>$F$8</f>
        <v>9999</v>
      </c>
      <c r="D851" s="12" t="str">
        <f>$D$8</f>
        <v>6001</v>
      </c>
      <c r="E851" s="12" t="s">
        <v>1886</v>
      </c>
      <c r="F851" s="111">
        <f>G851+H851+I851</f>
        <v>0</v>
      </c>
      <c r="G851" s="111">
        <f>SUMPRODUCT(($D$772:$D$794=D851)*($E$772:$E$794=E851)*($H$772:$H$794=1)*($L$772:$L$794))+SUMPRODUCT(($D$772:$D$794=D851)*($E$772:$E$794=E851)*($H$772:$H$794=1)*($M$772:$M$794))</f>
        <v>0</v>
      </c>
      <c r="H851" s="111">
        <f>SUMPRODUCT(($D$772:$D$794=D851)*($E$772:$E$794=E851)*($H$772:$H$794=3)*($L$772:$L$794))+SUMPRODUCT(($D$772:$D$794=D851)*($E$772:$E$794=E851)*($H$772:$H$794=3)*($M$772:$M$794))</f>
        <v>0</v>
      </c>
      <c r="I851" s="111">
        <f>SUMPRODUCT(($D$772:$D$794=D851)*($E$772:$E$794=E851)*($P$772:$P$794))</f>
        <v>0</v>
      </c>
      <c r="J851" s="111">
        <f>K851+L851+M851</f>
        <v>0</v>
      </c>
      <c r="K851" s="111">
        <f>SUMPRODUCT(($D$772:$D$794=D851)*($E$772:$E$794=E851)*($H$772:$H$794=1)*($N$772:$N$794))+SUMPRODUCT(($D$772:$D$794=D851)*($E$772:$E$794=E851)*($H$772:$H$794=1)*($O$772:$O$794))</f>
        <v>0</v>
      </c>
      <c r="L851" s="111">
        <f>SUMPRODUCT(($D$772:$D$794=D851)*($E$772:$E$794=E851)*($H$772:$H$794=3)*($N$772:$N$794))+SUMPRODUCT(($D$772:$D$794=D851)*($E$772:$E$794=E851)*($H$772:$H$794=3)*($O$772:$O$794))</f>
        <v>0</v>
      </c>
      <c r="M851" s="111">
        <f>SUMPRODUCT(($D$772:$D$794=D851)*($E$772:$E$794=E851)*($Q$772:$Q$794))</f>
        <v>0</v>
      </c>
      <c r="N851" s="111">
        <f>O851+P851+AL851</f>
        <v>0</v>
      </c>
      <c r="O851" s="111">
        <f>SUMPRODUCT(($D$772:$D$794=D851)*($E$772:$E$794=E851)*($AL$772:$AL$794))+SUMPRODUCT(($D$772:$D$794=D851)*($E$772:$E$794=E851)*($AM$772:$AM$794))</f>
        <v>0</v>
      </c>
      <c r="P851" s="111">
        <f>SUMPRODUCT(($D$772:$D$794=D851)*($E$772:$E$794=E851)*($AO$772:$AO$794))+SUMPRODUCT(($D$772:$D$794=D851)*($E$772:$E$794=E851)*($AP$772:$AP$794))</f>
        <v>0</v>
      </c>
      <c r="Q851" s="244">
        <f>R851+S851</f>
        <v>0</v>
      </c>
      <c r="R851" s="111">
        <f>SUMPRODUCT(($D$772:$D$794=D851)*($E$772:$E$794=E851)*($AN$772:$AN$794))+SUMPRODUCT(($D$772:$D$794=D851)*($E$772:$E$794=E851)*($AM$772:$AM$794))</f>
        <v>0</v>
      </c>
      <c r="S851" s="111">
        <f>SUMPRODUCT(($D$772:$D$794=D851)*($E$772:$E$794=E851)*($AQ$772:$AQ$794))+SUMPRODUCT(($D$772:$D$794=D851)*($E$772:$E$794=E851)*($AR$772:$AR$794))</f>
        <v>0</v>
      </c>
      <c r="T851" s="111">
        <f>SUMPRODUCT(($D$772:$D$794=D851)*($E$772:$E$794=E851)*($Y$772:$Y$794))</f>
        <v>0</v>
      </c>
      <c r="U851" s="111">
        <f>SUMPRODUCT(($D$772:$D$794=D851)*($E$772:$E$794=E851)*($Z$772:$Z$794))</f>
        <v>0</v>
      </c>
      <c r="V851" s="111">
        <f>SUMPRODUCT(($D$772:$D$794=D851)*($E$772:$E$794=E851)*($AA$772:$AA$794))</f>
        <v>0</v>
      </c>
      <c r="W851" s="111">
        <f>SUMPRODUCT(($D$772:$D$794=D851)*($E$772:$E$794=E851)*($AB$772:$AB$794))</f>
        <v>0</v>
      </c>
      <c r="X851" s="111">
        <f>SUMPRODUCT(($D$772:$D$794=D851)*($E$772:$E$794=E851)*($AC$772:$AC$794))</f>
        <v>0</v>
      </c>
      <c r="Y851" s="111">
        <f>SUMPRODUCT(($D$772:$D$794=D851)*($E$772:$E$794=E851)*($AD$772:$AD$794))</f>
        <v>0</v>
      </c>
      <c r="Z851" s="111">
        <f>SUMPRODUCT(($D$772:$D$794=D851)*($E$772:$E$794=E851)*($BV$772:$BV$794=1)*($L$772:$L$794))+SUMPRODUCT(($D$772:$D$794=D851)*($E$772:$E$794=E851)*($BV$772:$BV$794=1)*($M$772:$M$794))+SUMPRODUCT(($D$772:$D$794=D851)*($E$772:$E$794=E851)*($BV$772:$BV$794=1)*($P$772:$P$794))</f>
        <v>0</v>
      </c>
      <c r="AA851" s="111">
        <f>SUMPRODUCT(($D$772:$D$794=D851)*($E$772:$E$794=E851)*($W$772:$BV$794=1)*($AK$772:$AK$794))+SUMPRODUCT(($D$772:$D$794=D851)*($E$772:$E$794=E851)*($W$772:$BV$794=1)*($AL$772:$AL$794))+SUMPRODUCT(($D$772:$D$794=D851)*($E$772:$E$794=E851)*($W$772:$BV$794=1)*($AO$772:$AO$794))+SUMPRODUCT(($D$772:$D$794=D851)*($E$772:$E$794=E851)*($W$772:$BV$794=1)*($AP$772:$AP$794))</f>
        <v>0</v>
      </c>
      <c r="AB851" s="111">
        <f>SUMPRODUCT(($D$772:$D$794=D851)*($E$772:$E$794=E851)*($BV$772:$BV$794=1)*($Y$772:$Y$794))+SUMPRODUCT(($D$772:$D$794=D851)*($E$772:$E$794=E851)*($BV$772:$BV$794=1)*($Z$772:$Z$794))+SUMPRODUCT(($D$772:$D$794=D851)*($E$772:$E$794=E851)*($BV$772:$BV$794=1)*($AA$772:$AA$794))+SUMPRODUCT(($D$772:$D$794=D851)*($E$772:$E$794=E851)*($BV$772:$BV$794=1)*($AB$772:$AB$794))+SUMPRODUCT(($D$772:$D$794=D851)*($E$772:$E$794=E851)*($BV$772:$BV$794=1)*($AC$772:$AC$794))+SUMPRODUCT(($D$772:$D$794=D851)*($E$772:$E$794=E851)*($BV$772:$BV$794=1)*($AD$772:$AD$794))</f>
        <v>0</v>
      </c>
      <c r="AC851" s="111">
        <f>SUMPRODUCT(($D$772:$D$794=D851)*($E$772:$E$794=E851)*($AE$772:$AE$794))</f>
        <v>0</v>
      </c>
      <c r="AD851" s="244">
        <f>SUMPRODUCT(($D$772:$D$794=D851)*($E$772:$E$794=E851)*($AG$772:$AG$794))</f>
        <v>0</v>
      </c>
      <c r="AE851" s="111">
        <f>SUMPRODUCT(($D$772:$D$794=D851)*($E$772:$E$794=E851)*($AG$772:$AG$794))</f>
        <v>0</v>
      </c>
      <c r="AF851" s="111">
        <f>SUMPRODUCT(($D$772:$D$794=D851)*($E$772:$E$794=E851)*($AH$772:$AH$794))</f>
        <v>0</v>
      </c>
      <c r="AG851" s="111">
        <f>SUMPRODUCT(($D$772:$D$794=D851)*($E$772:$E$794=E851)*($AI$772:$AI$794))</f>
        <v>0</v>
      </c>
      <c r="AH851" s="111">
        <f>SUMPRODUCT(($D$772:$D$794=D851)*($E$772:$E$794=E851)*($AJ$772:$AJ$794))</f>
        <v>0</v>
      </c>
      <c r="AI851" s="271">
        <f>SUMPRODUCT(($D$772:$D$794=D851)*($E$772:$E$794=E851)*($BV$772:$BV$794=1)*($N$772:$N$794))+SUMPRODUCT(($D$772:$D$794=D851)*($E$772:$E$794=E851)*($BV$772:$BV$794=1)*($O$772:$O$794))+SUMPRODUCT(($D$772:$D$794=D851)*($E$772:$E$794=E851)*($BV$772:$BV$794=1)*($Q$772:$Q$794))</f>
        <v>0</v>
      </c>
      <c r="AJ851" s="111">
        <f>SUMPRODUCT(($D$772:$D$794=D851)*($E$772:$E$794=E851)*($W$772:$W$794))</f>
        <v>0</v>
      </c>
      <c r="AK851" s="111">
        <f>SUMPRODUCT(($D$772:$D$794=D851)*($E$772:$E$794=E851)*($X$772:$X$794))</f>
        <v>0</v>
      </c>
      <c r="AL851" s="244">
        <v>0</v>
      </c>
      <c r="AM851" s="111">
        <f>SUMPRODUCT(($E$704:$E$754=D851)*($J$704:$J$754=0)*($AT$704:$AT$754=E851)*($P$704:$P$754))+SUMPRODUCT(($E$704:$E$754=D851)*($J$704:$J$754=0)*($AT$704:$AT$754=E851)*($Q$704:$Q$754))</f>
        <v>0</v>
      </c>
      <c r="AN851" s="111">
        <f>SUMPRODUCT(($E$704:$E$754=D851)*($J$704:$J$754=1)*($AT$704:$AT$754=E851)*($P$704:$P$754))+SUMPRODUCT(($E$704:$E$754=D851)*($J$704:$J$754=1)*($AT$704:$AT$754=E851)*($Q$704:$Q$754))</f>
        <v>0</v>
      </c>
      <c r="AO851" s="111" t="str">
        <f>$B$22</f>
        <v>CZCE</v>
      </c>
      <c r="AP851" s="111">
        <f>SUMPRODUCT(($D$772:$D$794=D851)*($E$772:$E$794=E851)*($BV$772:$BV$794=1)*($W$772:$W$794))</f>
        <v>0</v>
      </c>
      <c r="AQ851" s="111">
        <f>SUMPRODUCT(($D$772:$D$794=D851)*($E$772:$E$794=E851)*($BV$772:$BV$794=1)*($X$772:$X$794))</f>
        <v>0</v>
      </c>
    </row>
    <row r="852" spans="1:68" s="6" customFormat="1" x14ac:dyDescent="0.25">
      <c r="A852" s="167"/>
      <c r="B852" s="571">
        <f>$B$2</f>
        <v>20180326</v>
      </c>
      <c r="C852" s="111" t="str">
        <f>$F$8</f>
        <v>9999</v>
      </c>
      <c r="D852" s="12" t="str">
        <f>$D$8</f>
        <v>6001</v>
      </c>
      <c r="E852" s="12" t="s">
        <v>1359</v>
      </c>
      <c r="F852" s="111">
        <f>G852+H852+I852</f>
        <v>0</v>
      </c>
      <c r="G852" s="111">
        <f>SUMPRODUCT(($D$772:$D$794=D852)*($E$772:$E$794=E852)*($H$772:$H$794=1)*($L$772:$L$794))+SUMPRODUCT(($D$772:$D$794=D852)*($E$772:$E$794=E852)*($H$772:$H$794=1)*($M$772:$M$794))</f>
        <v>0</v>
      </c>
      <c r="H852" s="111">
        <f>SUMPRODUCT(($D$772:$D$794=D852)*($E$772:$E$794=E852)*($H$772:$H$794=3)*($L$772:$L$794))+SUMPRODUCT(($D$772:$D$794=D852)*($E$772:$E$794=E852)*($H$772:$H$794=3)*($M$772:$M$794))</f>
        <v>0</v>
      </c>
      <c r="I852" s="111">
        <f>SUMPRODUCT(($D$772:$D$794=D852)*($E$772:$E$794=E852)*($P$772:$P$794))</f>
        <v>0</v>
      </c>
      <c r="J852" s="111">
        <f>K852+L852+M852</f>
        <v>0</v>
      </c>
      <c r="K852" s="111">
        <f>SUMPRODUCT(($D$772:$D$794=D852)*($E$772:$E$794=E852)*($H$772:$H$794=1)*($N$772:$N$794))+SUMPRODUCT(($D$772:$D$794=D852)*($E$772:$E$794=E852)*($H$772:$H$794=1)*($O$772:$O$794))</f>
        <v>0</v>
      </c>
      <c r="L852" s="111">
        <f>SUMPRODUCT(($D$772:$D$794=D852)*($E$772:$E$794=E852)*($H$772:$H$794=3)*($N$772:$N$794))+SUMPRODUCT(($D$772:$D$794=D852)*($E$772:$E$794=E852)*($H$772:$H$794=3)*($O$772:$O$794))</f>
        <v>0</v>
      </c>
      <c r="M852" s="111">
        <f>SUMPRODUCT(($D$772:$D$794=D852)*($E$772:$E$794=E852)*($Q$772:$Q$794))</f>
        <v>0</v>
      </c>
      <c r="N852" s="111">
        <f>O852+P852+AL852</f>
        <v>0</v>
      </c>
      <c r="O852" s="111">
        <f>SUMPRODUCT(($D$772:$D$794=D852)*($E$772:$E$794=E852)*($AL$772:$AL$794))+SUMPRODUCT(($D$772:$D$794=D852)*($E$772:$E$794=E852)*($AM$772:$AM$794))</f>
        <v>0</v>
      </c>
      <c r="P852" s="111">
        <f>SUMPRODUCT(($D$772:$D$794=D852)*($E$772:$E$794=E852)*($AO$772:$AO$794))+SUMPRODUCT(($D$772:$D$794=D852)*($E$772:$E$794=E852)*($AP$772:$AP$794))</f>
        <v>0</v>
      </c>
      <c r="Q852" s="244">
        <f>R852+S852</f>
        <v>0</v>
      </c>
      <c r="R852" s="111">
        <f>SUMPRODUCT(($D$772:$D$794=D852)*($E$772:$E$794=E852)*($AN$772:$AN$794))+SUMPRODUCT(($D$772:$D$794=D852)*($E$772:$E$794=E852)*($AO$772:$AO$794))</f>
        <v>0</v>
      </c>
      <c r="S852" s="111">
        <f>SUMPRODUCT(($D$772:$D$794=D852)*($E$772:$E$794=E852)*($AQ$772:$AQ$794))+SUMPRODUCT(($D$772:$D$794=D852)*($E$772:$E$794=E852)*($AR$772:$AR$794))</f>
        <v>0</v>
      </c>
      <c r="T852" s="111">
        <f>SUMPRODUCT(($D$772:$D$794=D852)*($E$772:$E$794=E852)*($Y$772:$Y$794))</f>
        <v>0</v>
      </c>
      <c r="U852" s="111">
        <f>SUMPRODUCT(($D$772:$D$794=D852)*($E$772:$E$794=E852)*($Z$772:$Z$794))</f>
        <v>0</v>
      </c>
      <c r="V852" s="111">
        <f>SUMPRODUCT(($D$772:$D$794=D852)*($E$772:$E$794=E852)*($AA$772:$AA$794))</f>
        <v>0</v>
      </c>
      <c r="W852" s="111">
        <f>SUMPRODUCT(($D$772:$D$794=D852)*($E$772:$E$794=E852)*($AB$772:$AB$794))</f>
        <v>0</v>
      </c>
      <c r="X852" s="111">
        <f>SUMPRODUCT(($D$772:$D$794=D852)*($E$772:$E$794=E852)*($AC$772:$AC$794))</f>
        <v>0</v>
      </c>
      <c r="Y852" s="111">
        <f>SUMPRODUCT(($D$772:$D$794=D852)*($E$772:$E$794=E852)*($AD$772:$AD$794))</f>
        <v>0</v>
      </c>
      <c r="Z852" s="111">
        <f>SUMPRODUCT(($D$772:$D$794=D852)*($E$772:$E$794=E852)*($W$772:$BV$794=1)*($L$772:$L$794))+SUMPRODUCT(($D$772:$D$794=D852)*($E$772:$E$794=E852)*($W$772:$BV$794=1)*($M$772:$M$794))+SUMPRODUCT(($D$772:$D$794=D852)*($E$772:$E$794=E852)*($W$772:$BV$794=1)*($P$772:$P$794))</f>
        <v>0</v>
      </c>
      <c r="AA852" s="111">
        <f>SUMPRODUCT(($D$772:$D$794=D852)*($E$772:$E$794=E852)*($W$772:$BV$794=1)*($AK$772:$AK$794))+SUMPRODUCT(($D$772:$D$794=D852)*($E$772:$E$794=E852)*($W$772:$BV$794=1)*($AL$772:$AL$794))+SUMPRODUCT(($D$772:$D$794=D852)*($E$772:$E$794=E852)*($W$772:$BV$794=1)*($AO$772:$AO$794))+SUMPRODUCT(($D$772:$D$794=D852)*($E$772:$E$794=E852)*($W$772:$BV$794=1)*($AP$772:$AP$794))</f>
        <v>0</v>
      </c>
      <c r="AB852" s="111">
        <f>SUMPRODUCT(($D$772:$D$794=D852)*($E$772:$E$794=E852)*($BV$772:$BV$794=1)*($Y$772:$Y$794))+SUMPRODUCT(($D$772:$D$794=D852)*($E$772:$E$794=E852)*($BV$772:$BV$794=1)*($Z$772:$Z$794))+SUMPRODUCT(($D$772:$D$794=D852)*($E$772:$E$794=E852)*($BV$772:$BV$794=1)*($AA$772:$AA$794))+SUMPRODUCT(($D$772:$D$794=D852)*($E$772:$E$794=E852)*($BV$772:$BV$794=1)*($AB$772:$AB$794))+SUMPRODUCT(($D$772:$D$794=D852)*($E$772:$E$794=E852)*($BV$772:$BV$794=1)*($AC$772:$AC$794))+SUMPRODUCT(($D$772:$D$794=D852)*($E$772:$E$794=E852)*($BV$772:$BV$794=1)*($AD$772:$AD$794))</f>
        <v>0</v>
      </c>
      <c r="AC852" s="111">
        <f>SUMPRODUCT(($D$772:$D$794=D852)*($E$772:$E$794=E852)*($AE$772:$AE$794))</f>
        <v>0</v>
      </c>
      <c r="AD852" s="111">
        <f>SUMPRODUCT(($D$772:$D$794=D852)*($E$772:$E$794=E852)*($AG$772:$AG$794))</f>
        <v>0</v>
      </c>
      <c r="AE852" s="111">
        <f>SUMPRODUCT(($D$772:$D$794=D852)*($E$772:$E$794=E852)*($AG$772:$AG$794))</f>
        <v>0</v>
      </c>
      <c r="AF852" s="111">
        <f>SUMPRODUCT(($D$772:$D$794=D852)*($E$772:$E$794=E852)*($AH$772:$AH$794))</f>
        <v>0</v>
      </c>
      <c r="AG852" s="111">
        <f>SUMPRODUCT(($D$772:$D$794=D852)*($E$772:$E$794=E852)*($AI$772:$AI$794))</f>
        <v>0</v>
      </c>
      <c r="AH852" s="111">
        <f>SUMPRODUCT(($D$772:$D$794=D852)*($E$772:$E$794=E852)*($AJ$772:$AJ$794))</f>
        <v>0</v>
      </c>
      <c r="AI852" s="111">
        <f>SUMPRODUCT(($D$772:$D$794=D852)*($E$772:$E$794=E852)*($W$772:$BV$794=1)*($N$772:$N$794))+SUMPRODUCT(($D$772:$D$794=D852)*($E$772:$E$794=E852)*($W$772:$BV$794=1)*($O$772:$O$794))+SUMPRODUCT(($D$772:$D$794=D852)*($E$772:$E$794=E852)*($W$772:$BV$794=1)*($Q$772:$Q$794))</f>
        <v>0</v>
      </c>
      <c r="AJ852" s="111">
        <f>SUMPRODUCT(($D$772:$D$794=D852)*($E$772:$E$794=E852)*($W$772:$W$794))</f>
        <v>0</v>
      </c>
      <c r="AK852" s="111">
        <f>SUMPRODUCT(($D$772:$D$794=D852)*($E$772:$E$794=E852)*($X$772:$X$794))</f>
        <v>0</v>
      </c>
      <c r="AL852" s="111">
        <v>0</v>
      </c>
      <c r="AM852" s="111">
        <f>SUMPRODUCT(($E$704:$E$754=D852)*($J$704:$J$754=0)*($AT$704:$AT$754=E852)*($P$704:$P$754))+SUMPRODUCT(($E$704:$E$754=D852)*($J$704:$J$754=0)*($AT$704:$AT$754=E852)*($Q$704:$Q$754))</f>
        <v>0</v>
      </c>
      <c r="AN852" s="111">
        <f>SUMPRODUCT(($E$704:$E$754=D852)*($J$704:$J$754=1)*($AT$704:$AT$754=E852)*($P$704:$P$754))+SUMPRODUCT(($E$704:$E$754=D852)*($J$704:$J$754=1)*($AT$704:$AT$754=E852)*($Q$704:$Q$754))</f>
        <v>0</v>
      </c>
      <c r="AO852" s="111" t="str">
        <f>$B$22</f>
        <v>CZCE</v>
      </c>
      <c r="AP852" s="111">
        <f>SUMPRODUCT(($D$772:$D$794=D852)*($E$772:$E$794=E852)*($BV$772:$BV$794=1)*($W$772:$W$794))</f>
        <v>0</v>
      </c>
      <c r="AQ852" s="111">
        <f>SUMPRODUCT(($D$772:$D$794=D852)*($E$772:$E$794=E852)*($BV$772:$BV$794=1)*($X$772:$X$794))</f>
        <v>0</v>
      </c>
    </row>
    <row r="853" spans="1:68" x14ac:dyDescent="0.25">
      <c r="A853" s="126" t="s">
        <v>1364</v>
      </c>
      <c r="B853" t="s">
        <v>715</v>
      </c>
    </row>
    <row r="854" spans="1:68" ht="15" customHeight="1" x14ac:dyDescent="0.25">
      <c r="A854" s="57" t="s">
        <v>124</v>
      </c>
      <c r="B854" s="57" t="s">
        <v>981</v>
      </c>
    </row>
    <row r="855" spans="1:68" x14ac:dyDescent="0.25">
      <c r="A855" s="126" t="s">
        <v>973</v>
      </c>
      <c r="B855" s="731" t="s">
        <v>716</v>
      </c>
      <c r="C855" s="732"/>
      <c r="D855" s="732"/>
      <c r="E855" s="732"/>
      <c r="F855" s="732"/>
      <c r="G855" s="732"/>
      <c r="H855" s="732"/>
      <c r="I855" s="732"/>
      <c r="J855" s="732"/>
      <c r="K855" s="732"/>
      <c r="L855" s="732"/>
      <c r="M855" s="732"/>
      <c r="N855" s="732"/>
      <c r="O855" s="732"/>
      <c r="P855" s="732"/>
      <c r="Q855" s="732"/>
      <c r="R855" s="732"/>
      <c r="S855" s="732"/>
      <c r="T855" s="732"/>
      <c r="U855" s="732"/>
      <c r="V855" s="732"/>
      <c r="W855" s="732"/>
      <c r="X855" s="732"/>
      <c r="Y855" s="732"/>
      <c r="Z855" s="732"/>
      <c r="AA855" s="732"/>
      <c r="AB855" s="732"/>
      <c r="AC855" s="732"/>
      <c r="AD855" s="732"/>
      <c r="AE855" s="732"/>
      <c r="AF855" s="732"/>
      <c r="AG855" s="732"/>
      <c r="AH855" s="732"/>
      <c r="AI855" s="732"/>
      <c r="AJ855" s="732"/>
      <c r="AK855" s="732"/>
      <c r="AL855" s="732"/>
      <c r="AM855" s="732"/>
      <c r="AN855" s="732"/>
      <c r="AO855" s="732"/>
      <c r="AP855" s="732"/>
      <c r="AQ855" s="732"/>
      <c r="AR855" s="732"/>
      <c r="AS855" s="732"/>
      <c r="AT855" s="732"/>
      <c r="AU855" s="732"/>
      <c r="AV855" s="732"/>
      <c r="AW855" s="732"/>
      <c r="AX855" s="732"/>
      <c r="AY855" s="732"/>
      <c r="AZ855" s="732"/>
      <c r="BA855" s="732"/>
      <c r="BB855" s="732"/>
      <c r="BC855" s="732"/>
      <c r="BD855" s="732"/>
      <c r="BE855" s="732"/>
      <c r="BF855" s="732"/>
      <c r="BG855" s="732"/>
      <c r="BH855" s="732"/>
      <c r="BI855" s="732"/>
      <c r="BJ855" s="732"/>
      <c r="BK855" s="732"/>
      <c r="BL855" s="732"/>
      <c r="BM855" s="732"/>
      <c r="BN855" s="732"/>
      <c r="BO855" s="732"/>
      <c r="BP855" s="732"/>
    </row>
    <row r="856" spans="1:68" x14ac:dyDescent="0.25">
      <c r="A856" s="126" t="s">
        <v>1365</v>
      </c>
      <c r="B856" s="608" t="s">
        <v>595</v>
      </c>
      <c r="C856" s="148" t="s">
        <v>843</v>
      </c>
      <c r="D856" s="148" t="s">
        <v>686</v>
      </c>
      <c r="E856" s="148" t="s">
        <v>839</v>
      </c>
      <c r="F856" s="148" t="s">
        <v>764</v>
      </c>
      <c r="G856" s="148" t="s">
        <v>765</v>
      </c>
      <c r="H856" s="148" t="s">
        <v>766</v>
      </c>
      <c r="I856" s="148" t="s">
        <v>767</v>
      </c>
      <c r="J856" s="148" t="s">
        <v>768</v>
      </c>
      <c r="K856" s="148" t="s">
        <v>769</v>
      </c>
      <c r="L856" s="148" t="s">
        <v>770</v>
      </c>
      <c r="M856" s="148" t="s">
        <v>771</v>
      </c>
      <c r="N856" s="148" t="s">
        <v>772</v>
      </c>
      <c r="O856" s="148" t="s">
        <v>773</v>
      </c>
      <c r="P856" s="148" t="s">
        <v>774</v>
      </c>
      <c r="Q856" s="148" t="s">
        <v>775</v>
      </c>
      <c r="R856" s="148" t="s">
        <v>776</v>
      </c>
      <c r="S856" s="148" t="s">
        <v>777</v>
      </c>
      <c r="T856" s="148" t="s">
        <v>778</v>
      </c>
      <c r="U856" s="148" t="s">
        <v>779</v>
      </c>
      <c r="V856" s="148" t="s">
        <v>780</v>
      </c>
      <c r="W856" s="148" t="s">
        <v>1380</v>
      </c>
      <c r="X856" s="148" t="s">
        <v>1381</v>
      </c>
      <c r="Y856" s="148" t="s">
        <v>781</v>
      </c>
      <c r="Z856" s="148" t="s">
        <v>782</v>
      </c>
      <c r="AA856" s="148" t="s">
        <v>783</v>
      </c>
      <c r="AB856" s="239" t="s">
        <v>784</v>
      </c>
      <c r="AC856" s="148" t="s">
        <v>685</v>
      </c>
      <c r="AD856" s="148" t="s">
        <v>703</v>
      </c>
      <c r="AE856" s="148" t="s">
        <v>683</v>
      </c>
      <c r="AF856" s="148" t="s">
        <v>684</v>
      </c>
      <c r="AG856" s="148" t="s">
        <v>704</v>
      </c>
      <c r="AH856" s="148" t="s">
        <v>705</v>
      </c>
      <c r="AI856" s="148" t="s">
        <v>706</v>
      </c>
      <c r="AJ856" s="148" t="s">
        <v>707</v>
      </c>
      <c r="AK856" s="148" t="s">
        <v>708</v>
      </c>
      <c r="AL856" s="148" t="s">
        <v>694</v>
      </c>
      <c r="AM856" s="148" t="s">
        <v>63</v>
      </c>
      <c r="AN856" s="148" t="s">
        <v>695</v>
      </c>
      <c r="AO856" s="148" t="s">
        <v>696</v>
      </c>
      <c r="AP856" s="148" t="s">
        <v>693</v>
      </c>
      <c r="AQ856" s="148" t="s">
        <v>692</v>
      </c>
      <c r="AR856" s="148" t="s">
        <v>728</v>
      </c>
      <c r="AS856" s="148" t="s">
        <v>21</v>
      </c>
      <c r="AT856" s="148" t="s">
        <v>689</v>
      </c>
      <c r="AU856" s="148" t="s">
        <v>102</v>
      </c>
      <c r="AV856" s="148" t="s">
        <v>53</v>
      </c>
      <c r="AW856" s="148" t="s">
        <v>54</v>
      </c>
      <c r="AX856" s="148" t="s">
        <v>106</v>
      </c>
      <c r="AY856" s="148" t="s">
        <v>107</v>
      </c>
      <c r="AZ856" s="148" t="s">
        <v>698</v>
      </c>
      <c r="BA856" s="148" t="s">
        <v>729</v>
      </c>
      <c r="BB856" s="148" t="s">
        <v>6</v>
      </c>
      <c r="BC856" s="148" t="s">
        <v>103</v>
      </c>
      <c r="BD856" s="148" t="s">
        <v>730</v>
      </c>
      <c r="BE856" s="148" t="s">
        <v>55</v>
      </c>
      <c r="BF856" s="148" t="s">
        <v>56</v>
      </c>
      <c r="BG856" s="148" t="s">
        <v>699</v>
      </c>
      <c r="BH856" s="148" t="s">
        <v>641</v>
      </c>
      <c r="BI856" s="148" t="s">
        <v>642</v>
      </c>
      <c r="BJ856" s="148" t="s">
        <v>700</v>
      </c>
      <c r="BK856" s="148" t="s">
        <v>701</v>
      </c>
      <c r="BL856" s="148" t="s">
        <v>702</v>
      </c>
      <c r="BM856" s="148" t="s">
        <v>1205</v>
      </c>
      <c r="BN856" s="148" t="s">
        <v>1206</v>
      </c>
      <c r="BO856" s="148" t="s">
        <v>1890</v>
      </c>
      <c r="BP856" s="148" t="s">
        <v>1889</v>
      </c>
    </row>
    <row r="857" spans="1:68" x14ac:dyDescent="0.25">
      <c r="B857" s="608" t="s">
        <v>844</v>
      </c>
      <c r="C857" s="148" t="s">
        <v>845</v>
      </c>
      <c r="D857" s="148" t="s">
        <v>710</v>
      </c>
      <c r="E857" s="148" t="s">
        <v>709</v>
      </c>
      <c r="F857" s="148" t="s">
        <v>785</v>
      </c>
      <c r="G857" s="148" t="s">
        <v>786</v>
      </c>
      <c r="H857" s="148" t="s">
        <v>787</v>
      </c>
      <c r="I857" s="148" t="s">
        <v>788</v>
      </c>
      <c r="J857" s="148" t="s">
        <v>789</v>
      </c>
      <c r="K857" s="148" t="s">
        <v>790</v>
      </c>
      <c r="L857" s="148" t="s">
        <v>791</v>
      </c>
      <c r="M857" s="148" t="s">
        <v>792</v>
      </c>
      <c r="N857" s="148" t="s">
        <v>793</v>
      </c>
      <c r="O857" s="148" t="s">
        <v>794</v>
      </c>
      <c r="P857" s="148" t="s">
        <v>795</v>
      </c>
      <c r="Q857" s="148" t="s">
        <v>796</v>
      </c>
      <c r="R857" s="148" t="s">
        <v>797</v>
      </c>
      <c r="S857" s="148" t="s">
        <v>798</v>
      </c>
      <c r="T857" s="148" t="s">
        <v>799</v>
      </c>
      <c r="U857" s="148" t="s">
        <v>800</v>
      </c>
      <c r="V857" s="148" t="s">
        <v>801</v>
      </c>
      <c r="W857" s="148" t="s">
        <v>802</v>
      </c>
      <c r="X857" s="148" t="s">
        <v>803</v>
      </c>
      <c r="Y857" s="148" t="s">
        <v>804</v>
      </c>
      <c r="Z857" s="148" t="s">
        <v>805</v>
      </c>
      <c r="AA857" s="148" t="s">
        <v>806</v>
      </c>
      <c r="AB857" s="239" t="s">
        <v>807</v>
      </c>
      <c r="AC857" s="148" t="s">
        <v>808</v>
      </c>
      <c r="AD857" s="148" t="s">
        <v>726</v>
      </c>
      <c r="AE857" s="148" t="s">
        <v>727</v>
      </c>
      <c r="AF857" s="148" t="s">
        <v>731</v>
      </c>
      <c r="AG857" s="148" t="s">
        <v>732</v>
      </c>
      <c r="AH857" s="148" t="s">
        <v>733</v>
      </c>
      <c r="AI857" s="148" t="s">
        <v>734</v>
      </c>
      <c r="AJ857" s="148" t="s">
        <v>735</v>
      </c>
      <c r="AK857" s="148" t="s">
        <v>809</v>
      </c>
      <c r="AL857" s="148" t="s">
        <v>810</v>
      </c>
      <c r="AM857" s="148" t="s">
        <v>811</v>
      </c>
      <c r="AN857" s="148" t="s">
        <v>812</v>
      </c>
      <c r="AO857" s="148" t="s">
        <v>813</v>
      </c>
      <c r="AP857" s="148" t="s">
        <v>814</v>
      </c>
      <c r="AQ857" s="148" t="s">
        <v>815</v>
      </c>
      <c r="AR857" s="148" t="s">
        <v>816</v>
      </c>
      <c r="AS857" s="148" t="s">
        <v>817</v>
      </c>
      <c r="AT857" s="148" t="s">
        <v>818</v>
      </c>
      <c r="AU857" s="148" t="s">
        <v>819</v>
      </c>
      <c r="AV857" s="148" t="s">
        <v>820</v>
      </c>
      <c r="AW857" s="148" t="s">
        <v>821</v>
      </c>
      <c r="AX857" s="148" t="s">
        <v>822</v>
      </c>
      <c r="AY857" s="148" t="s">
        <v>823</v>
      </c>
      <c r="AZ857" s="148" t="s">
        <v>824</v>
      </c>
      <c r="BA857" s="148" t="s">
        <v>825</v>
      </c>
      <c r="BB857" s="148" t="s">
        <v>826</v>
      </c>
      <c r="BC857" s="148" t="s">
        <v>827</v>
      </c>
      <c r="BD857" s="148" t="s">
        <v>828</v>
      </c>
      <c r="BE857" s="148" t="s">
        <v>829</v>
      </c>
      <c r="BF857" s="148" t="s">
        <v>830</v>
      </c>
      <c r="BG857" s="148" t="s">
        <v>831</v>
      </c>
      <c r="BH857" s="148" t="s">
        <v>832</v>
      </c>
      <c r="BI857" s="148" t="s">
        <v>833</v>
      </c>
      <c r="BJ857" s="148" t="s">
        <v>834</v>
      </c>
      <c r="BK857" s="148" t="s">
        <v>835</v>
      </c>
      <c r="BL857" s="148" t="s">
        <v>836</v>
      </c>
      <c r="BM857" s="148" t="s">
        <v>1205</v>
      </c>
      <c r="BN857" s="148" t="s">
        <v>1206</v>
      </c>
      <c r="BO857" s="148" t="s">
        <v>1891</v>
      </c>
      <c r="BP857" s="148" t="s">
        <v>1889</v>
      </c>
    </row>
    <row r="858" spans="1:68" s="550" customFormat="1" x14ac:dyDescent="0.25">
      <c r="A858" s="620"/>
      <c r="B858" s="609">
        <f>$B$2</f>
        <v>20180326</v>
      </c>
      <c r="C858" s="551" t="str">
        <f>$F$8</f>
        <v>9999</v>
      </c>
      <c r="D858" s="551" t="str">
        <f>$D$8</f>
        <v>6001</v>
      </c>
      <c r="E858" s="551" t="s">
        <v>855</v>
      </c>
      <c r="F858" s="551">
        <f>ROUND(G858-S858+T858+AL858-AR858-AS858-AT858-AU858-AV858-AW858+BH858-BI858,2)</f>
        <v>71325.86</v>
      </c>
      <c r="G858" s="551">
        <v>0</v>
      </c>
      <c r="H858" s="551">
        <f>ROUND(I858-S858+T858+AP858-AR858-AS858-AT858-AU858-AV858-AW858+BH858-BI858,2)</f>
        <v>82670.86</v>
      </c>
      <c r="I858" s="551">
        <v>0</v>
      </c>
      <c r="J858" s="551">
        <f>ROUND(F858+U858-V858+Q858,2)</f>
        <v>82636.14</v>
      </c>
      <c r="K858" s="551">
        <f>ROUND(F858+Q858-AD858+U858-V858,2)</f>
        <v>-388510.76</v>
      </c>
      <c r="L858" s="551">
        <f>ROUND(F858-AD858-O858-V858+U858,2)</f>
        <v>-394510.76</v>
      </c>
      <c r="M858" s="551">
        <v>0</v>
      </c>
      <c r="N858" s="551">
        <f>IF(P858-K858&gt;0,P858-K858,0)</f>
        <v>390510.76</v>
      </c>
      <c r="O858" s="551">
        <f t="shared" ref="O858:P860" si="660">D196</f>
        <v>1000</v>
      </c>
      <c r="P858" s="551">
        <f t="shared" si="660"/>
        <v>2000</v>
      </c>
      <c r="Q858" s="551">
        <f>I260</f>
        <v>5000</v>
      </c>
      <c r="R858" s="551">
        <v>0</v>
      </c>
      <c r="S858" s="551">
        <f>SUMPRODUCT(( $C$302:$C$307=D858)*($D$302:$D$307=E858)*($F$302:$F$307=1)*($E$302:$E$307))</f>
        <v>1000</v>
      </c>
      <c r="T858" s="551">
        <f>SUMPRODUCT(( $C$302:$C$307=D858)*($D$302:$D$307=E858)*($F$302:$F$307=0)*($E$302:$E$307))</f>
        <v>3000.99</v>
      </c>
      <c r="U858" s="551">
        <f>ROUND(ROUND(V860*BM858*BN858,2)+ROUND(V859*BO858*BP858,2),2)</f>
        <v>6310.28</v>
      </c>
      <c r="V858" s="551">
        <v>0</v>
      </c>
      <c r="W858" s="551">
        <v>0</v>
      </c>
      <c r="X858" s="551">
        <v>0</v>
      </c>
      <c r="Y858" s="551">
        <f>ROUND(IF(U858&gt;=AX858,AX858,U858),2)</f>
        <v>6310.28</v>
      </c>
      <c r="Z858" s="551">
        <f>ROUND((IF(U858&gt;=BG858,BG858,U858)),2)</f>
        <v>6310.28</v>
      </c>
      <c r="AA858" s="551">
        <v>0</v>
      </c>
      <c r="AB858" s="552">
        <f>ROUND(J858+BK858-BL858,2)</f>
        <v>-13563.86</v>
      </c>
      <c r="AC858" s="551">
        <f>ROUND(Y858,2)</f>
        <v>6310.28</v>
      </c>
      <c r="AD858" s="551">
        <f>ROUND(F850,2)</f>
        <v>471146.9</v>
      </c>
      <c r="AE858" s="551">
        <f>ROUND(G850,2)</f>
        <v>261308.29</v>
      </c>
      <c r="AF858" s="551">
        <f t="shared" ref="AF858:AN858" si="661">H850</f>
        <v>195778.00999999998</v>
      </c>
      <c r="AG858" s="551">
        <f t="shared" si="661"/>
        <v>14060.6</v>
      </c>
      <c r="AH858" s="551">
        <f t="shared" si="661"/>
        <v>409014.63999999996</v>
      </c>
      <c r="AI858" s="551">
        <f t="shared" si="661"/>
        <v>228699.11</v>
      </c>
      <c r="AJ858" s="551">
        <f t="shared" si="661"/>
        <v>169017.93</v>
      </c>
      <c r="AK858" s="551">
        <f t="shared" si="661"/>
        <v>11297.6</v>
      </c>
      <c r="AL858" s="551">
        <f t="shared" si="661"/>
        <v>-11845</v>
      </c>
      <c r="AM858" s="551">
        <f t="shared" si="661"/>
        <v>-500</v>
      </c>
      <c r="AN858" s="551">
        <f t="shared" si="661"/>
        <v>-11345</v>
      </c>
      <c r="AO858" s="551">
        <f>AP858+AQ858</f>
        <v>-11845</v>
      </c>
      <c r="AP858" s="551">
        <f t="shared" ref="AP858:BL858" si="662">R850</f>
        <v>-500</v>
      </c>
      <c r="AQ858" s="551">
        <f t="shared" si="662"/>
        <v>-11345</v>
      </c>
      <c r="AR858" s="551">
        <f t="shared" si="662"/>
        <v>4231.5700000000006</v>
      </c>
      <c r="AS858" s="551">
        <f t="shared" si="662"/>
        <v>0</v>
      </c>
      <c r="AT858" s="551">
        <f t="shared" si="662"/>
        <v>1860.1100000000001</v>
      </c>
      <c r="AU858" s="551">
        <f t="shared" si="662"/>
        <v>0</v>
      </c>
      <c r="AV858" s="551">
        <f t="shared" si="662"/>
        <v>408.45</v>
      </c>
      <c r="AW858" s="551">
        <f t="shared" si="662"/>
        <v>0</v>
      </c>
      <c r="AX858" s="551">
        <f t="shared" si="662"/>
        <v>47864.74</v>
      </c>
      <c r="AY858" s="551">
        <f t="shared" si="662"/>
        <v>-13425</v>
      </c>
      <c r="AZ858" s="551">
        <f t="shared" si="662"/>
        <v>1381.63</v>
      </c>
      <c r="BA858" s="551">
        <f t="shared" si="662"/>
        <v>3603.4700000000003</v>
      </c>
      <c r="BB858" s="551">
        <f t="shared" si="662"/>
        <v>0</v>
      </c>
      <c r="BC858" s="551">
        <f t="shared" si="662"/>
        <v>0</v>
      </c>
      <c r="BD858" s="551">
        <f t="shared" si="662"/>
        <v>0</v>
      </c>
      <c r="BE858" s="551">
        <f t="shared" si="662"/>
        <v>377.45</v>
      </c>
      <c r="BF858" s="551">
        <f t="shared" si="662"/>
        <v>0</v>
      </c>
      <c r="BG858" s="551">
        <f t="shared" si="662"/>
        <v>39194.559999999998</v>
      </c>
      <c r="BH858" s="551">
        <f t="shared" si="662"/>
        <v>442700</v>
      </c>
      <c r="BI858" s="551">
        <f t="shared" si="662"/>
        <v>355030</v>
      </c>
      <c r="BJ858" s="551">
        <f t="shared" si="662"/>
        <v>0</v>
      </c>
      <c r="BK858" s="551">
        <f t="shared" si="662"/>
        <v>156125</v>
      </c>
      <c r="BL858" s="551">
        <f t="shared" si="662"/>
        <v>252325</v>
      </c>
      <c r="BM858" s="553">
        <f>B201</f>
        <v>6.1234000000000002</v>
      </c>
      <c r="BN858" s="553">
        <f>B206</f>
        <v>0.9</v>
      </c>
      <c r="BO858" s="551">
        <f>B203</f>
        <v>0.88200000000000001</v>
      </c>
      <c r="BP858" s="551">
        <f>B208</f>
        <v>0.9</v>
      </c>
    </row>
    <row r="859" spans="1:68" s="353" customFormat="1" x14ac:dyDescent="0.25">
      <c r="A859" s="621"/>
      <c r="B859" s="610">
        <f>$B$2</f>
        <v>20180326</v>
      </c>
      <c r="C859" s="306" t="str">
        <f>$F$8</f>
        <v>9999</v>
      </c>
      <c r="D859" s="306" t="str">
        <f>$D$8</f>
        <v>6001</v>
      </c>
      <c r="E859" s="306" t="s">
        <v>1886</v>
      </c>
      <c r="F859" s="306">
        <f>G859-S859+T859+AL859-AR859-AS859-AT859-AU859-AV859-AW859+BH859-BI859</f>
        <v>1000.8599999999999</v>
      </c>
      <c r="G859" s="306">
        <v>0</v>
      </c>
      <c r="H859" s="419">
        <f>I859-S859+T859+AO859-AR859-AS859-AT859-AU859-AV859-AW859</f>
        <v>1000.8599999999999</v>
      </c>
      <c r="I859" s="306">
        <v>0</v>
      </c>
      <c r="J859" s="306">
        <f>F859+U859-V859+Q859</f>
        <v>0</v>
      </c>
      <c r="K859" s="306">
        <f>F859+Q859-AD859+U859-V859</f>
        <v>0</v>
      </c>
      <c r="L859" s="306">
        <f>F859-AD859-O859-V859+U859</f>
        <v>0</v>
      </c>
      <c r="M859" s="306">
        <v>0</v>
      </c>
      <c r="N859" s="306">
        <f>IF(P859-K859&gt;0,P859-K859,0)</f>
        <v>0</v>
      </c>
      <c r="O859" s="306">
        <f t="shared" si="660"/>
        <v>0</v>
      </c>
      <c r="P859" s="306">
        <f t="shared" si="660"/>
        <v>0</v>
      </c>
      <c r="Q859" s="306">
        <v>0</v>
      </c>
      <c r="R859" s="306">
        <v>0</v>
      </c>
      <c r="S859" s="306">
        <f>SUMPRODUCT(( $C$302:$C$307=D859)*($D$302:$D$307=E859)*($F$302:$F$307=1)*($E$302:$E$307))</f>
        <v>1000</v>
      </c>
      <c r="T859" s="306">
        <f>SUMPRODUCT(( $C$302:$C$307=D859)*($D$302:$D$307=E859)*($F$302:$F$307=0)*($E$302:$E$307))</f>
        <v>2000.86</v>
      </c>
      <c r="U859" s="306">
        <v>0</v>
      </c>
      <c r="V859" s="306">
        <f>T859-S859+G859</f>
        <v>1000.8599999999999</v>
      </c>
      <c r="W859" s="306">
        <v>0</v>
      </c>
      <c r="X859" s="306">
        <v>0</v>
      </c>
      <c r="Y859" s="306">
        <v>0</v>
      </c>
      <c r="Z859" s="306">
        <v>0</v>
      </c>
      <c r="AA859" s="306">
        <v>0</v>
      </c>
      <c r="AB859" s="354">
        <f>J859+BK859-BL859</f>
        <v>0</v>
      </c>
      <c r="AC859" s="306">
        <v>0</v>
      </c>
      <c r="AD859" s="306">
        <v>0</v>
      </c>
      <c r="AE859" s="306">
        <v>0</v>
      </c>
      <c r="AF859" s="306">
        <v>0</v>
      </c>
      <c r="AG859" s="306">
        <v>0</v>
      </c>
      <c r="AH859" s="306">
        <v>0</v>
      </c>
      <c r="AI859" s="306">
        <v>0</v>
      </c>
      <c r="AJ859" s="306">
        <v>0</v>
      </c>
      <c r="AK859" s="306">
        <v>0</v>
      </c>
      <c r="AL859" s="306">
        <v>0</v>
      </c>
      <c r="AM859" s="306">
        <v>0</v>
      </c>
      <c r="AN859" s="306">
        <v>0</v>
      </c>
      <c r="AO859" s="306">
        <v>0</v>
      </c>
      <c r="AP859" s="306">
        <v>0</v>
      </c>
      <c r="AQ859" s="306">
        <v>0</v>
      </c>
      <c r="AR859" s="306">
        <v>0</v>
      </c>
      <c r="AS859" s="306">
        <v>0</v>
      </c>
      <c r="AT859" s="306">
        <v>0</v>
      </c>
      <c r="AU859" s="306">
        <v>0</v>
      </c>
      <c r="AV859" s="306">
        <v>0</v>
      </c>
      <c r="AW859" s="306">
        <v>0</v>
      </c>
      <c r="AX859" s="306">
        <v>0</v>
      </c>
      <c r="AY859" s="306">
        <v>0</v>
      </c>
      <c r="AZ859" s="306">
        <v>0</v>
      </c>
      <c r="BA859" s="306">
        <v>0</v>
      </c>
      <c r="BB859" s="306">
        <v>0</v>
      </c>
      <c r="BC859" s="306">
        <v>0</v>
      </c>
      <c r="BD859" s="306">
        <v>0</v>
      </c>
      <c r="BE859" s="306">
        <v>0</v>
      </c>
      <c r="BF859" s="306">
        <v>0</v>
      </c>
      <c r="BG859" s="306">
        <v>0</v>
      </c>
      <c r="BH859" s="306">
        <v>0</v>
      </c>
      <c r="BI859" s="306">
        <v>0</v>
      </c>
      <c r="BJ859" s="306">
        <v>0</v>
      </c>
      <c r="BK859" s="306">
        <v>0</v>
      </c>
      <c r="BL859" s="306">
        <v>0</v>
      </c>
      <c r="BM859" s="355"/>
      <c r="BN859" s="355"/>
      <c r="BO859" s="306"/>
      <c r="BP859" s="306"/>
    </row>
    <row r="860" spans="1:68" s="353" customFormat="1" x14ac:dyDescent="0.25">
      <c r="A860" s="621"/>
      <c r="B860" s="610">
        <f>$B$2</f>
        <v>20180326</v>
      </c>
      <c r="C860" s="306" t="str">
        <f>$F$8</f>
        <v>9999</v>
      </c>
      <c r="D860" s="306" t="str">
        <f>$D$8</f>
        <v>6001</v>
      </c>
      <c r="E860" s="355" t="s">
        <v>1204</v>
      </c>
      <c r="F860" s="306">
        <f>G860-S860+T860+AL860-AR860-AS860-AT860-AU860-AV860-AW860+BH860-BI860</f>
        <v>1000.8599999999999</v>
      </c>
      <c r="G860" s="306">
        <v>0</v>
      </c>
      <c r="H860" s="306">
        <f>I860-S860+T860+AO860-AR860-AS860-AT860-AU860-AV860-AW860</f>
        <v>1000.8599999999999</v>
      </c>
      <c r="I860" s="306">
        <v>0</v>
      </c>
      <c r="J860" s="306">
        <f>F860+U860-V860+Q860</f>
        <v>0</v>
      </c>
      <c r="K860" s="306">
        <f>F860+Q860-AD860+U860-V860</f>
        <v>0</v>
      </c>
      <c r="L860" s="306">
        <f>F860-AD860-O860-V860+U860</f>
        <v>0</v>
      </c>
      <c r="M860" s="306">
        <v>0</v>
      </c>
      <c r="N860" s="306">
        <f>IF(P860-K860&gt;0,P860-K860,0)</f>
        <v>0</v>
      </c>
      <c r="O860" s="306">
        <f t="shared" si="660"/>
        <v>0</v>
      </c>
      <c r="P860" s="306">
        <f t="shared" si="660"/>
        <v>0</v>
      </c>
      <c r="Q860" s="306">
        <v>0</v>
      </c>
      <c r="R860" s="306">
        <v>0</v>
      </c>
      <c r="S860" s="306">
        <f>SUMPRODUCT(( $C$302:$C$307=D860)*($D$302:$D$307=E860)*($F$302:$F$307=1)*($E$302:$E$307))</f>
        <v>1000</v>
      </c>
      <c r="T860" s="306">
        <f>SUMPRODUCT(( $C$302:$C$307=D860)*($D$302:$D$307=E860)*($F$302:$F$307=0)*($E$302:$E$307))</f>
        <v>2000.86</v>
      </c>
      <c r="U860" s="306">
        <v>0</v>
      </c>
      <c r="V860" s="306">
        <f>T860-S860+G860</f>
        <v>1000.8599999999999</v>
      </c>
      <c r="W860" s="306">
        <v>0</v>
      </c>
      <c r="X860" s="306">
        <v>0</v>
      </c>
      <c r="Y860" s="306">
        <v>0</v>
      </c>
      <c r="Z860" s="306">
        <v>0</v>
      </c>
      <c r="AA860" s="306">
        <v>0</v>
      </c>
      <c r="AB860" s="354">
        <f>J860+BK860-BL860</f>
        <v>0</v>
      </c>
      <c r="AC860" s="306">
        <v>0</v>
      </c>
      <c r="AD860" s="306">
        <v>0</v>
      </c>
      <c r="AE860" s="306">
        <v>0</v>
      </c>
      <c r="AF860" s="306">
        <v>0</v>
      </c>
      <c r="AG860" s="306">
        <v>0</v>
      </c>
      <c r="AH860" s="306">
        <v>0</v>
      </c>
      <c r="AI860" s="306">
        <v>0</v>
      </c>
      <c r="AJ860" s="306">
        <v>0</v>
      </c>
      <c r="AK860" s="306">
        <v>0</v>
      </c>
      <c r="AL860" s="306">
        <v>0</v>
      </c>
      <c r="AM860" s="306">
        <v>0</v>
      </c>
      <c r="AN860" s="306">
        <v>0</v>
      </c>
      <c r="AO860" s="306">
        <v>0</v>
      </c>
      <c r="AP860" s="306">
        <v>0</v>
      </c>
      <c r="AQ860" s="306">
        <v>0</v>
      </c>
      <c r="AR860" s="306">
        <v>0</v>
      </c>
      <c r="AS860" s="306">
        <v>0</v>
      </c>
      <c r="AT860" s="306">
        <v>0</v>
      </c>
      <c r="AU860" s="306">
        <v>0</v>
      </c>
      <c r="AV860" s="306">
        <v>0</v>
      </c>
      <c r="AW860" s="306">
        <v>0</v>
      </c>
      <c r="AX860" s="306">
        <v>0</v>
      </c>
      <c r="AY860" s="306">
        <v>0</v>
      </c>
      <c r="AZ860" s="306">
        <v>0</v>
      </c>
      <c r="BA860" s="306">
        <v>0</v>
      </c>
      <c r="BB860" s="306">
        <v>0</v>
      </c>
      <c r="BC860" s="306">
        <v>0</v>
      </c>
      <c r="BD860" s="306">
        <v>0</v>
      </c>
      <c r="BE860" s="306">
        <v>0</v>
      </c>
      <c r="BF860" s="306">
        <v>0</v>
      </c>
      <c r="BG860" s="306">
        <v>0</v>
      </c>
      <c r="BH860" s="306">
        <v>0</v>
      </c>
      <c r="BI860" s="306">
        <v>0</v>
      </c>
      <c r="BJ860" s="306">
        <v>0</v>
      </c>
      <c r="BK860" s="306">
        <v>0</v>
      </c>
      <c r="BL860" s="306">
        <v>0</v>
      </c>
      <c r="BM860" s="306"/>
      <c r="BN860" s="306"/>
      <c r="BO860" s="306"/>
      <c r="BP860" s="306"/>
    </row>
    <row r="861" spans="1:68" x14ac:dyDescent="0.25">
      <c r="A861" s="126" t="s">
        <v>990</v>
      </c>
      <c r="B861" t="s">
        <v>1382</v>
      </c>
    </row>
    <row r="862" spans="1:68" ht="15" customHeight="1" x14ac:dyDescent="0.25">
      <c r="A862" s="57" t="s">
        <v>124</v>
      </c>
      <c r="B862" s="57" t="s">
        <v>981</v>
      </c>
      <c r="L862" s="238"/>
    </row>
    <row r="863" spans="1:68" x14ac:dyDescent="0.25">
      <c r="A863" s="126" t="s">
        <v>973</v>
      </c>
      <c r="B863" s="719" t="s">
        <v>838</v>
      </c>
      <c r="C863" s="719"/>
      <c r="D863" s="719"/>
      <c r="E863" s="719"/>
      <c r="F863" s="719"/>
      <c r="G863" s="719"/>
      <c r="H863" s="719"/>
      <c r="I863" s="719"/>
      <c r="J863" s="719"/>
      <c r="K863" s="719"/>
      <c r="L863" s="719"/>
      <c r="M863" s="719"/>
      <c r="N863" s="719"/>
      <c r="O863" s="719"/>
      <c r="P863" s="719"/>
      <c r="Q863" s="719"/>
      <c r="R863" s="719"/>
      <c r="S863" s="719"/>
      <c r="T863" s="719"/>
      <c r="U863" s="719"/>
      <c r="V863" s="719"/>
      <c r="W863" s="719"/>
      <c r="X863" s="719"/>
      <c r="Y863" s="719"/>
      <c r="Z863" s="719"/>
      <c r="AA863" s="719"/>
      <c r="AB863" s="719"/>
      <c r="AC863" s="719"/>
      <c r="AD863" s="719"/>
      <c r="AE863" s="719"/>
      <c r="AF863" s="719"/>
      <c r="AG863" s="719"/>
      <c r="AH863" s="719"/>
      <c r="AI863" s="719"/>
      <c r="AJ863" s="719"/>
      <c r="AK863" s="719"/>
      <c r="AL863" s="719"/>
      <c r="AM863" s="719"/>
      <c r="AN863" s="719"/>
      <c r="AO863" s="719"/>
      <c r="AP863" s="719"/>
      <c r="AQ863" s="719"/>
      <c r="AR863" s="719"/>
      <c r="AS863" s="719"/>
    </row>
    <row r="864" spans="1:68" x14ac:dyDescent="0.25">
      <c r="A864" s="126" t="s">
        <v>1673</v>
      </c>
      <c r="B864" s="608" t="s">
        <v>595</v>
      </c>
      <c r="C864" s="148" t="s">
        <v>843</v>
      </c>
      <c r="D864" s="148" t="s">
        <v>848</v>
      </c>
      <c r="E864" s="148" t="s">
        <v>686</v>
      </c>
      <c r="F864" s="148" t="s">
        <v>849</v>
      </c>
      <c r="G864" s="148" t="s">
        <v>764</v>
      </c>
      <c r="H864" s="148" t="s">
        <v>765</v>
      </c>
      <c r="I864" s="148" t="s">
        <v>768</v>
      </c>
      <c r="J864" s="148" t="s">
        <v>769</v>
      </c>
      <c r="K864" s="148" t="s">
        <v>770</v>
      </c>
      <c r="L864" s="148" t="s">
        <v>777</v>
      </c>
      <c r="M864" s="148" t="s">
        <v>778</v>
      </c>
      <c r="N864" s="148" t="s">
        <v>775</v>
      </c>
      <c r="O864" s="148" t="s">
        <v>703</v>
      </c>
      <c r="P864" s="148" t="s">
        <v>683</v>
      </c>
      <c r="Q864" s="148" t="s">
        <v>684</v>
      </c>
      <c r="R864" s="148" t="s">
        <v>704</v>
      </c>
      <c r="S864" s="148" t="s">
        <v>705</v>
      </c>
      <c r="T864" s="148" t="s">
        <v>706</v>
      </c>
      <c r="U864" s="148" t="s">
        <v>707</v>
      </c>
      <c r="V864" s="148" t="s">
        <v>708</v>
      </c>
      <c r="W864" s="148" t="s">
        <v>850</v>
      </c>
      <c r="X864" s="148" t="s">
        <v>14</v>
      </c>
      <c r="Y864" s="148" t="s">
        <v>694</v>
      </c>
      <c r="Z864" s="243" t="s">
        <v>696</v>
      </c>
      <c r="AA864" s="148" t="s">
        <v>60</v>
      </c>
      <c r="AB864" s="148" t="s">
        <v>851</v>
      </c>
      <c r="AC864" s="148" t="s">
        <v>852</v>
      </c>
      <c r="AD864" s="148" t="s">
        <v>633</v>
      </c>
      <c r="AE864" s="148" t="s">
        <v>630</v>
      </c>
      <c r="AF864" s="148" t="s">
        <v>632</v>
      </c>
      <c r="AG864" s="148" t="s">
        <v>729</v>
      </c>
      <c r="AH864" s="148" t="s">
        <v>6</v>
      </c>
      <c r="AI864" s="148" t="s">
        <v>103</v>
      </c>
      <c r="AJ864" s="148" t="s">
        <v>730</v>
      </c>
      <c r="AK864" s="148" t="s">
        <v>55</v>
      </c>
      <c r="AL864" s="148" t="s">
        <v>56</v>
      </c>
      <c r="AM864" s="148" t="s">
        <v>853</v>
      </c>
      <c r="AN864" s="148" t="s">
        <v>854</v>
      </c>
      <c r="AO864" s="148" t="s">
        <v>700</v>
      </c>
      <c r="AP864" s="201" t="s">
        <v>1205</v>
      </c>
      <c r="AQ864" s="201" t="s">
        <v>1206</v>
      </c>
      <c r="AR864" s="201" t="s">
        <v>1888</v>
      </c>
      <c r="AS864" s="201" t="s">
        <v>1889</v>
      </c>
    </row>
    <row r="865" spans="1:105" x14ac:dyDescent="0.25">
      <c r="B865" s="608" t="s">
        <v>844</v>
      </c>
      <c r="C865" s="148" t="s">
        <v>845</v>
      </c>
      <c r="D865" s="148" t="s">
        <v>652</v>
      </c>
      <c r="E865" s="148" t="s">
        <v>710</v>
      </c>
      <c r="F865" s="148" t="s">
        <v>709</v>
      </c>
      <c r="G865" s="148" t="s">
        <v>785</v>
      </c>
      <c r="H865" s="148" t="s">
        <v>786</v>
      </c>
      <c r="I865" s="148" t="s">
        <v>789</v>
      </c>
      <c r="J865" s="148" t="s">
        <v>790</v>
      </c>
      <c r="K865" s="148" t="s">
        <v>791</v>
      </c>
      <c r="L865" s="148" t="s">
        <v>798</v>
      </c>
      <c r="M865" s="148" t="s">
        <v>799</v>
      </c>
      <c r="N865" s="148" t="s">
        <v>796</v>
      </c>
      <c r="O865" s="148" t="s">
        <v>726</v>
      </c>
      <c r="P865" s="148" t="s">
        <v>727</v>
      </c>
      <c r="Q865" s="148" t="s">
        <v>731</v>
      </c>
      <c r="R865" s="148" t="s">
        <v>732</v>
      </c>
      <c r="S865" s="312" t="s">
        <v>733</v>
      </c>
      <c r="T865" s="312" t="s">
        <v>734</v>
      </c>
      <c r="U865" s="148" t="s">
        <v>735</v>
      </c>
      <c r="V865" s="148" t="s">
        <v>809</v>
      </c>
      <c r="W865" s="148" t="s">
        <v>811</v>
      </c>
      <c r="X865" s="148" t="s">
        <v>812</v>
      </c>
      <c r="Y865" s="148" t="s">
        <v>810</v>
      </c>
      <c r="Z865" s="243" t="s">
        <v>813</v>
      </c>
      <c r="AA865" s="148" t="s">
        <v>816</v>
      </c>
      <c r="AB865" s="148" t="s">
        <v>817</v>
      </c>
      <c r="AC865" s="148" t="s">
        <v>818</v>
      </c>
      <c r="AD865" s="148" t="s">
        <v>819</v>
      </c>
      <c r="AE865" s="148" t="s">
        <v>820</v>
      </c>
      <c r="AF865" s="148" t="s">
        <v>821</v>
      </c>
      <c r="AG865" s="148" t="s">
        <v>825</v>
      </c>
      <c r="AH865" s="148" t="s">
        <v>826</v>
      </c>
      <c r="AI865" s="148" t="s">
        <v>827</v>
      </c>
      <c r="AJ865" s="148" t="s">
        <v>828</v>
      </c>
      <c r="AK865" s="148" t="s">
        <v>829</v>
      </c>
      <c r="AL865" s="148" t="s">
        <v>830</v>
      </c>
      <c r="AM865" s="148" t="s">
        <v>832</v>
      </c>
      <c r="AN865" s="148" t="s">
        <v>833</v>
      </c>
      <c r="AO865" s="148" t="s">
        <v>834</v>
      </c>
      <c r="AP865" s="201" t="s">
        <v>1205</v>
      </c>
      <c r="AQ865" s="201" t="s">
        <v>1206</v>
      </c>
      <c r="AR865" s="201" t="s">
        <v>1888</v>
      </c>
      <c r="AS865" s="201" t="s">
        <v>1889</v>
      </c>
    </row>
    <row r="866" spans="1:105" s="353" customFormat="1" x14ac:dyDescent="0.25">
      <c r="A866" s="621"/>
      <c r="B866" s="611">
        <f>$B$2</f>
        <v>20180326</v>
      </c>
      <c r="C866" s="306" t="str">
        <f>$F$8</f>
        <v>9999</v>
      </c>
      <c r="D866" s="306" t="str">
        <f>$B$22</f>
        <v>CZCE</v>
      </c>
      <c r="E866" s="357">
        <v>99990201</v>
      </c>
      <c r="F866" s="306" t="s">
        <v>594</v>
      </c>
      <c r="G866" s="306">
        <f>H866-L866+M866+Y866-AG866-AH866-AI866-AJ866-AK866-AL866+AM866-AN866</f>
        <v>75844.080000000016</v>
      </c>
      <c r="H866" s="306">
        <v>0</v>
      </c>
      <c r="I866" s="306">
        <f>ROUND(IF(N866&gt;S866,G866,G866+N866-S866),2)</f>
        <v>-305750.14</v>
      </c>
      <c r="J866" s="306">
        <f>MAX(I866,0)</f>
        <v>0</v>
      </c>
      <c r="K866" s="306">
        <f>ROUND(G866-S866,2)</f>
        <v>-333170.56</v>
      </c>
      <c r="L866" s="306">
        <f>SUMPRODUCT(( $C$371:$C$376=E866)*($D$371:$D$376=F866)*($F$371:$F$376=1)*($E$371:$E$376))</f>
        <v>1000</v>
      </c>
      <c r="M866" s="306">
        <f>SUMPRODUCT(( $C$371:$C$376=E866)*($D$371:$D$376=F866)*($F$371:$F$376=0)*($E$371:$E$376))</f>
        <v>5000</v>
      </c>
      <c r="N866" s="306">
        <f>ROUND(Q858+G868*AP868*AQ868+G867*AR867*AS867,2)</f>
        <v>27420.42</v>
      </c>
      <c r="O866" s="306">
        <f>ROUND(F850,2)</f>
        <v>471146.9</v>
      </c>
      <c r="P866" s="306">
        <f>ROUND(G850,2)</f>
        <v>261308.29</v>
      </c>
      <c r="Q866" s="306">
        <f>ROUND(H850,2)</f>
        <v>195778.01</v>
      </c>
      <c r="R866" s="306">
        <f>ROUND(I850,2)</f>
        <v>14060.6</v>
      </c>
      <c r="S866" s="306">
        <f>ROUND(J850,2)</f>
        <v>409014.64</v>
      </c>
      <c r="T866" s="306">
        <f t="shared" ref="O866:V867" si="663">K850</f>
        <v>228699.11</v>
      </c>
      <c r="U866" s="306">
        <f t="shared" si="663"/>
        <v>169017.93</v>
      </c>
      <c r="V866" s="306">
        <f t="shared" si="663"/>
        <v>11297.6</v>
      </c>
      <c r="W866" s="306">
        <f t="shared" ref="W866:X868" si="664">O850</f>
        <v>-500</v>
      </c>
      <c r="X866" s="306">
        <f t="shared" si="664"/>
        <v>-11345</v>
      </c>
      <c r="Y866" s="306">
        <f>N850</f>
        <v>-11845</v>
      </c>
      <c r="Z866" s="356">
        <v>0</v>
      </c>
      <c r="AA866" s="306">
        <f t="shared" ref="AA866:AF867" si="665">T850</f>
        <v>4231.5700000000006</v>
      </c>
      <c r="AB866" s="306">
        <f t="shared" si="665"/>
        <v>0</v>
      </c>
      <c r="AC866" s="306">
        <f t="shared" si="665"/>
        <v>1860.1100000000001</v>
      </c>
      <c r="AD866" s="306">
        <f t="shared" si="665"/>
        <v>0</v>
      </c>
      <c r="AE866" s="306">
        <f t="shared" si="665"/>
        <v>408.45</v>
      </c>
      <c r="AF866" s="306">
        <f t="shared" si="665"/>
        <v>0</v>
      </c>
      <c r="AG866" s="306">
        <f t="shared" ref="AG866:AL867" si="666">AC850</f>
        <v>3603.4700000000003</v>
      </c>
      <c r="AH866" s="306">
        <f t="shared" si="666"/>
        <v>0</v>
      </c>
      <c r="AI866" s="306">
        <f t="shared" si="666"/>
        <v>0</v>
      </c>
      <c r="AJ866" s="306">
        <f t="shared" si="666"/>
        <v>0</v>
      </c>
      <c r="AK866" s="306">
        <f t="shared" si="666"/>
        <v>377.45</v>
      </c>
      <c r="AL866" s="306">
        <f t="shared" si="666"/>
        <v>0</v>
      </c>
      <c r="AM866" s="306">
        <f t="shared" ref="AM866:AO867" si="667">AJ850</f>
        <v>442700</v>
      </c>
      <c r="AN866" s="306">
        <f t="shared" si="667"/>
        <v>355030</v>
      </c>
      <c r="AO866" s="306">
        <f t="shared" si="667"/>
        <v>0</v>
      </c>
      <c r="AP866" s="355">
        <f>B201</f>
        <v>6.1234000000000002</v>
      </c>
      <c r="AQ866" s="355">
        <f>B211</f>
        <v>0.8</v>
      </c>
      <c r="AR866" s="306">
        <f>B203</f>
        <v>0.88200000000000001</v>
      </c>
      <c r="AS866" s="306">
        <f>B213</f>
        <v>0.8</v>
      </c>
    </row>
    <row r="867" spans="1:105" s="353" customFormat="1" x14ac:dyDescent="0.25">
      <c r="A867" s="621"/>
      <c r="B867" s="611">
        <f>$B$2</f>
        <v>20180326</v>
      </c>
      <c r="C867" s="306" t="str">
        <f>$F$8</f>
        <v>9999</v>
      </c>
      <c r="D867" s="306" t="str">
        <f>$B$22</f>
        <v>CZCE</v>
      </c>
      <c r="E867" s="357">
        <v>99990203</v>
      </c>
      <c r="F867" s="306" t="s">
        <v>1886</v>
      </c>
      <c r="G867" s="306">
        <f>H867-L867+M867+Y867-AG867-AH867-AI867-AJ867-AK867-AL867+AM867-AN867</f>
        <v>4000.5600000000004</v>
      </c>
      <c r="H867" s="306">
        <v>0</v>
      </c>
      <c r="I867" s="306">
        <f>IF(N867&gt;S867,G867,G867+N867-S867)</f>
        <v>0</v>
      </c>
      <c r="J867" s="306">
        <f>MAX(I867,0)</f>
        <v>0</v>
      </c>
      <c r="K867" s="306">
        <f>G867-S867</f>
        <v>4000.5600000000004</v>
      </c>
      <c r="L867" s="306">
        <f>SUMPRODUCT(( $C$371:$C$376=E867)*($D$371:$D$376=F867)*($F$371:$F$376=1)*($E$371:$E$376))</f>
        <v>1000</v>
      </c>
      <c r="M867" s="306">
        <f>SUMPRODUCT(( $C$371:$C$376=E867)*($D$371:$D$376=F867)*($F$371:$F$376=0)*($E$371:$E$376))</f>
        <v>5000.5600000000004</v>
      </c>
      <c r="N867" s="306">
        <f>-G867</f>
        <v>-4000.5600000000004</v>
      </c>
      <c r="O867" s="306">
        <f t="shared" si="663"/>
        <v>0</v>
      </c>
      <c r="P867" s="306">
        <f t="shared" si="663"/>
        <v>0</v>
      </c>
      <c r="Q867" s="306">
        <f t="shared" si="663"/>
        <v>0</v>
      </c>
      <c r="R867" s="306">
        <f t="shared" si="663"/>
        <v>0</v>
      </c>
      <c r="S867" s="306">
        <f t="shared" si="663"/>
        <v>0</v>
      </c>
      <c r="T867" s="306">
        <f t="shared" si="663"/>
        <v>0</v>
      </c>
      <c r="U867" s="306">
        <f t="shared" si="663"/>
        <v>0</v>
      </c>
      <c r="V867" s="306">
        <f t="shared" si="663"/>
        <v>0</v>
      </c>
      <c r="W867" s="306">
        <f t="shared" si="664"/>
        <v>0</v>
      </c>
      <c r="X867" s="306">
        <f t="shared" si="664"/>
        <v>0</v>
      </c>
      <c r="Y867" s="306">
        <f>N851</f>
        <v>0</v>
      </c>
      <c r="Z867" s="356">
        <v>0</v>
      </c>
      <c r="AA867" s="306">
        <f t="shared" si="665"/>
        <v>0</v>
      </c>
      <c r="AB867" s="306">
        <f t="shared" si="665"/>
        <v>0</v>
      </c>
      <c r="AC867" s="306">
        <f t="shared" si="665"/>
        <v>0</v>
      </c>
      <c r="AD867" s="306">
        <f t="shared" si="665"/>
        <v>0</v>
      </c>
      <c r="AE867" s="306">
        <f t="shared" si="665"/>
        <v>0</v>
      </c>
      <c r="AF867" s="306">
        <f t="shared" si="665"/>
        <v>0</v>
      </c>
      <c r="AG867" s="306">
        <f t="shared" si="666"/>
        <v>0</v>
      </c>
      <c r="AH867" s="306">
        <f t="shared" si="666"/>
        <v>0</v>
      </c>
      <c r="AI867" s="306">
        <f t="shared" si="666"/>
        <v>0</v>
      </c>
      <c r="AJ867" s="306">
        <f t="shared" si="666"/>
        <v>0</v>
      </c>
      <c r="AK867" s="306">
        <f t="shared" si="666"/>
        <v>0</v>
      </c>
      <c r="AL867" s="306">
        <f t="shared" si="666"/>
        <v>0</v>
      </c>
      <c r="AM867" s="306">
        <f t="shared" si="667"/>
        <v>0</v>
      </c>
      <c r="AN867" s="306">
        <f t="shared" si="667"/>
        <v>0</v>
      </c>
      <c r="AO867" s="306">
        <f t="shared" si="667"/>
        <v>0</v>
      </c>
      <c r="AP867" s="355"/>
      <c r="AQ867" s="355"/>
      <c r="AR867" s="306">
        <f>AR866</f>
        <v>0.88200000000000001</v>
      </c>
      <c r="AS867" s="306">
        <f>AS866</f>
        <v>0.8</v>
      </c>
    </row>
    <row r="868" spans="1:105" s="353" customFormat="1" x14ac:dyDescent="0.25">
      <c r="A868" s="621"/>
      <c r="B868" s="611">
        <f>$B$2</f>
        <v>20180326</v>
      </c>
      <c r="C868" s="306" t="str">
        <f>$F$8</f>
        <v>9999</v>
      </c>
      <c r="D868" s="306" t="str">
        <f>$B$22</f>
        <v>CZCE</v>
      </c>
      <c r="E868" s="357">
        <v>99990202</v>
      </c>
      <c r="F868" s="355" t="s">
        <v>1204</v>
      </c>
      <c r="G868" s="306">
        <f>H868-L868+M868+Y868-AG868-AH868-AI868-AJ868-AK868-AL868+AM868-AN868</f>
        <v>4000.5600000000004</v>
      </c>
      <c r="H868" s="306">
        <v>0</v>
      </c>
      <c r="I868" s="306">
        <f>IF(N868&gt;S868,G868,G868+N868-S868)</f>
        <v>0</v>
      </c>
      <c r="J868" s="306">
        <f>MAX(I868,0)</f>
        <v>0</v>
      </c>
      <c r="K868" s="306">
        <f>G868-S868</f>
        <v>4000.5600000000004</v>
      </c>
      <c r="L868" s="306">
        <f>SUMPRODUCT(( $C$371:$C$376=E868)*($D$371:$D$376=F868)*($F$371:$F$376=1)*($E$371:$E$376))</f>
        <v>1000</v>
      </c>
      <c r="M868" s="306">
        <f>SUMPRODUCT(( $C$371:$C$376=E868)*($D$371:$D$376=F868)*($F$371:$F$376=0)*($E$371:$E$376))</f>
        <v>5000.5600000000004</v>
      </c>
      <c r="N868" s="306">
        <f>-G868</f>
        <v>-4000.5600000000004</v>
      </c>
      <c r="O868" s="306">
        <f t="shared" ref="O868" si="668">F852</f>
        <v>0</v>
      </c>
      <c r="P868" s="306">
        <f t="shared" ref="P868" si="669">G852</f>
        <v>0</v>
      </c>
      <c r="Q868" s="306">
        <f t="shared" ref="Q868" si="670">H852</f>
        <v>0</v>
      </c>
      <c r="R868" s="306">
        <f t="shared" ref="R868" si="671">I852</f>
        <v>0</v>
      </c>
      <c r="S868" s="306">
        <f t="shared" ref="S868" si="672">J852</f>
        <v>0</v>
      </c>
      <c r="T868" s="306">
        <f t="shared" ref="T868" si="673">K852</f>
        <v>0</v>
      </c>
      <c r="U868" s="306">
        <f t="shared" ref="U868" si="674">L852</f>
        <v>0</v>
      </c>
      <c r="V868" s="306">
        <f t="shared" ref="V868" si="675">M852</f>
        <v>0</v>
      </c>
      <c r="W868" s="306">
        <f t="shared" si="664"/>
        <v>0</v>
      </c>
      <c r="X868" s="306">
        <f t="shared" si="664"/>
        <v>0</v>
      </c>
      <c r="Y868" s="306">
        <f>N852</f>
        <v>0</v>
      </c>
      <c r="Z868" s="356">
        <v>0</v>
      </c>
      <c r="AA868" s="306">
        <f t="shared" ref="AA868" si="676">T852</f>
        <v>0</v>
      </c>
      <c r="AB868" s="306">
        <f t="shared" ref="AB868" si="677">U852</f>
        <v>0</v>
      </c>
      <c r="AC868" s="306">
        <f t="shared" ref="AC868" si="678">V852</f>
        <v>0</v>
      </c>
      <c r="AD868" s="306">
        <f t="shared" ref="AD868" si="679">W852</f>
        <v>0</v>
      </c>
      <c r="AE868" s="306">
        <f t="shared" ref="AE868" si="680">X852</f>
        <v>0</v>
      </c>
      <c r="AF868" s="306">
        <f t="shared" ref="AF868" si="681">Y852</f>
        <v>0</v>
      </c>
      <c r="AG868" s="306">
        <f t="shared" ref="AG868" si="682">AC852</f>
        <v>0</v>
      </c>
      <c r="AH868" s="306">
        <f t="shared" ref="AH868" si="683">AD852</f>
        <v>0</v>
      </c>
      <c r="AI868" s="306">
        <f t="shared" ref="AI868" si="684">AE852</f>
        <v>0</v>
      </c>
      <c r="AJ868" s="306">
        <f t="shared" ref="AJ868" si="685">AF852</f>
        <v>0</v>
      </c>
      <c r="AK868" s="306">
        <f t="shared" ref="AK868" si="686">AG852</f>
        <v>0</v>
      </c>
      <c r="AL868" s="306">
        <f t="shared" ref="AL868" si="687">AH852</f>
        <v>0</v>
      </c>
      <c r="AM868" s="306">
        <f t="shared" ref="AM868:AO868" si="688">AJ852</f>
        <v>0</v>
      </c>
      <c r="AN868" s="306">
        <f t="shared" si="688"/>
        <v>0</v>
      </c>
      <c r="AO868" s="306">
        <f t="shared" si="688"/>
        <v>0</v>
      </c>
      <c r="AP868" s="306">
        <f>AP866</f>
        <v>6.1234000000000002</v>
      </c>
      <c r="AQ868" s="306">
        <f>AQ866</f>
        <v>0.8</v>
      </c>
      <c r="AR868" s="306"/>
      <c r="AS868" s="306"/>
    </row>
    <row r="869" spans="1:105" x14ac:dyDescent="0.25">
      <c r="F869" s="9"/>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60"/>
      <c r="AE869" s="60"/>
      <c r="AF869" s="60"/>
      <c r="AG869" s="60"/>
      <c r="AH869" s="60"/>
      <c r="AI869" s="60"/>
      <c r="AJ869" s="60"/>
      <c r="AK869" s="60"/>
      <c r="AL869" s="60"/>
      <c r="AM869" s="60"/>
      <c r="AN869" s="60"/>
      <c r="AO869" s="60"/>
    </row>
    <row r="870" spans="1:105" ht="24" customHeight="1" x14ac:dyDescent="0.25">
      <c r="A870" s="638" t="s">
        <v>2075</v>
      </c>
      <c r="B870" s="218" t="s">
        <v>1673</v>
      </c>
      <c r="C870" s="579" t="s">
        <v>1749</v>
      </c>
      <c r="D870" s="9"/>
      <c r="E870" s="9"/>
      <c r="F870" s="9"/>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60"/>
      <c r="AE870" s="60"/>
      <c r="AF870" s="60"/>
      <c r="AG870" s="60"/>
      <c r="AH870" s="60"/>
      <c r="AI870" s="60"/>
      <c r="AJ870" s="60"/>
      <c r="AK870" s="60"/>
      <c r="AL870" s="60"/>
      <c r="AM870" s="60"/>
      <c r="AN870" s="60"/>
      <c r="AO870" s="60"/>
      <c r="AP870" s="60"/>
      <c r="AQ870" s="60"/>
      <c r="AR870" s="60"/>
      <c r="AS870" s="60"/>
      <c r="AT870" s="60"/>
      <c r="AU870" s="60"/>
      <c r="AV870" s="60"/>
      <c r="AW870" s="60"/>
      <c r="AX870" s="60"/>
      <c r="AY870" s="60"/>
      <c r="AZ870" s="60"/>
      <c r="BA870" s="60"/>
      <c r="BB870" s="60"/>
      <c r="BC870" s="60"/>
      <c r="BD870" s="60"/>
      <c r="BE870" s="60"/>
      <c r="BF870" s="60"/>
      <c r="BG870" s="60"/>
      <c r="BH870" s="60"/>
      <c r="BI870" s="60"/>
      <c r="BJ870" s="60"/>
      <c r="BK870" s="60"/>
      <c r="BL870" s="60"/>
      <c r="BM870" s="60"/>
    </row>
    <row r="871" spans="1:105" x14ac:dyDescent="0.25">
      <c r="A871" s="638" t="s">
        <v>2075</v>
      </c>
      <c r="B871" s="566" t="s">
        <v>970</v>
      </c>
      <c r="C871" s="572" t="s">
        <v>1735</v>
      </c>
      <c r="D871" s="9"/>
      <c r="E871" s="9"/>
      <c r="F871" s="9"/>
      <c r="G871" s="246"/>
      <c r="H871" s="60"/>
      <c r="I871" s="60"/>
      <c r="J871" s="60"/>
      <c r="K871" s="60"/>
      <c r="L871" s="60"/>
      <c r="M871" s="60"/>
      <c r="N871" s="60"/>
      <c r="O871" s="60"/>
      <c r="P871" s="60"/>
      <c r="Q871" s="60"/>
      <c r="R871" s="60"/>
      <c r="S871" s="60"/>
      <c r="T871" s="60"/>
      <c r="U871" s="60"/>
      <c r="V871" s="60"/>
      <c r="W871" s="60"/>
      <c r="X871" s="60"/>
      <c r="Y871" s="60"/>
      <c r="Z871" s="60"/>
      <c r="AA871" s="60"/>
      <c r="AB871" s="60"/>
      <c r="AC871" s="60"/>
      <c r="AD871" s="60"/>
      <c r="AE871" s="60"/>
      <c r="AF871" s="60"/>
      <c r="AG871" s="60"/>
      <c r="AH871" s="60"/>
      <c r="AI871" s="60"/>
      <c r="AJ871" s="60"/>
      <c r="AK871" s="60"/>
      <c r="AL871" s="60"/>
      <c r="AM871" s="60"/>
      <c r="AN871" s="60"/>
      <c r="AO871" s="60"/>
      <c r="AP871" s="60"/>
      <c r="AQ871" s="246"/>
      <c r="AR871" s="246"/>
      <c r="AS871" s="246"/>
      <c r="AT871" s="246"/>
      <c r="AU871" s="246"/>
      <c r="AV871" s="246"/>
      <c r="AW871" s="246"/>
      <c r="AX871" s="246"/>
      <c r="AY871" s="246"/>
      <c r="AZ871" s="246"/>
      <c r="BA871" s="246"/>
      <c r="BB871" s="246"/>
      <c r="BC871" s="246"/>
      <c r="BD871" s="246"/>
      <c r="BE871" s="246"/>
      <c r="BF871" s="246"/>
      <c r="BG871" s="246"/>
      <c r="BH871" s="246"/>
      <c r="BI871" s="246"/>
      <c r="BJ871" s="246"/>
      <c r="BK871" s="246"/>
      <c r="BL871" s="246"/>
      <c r="BM871" s="246"/>
      <c r="BN871" s="246"/>
    </row>
    <row r="872" spans="1:105" x14ac:dyDescent="0.25">
      <c r="A872" s="638" t="s">
        <v>2075</v>
      </c>
      <c r="B872" s="566" t="s">
        <v>1095</v>
      </c>
      <c r="C872" s="573" t="s">
        <v>1622</v>
      </c>
      <c r="G872" s="242"/>
      <c r="H872" s="242"/>
      <c r="I872" s="242"/>
      <c r="J872" s="242"/>
      <c r="K872" s="242"/>
      <c r="L872" s="242"/>
      <c r="M872" s="242"/>
      <c r="N872" s="242"/>
      <c r="O872" s="242"/>
      <c r="P872" s="242"/>
      <c r="Q872" s="242"/>
      <c r="R872" s="242"/>
      <c r="S872" s="242"/>
      <c r="T872" s="242"/>
      <c r="U872" s="242"/>
      <c r="V872" s="242"/>
      <c r="W872" s="242"/>
      <c r="X872" s="242"/>
      <c r="Y872" s="242"/>
      <c r="Z872" s="242"/>
      <c r="AA872" s="242"/>
      <c r="AB872" s="242"/>
      <c r="AC872" s="242"/>
      <c r="AD872" s="242"/>
      <c r="AE872" s="242"/>
      <c r="AF872" s="242"/>
      <c r="AG872" s="242"/>
      <c r="AH872" s="242"/>
      <c r="AI872" s="242"/>
      <c r="AJ872" s="242"/>
      <c r="AK872" s="242"/>
      <c r="AL872" s="242"/>
      <c r="AM872" s="242"/>
      <c r="AN872" s="242"/>
      <c r="AO872" s="242"/>
      <c r="AP872" s="242"/>
      <c r="AQ872" s="242"/>
      <c r="AR872" s="242"/>
      <c r="AS872" s="242"/>
      <c r="AT872" s="242"/>
      <c r="AU872" s="242"/>
      <c r="AV872" s="242"/>
      <c r="AW872" s="242"/>
      <c r="AX872" s="242"/>
      <c r="AY872" s="242"/>
      <c r="AZ872" s="242"/>
      <c r="BA872" s="242"/>
      <c r="BB872" s="242"/>
      <c r="BC872" s="242"/>
      <c r="BD872" s="242"/>
      <c r="BE872" s="242"/>
      <c r="BF872" s="242"/>
      <c r="BG872" s="242"/>
      <c r="BH872" s="242"/>
      <c r="BI872" s="242"/>
      <c r="BJ872" s="242"/>
      <c r="BK872" s="242"/>
      <c r="BL872" s="242"/>
      <c r="BM872" s="242"/>
      <c r="BN872" s="242"/>
    </row>
    <row r="873" spans="1:105" ht="34.950000000000003" customHeight="1" x14ac:dyDescent="0.25">
      <c r="A873" s="638" t="s">
        <v>2075</v>
      </c>
      <c r="B873" s="566"/>
      <c r="C873" s="576" t="s">
        <v>1736</v>
      </c>
    </row>
    <row r="874" spans="1:105" x14ac:dyDescent="0.25">
      <c r="A874" s="638" t="s">
        <v>2075</v>
      </c>
      <c r="B874" s="168" t="s">
        <v>1673</v>
      </c>
      <c r="C874" s="4" t="s">
        <v>1682</v>
      </c>
      <c r="O874" s="242"/>
    </row>
    <row r="875" spans="1:105" x14ac:dyDescent="0.25">
      <c r="A875" s="638" t="s">
        <v>2075</v>
      </c>
      <c r="B875" s="57" t="s">
        <v>124</v>
      </c>
      <c r="C875" s="57" t="s">
        <v>1813</v>
      </c>
      <c r="D875" s="9"/>
      <c r="E875" s="9"/>
      <c r="F875" s="9"/>
      <c r="G875" s="9"/>
      <c r="H875" s="60"/>
      <c r="I875" s="60"/>
      <c r="J875" s="60"/>
      <c r="K875" s="60"/>
      <c r="L875" s="60"/>
      <c r="M875" s="60"/>
      <c r="N875" s="60"/>
      <c r="O875" s="60"/>
      <c r="P875" s="60"/>
      <c r="Q875" s="60"/>
      <c r="R875" s="60"/>
      <c r="S875" s="60"/>
      <c r="T875" s="60"/>
      <c r="U875" s="60"/>
      <c r="V875" s="60"/>
      <c r="W875" s="60"/>
      <c r="X875" s="60"/>
      <c r="Y875" s="60"/>
      <c r="Z875" s="60"/>
      <c r="AA875" s="60"/>
      <c r="AB875" s="60"/>
      <c r="AC875" s="60"/>
      <c r="AD875" s="60"/>
      <c r="AE875" s="60"/>
      <c r="AF875" s="60"/>
      <c r="AG875" s="60"/>
      <c r="AH875" s="60"/>
      <c r="AI875" s="60"/>
      <c r="AJ875" s="60"/>
      <c r="AK875" s="60"/>
      <c r="AL875" s="60"/>
      <c r="AM875" s="60"/>
      <c r="AN875" s="60"/>
      <c r="AO875" s="60"/>
      <c r="AP875" s="60"/>
      <c r="AQ875" s="60"/>
      <c r="AR875" s="60"/>
      <c r="AS875" s="60"/>
      <c r="AT875" s="60"/>
      <c r="AU875" s="60"/>
      <c r="AV875" s="60"/>
      <c r="AW875" s="60"/>
      <c r="AX875" s="60"/>
      <c r="AY875" s="60"/>
      <c r="AZ875" s="60"/>
      <c r="BA875" s="60"/>
      <c r="BB875" s="60"/>
      <c r="BC875" s="60"/>
      <c r="BD875" s="60"/>
      <c r="BE875" s="60"/>
      <c r="BF875" s="60"/>
      <c r="BG875" s="60"/>
      <c r="BH875" s="60"/>
      <c r="BI875" s="60"/>
      <c r="BJ875" s="60"/>
      <c r="BK875" s="60"/>
      <c r="BL875" s="60"/>
      <c r="BM875" s="60"/>
    </row>
    <row r="876" spans="1:105" x14ac:dyDescent="0.25">
      <c r="A876" s="638" t="s">
        <v>2075</v>
      </c>
      <c r="B876" s="262" t="s">
        <v>1714</v>
      </c>
      <c r="C876" s="701" t="s">
        <v>1699</v>
      </c>
      <c r="D876" s="701"/>
      <c r="E876" s="701"/>
      <c r="F876" s="701"/>
      <c r="G876" s="701"/>
      <c r="H876" s="701"/>
      <c r="I876" s="701"/>
      <c r="J876" s="701"/>
      <c r="K876" s="701"/>
      <c r="L876" s="701"/>
      <c r="M876" s="701"/>
      <c r="N876" s="701"/>
      <c r="O876" s="701"/>
      <c r="P876" s="701"/>
      <c r="Q876" s="701"/>
      <c r="R876" s="701"/>
      <c r="S876" s="701"/>
      <c r="T876" s="730" t="s">
        <v>1700</v>
      </c>
      <c r="U876" s="730" t="s">
        <v>1107</v>
      </c>
      <c r="V876" s="730" t="s">
        <v>1108</v>
      </c>
      <c r="W876" s="60"/>
      <c r="X876" s="60"/>
      <c r="Y876" s="60"/>
      <c r="Z876" s="60"/>
      <c r="AA876" s="60"/>
      <c r="AB876" s="60"/>
      <c r="AC876" s="60"/>
      <c r="AD876" s="60"/>
      <c r="AE876" s="60"/>
      <c r="AF876" s="60"/>
      <c r="AG876" s="60"/>
      <c r="AH876" s="60"/>
      <c r="AI876" s="60"/>
      <c r="AJ876" s="60"/>
      <c r="AK876" s="60"/>
      <c r="AL876" s="60"/>
      <c r="AM876" s="60"/>
      <c r="AN876" s="60"/>
      <c r="AO876" s="60"/>
      <c r="AP876" s="60"/>
      <c r="AQ876" s="60"/>
      <c r="AR876" s="60"/>
      <c r="AS876" s="60"/>
      <c r="AT876" s="60"/>
      <c r="AU876" s="60"/>
      <c r="AV876" s="60"/>
      <c r="AW876" s="60"/>
      <c r="AX876" s="60"/>
      <c r="AY876" s="60"/>
      <c r="AZ876" s="60"/>
      <c r="BA876" s="60"/>
      <c r="BB876" s="60"/>
      <c r="BC876" s="60"/>
      <c r="BD876" s="60"/>
      <c r="BE876" s="60"/>
      <c r="BF876" s="60"/>
      <c r="BG876" s="60"/>
      <c r="BH876" s="60"/>
      <c r="BI876" s="60"/>
      <c r="BJ876" s="60"/>
      <c r="BK876" s="60"/>
      <c r="BL876" s="60"/>
      <c r="BM876" s="60"/>
    </row>
    <row r="877" spans="1:105" x14ac:dyDescent="0.25">
      <c r="A877" s="638" t="s">
        <v>2075</v>
      </c>
      <c r="B877" s="126"/>
      <c r="C877" s="98" t="s">
        <v>1395</v>
      </c>
      <c r="D877" s="92" t="s">
        <v>1684</v>
      </c>
      <c r="E877" s="92" t="s">
        <v>1394</v>
      </c>
      <c r="F877" s="92" t="s">
        <v>1401</v>
      </c>
      <c r="G877" s="92" t="s">
        <v>1685</v>
      </c>
      <c r="H877" s="92" t="s">
        <v>1686</v>
      </c>
      <c r="I877" s="92" t="s">
        <v>1687</v>
      </c>
      <c r="J877" s="92" t="s">
        <v>1688</v>
      </c>
      <c r="K877" s="92" t="s">
        <v>1689</v>
      </c>
      <c r="L877" s="92" t="s">
        <v>1690</v>
      </c>
      <c r="M877" s="92" t="s">
        <v>1691</v>
      </c>
      <c r="N877" s="92" t="s">
        <v>1692</v>
      </c>
      <c r="O877" s="92" t="s">
        <v>1693</v>
      </c>
      <c r="P877" s="92" t="s">
        <v>1694</v>
      </c>
      <c r="Q877" s="92" t="s">
        <v>1695</v>
      </c>
      <c r="R877" s="92" t="s">
        <v>1696</v>
      </c>
      <c r="S877" s="92" t="s">
        <v>1697</v>
      </c>
      <c r="T877" s="696"/>
      <c r="U877" s="696"/>
      <c r="V877" s="696"/>
      <c r="W877" s="242"/>
      <c r="X877" s="242"/>
      <c r="Y877" s="242"/>
      <c r="Z877" s="242"/>
      <c r="AA877" s="242"/>
      <c r="AB877" s="242"/>
      <c r="AC877" s="242"/>
      <c r="AD877" s="242"/>
      <c r="AE877" s="242"/>
      <c r="AF877" s="242"/>
      <c r="AG877" s="242"/>
      <c r="AH877" s="242"/>
      <c r="AI877" s="242"/>
      <c r="AJ877" s="242"/>
      <c r="AK877" s="242"/>
      <c r="AL877" s="242"/>
      <c r="AM877" s="242"/>
      <c r="AN877" s="242"/>
      <c r="AO877" s="242"/>
      <c r="AP877" s="242"/>
      <c r="AQ877" s="242"/>
      <c r="AR877" s="242"/>
      <c r="AS877" s="242"/>
      <c r="AT877" s="242"/>
      <c r="AU877" s="242"/>
      <c r="AV877" s="242"/>
      <c r="AW877" s="242"/>
      <c r="AX877" s="242"/>
      <c r="AY877" s="242"/>
      <c r="AZ877" s="242"/>
      <c r="BA877" s="242"/>
      <c r="BB877" s="242"/>
      <c r="BC877" s="242"/>
      <c r="BD877" s="242"/>
      <c r="BE877" s="242"/>
      <c r="BF877" s="242"/>
      <c r="BG877" s="242"/>
      <c r="BH877" s="238"/>
      <c r="BI877" s="242"/>
      <c r="BJ877" s="242"/>
      <c r="BK877" s="242"/>
      <c r="BL877" s="242"/>
      <c r="BM877" s="242"/>
    </row>
    <row r="878" spans="1:105" x14ac:dyDescent="0.25">
      <c r="A878" s="638" t="s">
        <v>2075</v>
      </c>
      <c r="B878" s="126"/>
      <c r="C878" s="98">
        <f t="shared" ref="C878:D882" si="689">$B$2</f>
        <v>20180326</v>
      </c>
      <c r="D878" s="92">
        <f t="shared" si="689"/>
        <v>20180326</v>
      </c>
      <c r="E878" s="92" t="str">
        <f>$F$8</f>
        <v>9999</v>
      </c>
      <c r="F878" s="92" t="str">
        <f>$B$22</f>
        <v>CZCE</v>
      </c>
      <c r="G878" s="109">
        <v>2</v>
      </c>
      <c r="H878" s="109">
        <v>1</v>
      </c>
      <c r="I878" s="109">
        <v>2</v>
      </c>
      <c r="J878" s="109">
        <v>0</v>
      </c>
      <c r="K878" s="109">
        <f>D878-1</f>
        <v>20180325</v>
      </c>
      <c r="L878" s="109">
        <v>7</v>
      </c>
      <c r="M878" s="109">
        <v>2</v>
      </c>
      <c r="N878" s="109">
        <v>2</v>
      </c>
      <c r="O878" s="109">
        <v>2</v>
      </c>
      <c r="P878" s="109">
        <v>0</v>
      </c>
      <c r="Q878" s="370" t="s">
        <v>1128</v>
      </c>
      <c r="R878" s="92">
        <f>$B$2</f>
        <v>20180326</v>
      </c>
      <c r="S878" s="371">
        <v>0.54887731481481483</v>
      </c>
      <c r="T878" s="727" t="s">
        <v>1128</v>
      </c>
      <c r="U878" s="727"/>
      <c r="V878" s="727"/>
      <c r="W878" s="242"/>
      <c r="X878" s="242"/>
      <c r="Y878" s="242"/>
      <c r="Z878" s="242"/>
      <c r="AA878" s="242"/>
      <c r="AB878" s="242"/>
      <c r="AC878" s="242"/>
      <c r="AD878" s="242"/>
      <c r="AE878" s="242"/>
      <c r="AF878" s="242"/>
      <c r="AG878" s="242"/>
      <c r="AH878" s="242"/>
      <c r="AI878" s="242"/>
      <c r="AJ878" s="242"/>
      <c r="AK878" s="242"/>
      <c r="AL878" s="242"/>
      <c r="AM878" s="242"/>
      <c r="AN878" s="242"/>
      <c r="AO878" s="242"/>
      <c r="AP878" s="242"/>
      <c r="AQ878" s="242"/>
      <c r="AR878" s="242"/>
      <c r="AS878" s="242"/>
      <c r="AT878" s="242"/>
      <c r="AU878" s="242"/>
      <c r="AV878" s="242"/>
      <c r="AW878" s="242"/>
      <c r="AX878" s="242"/>
      <c r="AY878" s="242"/>
      <c r="AZ878" s="242"/>
      <c r="BA878" s="242"/>
      <c r="BB878" s="242"/>
      <c r="BC878" s="242"/>
      <c r="BD878" s="242"/>
      <c r="BE878" s="242"/>
      <c r="BF878" s="242"/>
      <c r="BG878" s="242"/>
      <c r="BH878" s="242"/>
      <c r="BI878" s="242"/>
      <c r="BJ878" s="242"/>
      <c r="BK878" s="242"/>
      <c r="BL878" s="242"/>
      <c r="BM878" s="242"/>
      <c r="BN878" s="242"/>
      <c r="BO878" s="242"/>
      <c r="BP878" s="242"/>
      <c r="BQ878" s="242"/>
      <c r="BR878" s="242"/>
      <c r="BS878" s="242"/>
      <c r="BT878" s="242"/>
      <c r="BU878" s="242"/>
      <c r="BV878" s="242"/>
      <c r="BW878" s="242"/>
      <c r="BX878" s="242"/>
      <c r="BY878" s="242"/>
      <c r="BZ878" s="242"/>
      <c r="CA878" s="242"/>
      <c r="CB878" s="242"/>
      <c r="CC878" s="242"/>
      <c r="CD878" s="242"/>
      <c r="CE878" s="242"/>
      <c r="CF878" s="242"/>
      <c r="CG878" s="242"/>
      <c r="CH878" s="242"/>
      <c r="CI878" s="242"/>
      <c r="CJ878" s="242"/>
      <c r="CK878" s="242"/>
      <c r="CL878" s="242"/>
      <c r="CM878" s="242"/>
      <c r="CN878" s="242"/>
      <c r="CO878" s="242"/>
      <c r="CP878" s="242"/>
      <c r="CQ878" s="242"/>
      <c r="CR878" s="242"/>
      <c r="CS878" s="242"/>
      <c r="CT878" s="242"/>
      <c r="CU878" s="242"/>
      <c r="CV878" s="242"/>
      <c r="CW878" s="242"/>
      <c r="CX878" s="242"/>
      <c r="CY878" s="242"/>
      <c r="CZ878" s="242"/>
      <c r="DA878" s="242"/>
    </row>
    <row r="879" spans="1:105" x14ac:dyDescent="0.25">
      <c r="A879" s="638" t="s">
        <v>2075</v>
      </c>
      <c r="B879" s="126"/>
      <c r="C879" s="98">
        <f t="shared" si="689"/>
        <v>20180326</v>
      </c>
      <c r="D879" s="92">
        <f t="shared" si="689"/>
        <v>20180326</v>
      </c>
      <c r="E879" s="92" t="str">
        <f>$F$8</f>
        <v>9999</v>
      </c>
      <c r="F879" s="92" t="s">
        <v>1701</v>
      </c>
      <c r="G879" s="109">
        <v>2</v>
      </c>
      <c r="H879" s="109">
        <v>1</v>
      </c>
      <c r="I879" s="109">
        <v>2</v>
      </c>
      <c r="J879" s="109">
        <v>0</v>
      </c>
      <c r="K879" s="109">
        <f>D879-1</f>
        <v>20180325</v>
      </c>
      <c r="L879" s="109">
        <v>7</v>
      </c>
      <c r="M879" s="109">
        <v>2</v>
      </c>
      <c r="N879" s="109">
        <v>2</v>
      </c>
      <c r="O879" s="109">
        <v>2</v>
      </c>
      <c r="P879" s="109">
        <v>0</v>
      </c>
      <c r="Q879" s="370" t="s">
        <v>1128</v>
      </c>
      <c r="R879" s="92">
        <f>$B$2</f>
        <v>20180326</v>
      </c>
      <c r="S879" s="371">
        <v>0.54887731481481483</v>
      </c>
      <c r="T879" s="728"/>
      <c r="U879" s="728"/>
      <c r="V879" s="728"/>
      <c r="W879" s="242"/>
      <c r="X879" s="242"/>
      <c r="Y879" s="242"/>
      <c r="Z879" s="242"/>
      <c r="AA879" s="242"/>
      <c r="AB879" s="242"/>
      <c r="AC879" s="242"/>
      <c r="AD879" s="242"/>
      <c r="AE879" s="242"/>
      <c r="AF879" s="242"/>
      <c r="AG879" s="242"/>
      <c r="AH879" s="242"/>
      <c r="AI879" s="242"/>
      <c r="AJ879" s="242"/>
      <c r="AK879" s="242"/>
      <c r="AL879" s="242"/>
      <c r="AM879" s="242"/>
      <c r="AN879" s="242"/>
      <c r="AO879" s="242"/>
      <c r="AP879" s="242"/>
      <c r="AQ879" s="242"/>
      <c r="AR879" s="242"/>
      <c r="AS879" s="242"/>
      <c r="AT879" s="242"/>
      <c r="AU879" s="242"/>
      <c r="AV879" s="242"/>
      <c r="AW879" s="242"/>
      <c r="AX879" s="242"/>
      <c r="AY879" s="242"/>
      <c r="AZ879" s="242"/>
      <c r="BA879" s="242"/>
      <c r="BB879" s="242"/>
      <c r="BC879" s="242"/>
      <c r="BD879" s="242"/>
      <c r="BE879" s="242"/>
      <c r="BF879" s="242"/>
      <c r="BG879" s="242"/>
      <c r="BH879" s="242"/>
      <c r="BI879" s="242"/>
      <c r="BJ879" s="242"/>
      <c r="BK879" s="242"/>
      <c r="BL879" s="242"/>
      <c r="BM879" s="242"/>
      <c r="BN879" s="242"/>
      <c r="BO879" s="242"/>
      <c r="BP879" s="242"/>
      <c r="BQ879" s="242"/>
      <c r="BR879" s="242"/>
      <c r="BS879" s="242"/>
      <c r="BT879" s="242"/>
      <c r="BU879" s="242"/>
      <c r="BV879" s="242"/>
      <c r="BW879" s="242"/>
      <c r="BX879" s="242"/>
      <c r="BY879" s="242"/>
      <c r="BZ879" s="242"/>
      <c r="CA879" s="242"/>
      <c r="CB879" s="242"/>
      <c r="CC879" s="242"/>
      <c r="CD879" s="242"/>
      <c r="CE879" s="242"/>
      <c r="CF879" s="242"/>
      <c r="CG879" s="242"/>
      <c r="CH879" s="242"/>
      <c r="CI879" s="242"/>
      <c r="CJ879" s="242"/>
      <c r="CK879" s="242"/>
      <c r="CL879" s="242"/>
      <c r="CM879" s="242"/>
      <c r="CN879" s="242"/>
      <c r="CO879" s="242"/>
      <c r="CP879" s="242"/>
      <c r="CQ879" s="242"/>
      <c r="CR879" s="242"/>
      <c r="CS879" s="242"/>
      <c r="CT879" s="242"/>
      <c r="CU879" s="242"/>
      <c r="CV879" s="242"/>
      <c r="CW879" s="242"/>
      <c r="CX879" s="242"/>
      <c r="CY879" s="242"/>
      <c r="CZ879" s="242"/>
      <c r="DA879" s="242"/>
    </row>
    <row r="880" spans="1:105" x14ac:dyDescent="0.25">
      <c r="A880" s="638" t="s">
        <v>2075</v>
      </c>
      <c r="B880" s="126"/>
      <c r="C880" s="98">
        <f t="shared" si="689"/>
        <v>20180326</v>
      </c>
      <c r="D880" s="92">
        <f t="shared" si="689"/>
        <v>20180326</v>
      </c>
      <c r="E880" s="92" t="str">
        <f>$F$8</f>
        <v>9999</v>
      </c>
      <c r="F880" s="92" t="s">
        <v>1708</v>
      </c>
      <c r="G880" s="109">
        <v>2</v>
      </c>
      <c r="H880" s="109">
        <v>1</v>
      </c>
      <c r="I880" s="109">
        <v>2</v>
      </c>
      <c r="J880" s="109">
        <v>0</v>
      </c>
      <c r="K880" s="109">
        <f>D880-1</f>
        <v>20180325</v>
      </c>
      <c r="L880" s="109">
        <v>7</v>
      </c>
      <c r="M880" s="109">
        <v>2</v>
      </c>
      <c r="N880" s="109">
        <v>2</v>
      </c>
      <c r="O880" s="109">
        <v>2</v>
      </c>
      <c r="P880" s="109">
        <v>0</v>
      </c>
      <c r="Q880" s="370" t="s">
        <v>1128</v>
      </c>
      <c r="R880" s="92">
        <f>$B$2</f>
        <v>20180326</v>
      </c>
      <c r="S880" s="371">
        <v>0.54887731481481483</v>
      </c>
      <c r="T880" s="728"/>
      <c r="U880" s="728"/>
      <c r="V880" s="728"/>
      <c r="W880" s="242"/>
      <c r="X880" s="242"/>
      <c r="Y880" s="242"/>
      <c r="Z880" s="242"/>
      <c r="AA880" s="242"/>
      <c r="AB880" s="242"/>
      <c r="AC880" s="242"/>
      <c r="AD880" s="242"/>
      <c r="AE880" s="242"/>
      <c r="AF880" s="242"/>
      <c r="AG880" s="242"/>
      <c r="AH880" s="242"/>
      <c r="AI880" s="242"/>
      <c r="AJ880" s="242"/>
      <c r="AK880" s="242"/>
      <c r="AL880" s="242"/>
      <c r="AM880" s="242"/>
      <c r="AN880" s="242"/>
      <c r="AO880" s="242"/>
      <c r="AP880" s="242"/>
      <c r="AQ880" s="242"/>
      <c r="AR880" s="242"/>
      <c r="AS880" s="242"/>
      <c r="AT880" s="242"/>
      <c r="AU880" s="242"/>
      <c r="AV880" s="242"/>
      <c r="AW880" s="242"/>
      <c r="AX880" s="242"/>
      <c r="AY880" s="242"/>
      <c r="AZ880" s="242"/>
      <c r="BA880" s="242"/>
      <c r="BB880" s="242"/>
      <c r="BC880" s="242"/>
      <c r="BD880" s="242"/>
      <c r="BE880" s="242"/>
      <c r="BF880" s="242"/>
      <c r="BG880" s="242"/>
      <c r="BH880" s="242"/>
      <c r="BI880" s="242"/>
      <c r="BJ880" s="242"/>
      <c r="BK880" s="242"/>
      <c r="BL880" s="242"/>
      <c r="BM880" s="242"/>
      <c r="BN880" s="242"/>
      <c r="BO880" s="242"/>
      <c r="BP880" s="242"/>
      <c r="BQ880" s="242"/>
      <c r="BR880" s="242"/>
      <c r="BS880" s="242"/>
      <c r="BT880" s="242"/>
      <c r="BU880" s="242"/>
      <c r="BV880" s="242"/>
      <c r="BW880" s="242"/>
      <c r="BX880" s="242"/>
      <c r="BY880" s="242"/>
      <c r="BZ880" s="242"/>
      <c r="CA880" s="242"/>
      <c r="CB880" s="242"/>
      <c r="CC880" s="242"/>
      <c r="CD880" s="242"/>
      <c r="CE880" s="242"/>
      <c r="CF880" s="242"/>
      <c r="CG880" s="242"/>
      <c r="CH880" s="242"/>
      <c r="CI880" s="242"/>
      <c r="CJ880" s="242"/>
      <c r="CK880" s="242"/>
      <c r="CL880" s="242"/>
      <c r="CM880" s="242"/>
      <c r="CN880" s="242"/>
      <c r="CO880" s="242"/>
      <c r="CP880" s="242"/>
      <c r="CQ880" s="242"/>
      <c r="CR880" s="242"/>
      <c r="CS880" s="242"/>
      <c r="CT880" s="242"/>
      <c r="CU880" s="242"/>
      <c r="CV880" s="242"/>
      <c r="CW880" s="242"/>
      <c r="CX880" s="242"/>
      <c r="CY880" s="242"/>
      <c r="CZ880" s="242"/>
      <c r="DA880" s="242"/>
    </row>
    <row r="881" spans="1:106" x14ac:dyDescent="0.25">
      <c r="A881" s="638" t="s">
        <v>2075</v>
      </c>
      <c r="B881" s="126"/>
      <c r="C881" s="98">
        <f t="shared" si="689"/>
        <v>20180326</v>
      </c>
      <c r="D881" s="92">
        <f t="shared" si="689"/>
        <v>20180326</v>
      </c>
      <c r="E881" s="92" t="str">
        <f>$F$8</f>
        <v>9999</v>
      </c>
      <c r="F881" s="92" t="s">
        <v>1709</v>
      </c>
      <c r="G881" s="109">
        <v>2</v>
      </c>
      <c r="H881" s="109">
        <v>1</v>
      </c>
      <c r="I881" s="109">
        <v>2</v>
      </c>
      <c r="J881" s="109">
        <v>0</v>
      </c>
      <c r="K881" s="109">
        <f>D881-1</f>
        <v>20180325</v>
      </c>
      <c r="L881" s="109">
        <v>7</v>
      </c>
      <c r="M881" s="109">
        <v>2</v>
      </c>
      <c r="N881" s="109">
        <v>2</v>
      </c>
      <c r="O881" s="109">
        <v>2</v>
      </c>
      <c r="P881" s="109">
        <v>0</v>
      </c>
      <c r="Q881" s="370" t="s">
        <v>1128</v>
      </c>
      <c r="R881" s="92">
        <f>$B$2</f>
        <v>20180326</v>
      </c>
      <c r="S881" s="371">
        <v>0.54887731481481483</v>
      </c>
      <c r="T881" s="728"/>
      <c r="U881" s="728"/>
      <c r="V881" s="728"/>
      <c r="W881" s="242"/>
      <c r="X881" s="242"/>
      <c r="Y881" s="242"/>
      <c r="Z881" s="242"/>
      <c r="AA881" s="242"/>
      <c r="AB881" s="242"/>
      <c r="AC881" s="242"/>
      <c r="AD881" s="242"/>
      <c r="AE881" s="242"/>
      <c r="AF881" s="242"/>
      <c r="AG881" s="242"/>
      <c r="AH881" s="242"/>
      <c r="AI881" s="242"/>
      <c r="AJ881" s="242"/>
      <c r="AK881" s="242"/>
      <c r="AL881" s="242"/>
      <c r="AM881" s="242"/>
      <c r="AN881" s="242"/>
      <c r="AO881" s="242"/>
      <c r="AP881" s="242"/>
      <c r="AQ881" s="242"/>
      <c r="AR881" s="242"/>
      <c r="AS881" s="242"/>
      <c r="AT881" s="242"/>
      <c r="AU881" s="242"/>
      <c r="AV881" s="242"/>
      <c r="AW881" s="242"/>
      <c r="AX881" s="242"/>
      <c r="AY881" s="242"/>
      <c r="AZ881" s="242"/>
      <c r="BA881" s="242"/>
      <c r="BB881" s="242"/>
      <c r="BC881" s="242"/>
      <c r="BD881" s="242"/>
      <c r="BE881" s="242"/>
      <c r="BF881" s="242"/>
      <c r="BG881" s="242"/>
      <c r="BH881" s="242"/>
      <c r="BI881" s="242"/>
      <c r="BJ881" s="242"/>
      <c r="BK881" s="242"/>
      <c r="BL881" s="242"/>
      <c r="BM881" s="242"/>
      <c r="BN881" s="242"/>
      <c r="BO881" s="242"/>
      <c r="BP881" s="242"/>
      <c r="BQ881" s="242"/>
      <c r="BR881" s="242"/>
      <c r="BS881" s="242"/>
      <c r="BT881" s="242"/>
      <c r="BU881" s="242"/>
      <c r="BV881" s="242"/>
      <c r="BW881" s="242"/>
      <c r="BX881" s="242"/>
      <c r="BY881" s="242"/>
      <c r="BZ881" s="242"/>
      <c r="CA881" s="242"/>
      <c r="CB881" s="242"/>
      <c r="CC881" s="242"/>
      <c r="CD881" s="242"/>
      <c r="CE881" s="242"/>
      <c r="CF881" s="242"/>
      <c r="CG881" s="242"/>
      <c r="CH881" s="242"/>
      <c r="CI881" s="242"/>
      <c r="CJ881" s="242"/>
      <c r="CK881" s="242"/>
      <c r="CL881" s="242"/>
      <c r="CM881" s="242"/>
      <c r="CN881" s="242"/>
      <c r="CO881" s="242"/>
      <c r="CP881" s="242"/>
      <c r="CQ881" s="242"/>
      <c r="CR881" s="242"/>
      <c r="CS881" s="242"/>
      <c r="CT881" s="242"/>
      <c r="CU881" s="242"/>
      <c r="CV881" s="242"/>
      <c r="CW881" s="242"/>
      <c r="CX881" s="242"/>
      <c r="CY881" s="242"/>
      <c r="CZ881" s="242"/>
      <c r="DA881" s="242"/>
    </row>
    <row r="882" spans="1:106" x14ac:dyDescent="0.25">
      <c r="A882" s="638" t="s">
        <v>2075</v>
      </c>
      <c r="B882" s="126"/>
      <c r="C882" s="98">
        <f t="shared" si="689"/>
        <v>20180326</v>
      </c>
      <c r="D882" s="92">
        <f t="shared" si="689"/>
        <v>20180326</v>
      </c>
      <c r="E882" s="92" t="str">
        <f>$F$8</f>
        <v>9999</v>
      </c>
      <c r="F882" s="92" t="s">
        <v>1710</v>
      </c>
      <c r="G882" s="109">
        <v>2</v>
      </c>
      <c r="H882" s="109">
        <v>1</v>
      </c>
      <c r="I882" s="109">
        <v>2</v>
      </c>
      <c r="J882" s="109">
        <v>0</v>
      </c>
      <c r="K882" s="109">
        <f>D882-1</f>
        <v>20180325</v>
      </c>
      <c r="L882" s="109">
        <v>7</v>
      </c>
      <c r="M882" s="109">
        <v>2</v>
      </c>
      <c r="N882" s="109">
        <v>2</v>
      </c>
      <c r="O882" s="109">
        <v>2</v>
      </c>
      <c r="P882" s="109">
        <v>0</v>
      </c>
      <c r="Q882" s="370" t="s">
        <v>1128</v>
      </c>
      <c r="R882" s="92">
        <f>$B$2</f>
        <v>20180326</v>
      </c>
      <c r="S882" s="371">
        <v>0.54887731481481483</v>
      </c>
      <c r="T882" s="696"/>
      <c r="U882" s="696"/>
      <c r="V882" s="696"/>
      <c r="W882" s="242"/>
      <c r="X882" s="242"/>
      <c r="Y882" s="242"/>
      <c r="Z882" s="242"/>
      <c r="AA882" s="242"/>
      <c r="AB882" s="242"/>
      <c r="AC882" s="242"/>
      <c r="AD882" s="242"/>
      <c r="AE882" s="242"/>
      <c r="AF882" s="242"/>
      <c r="AG882" s="242"/>
      <c r="AH882" s="242"/>
      <c r="AI882" s="242"/>
      <c r="AJ882" s="242"/>
      <c r="AK882" s="242"/>
      <c r="AL882" s="242"/>
      <c r="AM882" s="242"/>
      <c r="AN882" s="242"/>
      <c r="AO882" s="242"/>
      <c r="AP882" s="242"/>
      <c r="AQ882" s="242"/>
      <c r="AR882" s="242"/>
      <c r="AS882" s="242"/>
      <c r="AT882" s="242"/>
      <c r="AU882" s="242"/>
      <c r="AV882" s="242"/>
      <c r="AW882" s="242"/>
      <c r="AX882" s="242"/>
      <c r="AY882" s="242"/>
      <c r="AZ882" s="242"/>
      <c r="BA882" s="242"/>
      <c r="BB882" s="242"/>
      <c r="BC882" s="242"/>
      <c r="BD882" s="242"/>
      <c r="BE882" s="242"/>
      <c r="BF882" s="242"/>
      <c r="BG882" s="242"/>
      <c r="BH882" s="242"/>
      <c r="BI882" s="242"/>
      <c r="BJ882" s="242"/>
      <c r="BK882" s="242"/>
      <c r="BL882" s="242"/>
      <c r="BM882" s="242"/>
      <c r="BN882" s="242"/>
      <c r="BO882" s="242"/>
      <c r="BP882" s="242"/>
      <c r="BQ882" s="242"/>
      <c r="BR882" s="242"/>
      <c r="BS882" s="242"/>
      <c r="BT882" s="242"/>
      <c r="BU882" s="242"/>
      <c r="BV882" s="242"/>
      <c r="BW882" s="242"/>
      <c r="BX882" s="242"/>
      <c r="BY882" s="242"/>
      <c r="BZ882" s="242"/>
      <c r="CA882" s="242"/>
      <c r="CB882" s="242"/>
      <c r="CC882" s="242"/>
      <c r="CD882" s="242"/>
      <c r="CE882" s="242"/>
      <c r="CF882" s="242"/>
      <c r="CG882" s="242"/>
      <c r="CH882" s="242"/>
      <c r="CI882" s="242"/>
      <c r="CJ882" s="242"/>
      <c r="CK882" s="242"/>
      <c r="CL882" s="242"/>
      <c r="CM882" s="242"/>
      <c r="CN882" s="242"/>
      <c r="CO882" s="242"/>
      <c r="CP882" s="242"/>
      <c r="CQ882" s="242"/>
      <c r="CR882" s="242"/>
      <c r="CS882" s="242"/>
      <c r="CT882" s="242"/>
      <c r="CU882" s="242"/>
      <c r="CV882" s="242"/>
      <c r="CW882" s="242"/>
      <c r="CX882" s="242"/>
      <c r="CY882" s="242"/>
      <c r="CZ882" s="242"/>
      <c r="DA882" s="242"/>
    </row>
    <row r="883" spans="1:106" x14ac:dyDescent="0.25">
      <c r="A883" s="638" t="s">
        <v>2075</v>
      </c>
      <c r="B883" s="126"/>
      <c r="C883" s="126"/>
      <c r="D883" s="126"/>
      <c r="E883" s="126"/>
      <c r="F883" s="126"/>
      <c r="G883" s="160"/>
      <c r="H883" s="160"/>
      <c r="I883" s="160"/>
      <c r="J883" s="160"/>
      <c r="K883" s="160"/>
      <c r="L883" s="160"/>
      <c r="M883" s="160"/>
      <c r="N883" s="160"/>
      <c r="O883" s="160"/>
      <c r="P883" s="160"/>
      <c r="Q883" s="372"/>
      <c r="R883" s="126"/>
      <c r="S883" s="373"/>
      <c r="T883" s="398"/>
      <c r="U883" s="398"/>
      <c r="V883" s="398"/>
      <c r="W883" s="242"/>
      <c r="X883" s="242"/>
      <c r="Y883" s="242"/>
      <c r="Z883" s="242"/>
      <c r="AA883" s="242"/>
      <c r="AB883" s="242"/>
      <c r="AC883" s="242"/>
      <c r="AD883" s="242"/>
      <c r="AE883" s="242"/>
      <c r="AF883" s="242"/>
      <c r="AG883" s="242"/>
      <c r="AH883" s="242"/>
      <c r="AI883" s="242"/>
      <c r="AJ883" s="242"/>
      <c r="AK883" s="242"/>
      <c r="AL883" s="242"/>
      <c r="AM883" s="242"/>
      <c r="AN883" s="242"/>
      <c r="AO883" s="242"/>
      <c r="AP883" s="242"/>
      <c r="AQ883" s="242"/>
      <c r="AR883" s="242"/>
      <c r="AS883" s="242"/>
      <c r="AT883" s="242"/>
      <c r="AU883" s="242"/>
      <c r="AV883" s="242"/>
      <c r="AW883" s="242"/>
      <c r="AX883" s="242"/>
      <c r="AY883" s="242"/>
      <c r="AZ883" s="242"/>
      <c r="BA883" s="242"/>
      <c r="BB883" s="242"/>
      <c r="BC883" s="242"/>
      <c r="BD883" s="242"/>
      <c r="BE883" s="242"/>
      <c r="BF883" s="242"/>
      <c r="BG883" s="242"/>
      <c r="BH883" s="242"/>
      <c r="BI883" s="242"/>
      <c r="BJ883" s="242"/>
      <c r="BK883" s="242"/>
      <c r="BL883" s="242"/>
      <c r="BM883" s="242"/>
      <c r="BN883" s="242"/>
      <c r="BO883" s="242"/>
      <c r="BP883" s="242"/>
      <c r="BQ883" s="242"/>
      <c r="BR883" s="242"/>
      <c r="BS883" s="242"/>
      <c r="BT883" s="242"/>
      <c r="BU883" s="242"/>
      <c r="BV883" s="242"/>
      <c r="BW883" s="242"/>
      <c r="BX883" s="242"/>
      <c r="BY883" s="242"/>
      <c r="BZ883" s="242"/>
      <c r="CA883" s="242"/>
      <c r="CB883" s="242"/>
      <c r="CC883" s="242"/>
      <c r="CD883" s="242"/>
      <c r="CE883" s="242"/>
      <c r="CF883" s="242"/>
      <c r="CG883" s="242"/>
      <c r="CH883" s="242"/>
      <c r="CI883" s="242"/>
      <c r="CJ883" s="242"/>
      <c r="CK883" s="242"/>
      <c r="CL883" s="242"/>
      <c r="CM883" s="242"/>
      <c r="CN883" s="242"/>
      <c r="CO883" s="242"/>
      <c r="CP883" s="242"/>
      <c r="CQ883" s="242"/>
      <c r="CR883" s="242"/>
      <c r="CS883" s="242"/>
      <c r="CT883" s="242"/>
      <c r="CU883" s="242"/>
      <c r="CV883" s="242"/>
      <c r="CW883" s="242"/>
      <c r="CX883" s="242"/>
      <c r="CY883" s="242"/>
      <c r="CZ883" s="242"/>
      <c r="DA883" s="242"/>
    </row>
    <row r="884" spans="1:106" x14ac:dyDescent="0.25">
      <c r="A884" s="638" t="s">
        <v>2075</v>
      </c>
      <c r="B884" s="197" t="s">
        <v>1711</v>
      </c>
      <c r="C884" s="4" t="s">
        <v>1702</v>
      </c>
    </row>
    <row r="885" spans="1:106" x14ac:dyDescent="0.25">
      <c r="A885" s="638" t="s">
        <v>2075</v>
      </c>
      <c r="B885" s="57" t="s">
        <v>124</v>
      </c>
      <c r="C885" s="57" t="s">
        <v>1812</v>
      </c>
      <c r="D885" s="9"/>
    </row>
    <row r="886" spans="1:106" x14ac:dyDescent="0.25">
      <c r="A886" s="638" t="s">
        <v>2075</v>
      </c>
      <c r="B886" s="126" t="s">
        <v>306</v>
      </c>
      <c r="C886" s="701" t="s">
        <v>1815</v>
      </c>
      <c r="D886" s="701"/>
      <c r="E886" s="701"/>
      <c r="F886" s="701"/>
      <c r="G886" s="701"/>
      <c r="H886" s="701"/>
      <c r="I886" s="701"/>
      <c r="J886" s="701"/>
      <c r="K886" s="701"/>
      <c r="L886" s="701"/>
      <c r="M886" s="701"/>
      <c r="N886" s="701"/>
      <c r="O886" s="701"/>
      <c r="P886" s="701"/>
      <c r="Q886" s="701"/>
      <c r="R886" s="701"/>
      <c r="S886" s="701"/>
      <c r="T886" s="729" t="s">
        <v>1700</v>
      </c>
      <c r="U886" s="729" t="s">
        <v>1107</v>
      </c>
      <c r="V886" s="729" t="s">
        <v>1108</v>
      </c>
    </row>
    <row r="887" spans="1:106" x14ac:dyDescent="0.25">
      <c r="A887" s="638" t="s">
        <v>2075</v>
      </c>
      <c r="B887" s="126"/>
      <c r="C887" s="98" t="s">
        <v>1395</v>
      </c>
      <c r="D887" s="92" t="s">
        <v>1684</v>
      </c>
      <c r="E887" s="92" t="s">
        <v>1394</v>
      </c>
      <c r="F887" s="92" t="s">
        <v>1401</v>
      </c>
      <c r="G887" s="92" t="s">
        <v>1685</v>
      </c>
      <c r="H887" s="92" t="s">
        <v>1686</v>
      </c>
      <c r="I887" s="92" t="s">
        <v>1687</v>
      </c>
      <c r="J887" s="92" t="s">
        <v>1688</v>
      </c>
      <c r="K887" s="92" t="s">
        <v>1689</v>
      </c>
      <c r="L887" s="92" t="s">
        <v>1690</v>
      </c>
      <c r="M887" s="92" t="s">
        <v>1691</v>
      </c>
      <c r="N887" s="92" t="s">
        <v>1692</v>
      </c>
      <c r="O887" s="92" t="s">
        <v>1693</v>
      </c>
      <c r="P887" s="92" t="s">
        <v>1694</v>
      </c>
      <c r="Q887" s="92" t="s">
        <v>1695</v>
      </c>
      <c r="R887" s="92" t="s">
        <v>1696</v>
      </c>
      <c r="S887" s="92" t="s">
        <v>1697</v>
      </c>
      <c r="T887" s="679"/>
      <c r="U887" s="679"/>
      <c r="V887" s="679"/>
    </row>
    <row r="888" spans="1:106" x14ac:dyDescent="0.25">
      <c r="A888" s="638" t="s">
        <v>2075</v>
      </c>
      <c r="B888" s="126"/>
      <c r="C888" s="98">
        <f t="shared" ref="C888:D892" si="690">$B$2</f>
        <v>20180326</v>
      </c>
      <c r="D888" s="92">
        <f t="shared" si="690"/>
        <v>20180326</v>
      </c>
      <c r="E888" s="92" t="str">
        <f>$F$8</f>
        <v>9999</v>
      </c>
      <c r="F888" s="92" t="s">
        <v>1704</v>
      </c>
      <c r="G888" s="109">
        <v>3</v>
      </c>
      <c r="H888" s="109">
        <v>1</v>
      </c>
      <c r="I888" s="109">
        <v>2</v>
      </c>
      <c r="J888" s="109">
        <v>0</v>
      </c>
      <c r="K888" s="109">
        <f>D888-1</f>
        <v>20180325</v>
      </c>
      <c r="L888" s="109">
        <v>7</v>
      </c>
      <c r="M888" s="109">
        <v>2</v>
      </c>
      <c r="N888" s="109">
        <v>2</v>
      </c>
      <c r="O888" s="109">
        <v>2</v>
      </c>
      <c r="P888" s="109">
        <v>0</v>
      </c>
      <c r="Q888" s="370" t="s">
        <v>1128</v>
      </c>
      <c r="R888" s="109">
        <f>$B$2</f>
        <v>20180326</v>
      </c>
      <c r="S888" s="371">
        <v>0.54887731481481483</v>
      </c>
      <c r="T888" s="679" t="s">
        <v>1128</v>
      </c>
      <c r="U888" s="679"/>
      <c r="V888" s="679"/>
    </row>
    <row r="889" spans="1:106" x14ac:dyDescent="0.25">
      <c r="A889" s="638" t="s">
        <v>2075</v>
      </c>
      <c r="B889" s="126"/>
      <c r="C889" s="98">
        <f t="shared" si="690"/>
        <v>20180326</v>
      </c>
      <c r="D889" s="92">
        <f t="shared" si="690"/>
        <v>20180326</v>
      </c>
      <c r="E889" s="92" t="str">
        <f>$F$8</f>
        <v>9999</v>
      </c>
      <c r="F889" s="92" t="s">
        <v>1701</v>
      </c>
      <c r="G889" s="109">
        <v>3</v>
      </c>
      <c r="H889" s="109">
        <v>1</v>
      </c>
      <c r="I889" s="109">
        <v>2</v>
      </c>
      <c r="J889" s="109">
        <v>0</v>
      </c>
      <c r="K889" s="109">
        <f>D889-1</f>
        <v>20180325</v>
      </c>
      <c r="L889" s="109">
        <v>7</v>
      </c>
      <c r="M889" s="109">
        <v>2</v>
      </c>
      <c r="N889" s="109">
        <v>2</v>
      </c>
      <c r="O889" s="109">
        <v>2</v>
      </c>
      <c r="P889" s="109">
        <v>0</v>
      </c>
      <c r="Q889" s="370" t="s">
        <v>1128</v>
      </c>
      <c r="R889" s="109">
        <f>$B$2</f>
        <v>20180326</v>
      </c>
      <c r="S889" s="371">
        <v>0.54887731481481483</v>
      </c>
      <c r="T889" s="679"/>
      <c r="U889" s="679"/>
      <c r="V889" s="679"/>
    </row>
    <row r="890" spans="1:106" x14ac:dyDescent="0.25">
      <c r="A890" s="638" t="s">
        <v>2075</v>
      </c>
      <c r="B890" s="126"/>
      <c r="C890" s="98">
        <f t="shared" si="690"/>
        <v>20180326</v>
      </c>
      <c r="D890" s="92">
        <f t="shared" si="690"/>
        <v>20180326</v>
      </c>
      <c r="E890" s="92" t="str">
        <f>$F$8</f>
        <v>9999</v>
      </c>
      <c r="F890" s="92" t="s">
        <v>1705</v>
      </c>
      <c r="G890" s="109">
        <v>3</v>
      </c>
      <c r="H890" s="109">
        <v>1</v>
      </c>
      <c r="I890" s="109">
        <v>2</v>
      </c>
      <c r="J890" s="109">
        <v>0</v>
      </c>
      <c r="K890" s="109">
        <f>D890-1</f>
        <v>20180325</v>
      </c>
      <c r="L890" s="109">
        <v>7</v>
      </c>
      <c r="M890" s="109">
        <v>2</v>
      </c>
      <c r="N890" s="109">
        <v>2</v>
      </c>
      <c r="O890" s="109">
        <v>2</v>
      </c>
      <c r="P890" s="109">
        <v>0</v>
      </c>
      <c r="Q890" s="370" t="s">
        <v>1128</v>
      </c>
      <c r="R890" s="109">
        <f>$B$2</f>
        <v>20180326</v>
      </c>
      <c r="S890" s="371">
        <v>0.54887731481481483</v>
      </c>
      <c r="T890" s="679"/>
      <c r="U890" s="679"/>
      <c r="V890" s="679"/>
    </row>
    <row r="891" spans="1:106" x14ac:dyDescent="0.25">
      <c r="A891" s="638" t="s">
        <v>2075</v>
      </c>
      <c r="B891" s="126"/>
      <c r="C891" s="98">
        <f t="shared" si="690"/>
        <v>20180326</v>
      </c>
      <c r="D891" s="92">
        <f t="shared" si="690"/>
        <v>20180326</v>
      </c>
      <c r="E891" s="92" t="str">
        <f>$F$8</f>
        <v>9999</v>
      </c>
      <c r="F891" s="92" t="s">
        <v>1706</v>
      </c>
      <c r="G891" s="109">
        <v>3</v>
      </c>
      <c r="H891" s="109">
        <v>1</v>
      </c>
      <c r="I891" s="109">
        <v>2</v>
      </c>
      <c r="J891" s="109">
        <v>0</v>
      </c>
      <c r="K891" s="109">
        <f>D891-1</f>
        <v>20180325</v>
      </c>
      <c r="L891" s="109">
        <v>7</v>
      </c>
      <c r="M891" s="109">
        <v>2</v>
      </c>
      <c r="N891" s="109">
        <v>2</v>
      </c>
      <c r="O891" s="109">
        <v>2</v>
      </c>
      <c r="P891" s="109">
        <v>0</v>
      </c>
      <c r="Q891" s="370" t="s">
        <v>1128</v>
      </c>
      <c r="R891" s="109">
        <f>$B$2</f>
        <v>20180326</v>
      </c>
      <c r="S891" s="371">
        <v>0.54887731481481483</v>
      </c>
      <c r="T891" s="679"/>
      <c r="U891" s="679"/>
      <c r="V891" s="679"/>
    </row>
    <row r="892" spans="1:106" x14ac:dyDescent="0.25">
      <c r="A892" s="638" t="s">
        <v>2075</v>
      </c>
      <c r="B892" s="126"/>
      <c r="C892" s="98">
        <f t="shared" si="690"/>
        <v>20180326</v>
      </c>
      <c r="D892" s="92">
        <f t="shared" si="690"/>
        <v>20180326</v>
      </c>
      <c r="E892" s="92" t="str">
        <f>$F$8</f>
        <v>9999</v>
      </c>
      <c r="F892" s="92" t="s">
        <v>1707</v>
      </c>
      <c r="G892" s="109">
        <v>3</v>
      </c>
      <c r="H892" s="109">
        <v>1</v>
      </c>
      <c r="I892" s="109">
        <v>2</v>
      </c>
      <c r="J892" s="109">
        <v>0</v>
      </c>
      <c r="K892" s="109">
        <f>D892-1</f>
        <v>20180325</v>
      </c>
      <c r="L892" s="109">
        <v>7</v>
      </c>
      <c r="M892" s="109">
        <v>2</v>
      </c>
      <c r="N892" s="109">
        <v>2</v>
      </c>
      <c r="O892" s="109">
        <v>2</v>
      </c>
      <c r="P892" s="109">
        <v>0</v>
      </c>
      <c r="Q892" s="370" t="s">
        <v>1128</v>
      </c>
      <c r="R892" s="109">
        <f>$B$2</f>
        <v>20180326</v>
      </c>
      <c r="S892" s="371">
        <v>0.54887731481481483</v>
      </c>
      <c r="T892" s="679"/>
      <c r="U892" s="679"/>
      <c r="V892" s="679"/>
    </row>
    <row r="893" spans="1:106" x14ac:dyDescent="0.25">
      <c r="A893" s="638" t="s">
        <v>2075</v>
      </c>
      <c r="B893" s="126"/>
      <c r="C893" s="126"/>
      <c r="D893" s="126"/>
      <c r="E893" s="126"/>
      <c r="F893" s="126"/>
      <c r="G893" s="160"/>
      <c r="H893" s="160"/>
      <c r="I893" s="160"/>
      <c r="J893" s="160"/>
      <c r="K893" s="160"/>
      <c r="L893" s="160"/>
      <c r="M893" s="160"/>
      <c r="N893" s="160"/>
      <c r="O893" s="160"/>
      <c r="P893" s="160"/>
      <c r="Q893" s="372"/>
      <c r="R893" s="160"/>
      <c r="S893" s="373"/>
      <c r="T893" s="398"/>
      <c r="U893" s="398"/>
      <c r="V893" s="398"/>
    </row>
    <row r="894" spans="1:106" x14ac:dyDescent="0.25">
      <c r="A894" s="638" t="s">
        <v>2075</v>
      </c>
      <c r="B894" s="126"/>
      <c r="D894" s="126"/>
      <c r="E894" s="126"/>
      <c r="F894" s="126"/>
      <c r="G894" s="160"/>
      <c r="H894" s="160"/>
      <c r="I894" s="160"/>
      <c r="J894" s="160"/>
      <c r="K894" s="160"/>
      <c r="L894" s="160"/>
      <c r="M894" s="160"/>
      <c r="N894" s="160"/>
      <c r="O894" s="160"/>
      <c r="P894" s="160"/>
      <c r="Q894" s="160"/>
      <c r="R894" s="372"/>
      <c r="S894" s="126"/>
      <c r="T894" s="373"/>
      <c r="U894" s="398"/>
      <c r="V894" s="398"/>
      <c r="W894" s="398"/>
      <c r="X894" s="242"/>
      <c r="Y894" s="242"/>
      <c r="Z894" s="242"/>
      <c r="AA894" s="242"/>
      <c r="AB894" s="242"/>
      <c r="AC894" s="242"/>
      <c r="AD894" s="242"/>
      <c r="AE894" s="242"/>
      <c r="AF894" s="242"/>
      <c r="AG894" s="242"/>
      <c r="AH894" s="242"/>
      <c r="AI894" s="242"/>
      <c r="AJ894" s="242"/>
      <c r="AK894" s="242"/>
      <c r="AL894" s="242"/>
      <c r="AM894" s="242"/>
      <c r="AN894" s="242"/>
      <c r="AO894" s="242"/>
      <c r="AP894" s="242"/>
      <c r="AQ894" s="242"/>
      <c r="AR894" s="242"/>
      <c r="AS894" s="242"/>
      <c r="AT894" s="242"/>
      <c r="AU894" s="242"/>
      <c r="AV894" s="242"/>
      <c r="AW894" s="242"/>
      <c r="AX894" s="242"/>
      <c r="AY894" s="242"/>
      <c r="AZ894" s="242"/>
      <c r="BA894" s="242"/>
      <c r="BB894" s="242"/>
      <c r="BC894" s="242"/>
      <c r="BD894" s="242"/>
      <c r="BE894" s="242"/>
      <c r="BF894" s="242"/>
      <c r="BG894" s="242"/>
      <c r="BH894" s="242"/>
      <c r="BI894" s="242"/>
      <c r="BJ894" s="242"/>
      <c r="BK894" s="242"/>
      <c r="BL894" s="242"/>
      <c r="BM894" s="242"/>
      <c r="BN894" s="242"/>
      <c r="BO894" s="242"/>
      <c r="BP894" s="242"/>
      <c r="BQ894" s="242"/>
      <c r="BR894" s="242"/>
      <c r="BS894" s="242"/>
      <c r="BT894" s="242"/>
      <c r="BU894" s="242"/>
      <c r="BV894" s="242"/>
      <c r="BW894" s="242"/>
      <c r="BX894" s="242"/>
      <c r="BY894" s="242"/>
      <c r="BZ894" s="242"/>
      <c r="CA894" s="242"/>
      <c r="CB894" s="242"/>
      <c r="CC894" s="242"/>
      <c r="CD894" s="242"/>
      <c r="CE894" s="242"/>
      <c r="CF894" s="242"/>
      <c r="CG894" s="242"/>
      <c r="CH894" s="242"/>
      <c r="CI894" s="242"/>
      <c r="CJ894" s="242"/>
      <c r="CK894" s="242"/>
      <c r="CL894" s="242"/>
      <c r="CM894" s="242"/>
      <c r="CN894" s="242"/>
      <c r="CO894" s="242"/>
      <c r="CP894" s="242"/>
      <c r="CQ894" s="242"/>
      <c r="CR894" s="242"/>
      <c r="CS894" s="242"/>
      <c r="CT894" s="242"/>
      <c r="CU894" s="242"/>
      <c r="CV894" s="242"/>
      <c r="CW894" s="242"/>
      <c r="CX894" s="242"/>
      <c r="CY894" s="242"/>
      <c r="CZ894" s="242"/>
      <c r="DA894" s="242"/>
      <c r="DB894" s="242"/>
    </row>
    <row r="895" spans="1:106" x14ac:dyDescent="0.25">
      <c r="A895" s="638" t="s">
        <v>2075</v>
      </c>
      <c r="B895" s="197" t="s">
        <v>1711</v>
      </c>
      <c r="C895" s="4" t="s">
        <v>1712</v>
      </c>
    </row>
    <row r="896" spans="1:106" x14ac:dyDescent="0.25">
      <c r="A896" s="638" t="s">
        <v>2075</v>
      </c>
      <c r="B896" s="57" t="s">
        <v>124</v>
      </c>
      <c r="C896" s="57" t="s">
        <v>1814</v>
      </c>
      <c r="D896" s="9"/>
    </row>
    <row r="897" spans="1:14" x14ac:dyDescent="0.25">
      <c r="A897" s="638" t="s">
        <v>2075</v>
      </c>
      <c r="B897" s="126" t="s">
        <v>1715</v>
      </c>
      <c r="C897" s="98" t="s">
        <v>1723</v>
      </c>
      <c r="D897" s="92" t="s">
        <v>1724</v>
      </c>
      <c r="E897" s="92" t="s">
        <v>1725</v>
      </c>
      <c r="F897" s="92" t="s">
        <v>1726</v>
      </c>
      <c r="G897" s="92" t="s">
        <v>1727</v>
      </c>
      <c r="H897" s="92" t="s">
        <v>1728</v>
      </c>
      <c r="I897" s="92" t="s">
        <v>1729</v>
      </c>
      <c r="J897" s="92" t="s">
        <v>1730</v>
      </c>
      <c r="K897" s="92" t="s">
        <v>1731</v>
      </c>
      <c r="L897" s="92" t="s">
        <v>1732</v>
      </c>
      <c r="M897" s="92" t="s">
        <v>1722</v>
      </c>
      <c r="N897" s="92" t="s">
        <v>1108</v>
      </c>
    </row>
    <row r="898" spans="1:14" x14ac:dyDescent="0.25">
      <c r="A898" s="638" t="s">
        <v>2075</v>
      </c>
      <c r="B898" s="126"/>
      <c r="C898" s="612" t="s">
        <v>1741</v>
      </c>
      <c r="D898" s="92" t="s">
        <v>1805</v>
      </c>
      <c r="E898" s="92" t="s">
        <v>1725</v>
      </c>
      <c r="F898" s="92" t="s">
        <v>1726</v>
      </c>
      <c r="G898" s="92" t="s">
        <v>1727</v>
      </c>
      <c r="H898" s="92" t="s">
        <v>1728</v>
      </c>
      <c r="I898" s="92" t="s">
        <v>1729</v>
      </c>
      <c r="J898" s="92" t="s">
        <v>1730</v>
      </c>
      <c r="K898" s="92" t="s">
        <v>1731</v>
      </c>
      <c r="L898" s="92" t="s">
        <v>1128</v>
      </c>
      <c r="M898" s="92"/>
      <c r="N898" s="92"/>
    </row>
    <row r="899" spans="1:14" x14ac:dyDescent="0.25">
      <c r="A899" s="638" t="s">
        <v>2075</v>
      </c>
      <c r="B899" s="57" t="s">
        <v>124</v>
      </c>
      <c r="C899" s="57" t="s">
        <v>1716</v>
      </c>
      <c r="D899" s="9"/>
    </row>
    <row r="900" spans="1:14" x14ac:dyDescent="0.25">
      <c r="A900" s="638" t="s">
        <v>2075</v>
      </c>
      <c r="B900" s="126" t="s">
        <v>1715</v>
      </c>
      <c r="C900" s="98" t="s">
        <v>1718</v>
      </c>
      <c r="D900" s="92" t="s">
        <v>1126</v>
      </c>
      <c r="E900" s="92" t="s">
        <v>1719</v>
      </c>
      <c r="F900" s="92" t="s">
        <v>1720</v>
      </c>
      <c r="G900" s="92" t="s">
        <v>1721</v>
      </c>
      <c r="H900" s="92" t="s">
        <v>1722</v>
      </c>
      <c r="I900" s="92" t="s">
        <v>1108</v>
      </c>
    </row>
    <row r="901" spans="1:14" x14ac:dyDescent="0.25">
      <c r="A901" s="638" t="s">
        <v>2075</v>
      </c>
      <c r="B901" s="126"/>
      <c r="C901" s="98">
        <f>$D$2</f>
        <v>20180327</v>
      </c>
      <c r="D901" s="92" t="s">
        <v>1128</v>
      </c>
      <c r="E901" s="108" t="s">
        <v>1816</v>
      </c>
      <c r="F901" s="92">
        <v>7</v>
      </c>
      <c r="G901" s="92">
        <v>2</v>
      </c>
      <c r="H901" s="92"/>
      <c r="I901" s="92"/>
    </row>
    <row r="902" spans="1:14" x14ac:dyDescent="0.25">
      <c r="A902" s="638" t="s">
        <v>2075</v>
      </c>
      <c r="B902" s="126"/>
    </row>
    <row r="903" spans="1:14" x14ac:dyDescent="0.25">
      <c r="A903" s="638" t="s">
        <v>2075</v>
      </c>
      <c r="B903" s="197" t="s">
        <v>1711</v>
      </c>
      <c r="C903" s="4" t="s">
        <v>1733</v>
      </c>
    </row>
    <row r="904" spans="1:14" x14ac:dyDescent="0.25">
      <c r="A904" s="638" t="s">
        <v>2075</v>
      </c>
      <c r="B904" s="566" t="s">
        <v>970</v>
      </c>
      <c r="C904" s="572" t="s">
        <v>1735</v>
      </c>
    </row>
    <row r="905" spans="1:14" x14ac:dyDescent="0.25">
      <c r="A905" s="638" t="s">
        <v>2075</v>
      </c>
      <c r="B905" s="566" t="s">
        <v>1095</v>
      </c>
      <c r="C905" s="573" t="s">
        <v>1622</v>
      </c>
    </row>
    <row r="906" spans="1:14" x14ac:dyDescent="0.25">
      <c r="A906" s="638" t="s">
        <v>2075</v>
      </c>
      <c r="B906" s="566"/>
      <c r="C906" s="577" t="s">
        <v>1734</v>
      </c>
    </row>
    <row r="907" spans="1:14" x14ac:dyDescent="0.25">
      <c r="A907" s="638" t="s">
        <v>2075</v>
      </c>
      <c r="B907" s="262" t="s">
        <v>1737</v>
      </c>
      <c r="C907" t="s">
        <v>1738</v>
      </c>
    </row>
    <row r="908" spans="1:14" x14ac:dyDescent="0.25">
      <c r="A908" s="638" t="s">
        <v>2075</v>
      </c>
      <c r="B908" s="57" t="s">
        <v>124</v>
      </c>
      <c r="C908" s="57" t="s">
        <v>1834</v>
      </c>
      <c r="D908" s="9"/>
    </row>
    <row r="909" spans="1:14" x14ac:dyDescent="0.25">
      <c r="A909" s="638" t="s">
        <v>2075</v>
      </c>
      <c r="B909" s="126" t="s">
        <v>1715</v>
      </c>
      <c r="C909" s="98" t="s">
        <v>1723</v>
      </c>
      <c r="D909" s="92" t="s">
        <v>1724</v>
      </c>
      <c r="E909" s="92" t="s">
        <v>1725</v>
      </c>
      <c r="F909" s="92" t="s">
        <v>1726</v>
      </c>
      <c r="G909" s="92" t="s">
        <v>1727</v>
      </c>
      <c r="H909" s="92" t="s">
        <v>1728</v>
      </c>
      <c r="I909" s="92" t="s">
        <v>1729</v>
      </c>
      <c r="J909" s="92" t="s">
        <v>1730</v>
      </c>
      <c r="K909" s="92" t="s">
        <v>1731</v>
      </c>
      <c r="L909" s="92" t="s">
        <v>1732</v>
      </c>
      <c r="M909" s="92" t="s">
        <v>1722</v>
      </c>
      <c r="N909" s="92" t="s">
        <v>1108</v>
      </c>
    </row>
    <row r="910" spans="1:14" x14ac:dyDescent="0.25">
      <c r="A910" s="638" t="s">
        <v>2075</v>
      </c>
      <c r="B910" s="126"/>
      <c r="C910" s="613" t="s">
        <v>1742</v>
      </c>
      <c r="D910" s="92" t="s">
        <v>1724</v>
      </c>
      <c r="E910" s="92" t="s">
        <v>1725</v>
      </c>
      <c r="F910" s="92" t="s">
        <v>1726</v>
      </c>
      <c r="G910" s="92" t="s">
        <v>1727</v>
      </c>
      <c r="H910" s="92" t="s">
        <v>1728</v>
      </c>
      <c r="I910" s="92" t="s">
        <v>1729</v>
      </c>
      <c r="J910" s="92" t="s">
        <v>1730</v>
      </c>
      <c r="K910" s="92" t="s">
        <v>1731</v>
      </c>
      <c r="L910" s="92" t="s">
        <v>1128</v>
      </c>
      <c r="M910" s="92"/>
      <c r="N910" s="92"/>
    </row>
    <row r="911" spans="1:14" x14ac:dyDescent="0.25">
      <c r="A911" s="638" t="s">
        <v>2075</v>
      </c>
      <c r="B911" s="57" t="s">
        <v>124</v>
      </c>
      <c r="C911" s="57" t="s">
        <v>1836</v>
      </c>
      <c r="D911" s="9"/>
    </row>
    <row r="912" spans="1:14" x14ac:dyDescent="0.25">
      <c r="A912" s="638" t="s">
        <v>2075</v>
      </c>
      <c r="B912" s="126" t="s">
        <v>1698</v>
      </c>
      <c r="C912" s="98" t="s">
        <v>1743</v>
      </c>
      <c r="D912" s="92" t="s">
        <v>1723</v>
      </c>
      <c r="E912" s="92" t="s">
        <v>1732</v>
      </c>
      <c r="F912" s="92" t="s">
        <v>1722</v>
      </c>
      <c r="G912" s="92" t="s">
        <v>1108</v>
      </c>
    </row>
    <row r="913" spans="1:14" x14ac:dyDescent="0.25">
      <c r="A913" s="638" t="s">
        <v>2075</v>
      </c>
      <c r="B913" s="126"/>
      <c r="C913" s="98">
        <f>$D$2</f>
        <v>20180327</v>
      </c>
      <c r="D913" s="108" t="s">
        <v>1744</v>
      </c>
      <c r="E913" s="92" t="s">
        <v>1128</v>
      </c>
      <c r="F913" s="92"/>
      <c r="G913" s="92"/>
    </row>
    <row r="914" spans="1:14" x14ac:dyDescent="0.25">
      <c r="A914" s="638" t="s">
        <v>2075</v>
      </c>
      <c r="B914" s="126" t="s">
        <v>1737</v>
      </c>
      <c r="C914" t="s">
        <v>1739</v>
      </c>
    </row>
    <row r="915" spans="1:14" x14ac:dyDescent="0.25">
      <c r="A915" s="638" t="s">
        <v>2075</v>
      </c>
      <c r="B915" s="57" t="s">
        <v>124</v>
      </c>
      <c r="C915" s="57" t="s">
        <v>1713</v>
      </c>
      <c r="D915" s="9"/>
    </row>
    <row r="916" spans="1:14" x14ac:dyDescent="0.25">
      <c r="A916" s="638" t="s">
        <v>2075</v>
      </c>
      <c r="B916" s="126" t="s">
        <v>1715</v>
      </c>
      <c r="C916" s="98" t="s">
        <v>1723</v>
      </c>
      <c r="D916" s="92" t="s">
        <v>1724</v>
      </c>
      <c r="E916" s="92" t="s">
        <v>1725</v>
      </c>
      <c r="F916" s="92" t="s">
        <v>1726</v>
      </c>
      <c r="G916" s="92" t="s">
        <v>1727</v>
      </c>
      <c r="H916" s="92" t="s">
        <v>1728</v>
      </c>
      <c r="I916" s="92" t="s">
        <v>1729</v>
      </c>
      <c r="J916" s="92" t="s">
        <v>1730</v>
      </c>
      <c r="K916" s="92" t="s">
        <v>1731</v>
      </c>
      <c r="L916" s="92" t="s">
        <v>1732</v>
      </c>
      <c r="M916" s="92" t="s">
        <v>1722</v>
      </c>
      <c r="N916" s="92" t="s">
        <v>1108</v>
      </c>
    </row>
    <row r="917" spans="1:14" x14ac:dyDescent="0.25">
      <c r="A917" s="638" t="s">
        <v>2075</v>
      </c>
      <c r="B917" s="126"/>
      <c r="C917" s="613" t="s">
        <v>1742</v>
      </c>
      <c r="D917" s="92" t="s">
        <v>1724</v>
      </c>
      <c r="E917" s="92" t="s">
        <v>1725</v>
      </c>
      <c r="F917" s="92" t="s">
        <v>1726</v>
      </c>
      <c r="G917" s="92" t="s">
        <v>1727</v>
      </c>
      <c r="H917" s="92" t="s">
        <v>1728</v>
      </c>
      <c r="I917" s="92" t="s">
        <v>1729</v>
      </c>
      <c r="J917" s="92" t="s">
        <v>1730</v>
      </c>
      <c r="K917" s="92" t="s">
        <v>1731</v>
      </c>
      <c r="L917" s="92" t="s">
        <v>1128</v>
      </c>
      <c r="M917" s="92"/>
      <c r="N917" s="92"/>
    </row>
    <row r="918" spans="1:14" x14ac:dyDescent="0.25">
      <c r="A918" s="638" t="s">
        <v>2075</v>
      </c>
      <c r="B918" s="57" t="s">
        <v>124</v>
      </c>
      <c r="C918" s="57" t="s">
        <v>1716</v>
      </c>
      <c r="D918" s="9"/>
    </row>
    <row r="919" spans="1:14" x14ac:dyDescent="0.25">
      <c r="A919" s="638" t="s">
        <v>2075</v>
      </c>
      <c r="B919" s="126" t="s">
        <v>1817</v>
      </c>
      <c r="C919" s="98" t="s">
        <v>1717</v>
      </c>
      <c r="D919" s="92" t="s">
        <v>1732</v>
      </c>
      <c r="E919" s="92" t="s">
        <v>1719</v>
      </c>
      <c r="F919" s="92" t="s">
        <v>1720</v>
      </c>
      <c r="G919" s="92" t="s">
        <v>1721</v>
      </c>
      <c r="H919" s="92" t="s">
        <v>1722</v>
      </c>
      <c r="I919" s="92" t="s">
        <v>1107</v>
      </c>
    </row>
    <row r="920" spans="1:14" x14ac:dyDescent="0.25">
      <c r="A920" s="638" t="s">
        <v>2075</v>
      </c>
      <c r="B920" s="126"/>
      <c r="C920" s="98">
        <f>$D$2</f>
        <v>20180327</v>
      </c>
      <c r="D920" s="92" t="s">
        <v>1128</v>
      </c>
      <c r="E920" s="108" t="s">
        <v>1745</v>
      </c>
      <c r="F920" s="92">
        <v>2</v>
      </c>
      <c r="G920" s="92">
        <v>7</v>
      </c>
      <c r="H920" s="92"/>
      <c r="I920" s="92"/>
    </row>
  </sheetData>
  <mergeCells count="206">
    <mergeCell ref="B653:AU653"/>
    <mergeCell ref="B584:R584"/>
    <mergeCell ref="AF424:AF425"/>
    <mergeCell ref="AF409:AF410"/>
    <mergeCell ref="B419:AB419"/>
    <mergeCell ref="AC419:AC420"/>
    <mergeCell ref="AD419:AD420"/>
    <mergeCell ref="AE419:AE420"/>
    <mergeCell ref="AF419:AF420"/>
    <mergeCell ref="AE414:AE415"/>
    <mergeCell ref="AF429:AF430"/>
    <mergeCell ref="AC414:AC415"/>
    <mergeCell ref="AC409:AC410"/>
    <mergeCell ref="B564:Y564"/>
    <mergeCell ref="B483:AQ483"/>
    <mergeCell ref="S464:S465"/>
    <mergeCell ref="AE434:AE435"/>
    <mergeCell ref="AF434:AF435"/>
    <mergeCell ref="B612:U612"/>
    <mergeCell ref="B604:AB604"/>
    <mergeCell ref="B593:Z593"/>
    <mergeCell ref="B847:AQ847"/>
    <mergeCell ref="K690:K691"/>
    <mergeCell ref="B855:BP855"/>
    <mergeCell ref="B863:AS863"/>
    <mergeCell ref="B798:Q798"/>
    <mergeCell ref="K656:K657"/>
    <mergeCell ref="K660:K661"/>
    <mergeCell ref="K692:K693"/>
    <mergeCell ref="K696:K697"/>
    <mergeCell ref="K658:K659"/>
    <mergeCell ref="K662:K663"/>
    <mergeCell ref="K664:K665"/>
    <mergeCell ref="K674:K675"/>
    <mergeCell ref="K672:K673"/>
    <mergeCell ref="K688:K689"/>
    <mergeCell ref="T878:T882"/>
    <mergeCell ref="U878:U882"/>
    <mergeCell ref="V878:V882"/>
    <mergeCell ref="C886:S886"/>
    <mergeCell ref="T886:T887"/>
    <mergeCell ref="U886:U887"/>
    <mergeCell ref="V886:V887"/>
    <mergeCell ref="C876:S876"/>
    <mergeCell ref="T876:T877"/>
    <mergeCell ref="U876:U877"/>
    <mergeCell ref="V876:V877"/>
    <mergeCell ref="T888:T892"/>
    <mergeCell ref="U888:U892"/>
    <mergeCell ref="V888:V892"/>
    <mergeCell ref="B474:R474"/>
    <mergeCell ref="S474:S475"/>
    <mergeCell ref="T474:T475"/>
    <mergeCell ref="U474:U475"/>
    <mergeCell ref="AF414:AF415"/>
    <mergeCell ref="AD414:AD415"/>
    <mergeCell ref="AC429:AC430"/>
    <mergeCell ref="AD429:AD430"/>
    <mergeCell ref="B769:BV769"/>
    <mergeCell ref="B762:L762"/>
    <mergeCell ref="B701:AU701"/>
    <mergeCell ref="B623:AC623"/>
    <mergeCell ref="V464:V465"/>
    <mergeCell ref="B469:R469"/>
    <mergeCell ref="S469:S470"/>
    <mergeCell ref="T469:T470"/>
    <mergeCell ref="U469:U470"/>
    <mergeCell ref="B464:R464"/>
    <mergeCell ref="T464:T465"/>
    <mergeCell ref="U464:U465"/>
    <mergeCell ref="K670:K671"/>
    <mergeCell ref="AF404:AF405"/>
    <mergeCell ref="B459:R459"/>
    <mergeCell ref="S459:S460"/>
    <mergeCell ref="T459:T460"/>
    <mergeCell ref="U459:U460"/>
    <mergeCell ref="B442:E442"/>
    <mergeCell ref="B434:AB434"/>
    <mergeCell ref="AC434:AC435"/>
    <mergeCell ref="AD434:AD435"/>
    <mergeCell ref="AC404:AC405"/>
    <mergeCell ref="AD404:AD405"/>
    <mergeCell ref="AD409:AD410"/>
    <mergeCell ref="AE409:AE410"/>
    <mergeCell ref="B414:AB414"/>
    <mergeCell ref="B429:AB429"/>
    <mergeCell ref="B424:AB424"/>
    <mergeCell ref="AC424:AC425"/>
    <mergeCell ref="AD424:AD425"/>
    <mergeCell ref="AE424:AE425"/>
    <mergeCell ref="B404:AB404"/>
    <mergeCell ref="B409:AB409"/>
    <mergeCell ref="AE404:AE405"/>
    <mergeCell ref="AE429:AE430"/>
    <mergeCell ref="B379:AB379"/>
    <mergeCell ref="B384:AB384"/>
    <mergeCell ref="B399:AB399"/>
    <mergeCell ref="AC379:AC380"/>
    <mergeCell ref="AE389:AE390"/>
    <mergeCell ref="AE379:AE380"/>
    <mergeCell ref="B360:AE360"/>
    <mergeCell ref="B365:AE365"/>
    <mergeCell ref="AD379:AD380"/>
    <mergeCell ref="B394:AB394"/>
    <mergeCell ref="AC399:AC400"/>
    <mergeCell ref="AD399:AD400"/>
    <mergeCell ref="AC394:AC395"/>
    <mergeCell ref="AH345:AH346"/>
    <mergeCell ref="AI345:AI346"/>
    <mergeCell ref="AF340:AF341"/>
    <mergeCell ref="AG340:AG341"/>
    <mergeCell ref="AH340:AH341"/>
    <mergeCell ref="AI340:AI341"/>
    <mergeCell ref="AH365:AH366"/>
    <mergeCell ref="AI365:AI366"/>
    <mergeCell ref="AF360:AF361"/>
    <mergeCell ref="AG360:AG361"/>
    <mergeCell ref="AH360:AH361"/>
    <mergeCell ref="AI360:AI361"/>
    <mergeCell ref="AG365:AG366"/>
    <mergeCell ref="AG350:AG351"/>
    <mergeCell ref="AH350:AH351"/>
    <mergeCell ref="AI350:AI351"/>
    <mergeCell ref="AG345:AG346"/>
    <mergeCell ref="AF355:AF356"/>
    <mergeCell ref="AG355:AG356"/>
    <mergeCell ref="AH355:AH356"/>
    <mergeCell ref="AI355:AI356"/>
    <mergeCell ref="AF365:AF366"/>
    <mergeCell ref="AG315:AG316"/>
    <mergeCell ref="AH315:AH316"/>
    <mergeCell ref="AI315:AI316"/>
    <mergeCell ref="AF310:AF311"/>
    <mergeCell ref="AG310:AG311"/>
    <mergeCell ref="AH310:AH311"/>
    <mergeCell ref="AI310:AI311"/>
    <mergeCell ref="AF335:AF336"/>
    <mergeCell ref="AG335:AG336"/>
    <mergeCell ref="AH335:AH336"/>
    <mergeCell ref="AI335:AI336"/>
    <mergeCell ref="AF330:AF331"/>
    <mergeCell ref="AG330:AG331"/>
    <mergeCell ref="AH330:AH331"/>
    <mergeCell ref="AI330:AI331"/>
    <mergeCell ref="AG320:AG321"/>
    <mergeCell ref="AH320:AH321"/>
    <mergeCell ref="AI320:AI321"/>
    <mergeCell ref="AF325:AF326"/>
    <mergeCell ref="AG325:AG326"/>
    <mergeCell ref="AH325:AH326"/>
    <mergeCell ref="AI325:AI326"/>
    <mergeCell ref="B234:K234"/>
    <mergeCell ref="M291:M292"/>
    <mergeCell ref="N291:N292"/>
    <mergeCell ref="O291:O292"/>
    <mergeCell ref="P291:P292"/>
    <mergeCell ref="R270:R271"/>
    <mergeCell ref="S270:S271"/>
    <mergeCell ref="T270:T271"/>
    <mergeCell ref="B270:Q270"/>
    <mergeCell ref="B275:Q275"/>
    <mergeCell ref="B280:Q280"/>
    <mergeCell ref="B291:L291"/>
    <mergeCell ref="T275:T276"/>
    <mergeCell ref="R280:R281"/>
    <mergeCell ref="S280:S281"/>
    <mergeCell ref="T280:T281"/>
    <mergeCell ref="B257:L257"/>
    <mergeCell ref="AF399:AF400"/>
    <mergeCell ref="AC384:AC385"/>
    <mergeCell ref="AD384:AD385"/>
    <mergeCell ref="AE384:AE385"/>
    <mergeCell ref="AF384:AF385"/>
    <mergeCell ref="AF315:AF316"/>
    <mergeCell ref="AF345:AF346"/>
    <mergeCell ref="AF389:AF390"/>
    <mergeCell ref="AF394:AF395"/>
    <mergeCell ref="AF350:AF351"/>
    <mergeCell ref="B320:AE320"/>
    <mergeCell ref="AF320:AF321"/>
    <mergeCell ref="B325:AE325"/>
    <mergeCell ref="B389:AB389"/>
    <mergeCell ref="AC389:AC390"/>
    <mergeCell ref="AD389:AD390"/>
    <mergeCell ref="AF379:AF380"/>
    <mergeCell ref="AD394:AD395"/>
    <mergeCell ref="AE394:AE395"/>
    <mergeCell ref="B315:AE315"/>
    <mergeCell ref="B330:AE330"/>
    <mergeCell ref="B335:AE335"/>
    <mergeCell ref="B345:AE345"/>
    <mergeCell ref="B340:AE340"/>
    <mergeCell ref="U270:U271"/>
    <mergeCell ref="R275:R276"/>
    <mergeCell ref="S275:S276"/>
    <mergeCell ref="B296:L296"/>
    <mergeCell ref="M296:M297"/>
    <mergeCell ref="B355:AE355"/>
    <mergeCell ref="B350:AE350"/>
    <mergeCell ref="AE399:AE400"/>
    <mergeCell ref="U275:U276"/>
    <mergeCell ref="N296:N297"/>
    <mergeCell ref="O296:O297"/>
    <mergeCell ref="P296:P297"/>
    <mergeCell ref="U280:U281"/>
    <mergeCell ref="B310:AE310"/>
  </mergeCells>
  <phoneticPr fontId="2" type="noConversion"/>
  <hyperlinks>
    <hyperlink ref="B218" r:id="rId1"/>
    <hyperlink ref="B253" r:id="rId2"/>
    <hyperlink ref="B440" r:id="rId3"/>
    <hyperlink ref="B445"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L1163"/>
  <sheetViews>
    <sheetView topLeftCell="A249" zoomScale="85" zoomScaleNormal="85" workbookViewId="0">
      <selection activeCell="B252" sqref="B252"/>
    </sheetView>
  </sheetViews>
  <sheetFormatPr defaultRowHeight="14.4" x14ac:dyDescent="0.25"/>
  <cols>
    <col min="1" max="1" width="21.6640625" customWidth="1"/>
    <col min="2" max="2" width="39.44140625" customWidth="1"/>
    <col min="3" max="3" width="25.6640625" customWidth="1"/>
    <col min="4" max="4" width="18.21875" customWidth="1"/>
    <col min="5" max="5" width="21.44140625" customWidth="1"/>
    <col min="6" max="6" width="20.21875" customWidth="1"/>
    <col min="7" max="7" width="17.33203125" customWidth="1"/>
    <col min="8" max="8" width="16" customWidth="1"/>
    <col min="9" max="9" width="19.109375" customWidth="1"/>
    <col min="10" max="10" width="14.88671875" customWidth="1"/>
    <col min="11" max="11" width="16.88671875" customWidth="1"/>
    <col min="12" max="12" width="23.21875" customWidth="1"/>
    <col min="13" max="13" width="19.5546875" customWidth="1"/>
    <col min="14" max="14" width="20" customWidth="1"/>
    <col min="15" max="15" width="35.6640625" customWidth="1"/>
    <col min="16" max="16" width="18.77734375" customWidth="1"/>
    <col min="17" max="17" width="21.109375" customWidth="1"/>
    <col min="18" max="18" width="16.44140625" customWidth="1"/>
    <col min="19" max="19" width="22.33203125" customWidth="1"/>
    <col min="20" max="20" width="19.33203125" customWidth="1"/>
    <col min="21" max="21" width="26.88671875" customWidth="1"/>
    <col min="22" max="22" width="25.6640625" customWidth="1"/>
    <col min="23" max="23" width="22.44140625" customWidth="1"/>
    <col min="24" max="24" width="23.109375" customWidth="1"/>
    <col min="25" max="25" width="22.21875" customWidth="1"/>
    <col min="26" max="26" width="21.33203125" customWidth="1"/>
    <col min="27" max="27" width="22.6640625" customWidth="1"/>
    <col min="28" max="28" width="32.6640625" customWidth="1"/>
    <col min="29" max="29" width="26.88671875" customWidth="1"/>
    <col min="30" max="30" width="26.21875" customWidth="1"/>
    <col min="31" max="31" width="18.33203125" customWidth="1"/>
    <col min="32" max="32" width="21.44140625" customWidth="1"/>
    <col min="33" max="33" width="16.109375" customWidth="1"/>
    <col min="34" max="34" width="15.44140625" customWidth="1"/>
    <col min="35" max="35" width="18.33203125" customWidth="1"/>
    <col min="36" max="36" width="21.77734375" customWidth="1"/>
    <col min="37" max="37" width="13.44140625" customWidth="1"/>
    <col min="38" max="38" width="17.44140625" customWidth="1"/>
    <col min="39" max="39" width="24.44140625" customWidth="1"/>
    <col min="40" max="40" width="10.109375" customWidth="1"/>
    <col min="41" max="41" width="19.44140625" customWidth="1"/>
    <col min="42" max="42" width="14.44140625" customWidth="1"/>
    <col min="43" max="43" width="15.109375" customWidth="1"/>
    <col min="44" max="44" width="18.109375" customWidth="1"/>
    <col min="45" max="45" width="16.88671875" customWidth="1"/>
    <col min="46" max="46" width="35" customWidth="1"/>
    <col min="47" max="47" width="15.44140625" customWidth="1"/>
    <col min="48" max="48" width="17.77734375" customWidth="1"/>
    <col min="49" max="49" width="18.6640625" customWidth="1"/>
    <col min="50" max="50" width="15.6640625" customWidth="1"/>
    <col min="51" max="51" width="12.77734375" customWidth="1"/>
    <col min="52" max="52" width="15.44140625" customWidth="1"/>
    <col min="53" max="53" width="19.109375" customWidth="1"/>
    <col min="54" max="54" width="20.6640625" customWidth="1"/>
    <col min="55" max="55" width="14" customWidth="1"/>
    <col min="56" max="56" width="16.88671875" customWidth="1"/>
    <col min="57" max="57" width="18.21875" customWidth="1"/>
    <col min="58" max="58" width="22.33203125" customWidth="1"/>
    <col min="59" max="59" width="19.44140625" customWidth="1"/>
    <col min="60" max="60" width="21" customWidth="1"/>
    <col min="61" max="61" width="26" customWidth="1"/>
    <col min="62" max="62" width="19.44140625" customWidth="1"/>
    <col min="63" max="63" width="17.88671875" customWidth="1"/>
    <col min="64" max="64" width="17.33203125" customWidth="1"/>
    <col min="65" max="65" width="16.33203125" customWidth="1"/>
    <col min="66" max="66" width="18" customWidth="1"/>
    <col min="67" max="67" width="17" customWidth="1"/>
    <col min="68" max="68" width="12.109375" customWidth="1"/>
    <col min="69" max="69" width="15.21875" customWidth="1"/>
    <col min="70" max="70" width="17.21875" customWidth="1"/>
    <col min="71" max="71" width="18.33203125" customWidth="1"/>
    <col min="72" max="72" width="22" customWidth="1"/>
    <col min="73" max="73" width="17" customWidth="1"/>
    <col min="74" max="74" width="16.109375" customWidth="1"/>
    <col min="75" max="75" width="14.33203125" customWidth="1"/>
  </cols>
  <sheetData>
    <row r="1" spans="1:7" x14ac:dyDescent="0.25">
      <c r="A1" t="str">
        <f>data!A1</f>
        <v>comment</v>
      </c>
      <c r="B1" s="93" t="str">
        <f>data!B1</f>
        <v>交易日</v>
      </c>
      <c r="C1" s="93" t="s">
        <v>2019</v>
      </c>
      <c r="D1" s="93" t="str">
        <f>'day1'!D1</f>
        <v>day2</v>
      </c>
      <c r="E1" s="93" t="str">
        <f>'day1'!E1</f>
        <v>day3</v>
      </c>
      <c r="F1" s="93" t="s">
        <v>1229</v>
      </c>
      <c r="G1" s="93" t="s">
        <v>1230</v>
      </c>
    </row>
    <row r="2" spans="1:7" x14ac:dyDescent="0.25">
      <c r="A2" t="str">
        <f>data!A2</f>
        <v>comment</v>
      </c>
      <c r="B2" s="93">
        <f>D2</f>
        <v>20180327</v>
      </c>
      <c r="C2" s="93">
        <f>data!C2</f>
        <v>20180326</v>
      </c>
      <c r="D2" s="93">
        <f>data!D2</f>
        <v>20180327</v>
      </c>
      <c r="E2" s="93">
        <f>data!E2</f>
        <v>20180328</v>
      </c>
      <c r="F2" s="92">
        <f>B219+1</f>
        <v>2</v>
      </c>
      <c r="G2" s="92">
        <f>B224+1</f>
        <v>2</v>
      </c>
    </row>
    <row r="3" spans="1:7" x14ac:dyDescent="0.25">
      <c r="A3" t="str">
        <f>data!A3</f>
        <v>comment</v>
      </c>
      <c r="B3" t="str">
        <f>data!B3</f>
        <v>投资者信息</v>
      </c>
    </row>
    <row r="4" spans="1:7" x14ac:dyDescent="0.25">
      <c r="A4" t="str">
        <f>data!A4</f>
        <v>comment</v>
      </c>
      <c r="B4" s="93" t="str">
        <f>data!B4</f>
        <v>投资者代码</v>
      </c>
      <c r="C4" s="93" t="str">
        <f>data!C4</f>
        <v>投资单元</v>
      </c>
      <c r="D4" s="93" t="str">
        <f>data!D4</f>
        <v>资金账号</v>
      </c>
      <c r="E4" s="93" t="str">
        <f>data!E4</f>
        <v xml:space="preserve"> 币种代码</v>
      </c>
      <c r="F4" s="93" t="str">
        <f>data!F4</f>
        <v>经纪公司</v>
      </c>
      <c r="G4" s="93" t="str">
        <f>data!G4</f>
        <v>交易编码</v>
      </c>
    </row>
    <row r="5" spans="1:7" x14ac:dyDescent="0.25">
      <c r="A5" t="str">
        <f>data!A5</f>
        <v>comment</v>
      </c>
      <c r="B5" s="92" t="str">
        <f>data!B5</f>
        <v>6001</v>
      </c>
      <c r="C5" s="92" t="str">
        <f>data!C5</f>
        <v>B00101</v>
      </c>
      <c r="D5" s="92" t="str">
        <f>data!D5</f>
        <v>6001</v>
      </c>
      <c r="E5" s="92" t="str">
        <f>data!E5</f>
        <v>CNY</v>
      </c>
      <c r="F5" s="111" t="str">
        <f>data!F5</f>
        <v>9999</v>
      </c>
      <c r="G5" s="111" t="str">
        <f>data!G5</f>
        <v>50010001</v>
      </c>
    </row>
    <row r="6" spans="1:7" x14ac:dyDescent="0.25">
      <c r="A6" t="str">
        <f>data!A6</f>
        <v>comment</v>
      </c>
      <c r="B6" s="92" t="str">
        <f>data!B6</f>
        <v>6001</v>
      </c>
      <c r="C6" s="92" t="str">
        <f>data!C6</f>
        <v>B00102</v>
      </c>
      <c r="D6" s="92" t="str">
        <f>data!D6</f>
        <v>6001</v>
      </c>
      <c r="E6" s="92" t="str">
        <f>data!E6</f>
        <v>CNY</v>
      </c>
      <c r="F6" s="111" t="str">
        <f>data!F6</f>
        <v>9999</v>
      </c>
      <c r="G6" s="111" t="str">
        <f>data!G6</f>
        <v>50010002</v>
      </c>
    </row>
    <row r="7" spans="1:7" x14ac:dyDescent="0.25">
      <c r="A7" t="str">
        <f>data!A7</f>
        <v>comment</v>
      </c>
      <c r="B7" t="str">
        <f>data!B7</f>
        <v>资金账号</v>
      </c>
    </row>
    <row r="8" spans="1:7" x14ac:dyDescent="0.25">
      <c r="A8" t="str">
        <f>data!A8</f>
        <v>comment</v>
      </c>
      <c r="B8" s="93" t="str">
        <f>data!B8</f>
        <v>投资者代码</v>
      </c>
      <c r="C8" s="93" t="str">
        <f>data!C8</f>
        <v>资金账号</v>
      </c>
      <c r="D8" s="93" t="str">
        <f>data!D8</f>
        <v>币种代码</v>
      </c>
    </row>
    <row r="9" spans="1:7" x14ac:dyDescent="0.25">
      <c r="A9" t="str">
        <f>data!A9</f>
        <v>comment</v>
      </c>
      <c r="B9" s="92" t="str">
        <f>data!B9</f>
        <v>6001</v>
      </c>
      <c r="C9" s="92" t="str">
        <f>data!C9</f>
        <v>6001</v>
      </c>
      <c r="D9" s="92" t="str">
        <f>data!D9</f>
        <v>CNY</v>
      </c>
    </row>
    <row r="10" spans="1:7" x14ac:dyDescent="0.25">
      <c r="A10" t="str">
        <f>data!A10</f>
        <v>comment</v>
      </c>
      <c r="B10" s="92" t="str">
        <f>data!B10</f>
        <v>6001</v>
      </c>
      <c r="C10" s="92" t="str">
        <f>data!C10</f>
        <v>6001</v>
      </c>
      <c r="D10" s="92" t="str">
        <f>data!D10</f>
        <v>HKD</v>
      </c>
    </row>
    <row r="11" spans="1:7" x14ac:dyDescent="0.25">
      <c r="A11" t="str">
        <f>data!A11</f>
        <v>comment</v>
      </c>
      <c r="B11" s="92" t="str">
        <f>data!B11</f>
        <v>6001</v>
      </c>
      <c r="C11" s="92" t="str">
        <f>data!C11</f>
        <v>6001</v>
      </c>
      <c r="D11" s="92" t="str">
        <f>data!D11</f>
        <v>USD</v>
      </c>
    </row>
    <row r="12" spans="1:7" x14ac:dyDescent="0.25">
      <c r="A12" t="str">
        <f>data!A12</f>
        <v>comment</v>
      </c>
      <c r="B12" t="str">
        <f>data!B12</f>
        <v>交易所资金账号</v>
      </c>
    </row>
    <row r="13" spans="1:7" x14ac:dyDescent="0.25">
      <c r="A13" t="str">
        <f>data!A13</f>
        <v>comment</v>
      </c>
      <c r="B13" s="93" t="str">
        <f>data!B13</f>
        <v>交易所代码</v>
      </c>
      <c r="C13" s="93" t="str">
        <f>data!C13</f>
        <v>交易所账号</v>
      </c>
      <c r="D13" s="93" t="str">
        <f>data!D13</f>
        <v>币种代码</v>
      </c>
    </row>
    <row r="14" spans="1:7" x14ac:dyDescent="0.25">
      <c r="A14" t="str">
        <f>data!A14</f>
        <v>comment</v>
      </c>
      <c r="B14" s="92" t="str">
        <f>data!B14</f>
        <v>CZCE</v>
      </c>
      <c r="C14" s="92">
        <f>data!C14</f>
        <v>99990201</v>
      </c>
      <c r="D14" s="92" t="str">
        <f>data!D14</f>
        <v>CNY</v>
      </c>
    </row>
    <row r="15" spans="1:7" x14ac:dyDescent="0.25">
      <c r="A15" t="str">
        <f>data!A15</f>
        <v>comment</v>
      </c>
      <c r="B15" s="92" t="str">
        <f>data!B15</f>
        <v>CZCE</v>
      </c>
      <c r="C15" s="92">
        <f>data!C15</f>
        <v>99990203</v>
      </c>
      <c r="D15" s="92" t="str">
        <f>data!D15</f>
        <v>HKD</v>
      </c>
    </row>
    <row r="16" spans="1:7" x14ac:dyDescent="0.25">
      <c r="A16" t="str">
        <f>data!A16</f>
        <v>comment</v>
      </c>
      <c r="B16" s="92" t="str">
        <f>data!B16</f>
        <v>CZCE</v>
      </c>
      <c r="C16" s="92">
        <f>data!C16</f>
        <v>99990202</v>
      </c>
      <c r="D16" s="92" t="str">
        <f>data!D16</f>
        <v>USD</v>
      </c>
    </row>
    <row r="17" spans="1:13" x14ac:dyDescent="0.25">
      <c r="A17" t="str">
        <f>data!A17</f>
        <v>comment</v>
      </c>
      <c r="B17" t="str">
        <f>data!B17</f>
        <v>产品合约</v>
      </c>
    </row>
    <row r="18" spans="1:13" x14ac:dyDescent="0.25">
      <c r="A18" t="str">
        <f>data!A18</f>
        <v>comment</v>
      </c>
      <c r="B18" s="93" t="str">
        <f>data!B18</f>
        <v>交易所</v>
      </c>
      <c r="C18" s="93" t="str">
        <f>data!C18</f>
        <v>合约</v>
      </c>
      <c r="D18" s="93" t="str">
        <f>data!D18</f>
        <v>品种</v>
      </c>
      <c r="E18" s="93" t="str">
        <f>data!E18</f>
        <v>合约乘数</v>
      </c>
      <c r="F18" s="93" t="str">
        <f>data!F18</f>
        <v>到期日</v>
      </c>
      <c r="G18" s="93">
        <f>data!G18</f>
        <v>2</v>
      </c>
      <c r="H18" s="93" t="str">
        <f>data!H18</f>
        <v>看涨看跌0：涨，1：跌</v>
      </c>
      <c r="I18" s="93" t="str">
        <f>data!I18</f>
        <v>标的期货合约</v>
      </c>
      <c r="J18" s="93" t="str">
        <f>data!J18</f>
        <v>执行价格</v>
      </c>
      <c r="K18" s="93" t="str">
        <f>data!K18</f>
        <v>是否特殊品种:0正常,1 特殊</v>
      </c>
      <c r="L18" s="93" t="str">
        <f>data!L18</f>
        <v>品种类型</v>
      </c>
      <c r="M18" s="93" t="str">
        <f>data!M18</f>
        <v>基础商品乘数</v>
      </c>
    </row>
    <row r="19" spans="1:13" x14ac:dyDescent="0.25">
      <c r="A19" t="str">
        <f>data!A19</f>
        <v>comment</v>
      </c>
      <c r="B19" s="92" t="str">
        <f>data!B19</f>
        <v>CZCE</v>
      </c>
      <c r="C19" s="92" t="str">
        <f>data!C19</f>
        <v>SR807</v>
      </c>
      <c r="D19" s="92" t="str">
        <f>data!D19</f>
        <v>SR</v>
      </c>
      <c r="E19" s="92">
        <f>data!E19</f>
        <v>10</v>
      </c>
      <c r="F19" s="92">
        <f>data!F19</f>
        <v>20180328</v>
      </c>
      <c r="G19" s="92">
        <f>data!G19</f>
        <v>1</v>
      </c>
      <c r="H19" s="92">
        <f>data!H19</f>
        <v>9</v>
      </c>
      <c r="I19" s="92" t="str">
        <f>data!I19</f>
        <v>SR807</v>
      </c>
      <c r="J19" s="92">
        <f>data!J19</f>
        <v>0</v>
      </c>
      <c r="K19" s="111">
        <f>data!K19</f>
        <v>0</v>
      </c>
      <c r="L19" s="93">
        <f>data!L19</f>
        <v>0</v>
      </c>
      <c r="M19" s="93">
        <f>data!M19</f>
        <v>1</v>
      </c>
    </row>
    <row r="20" spans="1:13" x14ac:dyDescent="0.25">
      <c r="A20" t="str">
        <f>data!A20</f>
        <v>comment</v>
      </c>
      <c r="B20" s="92" t="str">
        <f>data!B20</f>
        <v>CZCE</v>
      </c>
      <c r="C20" s="92" t="str">
        <f>data!C20</f>
        <v>SR809</v>
      </c>
      <c r="D20" s="92" t="str">
        <f>data!D20</f>
        <v>SR</v>
      </c>
      <c r="E20" s="92">
        <f>data!E20</f>
        <v>10</v>
      </c>
      <c r="F20" s="92">
        <f>data!F20</f>
        <v>20180333</v>
      </c>
      <c r="G20" s="92">
        <f>data!G20</f>
        <v>1</v>
      </c>
      <c r="H20" s="92">
        <f>data!H20</f>
        <v>9</v>
      </c>
      <c r="I20" s="92" t="str">
        <f>data!I20</f>
        <v>SR809</v>
      </c>
      <c r="J20" s="92">
        <f>data!J20</f>
        <v>0</v>
      </c>
      <c r="K20" s="111">
        <f>data!K20</f>
        <v>0</v>
      </c>
      <c r="L20" s="93">
        <f>data!L20</f>
        <v>0</v>
      </c>
      <c r="M20" s="93">
        <f>data!M20</f>
        <v>1</v>
      </c>
    </row>
    <row r="21" spans="1:13" x14ac:dyDescent="0.25">
      <c r="A21" t="str">
        <f>data!A21</f>
        <v>comment</v>
      </c>
      <c r="B21" s="92" t="str">
        <f>data!B21</f>
        <v>CZCE</v>
      </c>
      <c r="C21" s="92" t="str">
        <f>data!C21</f>
        <v>OI811</v>
      </c>
      <c r="D21" s="92" t="str">
        <f>data!D21</f>
        <v>OI</v>
      </c>
      <c r="E21" s="92">
        <f>data!E21</f>
        <v>10</v>
      </c>
      <c r="F21" s="92">
        <f>data!F21</f>
        <v>20180333</v>
      </c>
      <c r="G21" s="92">
        <f>data!G21</f>
        <v>1</v>
      </c>
      <c r="H21" s="92">
        <f>data!H21</f>
        <v>9</v>
      </c>
      <c r="I21" s="92" t="str">
        <f>data!I21</f>
        <v>OI811</v>
      </c>
      <c r="J21" s="92">
        <f>data!J21</f>
        <v>0</v>
      </c>
      <c r="K21" s="111">
        <f>data!K21</f>
        <v>0</v>
      </c>
      <c r="L21" s="93">
        <f>data!L21</f>
        <v>0</v>
      </c>
      <c r="M21" s="93">
        <f>data!M21</f>
        <v>1</v>
      </c>
    </row>
    <row r="22" spans="1:13" x14ac:dyDescent="0.25">
      <c r="A22" t="str">
        <f>data!A22</f>
        <v>comment</v>
      </c>
      <c r="B22" s="92" t="str">
        <f>data!B22</f>
        <v>CZCE</v>
      </c>
      <c r="C22" s="92" t="str">
        <f>data!C22</f>
        <v>PTA807</v>
      </c>
      <c r="D22" s="92" t="str">
        <f>data!D22</f>
        <v>PTA</v>
      </c>
      <c r="E22" s="92">
        <f>data!E22</f>
        <v>5</v>
      </c>
      <c r="F22" s="92">
        <f>data!F22</f>
        <v>20180328</v>
      </c>
      <c r="G22" s="92">
        <f>data!G22</f>
        <v>1</v>
      </c>
      <c r="H22" s="92">
        <f>data!H22</f>
        <v>9</v>
      </c>
      <c r="I22" s="92" t="str">
        <f>data!I22</f>
        <v>PTA807</v>
      </c>
      <c r="J22" s="92">
        <f>data!J22</f>
        <v>0</v>
      </c>
      <c r="K22" s="111">
        <f>data!K22</f>
        <v>1</v>
      </c>
      <c r="L22" s="93">
        <f>data!L22</f>
        <v>0</v>
      </c>
      <c r="M22" s="93">
        <f>data!M22</f>
        <v>1</v>
      </c>
    </row>
    <row r="23" spans="1:13" x14ac:dyDescent="0.25">
      <c r="A23" t="str">
        <f>data!A23</f>
        <v>comment</v>
      </c>
      <c r="B23" s="92" t="str">
        <f>data!B23</f>
        <v>CZCE</v>
      </c>
      <c r="C23" s="92" t="str">
        <f>data!C23</f>
        <v>PTA809</v>
      </c>
      <c r="D23" s="92" t="str">
        <f>data!D23</f>
        <v>PTA</v>
      </c>
      <c r="E23" s="92">
        <f>data!E23</f>
        <v>5</v>
      </c>
      <c r="F23" s="92">
        <f>data!F23</f>
        <v>20180333</v>
      </c>
      <c r="G23" s="92">
        <f>data!G23</f>
        <v>1</v>
      </c>
      <c r="H23" s="92">
        <f>data!H23</f>
        <v>9</v>
      </c>
      <c r="I23" s="92" t="str">
        <f>data!I23</f>
        <v>PTA809</v>
      </c>
      <c r="J23" s="92">
        <f>data!J23</f>
        <v>0</v>
      </c>
      <c r="K23" s="111">
        <f>data!K23</f>
        <v>1</v>
      </c>
      <c r="L23" s="93">
        <f>data!L23</f>
        <v>0</v>
      </c>
      <c r="M23" s="93">
        <f>data!M23</f>
        <v>1</v>
      </c>
    </row>
    <row r="24" spans="1:13" x14ac:dyDescent="0.25">
      <c r="A24" t="str">
        <f>data!A24</f>
        <v>comment</v>
      </c>
      <c r="B24" s="92" t="str">
        <f>data!B24</f>
        <v>CZCE</v>
      </c>
      <c r="C24" s="92" t="str">
        <f>data!C24</f>
        <v>PTA807C6500</v>
      </c>
      <c r="D24" s="92" t="str">
        <f>data!D24</f>
        <v>PTAC</v>
      </c>
      <c r="E24" s="92">
        <f>data!E24</f>
        <v>5</v>
      </c>
      <c r="F24" s="92">
        <f>data!F24</f>
        <v>20180328</v>
      </c>
      <c r="G24" s="92">
        <f>data!G24</f>
        <v>2</v>
      </c>
      <c r="H24" s="92">
        <f>data!H24</f>
        <v>0</v>
      </c>
      <c r="I24" s="92" t="str">
        <f>data!I24</f>
        <v>PTA807</v>
      </c>
      <c r="J24" s="92">
        <f>data!J24</f>
        <v>6500</v>
      </c>
      <c r="K24" s="111">
        <f>data!K24</f>
        <v>0</v>
      </c>
      <c r="L24" s="93">
        <f>data!L24</f>
        <v>1</v>
      </c>
      <c r="M24" s="93">
        <f>data!M24</f>
        <v>1</v>
      </c>
    </row>
    <row r="25" spans="1:13" x14ac:dyDescent="0.25">
      <c r="A25" t="str">
        <f>data!A25</f>
        <v>comment</v>
      </c>
      <c r="B25" s="92" t="str">
        <f>data!B25</f>
        <v>CZCE</v>
      </c>
      <c r="C25" s="92" t="str">
        <f>data!C25</f>
        <v>PTA807P6200</v>
      </c>
      <c r="D25" s="92" t="str">
        <f>data!D25</f>
        <v>PTAP</v>
      </c>
      <c r="E25" s="92">
        <f>data!E25</f>
        <v>5</v>
      </c>
      <c r="F25" s="92">
        <f>data!F25</f>
        <v>20180328</v>
      </c>
      <c r="G25" s="92">
        <f>data!G25</f>
        <v>2</v>
      </c>
      <c r="H25" s="92">
        <f>data!H25</f>
        <v>1</v>
      </c>
      <c r="I25" s="92" t="str">
        <f>data!I25</f>
        <v>PTA807</v>
      </c>
      <c r="J25" s="92">
        <f>data!J25</f>
        <v>6200</v>
      </c>
      <c r="K25" s="111">
        <f>data!K25</f>
        <v>0</v>
      </c>
      <c r="L25" s="93">
        <f>data!L25</f>
        <v>1</v>
      </c>
      <c r="M25" s="93">
        <f>data!M25</f>
        <v>1</v>
      </c>
    </row>
    <row r="26" spans="1:13" x14ac:dyDescent="0.25">
      <c r="A26" t="str">
        <f>data!A26</f>
        <v>comment</v>
      </c>
      <c r="B26" s="92" t="str">
        <f>data!B26</f>
        <v>CZCE</v>
      </c>
      <c r="C26" s="92" t="str">
        <f>data!C26</f>
        <v>PTA807P6500</v>
      </c>
      <c r="D26" s="92" t="str">
        <f>data!D26</f>
        <v>PTAP</v>
      </c>
      <c r="E26" s="92">
        <f>data!E26</f>
        <v>5</v>
      </c>
      <c r="F26" s="92">
        <f>data!F26</f>
        <v>20180328</v>
      </c>
      <c r="G26" s="92">
        <f>data!G26</f>
        <v>2</v>
      </c>
      <c r="H26" s="92">
        <f>data!H26</f>
        <v>1</v>
      </c>
      <c r="I26" s="92" t="str">
        <f>data!I26</f>
        <v>PTA807</v>
      </c>
      <c r="J26" s="92">
        <f>data!J26</f>
        <v>6500</v>
      </c>
      <c r="K26" s="111">
        <f>data!K26</f>
        <v>0</v>
      </c>
      <c r="L26" s="93">
        <f>data!L26</f>
        <v>1</v>
      </c>
      <c r="M26" s="93">
        <f>data!M26</f>
        <v>1</v>
      </c>
    </row>
    <row r="27" spans="1:13" x14ac:dyDescent="0.25">
      <c r="A27" t="str">
        <f>data!A27</f>
        <v>comment</v>
      </c>
      <c r="B27" s="92" t="str">
        <f>data!B27</f>
        <v>CZCE</v>
      </c>
      <c r="C27" s="92" t="str">
        <f>data!C27</f>
        <v>SR807C6500</v>
      </c>
      <c r="D27" s="92" t="str">
        <f>data!D27</f>
        <v>SRC</v>
      </c>
      <c r="E27" s="92">
        <f>data!E27</f>
        <v>10</v>
      </c>
      <c r="F27" s="92">
        <f>data!F27</f>
        <v>20180327</v>
      </c>
      <c r="G27" s="92">
        <f>data!G27</f>
        <v>2</v>
      </c>
      <c r="H27" s="92">
        <f>data!H27</f>
        <v>0</v>
      </c>
      <c r="I27" s="92" t="str">
        <f>data!I27</f>
        <v>SR807</v>
      </c>
      <c r="J27" s="92">
        <f>data!J27</f>
        <v>6500</v>
      </c>
      <c r="K27" s="111">
        <f>data!K27</f>
        <v>0</v>
      </c>
      <c r="L27" s="93">
        <f>data!L27</f>
        <v>1</v>
      </c>
      <c r="M27" s="93">
        <f>data!M27</f>
        <v>1</v>
      </c>
    </row>
    <row r="28" spans="1:13" x14ac:dyDescent="0.25">
      <c r="A28" t="str">
        <f>data!A28</f>
        <v>comment</v>
      </c>
      <c r="B28" s="92" t="str">
        <f>data!B28</f>
        <v>CZCE</v>
      </c>
      <c r="C28" s="92" t="str">
        <f>data!C28</f>
        <v>SR807P6500</v>
      </c>
      <c r="D28" s="92" t="str">
        <f>data!D28</f>
        <v>SRP</v>
      </c>
      <c r="E28" s="92">
        <f>data!E28</f>
        <v>10</v>
      </c>
      <c r="F28" s="92">
        <f>data!F28</f>
        <v>20180327</v>
      </c>
      <c r="G28" s="92">
        <f>data!G28</f>
        <v>2</v>
      </c>
      <c r="H28" s="92">
        <f>data!H28</f>
        <v>1</v>
      </c>
      <c r="I28" s="92" t="str">
        <f>data!I28</f>
        <v>SR807</v>
      </c>
      <c r="J28" s="92">
        <f>data!J28</f>
        <v>6500</v>
      </c>
      <c r="K28" s="111">
        <f>data!K28</f>
        <v>0</v>
      </c>
      <c r="L28" s="93">
        <f>data!L28</f>
        <v>1</v>
      </c>
      <c r="M28" s="93">
        <f>data!M28</f>
        <v>1</v>
      </c>
    </row>
    <row r="29" spans="1:13" x14ac:dyDescent="0.25">
      <c r="A29" t="str">
        <f>data!A29</f>
        <v>comment</v>
      </c>
      <c r="B29" s="92" t="str">
        <f>data!B29</f>
        <v>CZCE</v>
      </c>
      <c r="C29" s="92" t="str">
        <f>data!C29</f>
        <v>SR807P6400</v>
      </c>
      <c r="D29" s="92" t="str">
        <f>data!D29</f>
        <v>SRP</v>
      </c>
      <c r="E29" s="92">
        <f>data!E29</f>
        <v>10</v>
      </c>
      <c r="F29" s="92">
        <f>data!F29</f>
        <v>20180327</v>
      </c>
      <c r="G29" s="92">
        <f>data!G29</f>
        <v>2</v>
      </c>
      <c r="H29" s="92">
        <f>data!H29</f>
        <v>1</v>
      </c>
      <c r="I29" s="92" t="str">
        <f>data!I29</f>
        <v>SR807</v>
      </c>
      <c r="J29" s="92">
        <f>data!J29</f>
        <v>6400</v>
      </c>
      <c r="K29" s="111">
        <f>data!K29</f>
        <v>0</v>
      </c>
      <c r="L29" s="93">
        <f>data!L29</f>
        <v>1</v>
      </c>
      <c r="M29" s="93">
        <f>data!M29</f>
        <v>1</v>
      </c>
    </row>
    <row r="30" spans="1:13" s="6" customFormat="1" x14ac:dyDescent="0.25">
      <c r="A30" s="6" t="str">
        <f>data!A30</f>
        <v>comment</v>
      </c>
      <c r="B30" s="111" t="str">
        <f>data!B30</f>
        <v>CZCE</v>
      </c>
      <c r="C30" s="111" t="str">
        <f>data!C30</f>
        <v>SR809C6600</v>
      </c>
      <c r="D30" s="111" t="str">
        <f>data!D30</f>
        <v>SRC</v>
      </c>
      <c r="E30" s="111">
        <f>data!E30</f>
        <v>10</v>
      </c>
      <c r="F30" s="111">
        <f>data!F30</f>
        <v>20180332</v>
      </c>
      <c r="G30" s="111">
        <f>data!G30</f>
        <v>2</v>
      </c>
      <c r="H30" s="111">
        <f>data!H30</f>
        <v>0</v>
      </c>
      <c r="I30" s="111" t="str">
        <f>data!I30</f>
        <v>SR809</v>
      </c>
      <c r="J30" s="111">
        <f>data!J30</f>
        <v>6600</v>
      </c>
      <c r="K30" s="111">
        <f>data!K30</f>
        <v>0</v>
      </c>
      <c r="L30" s="111">
        <f>data!L30</f>
        <v>1</v>
      </c>
      <c r="M30" s="111">
        <f>data!M30</f>
        <v>1</v>
      </c>
    </row>
    <row r="31" spans="1:13" x14ac:dyDescent="0.25">
      <c r="A31" t="str">
        <f>data!A31</f>
        <v>comment</v>
      </c>
      <c r="B31" s="92" t="str">
        <f>data!B31</f>
        <v>CZCE</v>
      </c>
      <c r="C31" s="92" t="str">
        <f>data!C31</f>
        <v>SR809C6500</v>
      </c>
      <c r="D31" s="92" t="str">
        <f>data!D31</f>
        <v>SRC</v>
      </c>
      <c r="E31" s="92">
        <f>data!E31</f>
        <v>10</v>
      </c>
      <c r="F31" s="92">
        <f>data!F31</f>
        <v>20180327</v>
      </c>
      <c r="G31" s="92">
        <f>data!G31</f>
        <v>0</v>
      </c>
      <c r="H31" s="92">
        <f>data!H31</f>
        <v>0</v>
      </c>
      <c r="I31" s="92" t="str">
        <f>data!I31</f>
        <v>SR809</v>
      </c>
      <c r="J31" s="92">
        <f>data!J31</f>
        <v>6500</v>
      </c>
      <c r="K31" s="111">
        <f>data!K31</f>
        <v>0</v>
      </c>
      <c r="L31" s="93">
        <f>data!L31</f>
        <v>1</v>
      </c>
      <c r="M31" s="93">
        <f>data!M31</f>
        <v>1</v>
      </c>
    </row>
    <row r="32" spans="1:13" x14ac:dyDescent="0.25">
      <c r="A32" t="str">
        <f>data!A32</f>
        <v>comment</v>
      </c>
      <c r="B32" s="93" t="str">
        <f>data!B32</f>
        <v>交易所</v>
      </c>
      <c r="C32" s="93" t="str">
        <f>data!C32</f>
        <v>组合合约</v>
      </c>
      <c r="D32" s="93" t="str">
        <f>data!D32</f>
        <v>组合类型</v>
      </c>
      <c r="E32" s="93" t="str">
        <f>data!E32</f>
        <v>组合方向</v>
      </c>
      <c r="F32" s="93" t="str">
        <f>data!F32</f>
        <v>左腿合约</v>
      </c>
      <c r="G32" s="93" t="str">
        <f>data!G32</f>
        <v>左腿方向</v>
      </c>
      <c r="H32" s="93" t="str">
        <f>data!H32</f>
        <v>右腿合约</v>
      </c>
      <c r="I32" s="93" t="str">
        <f>data!I32</f>
        <v>右腿方向</v>
      </c>
      <c r="J32" s="93" t="str">
        <f>data!J32</f>
        <v>组合类型</v>
      </c>
      <c r="K32" s="167"/>
      <c r="L32" s="167"/>
    </row>
    <row r="33" spans="1:12" x14ac:dyDescent="0.25">
      <c r="A33" t="str">
        <f>data!A33</f>
        <v>comment</v>
      </c>
      <c r="B33" s="92" t="str">
        <f>data!B33</f>
        <v>CZCE</v>
      </c>
      <c r="C33" s="92" t="str">
        <f>data!C33</f>
        <v>SR807&amp;SR809</v>
      </c>
      <c r="D33" s="92" t="str">
        <f>data!D33</f>
        <v>同品种跨期</v>
      </c>
      <c r="E33" s="92">
        <f>data!E33</f>
        <v>0</v>
      </c>
      <c r="F33" s="92" t="str">
        <f>data!F33</f>
        <v>SR807</v>
      </c>
      <c r="G33" s="92">
        <f>data!G33</f>
        <v>0</v>
      </c>
      <c r="H33" s="92" t="str">
        <f>data!H33</f>
        <v>SR809</v>
      </c>
      <c r="I33" s="92">
        <f>data!I33</f>
        <v>1</v>
      </c>
      <c r="J33" s="92" t="str">
        <f>data!J33</f>
        <v>SPD</v>
      </c>
      <c r="K33" s="167"/>
      <c r="L33" s="167"/>
    </row>
    <row r="34" spans="1:12" x14ac:dyDescent="0.25">
      <c r="A34" t="str">
        <f>data!A34</f>
        <v>comment</v>
      </c>
      <c r="B34" s="92" t="str">
        <f>data!B34</f>
        <v>CZCE</v>
      </c>
      <c r="C34" s="92" t="str">
        <f>data!C34</f>
        <v>SR807&amp;SR809</v>
      </c>
      <c r="D34" s="92" t="str">
        <f>data!D34</f>
        <v>同品种跨期</v>
      </c>
      <c r="E34" s="92">
        <f>data!E34</f>
        <v>1</v>
      </c>
      <c r="F34" s="92" t="str">
        <f>data!F34</f>
        <v>SR807</v>
      </c>
      <c r="G34" s="92">
        <f>data!G34</f>
        <v>1</v>
      </c>
      <c r="H34" s="92" t="str">
        <f>data!H34</f>
        <v>SR809</v>
      </c>
      <c r="I34" s="92">
        <f>data!I34</f>
        <v>0</v>
      </c>
      <c r="J34" s="92" t="str">
        <f>data!J34</f>
        <v>SPD</v>
      </c>
      <c r="K34" s="167"/>
      <c r="L34" s="167"/>
    </row>
    <row r="35" spans="1:12" x14ac:dyDescent="0.25">
      <c r="A35" t="str">
        <f>data!A35</f>
        <v>comment</v>
      </c>
      <c r="B35" s="92" t="str">
        <f>data!B35</f>
        <v>CZCE</v>
      </c>
      <c r="C35" s="92" t="str">
        <f>data!C35</f>
        <v>SR807&amp;OI811</v>
      </c>
      <c r="D35" s="92" t="str">
        <f>data!D35</f>
        <v>不同品种跨期</v>
      </c>
      <c r="E35" s="92">
        <f>data!E35</f>
        <v>1</v>
      </c>
      <c r="F35" s="92" t="str">
        <f>data!F35</f>
        <v>SR807</v>
      </c>
      <c r="G35" s="92">
        <f>data!G35</f>
        <v>1</v>
      </c>
      <c r="H35" s="92" t="str">
        <f>data!H35</f>
        <v>OI811</v>
      </c>
      <c r="I35" s="92">
        <f>data!I35</f>
        <v>1</v>
      </c>
      <c r="J35" s="92" t="str">
        <f>data!J35</f>
        <v>SPD</v>
      </c>
      <c r="K35" s="167"/>
      <c r="L35" s="167"/>
    </row>
    <row r="36" spans="1:12" x14ac:dyDescent="0.25">
      <c r="A36" t="str">
        <f>data!A36</f>
        <v>comment</v>
      </c>
      <c r="B36" s="92" t="str">
        <f>data!B36</f>
        <v>CZCE</v>
      </c>
      <c r="C36" s="92" t="str">
        <f>data!C36</f>
        <v>SR807&amp;OI811</v>
      </c>
      <c r="D36" s="92" t="str">
        <f>data!D36</f>
        <v>不同品种跨期</v>
      </c>
      <c r="E36" s="92">
        <f>data!E36</f>
        <v>1</v>
      </c>
      <c r="F36" s="92" t="str">
        <f>data!F36</f>
        <v>SR807</v>
      </c>
      <c r="G36" s="92">
        <f>data!G36</f>
        <v>1</v>
      </c>
      <c r="H36" s="92" t="str">
        <f>data!H36</f>
        <v>OI811</v>
      </c>
      <c r="I36" s="92">
        <f>data!I36</f>
        <v>0</v>
      </c>
      <c r="J36" s="92" t="str">
        <f>data!J36</f>
        <v>SPD</v>
      </c>
      <c r="K36" s="167"/>
      <c r="L36" s="167"/>
    </row>
    <row r="37" spans="1:12" x14ac:dyDescent="0.25">
      <c r="A37" t="str">
        <f>data!A37</f>
        <v>comment</v>
      </c>
      <c r="B37" s="92" t="str">
        <f>data!B37</f>
        <v>CZCE</v>
      </c>
      <c r="C37" s="92" t="str">
        <f>data!C37</f>
        <v>SR807&amp;SR807C6500</v>
      </c>
      <c r="D37" s="92" t="str">
        <f>data!D37</f>
        <v>备兑看涨</v>
      </c>
      <c r="E37" s="92">
        <f>data!E37</f>
        <v>0</v>
      </c>
      <c r="F37" s="92" t="str">
        <f>data!F37</f>
        <v>SR807</v>
      </c>
      <c r="G37" s="92">
        <f>data!G37</f>
        <v>0</v>
      </c>
      <c r="H37" s="92" t="str">
        <f>data!H37</f>
        <v>SR807C6500</v>
      </c>
      <c r="I37" s="92">
        <f>data!I37</f>
        <v>1</v>
      </c>
      <c r="J37" s="92" t="str">
        <f>data!J37</f>
        <v>PRT</v>
      </c>
      <c r="K37" s="167"/>
      <c r="L37" s="167"/>
    </row>
    <row r="38" spans="1:12" x14ac:dyDescent="0.25">
      <c r="A38" t="str">
        <f>data!A38</f>
        <v>comment</v>
      </c>
      <c r="B38" s="92" t="str">
        <f>data!B38</f>
        <v>CZCE</v>
      </c>
      <c r="C38" s="92" t="str">
        <f>data!C38</f>
        <v>SR807&amp;SR807P6500</v>
      </c>
      <c r="D38" s="92" t="str">
        <f>data!D38</f>
        <v>备兑看跌</v>
      </c>
      <c r="E38" s="92">
        <f>data!E38</f>
        <v>1</v>
      </c>
      <c r="F38" s="92" t="str">
        <f>data!F38</f>
        <v>SR807</v>
      </c>
      <c r="G38" s="92">
        <f>data!G38</f>
        <v>1</v>
      </c>
      <c r="H38" s="92" t="str">
        <f>data!H38</f>
        <v>SR807P6500</v>
      </c>
      <c r="I38" s="92">
        <f>data!I38</f>
        <v>1</v>
      </c>
      <c r="J38" s="92" t="str">
        <f>data!J38</f>
        <v>PRT</v>
      </c>
      <c r="K38" s="167"/>
      <c r="L38" s="167"/>
    </row>
    <row r="39" spans="1:12" x14ac:dyDescent="0.25">
      <c r="A39" t="str">
        <f>data!A39</f>
        <v>comment</v>
      </c>
      <c r="B39" s="92" t="str">
        <f>data!B39</f>
        <v>CZCE</v>
      </c>
      <c r="C39" s="92" t="str">
        <f>data!C39</f>
        <v>PTA807&amp;PTA807C6500</v>
      </c>
      <c r="D39" s="92" t="str">
        <f>data!D39</f>
        <v>备兑看涨</v>
      </c>
      <c r="E39" s="92">
        <f>data!E39</f>
        <v>0</v>
      </c>
      <c r="F39" s="92" t="str">
        <f>data!F39</f>
        <v>PTA807</v>
      </c>
      <c r="G39" s="92">
        <f>data!G39</f>
        <v>0</v>
      </c>
      <c r="H39" s="92" t="str">
        <f>data!H39</f>
        <v>PTA807P6200</v>
      </c>
      <c r="I39" s="92">
        <f>data!I39</f>
        <v>1</v>
      </c>
      <c r="J39" s="92" t="str">
        <f>data!J39</f>
        <v>PRT</v>
      </c>
      <c r="K39" s="167"/>
      <c r="L39" s="167"/>
    </row>
    <row r="40" spans="1:12" x14ac:dyDescent="0.25">
      <c r="A40" t="str">
        <f>data!A40</f>
        <v>comment</v>
      </c>
      <c r="B40" s="92" t="str">
        <f>data!B40</f>
        <v>CZCE</v>
      </c>
      <c r="C40" s="92" t="str">
        <f>data!C40</f>
        <v>PTA807&amp;PTA807C6500</v>
      </c>
      <c r="D40" s="92" t="str">
        <f>data!D40</f>
        <v>备兑看跌</v>
      </c>
      <c r="E40" s="92">
        <f>data!E40</f>
        <v>1</v>
      </c>
      <c r="F40" s="92" t="str">
        <f>data!F40</f>
        <v>PTA807</v>
      </c>
      <c r="G40" s="92">
        <f>data!G40</f>
        <v>1</v>
      </c>
      <c r="H40" s="92" t="str">
        <f>data!H40</f>
        <v>PTA807P6200</v>
      </c>
      <c r="I40" s="92">
        <f>data!I40</f>
        <v>1</v>
      </c>
      <c r="J40" s="92" t="str">
        <f>data!J40</f>
        <v>PRT</v>
      </c>
      <c r="K40" s="167"/>
      <c r="L40" s="167"/>
    </row>
    <row r="41" spans="1:12" s="6" customFormat="1" x14ac:dyDescent="0.25">
      <c r="A41" s="6" t="str">
        <f>data!A42</f>
        <v>comment</v>
      </c>
      <c r="B41" s="111" t="str">
        <f>data!B42</f>
        <v>CZCE</v>
      </c>
      <c r="C41" s="111" t="str">
        <f>data!C41</f>
        <v>SR809&amp;SR809C6600</v>
      </c>
      <c r="D41" s="111" t="str">
        <f>data!D41</f>
        <v>备兑看涨</v>
      </c>
      <c r="E41" s="111">
        <f>data!E41</f>
        <v>0</v>
      </c>
      <c r="F41" s="111" t="str">
        <f>data!F41</f>
        <v>SR809</v>
      </c>
      <c r="G41" s="111">
        <f>data!G41</f>
        <v>0</v>
      </c>
      <c r="H41" s="111" t="str">
        <f>data!H41</f>
        <v>SR809C6600</v>
      </c>
      <c r="I41" s="111">
        <f>data!I41</f>
        <v>1</v>
      </c>
      <c r="J41" s="111" t="str">
        <f>data!J41</f>
        <v>PRT</v>
      </c>
      <c r="K41" s="167"/>
      <c r="L41" s="167"/>
    </row>
    <row r="42" spans="1:12" x14ac:dyDescent="0.25">
      <c r="A42" t="str">
        <f>data!A43</f>
        <v>comment</v>
      </c>
      <c r="B42" s="92" t="str">
        <f>data!B43</f>
        <v>CZCE</v>
      </c>
      <c r="C42" s="92" t="str">
        <f>data!C42</f>
        <v>PTA807C6500&amp;PTA807P6500</v>
      </c>
      <c r="D42" s="92" t="str">
        <f>data!D42</f>
        <v>跨式</v>
      </c>
      <c r="E42" s="92">
        <f>data!E42</f>
        <v>0</v>
      </c>
      <c r="F42" s="92" t="str">
        <f>data!F42</f>
        <v>PTA807P6200</v>
      </c>
      <c r="G42" s="92">
        <f>data!G42</f>
        <v>0</v>
      </c>
      <c r="H42" s="92" t="str">
        <f>data!H42</f>
        <v>PTA807P6500</v>
      </c>
      <c r="I42" s="92">
        <f>data!I42</f>
        <v>0</v>
      </c>
      <c r="J42" s="92" t="str">
        <f>data!J42</f>
        <v>STD</v>
      </c>
      <c r="K42" s="167"/>
      <c r="L42" s="167"/>
    </row>
    <row r="43" spans="1:12" x14ac:dyDescent="0.25">
      <c r="A43" t="str">
        <f>data!A44</f>
        <v>comment</v>
      </c>
      <c r="B43" s="92" t="str">
        <f>data!B44</f>
        <v>CZCE</v>
      </c>
      <c r="C43" s="92" t="str">
        <f>data!C43</f>
        <v>PTA807C6500&amp;PTA807P6500</v>
      </c>
      <c r="D43" s="92" t="str">
        <f>data!D43</f>
        <v>跨式</v>
      </c>
      <c r="E43" s="92">
        <f>data!E43</f>
        <v>1</v>
      </c>
      <c r="F43" s="92" t="str">
        <f>data!F43</f>
        <v>PTA807P6200</v>
      </c>
      <c r="G43" s="92">
        <f>data!G43</f>
        <v>1</v>
      </c>
      <c r="H43" s="92" t="str">
        <f>data!H43</f>
        <v>PTA807P6500</v>
      </c>
      <c r="I43" s="92">
        <f>data!I43</f>
        <v>1</v>
      </c>
      <c r="J43" s="92" t="str">
        <f>data!J43</f>
        <v>STD</v>
      </c>
      <c r="K43" s="167"/>
      <c r="L43" s="167"/>
    </row>
    <row r="44" spans="1:12" x14ac:dyDescent="0.25">
      <c r="A44" t="str">
        <f>data!A45</f>
        <v>comment</v>
      </c>
      <c r="B44" s="92" t="str">
        <f>data!B45</f>
        <v>CZCE</v>
      </c>
      <c r="C44" s="92" t="str">
        <f>data!C44</f>
        <v>PTA807C6500&amp;PTA807P6200</v>
      </c>
      <c r="D44" s="92" t="str">
        <f>data!D44</f>
        <v>宽跨式</v>
      </c>
      <c r="E44" s="92">
        <f>data!E44</f>
        <v>0</v>
      </c>
      <c r="F44" s="92" t="str">
        <f>data!F44</f>
        <v>PTA807P6200</v>
      </c>
      <c r="G44" s="92">
        <f>data!G44</f>
        <v>0</v>
      </c>
      <c r="H44" s="92" t="str">
        <f>data!H44</f>
        <v>PTA807C6500</v>
      </c>
      <c r="I44" s="92">
        <f>data!I44</f>
        <v>0</v>
      </c>
      <c r="J44" s="92" t="str">
        <f>data!J44</f>
        <v>STG</v>
      </c>
      <c r="K44" s="167"/>
      <c r="L44" s="167"/>
    </row>
    <row r="45" spans="1:12" x14ac:dyDescent="0.25">
      <c r="A45" t="str">
        <f>data!A37</f>
        <v>comment</v>
      </c>
      <c r="B45" s="92" t="str">
        <f>data!B37</f>
        <v>CZCE</v>
      </c>
      <c r="C45" s="92" t="str">
        <f>data!C45</f>
        <v>PTA807C6500&amp;PTA807P6200</v>
      </c>
      <c r="D45" s="92" t="str">
        <f>data!D45</f>
        <v>宽跨式</v>
      </c>
      <c r="E45" s="92">
        <f>data!E45</f>
        <v>1</v>
      </c>
      <c r="F45" s="92" t="str">
        <f>data!F45</f>
        <v>PTA807P6200</v>
      </c>
      <c r="G45" s="92">
        <f>data!G45</f>
        <v>1</v>
      </c>
      <c r="H45" s="92" t="str">
        <f>data!H45</f>
        <v>PTA807C6500</v>
      </c>
      <c r="I45" s="92">
        <f>data!I45</f>
        <v>1</v>
      </c>
      <c r="J45" s="92" t="str">
        <f>data!J45</f>
        <v>STG</v>
      </c>
      <c r="K45" s="167"/>
      <c r="L45" s="167"/>
    </row>
    <row r="46" spans="1:12" x14ac:dyDescent="0.25">
      <c r="A46" t="str">
        <f>data!A38</f>
        <v>comment</v>
      </c>
      <c r="B46" s="92" t="str">
        <f>data!B38</f>
        <v>CZCE</v>
      </c>
      <c r="C46" s="92" t="str">
        <f>data!C46</f>
        <v>SR807C6500&amp;SR807P6500</v>
      </c>
      <c r="D46" s="92" t="str">
        <f>data!D46</f>
        <v>跨式</v>
      </c>
      <c r="E46" s="92">
        <f>data!E46</f>
        <v>0</v>
      </c>
      <c r="F46" s="92" t="str">
        <f>data!F46</f>
        <v>SR807C6500</v>
      </c>
      <c r="G46" s="92">
        <f>data!G46</f>
        <v>0</v>
      </c>
      <c r="H46" s="92" t="str">
        <f>data!H46</f>
        <v>SR807P6500</v>
      </c>
      <c r="I46" s="92">
        <f>data!I46</f>
        <v>0</v>
      </c>
      <c r="J46" s="92" t="str">
        <f>data!J46</f>
        <v>STD</v>
      </c>
      <c r="K46" s="167"/>
      <c r="L46" s="167"/>
    </row>
    <row r="47" spans="1:12" x14ac:dyDescent="0.25">
      <c r="A47" t="str">
        <f>data!A46</f>
        <v>comment</v>
      </c>
      <c r="B47" s="92" t="str">
        <f>data!B46</f>
        <v>CZCE</v>
      </c>
      <c r="C47" s="92" t="str">
        <f>data!C47</f>
        <v>SR807C6500&amp;SR807P6500</v>
      </c>
      <c r="D47" s="92" t="str">
        <f>data!D47</f>
        <v>跨式</v>
      </c>
      <c r="E47" s="92">
        <f>data!E47</f>
        <v>1</v>
      </c>
      <c r="F47" s="92" t="str">
        <f>data!F47</f>
        <v>SR807C6500</v>
      </c>
      <c r="G47" s="92">
        <f>data!G47</f>
        <v>1</v>
      </c>
      <c r="H47" s="92" t="str">
        <f>data!H47</f>
        <v>SR807P6500</v>
      </c>
      <c r="I47" s="92">
        <f>data!I47</f>
        <v>1</v>
      </c>
      <c r="J47" s="92" t="str">
        <f>data!J47</f>
        <v>STD</v>
      </c>
      <c r="K47" s="167"/>
      <c r="L47" s="167"/>
    </row>
    <row r="48" spans="1:12" x14ac:dyDescent="0.25">
      <c r="A48" t="str">
        <f>data!A47</f>
        <v>comment</v>
      </c>
      <c r="B48" s="92" t="str">
        <f>data!B47</f>
        <v>CZCE</v>
      </c>
      <c r="C48" s="92" t="str">
        <f>data!C48</f>
        <v>SR807C6500&amp;SR807P6400</v>
      </c>
      <c r="D48" s="92" t="str">
        <f>data!D48</f>
        <v>宽跨式</v>
      </c>
      <c r="E48" s="92">
        <f>data!E48</f>
        <v>0</v>
      </c>
      <c r="F48" s="92" t="str">
        <f>data!F48</f>
        <v>SR807C6500</v>
      </c>
      <c r="G48" s="92">
        <f>data!G48</f>
        <v>0</v>
      </c>
      <c r="H48" s="92" t="str">
        <f>data!H48</f>
        <v>SR807P6400</v>
      </c>
      <c r="I48" s="92">
        <f>data!I48</f>
        <v>0</v>
      </c>
      <c r="J48" s="92" t="str">
        <f>data!J48</f>
        <v>STG</v>
      </c>
      <c r="K48" s="167"/>
      <c r="L48" s="167"/>
    </row>
    <row r="49" spans="1:13" x14ac:dyDescent="0.25">
      <c r="A49" t="str">
        <f>data!A48</f>
        <v>comment</v>
      </c>
      <c r="B49" s="92" t="str">
        <f>data!B48</f>
        <v>CZCE</v>
      </c>
      <c r="C49" s="92" t="str">
        <f>data!C49</f>
        <v>SR807C6500&amp;SR807P6400</v>
      </c>
      <c r="D49" s="92" t="str">
        <f>data!D49</f>
        <v>宽跨式</v>
      </c>
      <c r="E49" s="92">
        <f>data!E49</f>
        <v>1</v>
      </c>
      <c r="F49" s="92" t="str">
        <f>data!F49</f>
        <v>SR807C6500</v>
      </c>
      <c r="G49" s="92">
        <f>data!G49</f>
        <v>1</v>
      </c>
      <c r="H49" s="92" t="str">
        <f>data!H49</f>
        <v>SR807P6400</v>
      </c>
      <c r="I49" s="92">
        <f>data!I49</f>
        <v>1</v>
      </c>
      <c r="J49" s="92" t="str">
        <f>data!J49</f>
        <v>STG</v>
      </c>
      <c r="K49" s="167"/>
      <c r="L49" s="167"/>
    </row>
    <row r="50" spans="1:13" x14ac:dyDescent="0.25">
      <c r="A50" t="str">
        <f>data!A49</f>
        <v>comment</v>
      </c>
      <c r="B50" s="92" t="str">
        <f>data!B49</f>
        <v>CZCE</v>
      </c>
      <c r="C50" s="92" t="str">
        <f>data!C50</f>
        <v>PTA807&amp;PTA809</v>
      </c>
      <c r="D50" s="92" t="str">
        <f>data!D50</f>
        <v>同品种跨期</v>
      </c>
      <c r="E50" s="92">
        <f>data!E50</f>
        <v>0</v>
      </c>
      <c r="F50" s="92" t="str">
        <f>data!F50</f>
        <v>PTA807</v>
      </c>
      <c r="G50" s="92">
        <f>data!G50</f>
        <v>0</v>
      </c>
      <c r="H50" s="92" t="str">
        <f>data!H50</f>
        <v>PTA809</v>
      </c>
      <c r="I50" s="92">
        <f>data!I50</f>
        <v>1</v>
      </c>
      <c r="J50" s="92" t="str">
        <f>data!J50</f>
        <v>SPD</v>
      </c>
      <c r="K50" s="167"/>
      <c r="L50" s="167"/>
    </row>
    <row r="51" spans="1:13" x14ac:dyDescent="0.25">
      <c r="A51" t="str">
        <f>data!A50</f>
        <v>comment</v>
      </c>
      <c r="B51" s="92" t="str">
        <f>data!B50</f>
        <v>CZCE</v>
      </c>
      <c r="C51" s="92" t="str">
        <f>data!C51</f>
        <v>PTA807&amp;PTA809</v>
      </c>
      <c r="D51" s="92" t="str">
        <f>data!D51</f>
        <v>同品种跨期</v>
      </c>
      <c r="E51" s="92">
        <f>data!E51</f>
        <v>1</v>
      </c>
      <c r="F51" s="92" t="str">
        <f>data!F51</f>
        <v>PTA807</v>
      </c>
      <c r="G51" s="92">
        <f>data!G51</f>
        <v>1</v>
      </c>
      <c r="H51" s="92" t="str">
        <f>data!H51</f>
        <v>PTA809</v>
      </c>
      <c r="I51" s="92">
        <f>data!I51</f>
        <v>0</v>
      </c>
      <c r="J51" s="92" t="str">
        <f>data!J51</f>
        <v>SPD</v>
      </c>
      <c r="K51" s="167"/>
      <c r="L51" s="167"/>
    </row>
    <row r="52" spans="1:13" x14ac:dyDescent="0.25">
      <c r="A52" t="str">
        <f>data!A53</f>
        <v>comment</v>
      </c>
      <c r="B52" s="93" t="str">
        <f>data!B53</f>
        <v>交易所代码</v>
      </c>
      <c r="C52" s="93" t="str">
        <f>data!C53</f>
        <v>合约代码</v>
      </c>
      <c r="D52" s="93" t="str">
        <f>data!D53</f>
        <v>投机套保标志（投机1 套保3 做市商4）</v>
      </c>
      <c r="E52" s="93" t="str">
        <f>data!E53</f>
        <v>多空方向（0多头1空头）</v>
      </c>
      <c r="F52" s="93" t="str">
        <f>data!F53</f>
        <v>辅助列</v>
      </c>
      <c r="G52" s="93" t="str">
        <f>data!G53</f>
        <v>交易所按金额</v>
      </c>
      <c r="H52" s="93" t="str">
        <f>data!H53</f>
        <v>交易所按数</v>
      </c>
      <c r="I52" s="93" t="str">
        <f>data!I53</f>
        <v>投资者按金额</v>
      </c>
      <c r="J52" s="93" t="str">
        <f>data!J53</f>
        <v>投资者按手数</v>
      </c>
      <c r="K52" s="93" t="str">
        <f>data!K53</f>
        <v>标的按金额</v>
      </c>
      <c r="L52" s="93" t="str">
        <f>data!L53</f>
        <v>标的按手数</v>
      </c>
      <c r="M52">
        <f>data!M53</f>
        <v>0</v>
      </c>
    </row>
    <row r="53" spans="1:13" x14ac:dyDescent="0.25">
      <c r="A53" t="str">
        <f>data!A54</f>
        <v>comment</v>
      </c>
      <c r="B53" s="92" t="str">
        <f>data!B54</f>
        <v>CZCE</v>
      </c>
      <c r="C53" s="92" t="str">
        <f>data!C54</f>
        <v>SR807</v>
      </c>
      <c r="D53" s="92">
        <f>data!D54</f>
        <v>1</v>
      </c>
      <c r="E53" s="92">
        <f>data!E54</f>
        <v>0</v>
      </c>
      <c r="F53" s="92" t="str">
        <f>data!F54</f>
        <v>SR80710</v>
      </c>
      <c r="G53" s="92">
        <f>data!G54</f>
        <v>0.04</v>
      </c>
      <c r="H53" s="92">
        <f>data!H54</f>
        <v>4</v>
      </c>
      <c r="I53" s="92">
        <f>data!I54</f>
        <v>0.05</v>
      </c>
      <c r="J53" s="92">
        <f>data!J54</f>
        <v>5</v>
      </c>
      <c r="K53" s="92">
        <f>data!K54</f>
        <v>0.01</v>
      </c>
      <c r="L53" s="92">
        <f>data!L54</f>
        <v>1</v>
      </c>
    </row>
    <row r="54" spans="1:13" x14ac:dyDescent="0.25">
      <c r="A54" t="str">
        <f>data!A55</f>
        <v>comment</v>
      </c>
      <c r="B54" s="92" t="str">
        <f>data!B55</f>
        <v>CZCE</v>
      </c>
      <c r="C54" s="92" t="str">
        <f>data!C55</f>
        <v>SR807</v>
      </c>
      <c r="D54" s="92">
        <f>data!D55</f>
        <v>1</v>
      </c>
      <c r="E54" s="92">
        <f>data!E55</f>
        <v>1</v>
      </c>
      <c r="F54" s="92" t="str">
        <f>data!F55</f>
        <v>SR80711</v>
      </c>
      <c r="G54" s="92">
        <f>data!G55</f>
        <v>4.1000000000000002E-2</v>
      </c>
      <c r="H54" s="92">
        <f>data!H55</f>
        <v>4.0999999999999996</v>
      </c>
      <c r="I54" s="92">
        <f>data!I55</f>
        <v>5.0999999999999997E-2</v>
      </c>
      <c r="J54" s="92">
        <f>data!J55</f>
        <v>5.0999999999999996</v>
      </c>
      <c r="K54" s="92">
        <f>data!K55</f>
        <v>1.0999999999999999E-2</v>
      </c>
      <c r="L54" s="92">
        <f>data!L55</f>
        <v>1.1100000000000001</v>
      </c>
    </row>
    <row r="55" spans="1:13" x14ac:dyDescent="0.25">
      <c r="A55" t="str">
        <f>data!A56</f>
        <v>comment</v>
      </c>
      <c r="B55" s="92" t="str">
        <f>data!B56</f>
        <v>CZCE</v>
      </c>
      <c r="C55" s="92" t="str">
        <f>data!C56</f>
        <v>SR807</v>
      </c>
      <c r="D55" s="92">
        <f>data!D56</f>
        <v>3</v>
      </c>
      <c r="E55" s="92">
        <f>data!E56</f>
        <v>0</v>
      </c>
      <c r="F55" s="92" t="str">
        <f>data!F56</f>
        <v>SR80730</v>
      </c>
      <c r="G55" s="92">
        <f>data!G56</f>
        <v>4.2000000000000003E-2</v>
      </c>
      <c r="H55" s="92">
        <f>data!H56</f>
        <v>4.2</v>
      </c>
      <c r="I55" s="92">
        <f>data!I56</f>
        <v>5.1999999999999998E-2</v>
      </c>
      <c r="J55" s="92">
        <f>data!J56</f>
        <v>5.2</v>
      </c>
      <c r="K55" s="92">
        <f>data!K56</f>
        <v>1.2E-2</v>
      </c>
      <c r="L55" s="92">
        <f>data!L56</f>
        <v>1.1200000000000001</v>
      </c>
    </row>
    <row r="56" spans="1:13" x14ac:dyDescent="0.25">
      <c r="A56" t="str">
        <f>data!A57</f>
        <v>comment</v>
      </c>
      <c r="B56" s="92" t="str">
        <f>data!B57</f>
        <v>CZCE</v>
      </c>
      <c r="C56" s="92" t="str">
        <f>data!C57</f>
        <v>SR807</v>
      </c>
      <c r="D56" s="92">
        <f>data!D57</f>
        <v>3</v>
      </c>
      <c r="E56" s="92">
        <f>data!E57</f>
        <v>1</v>
      </c>
      <c r="F56" s="92" t="str">
        <f>data!F57</f>
        <v>SR80731</v>
      </c>
      <c r="G56" s="92">
        <f>data!G57</f>
        <v>4.2999999999999997E-2</v>
      </c>
      <c r="H56" s="92">
        <f>data!H57</f>
        <v>4.3</v>
      </c>
      <c r="I56" s="92">
        <f>data!I57</f>
        <v>5.2999999999999999E-2</v>
      </c>
      <c r="J56" s="92">
        <f>data!J57</f>
        <v>5.3</v>
      </c>
      <c r="K56" s="92">
        <f>data!K57</f>
        <v>1.2999999999999999E-2</v>
      </c>
      <c r="L56" s="92">
        <f>data!L57</f>
        <v>1.1299999999999999</v>
      </c>
    </row>
    <row r="57" spans="1:13" x14ac:dyDescent="0.25">
      <c r="A57" t="str">
        <f>data!A58</f>
        <v>comment</v>
      </c>
      <c r="B57" s="92" t="str">
        <f>data!B58</f>
        <v>CZCE</v>
      </c>
      <c r="C57" s="92" t="str">
        <f>data!C58</f>
        <v>SR809</v>
      </c>
      <c r="D57" s="92">
        <f>data!D58</f>
        <v>1</v>
      </c>
      <c r="E57" s="92">
        <f>data!E58</f>
        <v>0</v>
      </c>
      <c r="F57" s="92" t="str">
        <f>data!F58</f>
        <v>SR80910</v>
      </c>
      <c r="G57" s="92">
        <f>data!G58</f>
        <v>0.04</v>
      </c>
      <c r="H57" s="92">
        <f>data!H58</f>
        <v>4</v>
      </c>
      <c r="I57" s="92">
        <f>data!I58</f>
        <v>0.05</v>
      </c>
      <c r="J57" s="92">
        <f>data!J58</f>
        <v>5</v>
      </c>
      <c r="K57" s="92">
        <f>data!K58</f>
        <v>0.01</v>
      </c>
      <c r="L57" s="92">
        <f>data!L58</f>
        <v>1</v>
      </c>
    </row>
    <row r="58" spans="1:13" x14ac:dyDescent="0.25">
      <c r="A58" t="str">
        <f>data!A59</f>
        <v>comment</v>
      </c>
      <c r="B58" s="92" t="str">
        <f>data!B59</f>
        <v>CZCE</v>
      </c>
      <c r="C58" s="92" t="str">
        <f>data!C59</f>
        <v>SR809</v>
      </c>
      <c r="D58" s="92">
        <f>data!D59</f>
        <v>1</v>
      </c>
      <c r="E58" s="92">
        <f>data!E59</f>
        <v>1</v>
      </c>
      <c r="F58" s="92" t="str">
        <f>data!F59</f>
        <v>SR80911</v>
      </c>
      <c r="G58" s="92">
        <f>data!G59</f>
        <v>4.1000000000000002E-2</v>
      </c>
      <c r="H58" s="92">
        <f>data!H59</f>
        <v>4.0999999999999996</v>
      </c>
      <c r="I58" s="92">
        <f>data!I59</f>
        <v>5.0999999999999997E-2</v>
      </c>
      <c r="J58" s="92">
        <f>data!J59</f>
        <v>5.0999999999999996</v>
      </c>
      <c r="K58" s="92">
        <f>data!K59</f>
        <v>1.0999999999999999E-2</v>
      </c>
      <c r="L58" s="92">
        <f>data!L59</f>
        <v>1.1100000000000001</v>
      </c>
    </row>
    <row r="59" spans="1:13" x14ac:dyDescent="0.25">
      <c r="A59" t="str">
        <f>data!A60</f>
        <v>comment</v>
      </c>
      <c r="B59" s="92" t="str">
        <f>data!B60</f>
        <v>CZCE</v>
      </c>
      <c r="C59" s="92" t="str">
        <f>data!C60</f>
        <v>SR809</v>
      </c>
      <c r="D59" s="92">
        <f>data!D60</f>
        <v>3</v>
      </c>
      <c r="E59" s="92">
        <f>data!E60</f>
        <v>0</v>
      </c>
      <c r="F59" s="92" t="str">
        <f>data!F60</f>
        <v>SR80930</v>
      </c>
      <c r="G59" s="92">
        <f>data!G60</f>
        <v>4.2000000000000003E-2</v>
      </c>
      <c r="H59" s="92">
        <f>data!H60</f>
        <v>4.2</v>
      </c>
      <c r="I59" s="92">
        <f>data!I60</f>
        <v>5.1999999999999998E-2</v>
      </c>
      <c r="J59" s="92">
        <f>data!J60</f>
        <v>5.2</v>
      </c>
      <c r="K59" s="92">
        <f>data!K60</f>
        <v>1.2E-2</v>
      </c>
      <c r="L59" s="92">
        <f>data!L60</f>
        <v>1.1200000000000001</v>
      </c>
    </row>
    <row r="60" spans="1:13" x14ac:dyDescent="0.25">
      <c r="A60" t="str">
        <f>data!A61</f>
        <v>comment</v>
      </c>
      <c r="B60" s="92" t="str">
        <f>data!B61</f>
        <v>CZCE</v>
      </c>
      <c r="C60" s="92" t="str">
        <f>data!C61</f>
        <v>SR809</v>
      </c>
      <c r="D60" s="92">
        <f>data!D61</f>
        <v>3</v>
      </c>
      <c r="E60" s="92">
        <f>data!E61</f>
        <v>1</v>
      </c>
      <c r="F60" s="92" t="str">
        <f>data!F61</f>
        <v>SR80931</v>
      </c>
      <c r="G60" s="92">
        <f>data!G61</f>
        <v>4.2999999999999997E-2</v>
      </c>
      <c r="H60" s="92">
        <f>data!H61</f>
        <v>4.3</v>
      </c>
      <c r="I60" s="92">
        <f>data!I61</f>
        <v>5.2999999999999999E-2</v>
      </c>
      <c r="J60" s="92">
        <f>data!J61</f>
        <v>5.3</v>
      </c>
      <c r="K60" s="92">
        <f>data!K61</f>
        <v>1.2999999999999999E-2</v>
      </c>
      <c r="L60" s="92">
        <f>data!L61</f>
        <v>1.1299999999999999</v>
      </c>
    </row>
    <row r="61" spans="1:13" x14ac:dyDescent="0.25">
      <c r="A61" t="str">
        <f>data!A62</f>
        <v>comment</v>
      </c>
      <c r="B61" s="92" t="str">
        <f>data!B62</f>
        <v>CZCE</v>
      </c>
      <c r="C61" s="92" t="str">
        <f>data!C62</f>
        <v>OI811</v>
      </c>
      <c r="D61" s="92">
        <f>data!D62</f>
        <v>1</v>
      </c>
      <c r="E61" s="92">
        <f>data!E62</f>
        <v>0</v>
      </c>
      <c r="F61" s="92" t="str">
        <f>data!F62</f>
        <v>OI81110</v>
      </c>
      <c r="G61" s="92">
        <f>data!G62</f>
        <v>0.04</v>
      </c>
      <c r="H61" s="92">
        <f>data!H62</f>
        <v>4</v>
      </c>
      <c r="I61" s="92">
        <f>data!I62</f>
        <v>0.05</v>
      </c>
      <c r="J61" s="92">
        <f>data!J62</f>
        <v>5</v>
      </c>
      <c r="K61" s="92">
        <f>data!K62</f>
        <v>0.01</v>
      </c>
      <c r="L61" s="92">
        <f>data!L62</f>
        <v>1</v>
      </c>
    </row>
    <row r="62" spans="1:13" x14ac:dyDescent="0.25">
      <c r="A62" t="str">
        <f>data!A63</f>
        <v>comment</v>
      </c>
      <c r="B62" s="92" t="str">
        <f>data!B63</f>
        <v>CZCE</v>
      </c>
      <c r="C62" s="92" t="str">
        <f>data!C63</f>
        <v>OI811</v>
      </c>
      <c r="D62" s="92">
        <f>data!D63</f>
        <v>1</v>
      </c>
      <c r="E62" s="92">
        <f>data!E63</f>
        <v>1</v>
      </c>
      <c r="F62" s="92" t="str">
        <f>data!F63</f>
        <v>OI81111</v>
      </c>
      <c r="G62" s="92">
        <f>data!G63</f>
        <v>4.1000000000000002E-2</v>
      </c>
      <c r="H62" s="92">
        <f>data!H63</f>
        <v>4.0999999999999996</v>
      </c>
      <c r="I62" s="92">
        <f>data!I63</f>
        <v>5.0999999999999997E-2</v>
      </c>
      <c r="J62" s="92">
        <f>data!J63</f>
        <v>5.0999999999999996</v>
      </c>
      <c r="K62" s="92">
        <f>data!K63</f>
        <v>1.0999999999999999E-2</v>
      </c>
      <c r="L62" s="92">
        <f>data!L63</f>
        <v>1.1100000000000001</v>
      </c>
    </row>
    <row r="63" spans="1:13" x14ac:dyDescent="0.25">
      <c r="A63" t="str">
        <f>data!A64</f>
        <v>comment</v>
      </c>
      <c r="B63" s="92" t="str">
        <f>data!B64</f>
        <v>CZCE</v>
      </c>
      <c r="C63" s="92" t="str">
        <f>data!C64</f>
        <v>OI811</v>
      </c>
      <c r="D63" s="92">
        <f>data!D64</f>
        <v>3</v>
      </c>
      <c r="E63" s="92">
        <f>data!E64</f>
        <v>0</v>
      </c>
      <c r="F63" s="92" t="str">
        <f>data!F64</f>
        <v>OI81130</v>
      </c>
      <c r="G63" s="92">
        <f>data!G64</f>
        <v>4.2000000000000003E-2</v>
      </c>
      <c r="H63" s="92">
        <f>data!H64</f>
        <v>4.2</v>
      </c>
      <c r="I63" s="92">
        <f>data!I64</f>
        <v>5.1999999999999998E-2</v>
      </c>
      <c r="J63" s="92">
        <f>data!J64</f>
        <v>5.2</v>
      </c>
      <c r="K63" s="92">
        <f>data!K64</f>
        <v>1.2E-2</v>
      </c>
      <c r="L63" s="92">
        <f>data!L64</f>
        <v>1.1200000000000001</v>
      </c>
    </row>
    <row r="64" spans="1:13" x14ac:dyDescent="0.25">
      <c r="A64" t="str">
        <f>data!A65</f>
        <v>comment</v>
      </c>
      <c r="B64" s="92" t="str">
        <f>data!B65</f>
        <v>CZCE</v>
      </c>
      <c r="C64" s="92" t="str">
        <f>data!C65</f>
        <v>OI811</v>
      </c>
      <c r="D64" s="92">
        <f>data!D65</f>
        <v>3</v>
      </c>
      <c r="E64" s="92">
        <f>data!E65</f>
        <v>1</v>
      </c>
      <c r="F64" s="92" t="str">
        <f>data!F65</f>
        <v>OI81131</v>
      </c>
      <c r="G64" s="92">
        <f>data!G65</f>
        <v>4.2999999999999997E-2</v>
      </c>
      <c r="H64" s="92">
        <f>data!H65</f>
        <v>4.3</v>
      </c>
      <c r="I64" s="92">
        <f>data!I65</f>
        <v>5.2999999999999999E-2</v>
      </c>
      <c r="J64" s="92">
        <f>data!J65</f>
        <v>5.3</v>
      </c>
      <c r="K64" s="92">
        <f>data!K65</f>
        <v>1.2999999999999999E-2</v>
      </c>
      <c r="L64" s="92">
        <f>data!L65</f>
        <v>1.1299999999999999</v>
      </c>
    </row>
    <row r="65" spans="1:13" x14ac:dyDescent="0.25">
      <c r="A65" t="str">
        <f>data!A66</f>
        <v>comment</v>
      </c>
      <c r="B65" s="92" t="str">
        <f>data!B66</f>
        <v>CZCE</v>
      </c>
      <c r="C65" s="92" t="str">
        <f>data!C66</f>
        <v>PTA807</v>
      </c>
      <c r="D65" s="92">
        <f>data!D66</f>
        <v>1</v>
      </c>
      <c r="E65" s="92">
        <f>data!E66</f>
        <v>0</v>
      </c>
      <c r="F65" s="92" t="str">
        <f>data!F66</f>
        <v>PTA80710</v>
      </c>
      <c r="G65" s="92">
        <f>data!G66</f>
        <v>0.04</v>
      </c>
      <c r="H65" s="92">
        <f>data!H66</f>
        <v>4</v>
      </c>
      <c r="I65" s="92">
        <f>data!I66</f>
        <v>0.05</v>
      </c>
      <c r="J65" s="92">
        <f>data!J66</f>
        <v>5</v>
      </c>
      <c r="K65" s="92">
        <f>data!K66</f>
        <v>0.01</v>
      </c>
      <c r="L65" s="92">
        <f>data!L66</f>
        <v>1</v>
      </c>
    </row>
    <row r="66" spans="1:13" x14ac:dyDescent="0.25">
      <c r="A66" t="str">
        <f>data!A67</f>
        <v>comment</v>
      </c>
      <c r="B66" s="92" t="str">
        <f>data!B67</f>
        <v>CZCE</v>
      </c>
      <c r="C66" s="92" t="str">
        <f>data!C67</f>
        <v>PTA807</v>
      </c>
      <c r="D66" s="92">
        <f>data!D67</f>
        <v>1</v>
      </c>
      <c r="E66" s="92">
        <f>data!E67</f>
        <v>1</v>
      </c>
      <c r="F66" s="92" t="str">
        <f>data!F67</f>
        <v>PTA80711</v>
      </c>
      <c r="G66" s="92">
        <f>data!G67</f>
        <v>4.1000000000000002E-2</v>
      </c>
      <c r="H66" s="92">
        <f>data!H67</f>
        <v>4.0999999999999996</v>
      </c>
      <c r="I66" s="92">
        <f>data!I67</f>
        <v>5.0999999999999997E-2</v>
      </c>
      <c r="J66" s="92">
        <f>data!J67</f>
        <v>5.0999999999999996</v>
      </c>
      <c r="K66" s="92">
        <f>data!K67</f>
        <v>1.0999999999999999E-2</v>
      </c>
      <c r="L66" s="92">
        <f>data!L67</f>
        <v>1.1100000000000001</v>
      </c>
    </row>
    <row r="67" spans="1:13" x14ac:dyDescent="0.25">
      <c r="A67" t="str">
        <f>data!A68</f>
        <v>comment</v>
      </c>
      <c r="B67" s="92" t="str">
        <f>data!B68</f>
        <v>CZCE</v>
      </c>
      <c r="C67" s="92" t="str">
        <f>data!C68</f>
        <v>PTA807</v>
      </c>
      <c r="D67" s="92">
        <f>data!D68</f>
        <v>3</v>
      </c>
      <c r="E67" s="92">
        <f>data!E68</f>
        <v>0</v>
      </c>
      <c r="F67" s="92" t="str">
        <f>data!F68</f>
        <v>PTA80730</v>
      </c>
      <c r="G67" s="92">
        <f>data!G68</f>
        <v>4.2000000000000003E-2</v>
      </c>
      <c r="H67" s="92">
        <f>data!H68</f>
        <v>4.2</v>
      </c>
      <c r="I67" s="92">
        <f>data!I68</f>
        <v>5.1999999999999998E-2</v>
      </c>
      <c r="J67" s="92">
        <f>data!J68</f>
        <v>5.2</v>
      </c>
      <c r="K67" s="92">
        <f>data!K68</f>
        <v>1.2E-2</v>
      </c>
      <c r="L67" s="92">
        <f>data!L68</f>
        <v>1.1200000000000001</v>
      </c>
    </row>
    <row r="68" spans="1:13" x14ac:dyDescent="0.25">
      <c r="A68" t="str">
        <f>data!A69</f>
        <v>comment</v>
      </c>
      <c r="B68" s="92" t="str">
        <f>data!B69</f>
        <v>CZCE</v>
      </c>
      <c r="C68" s="92" t="str">
        <f>data!C69</f>
        <v>PTA807</v>
      </c>
      <c r="D68" s="92">
        <f>data!D69</f>
        <v>3</v>
      </c>
      <c r="E68" s="92">
        <f>data!E69</f>
        <v>1</v>
      </c>
      <c r="F68" s="92" t="str">
        <f>data!F69</f>
        <v>PTA80731</v>
      </c>
      <c r="G68" s="92">
        <f>data!G69</f>
        <v>4.2999999999999997E-2</v>
      </c>
      <c r="H68" s="92">
        <f>data!H69</f>
        <v>4.3</v>
      </c>
      <c r="I68" s="92">
        <f>data!I69</f>
        <v>5.2999999999999999E-2</v>
      </c>
      <c r="J68" s="92">
        <f>data!J69</f>
        <v>5.3</v>
      </c>
      <c r="K68" s="92">
        <f>data!K69</f>
        <v>1.2999999999999999E-2</v>
      </c>
      <c r="L68" s="92">
        <f>data!L69</f>
        <v>1.1299999999999999</v>
      </c>
    </row>
    <row r="69" spans="1:13" x14ac:dyDescent="0.25">
      <c r="A69" t="str">
        <f>data!A70</f>
        <v>comment</v>
      </c>
      <c r="B69" s="92" t="str">
        <f>data!B70</f>
        <v>CZCE</v>
      </c>
      <c r="C69" s="92" t="str">
        <f>data!C70</f>
        <v>PTA809</v>
      </c>
      <c r="D69" s="92">
        <f>data!D70</f>
        <v>1</v>
      </c>
      <c r="E69" s="92">
        <f>data!E70</f>
        <v>0</v>
      </c>
      <c r="F69" s="92" t="str">
        <f>data!F70</f>
        <v>PTA80910</v>
      </c>
      <c r="G69" s="92">
        <f>data!G70</f>
        <v>0.04</v>
      </c>
      <c r="H69" s="92">
        <f>data!H70</f>
        <v>4</v>
      </c>
      <c r="I69" s="92">
        <f>data!I70</f>
        <v>0.05</v>
      </c>
      <c r="J69" s="92">
        <f>data!J70</f>
        <v>5</v>
      </c>
      <c r="K69" s="92">
        <f>data!K70</f>
        <v>0.01</v>
      </c>
      <c r="L69" s="92">
        <f>data!L70</f>
        <v>1</v>
      </c>
    </row>
    <row r="70" spans="1:13" x14ac:dyDescent="0.25">
      <c r="A70" t="str">
        <f>data!A71</f>
        <v>comment</v>
      </c>
      <c r="B70" s="92" t="str">
        <f>data!B71</f>
        <v>CZCE</v>
      </c>
      <c r="C70" s="92" t="str">
        <f>data!C71</f>
        <v>PTA809</v>
      </c>
      <c r="D70" s="92">
        <f>data!D71</f>
        <v>1</v>
      </c>
      <c r="E70" s="92">
        <f>data!E71</f>
        <v>1</v>
      </c>
      <c r="F70" s="92" t="str">
        <f>data!F71</f>
        <v>PTA80911</v>
      </c>
      <c r="G70" s="92">
        <f>data!G71</f>
        <v>4.1000000000000002E-2</v>
      </c>
      <c r="H70" s="92">
        <f>data!H71</f>
        <v>4.0999999999999996</v>
      </c>
      <c r="I70" s="92">
        <f>data!I71</f>
        <v>5.0999999999999997E-2</v>
      </c>
      <c r="J70" s="92">
        <f>data!J71</f>
        <v>5.0999999999999996</v>
      </c>
      <c r="K70" s="92">
        <f>data!K71</f>
        <v>1.0999999999999999E-2</v>
      </c>
      <c r="L70" s="92">
        <f>data!L71</f>
        <v>1.1100000000000001</v>
      </c>
    </row>
    <row r="71" spans="1:13" x14ac:dyDescent="0.25">
      <c r="A71" t="str">
        <f>data!A72</f>
        <v>comment</v>
      </c>
      <c r="B71" s="92" t="str">
        <f>data!B72</f>
        <v>CZCE</v>
      </c>
      <c r="C71" s="92" t="str">
        <f>data!C72</f>
        <v>PTA809</v>
      </c>
      <c r="D71" s="92">
        <f>data!D72</f>
        <v>3</v>
      </c>
      <c r="E71" s="92">
        <f>data!E72</f>
        <v>0</v>
      </c>
      <c r="F71" s="92" t="str">
        <f>data!F72</f>
        <v>PTA80930</v>
      </c>
      <c r="G71" s="92">
        <f>data!G72</f>
        <v>4.2000000000000003E-2</v>
      </c>
      <c r="H71" s="92">
        <f>data!H72</f>
        <v>4.2</v>
      </c>
      <c r="I71" s="92">
        <f>data!I72</f>
        <v>5.1999999999999998E-2</v>
      </c>
      <c r="J71" s="92">
        <f>data!J72</f>
        <v>5.2</v>
      </c>
      <c r="K71" s="92">
        <f>data!K72</f>
        <v>1.2E-2</v>
      </c>
      <c r="L71" s="92">
        <f>data!L72</f>
        <v>1.1200000000000001</v>
      </c>
    </row>
    <row r="72" spans="1:13" x14ac:dyDescent="0.25">
      <c r="A72" t="str">
        <f>data!A73</f>
        <v>comment</v>
      </c>
      <c r="B72" s="92" t="str">
        <f>data!B73</f>
        <v>CZCE</v>
      </c>
      <c r="C72" s="92" t="str">
        <f>data!C73</f>
        <v>PTA809</v>
      </c>
      <c r="D72" s="92">
        <f>data!D73</f>
        <v>3</v>
      </c>
      <c r="E72" s="92">
        <f>data!E73</f>
        <v>1</v>
      </c>
      <c r="F72" s="92" t="str">
        <f>data!F73</f>
        <v>PTA80931</v>
      </c>
      <c r="G72" s="92">
        <f>data!G73</f>
        <v>4.2999999999999997E-2</v>
      </c>
      <c r="H72" s="92">
        <f>data!H73</f>
        <v>4.3</v>
      </c>
      <c r="I72" s="92">
        <f>data!I73</f>
        <v>5.2999999999999999E-2</v>
      </c>
      <c r="J72" s="92">
        <f>data!J73</f>
        <v>5.3</v>
      </c>
      <c r="K72" s="92">
        <f>data!K73</f>
        <v>1.2999999999999999E-2</v>
      </c>
      <c r="L72" s="92">
        <f>data!L73</f>
        <v>1.1299999999999999</v>
      </c>
    </row>
    <row r="73" spans="1:13" x14ac:dyDescent="0.25">
      <c r="A73" t="str">
        <f>data!A74</f>
        <v>comment</v>
      </c>
      <c r="B73" t="str">
        <f>data!B74</f>
        <v>期货：交易所手续费率&amp;投资者手续费率</v>
      </c>
    </row>
    <row r="74" spans="1:13" x14ac:dyDescent="0.25">
      <c r="A74" t="str">
        <f>data!A75</f>
        <v>comment</v>
      </c>
      <c r="B74" s="93" t="str">
        <f>data!B75</f>
        <v>投资者代码</v>
      </c>
      <c r="C74" s="93" t="str">
        <f>data!C75</f>
        <v>交易所代码</v>
      </c>
      <c r="D74" s="93" t="str">
        <f>data!D75</f>
        <v>合约代码</v>
      </c>
      <c r="E74" s="93" t="str">
        <f>data!E75</f>
        <v>投机套保标志</v>
      </c>
      <c r="F74" s="93" t="str">
        <f>data!F75</f>
        <v>开平标志</v>
      </c>
      <c r="G74" s="93" t="str">
        <f>data!G75</f>
        <v>辅助列</v>
      </c>
      <c r="H74" s="93" t="str">
        <f>data!H75</f>
        <v>投资者按金额</v>
      </c>
      <c r="I74" s="93" t="str">
        <f>data!I75</f>
        <v>投资者按手数</v>
      </c>
      <c r="J74" s="93" t="str">
        <f>data!J75</f>
        <v>交易所按金额</v>
      </c>
      <c r="K74" s="93" t="str">
        <f>data!K75</f>
        <v xml:space="preserve">交易所按手数 </v>
      </c>
      <c r="L74" s="93" t="str">
        <f>data!L75</f>
        <v>投资者结算按金额</v>
      </c>
      <c r="M74" s="93" t="str">
        <f>data!M75</f>
        <v>投资者结算按手数</v>
      </c>
    </row>
    <row r="75" spans="1:13" x14ac:dyDescent="0.25">
      <c r="A75" t="str">
        <f>data!A76</f>
        <v>comment</v>
      </c>
      <c r="B75" s="92" t="str">
        <f>data!B76</f>
        <v>6001</v>
      </c>
      <c r="C75" s="92" t="str">
        <f>data!C76</f>
        <v>CZCE</v>
      </c>
      <c r="D75" s="92" t="str">
        <f>data!D76</f>
        <v>SR807</v>
      </c>
      <c r="E75" s="92">
        <f>data!E76</f>
        <v>1</v>
      </c>
      <c r="F75" s="92">
        <f>data!F76</f>
        <v>0</v>
      </c>
      <c r="G75" s="92" t="str">
        <f>data!G76</f>
        <v>SR80710</v>
      </c>
      <c r="H75" s="92">
        <f>data!H76</f>
        <v>5.0000000000000001E-4</v>
      </c>
      <c r="I75" s="92">
        <f>data!I76</f>
        <v>5</v>
      </c>
      <c r="J75" s="92">
        <f>data!J76</f>
        <v>4.0000000000000002E-4</v>
      </c>
      <c r="K75" s="92">
        <f>data!K76</f>
        <v>4</v>
      </c>
      <c r="L75" s="92">
        <f>data!L76</f>
        <v>2.0000000000000001E-4</v>
      </c>
      <c r="M75" s="92">
        <f>data!M76</f>
        <v>2</v>
      </c>
    </row>
    <row r="76" spans="1:13" x14ac:dyDescent="0.25">
      <c r="A76" t="str">
        <f>data!A77</f>
        <v>comment</v>
      </c>
      <c r="B76" s="92" t="str">
        <f>data!B77</f>
        <v>6001</v>
      </c>
      <c r="C76" s="92" t="str">
        <f>data!C77</f>
        <v>CZCE</v>
      </c>
      <c r="D76" s="92" t="str">
        <f>data!D77</f>
        <v>SR807</v>
      </c>
      <c r="E76" s="92">
        <f>data!E77</f>
        <v>1</v>
      </c>
      <c r="F76" s="92">
        <f>data!F77</f>
        <v>1</v>
      </c>
      <c r="G76" s="92" t="str">
        <f>data!G77</f>
        <v>SR80711</v>
      </c>
      <c r="H76" s="92">
        <f>data!H77</f>
        <v>4.0000000000000002E-4</v>
      </c>
      <c r="I76" s="92">
        <f>data!I77</f>
        <v>4</v>
      </c>
      <c r="J76" s="92">
        <f>data!J77</f>
        <v>2.9999999999999997E-4</v>
      </c>
      <c r="K76" s="92">
        <f>data!K77</f>
        <v>3</v>
      </c>
      <c r="L76" s="92">
        <f>data!L77</f>
        <v>2.0000000000000001E-4</v>
      </c>
      <c r="M76" s="92">
        <f>data!M77</f>
        <v>2</v>
      </c>
    </row>
    <row r="77" spans="1:13" x14ac:dyDescent="0.25">
      <c r="A77" t="str">
        <f>data!A78</f>
        <v>comment</v>
      </c>
      <c r="B77" s="92" t="str">
        <f>data!B78</f>
        <v>6001</v>
      </c>
      <c r="C77" s="92" t="str">
        <f>data!C78</f>
        <v>CZCE</v>
      </c>
      <c r="D77" s="92" t="str">
        <f>data!D78</f>
        <v>SR807</v>
      </c>
      <c r="E77" s="92">
        <f>data!E78</f>
        <v>1</v>
      </c>
      <c r="F77" s="92">
        <f>data!F78</f>
        <v>2</v>
      </c>
      <c r="G77" s="92" t="str">
        <f>data!G78</f>
        <v>SR80712</v>
      </c>
      <c r="H77" s="92">
        <f>data!H78</f>
        <v>2.9999999999999997E-4</v>
      </c>
      <c r="I77" s="92">
        <f>data!I78</f>
        <v>3</v>
      </c>
      <c r="J77" s="92">
        <f>data!J78</f>
        <v>2.0000000000000001E-4</v>
      </c>
      <c r="K77" s="92">
        <f>data!K78</f>
        <v>2</v>
      </c>
      <c r="L77" s="92">
        <f>data!L78</f>
        <v>2.0000000000000001E-4</v>
      </c>
      <c r="M77" s="92">
        <f>data!M78</f>
        <v>2</v>
      </c>
    </row>
    <row r="78" spans="1:13" x14ac:dyDescent="0.25">
      <c r="A78" t="str">
        <f>data!A79</f>
        <v>comment</v>
      </c>
      <c r="B78" s="92" t="str">
        <f>data!B79</f>
        <v>6001</v>
      </c>
      <c r="C78" s="92" t="str">
        <f>data!C79</f>
        <v>CZCE</v>
      </c>
      <c r="D78" s="92" t="str">
        <f>data!D79</f>
        <v>SR807</v>
      </c>
      <c r="E78" s="92">
        <f>data!E79</f>
        <v>1</v>
      </c>
      <c r="F78" s="92">
        <f>data!F79</f>
        <v>3</v>
      </c>
      <c r="G78" s="92" t="str">
        <f>data!G79</f>
        <v>SR80713</v>
      </c>
      <c r="H78" s="92">
        <f>data!H79</f>
        <v>2.0000000000000001E-4</v>
      </c>
      <c r="I78" s="92">
        <f>data!I79</f>
        <v>2</v>
      </c>
      <c r="J78" s="92">
        <f>data!J79</f>
        <v>1E-4</v>
      </c>
      <c r="K78" s="92">
        <f>data!K79</f>
        <v>1</v>
      </c>
      <c r="L78" s="92">
        <f>data!L79</f>
        <v>2.0000000000000001E-4</v>
      </c>
      <c r="M78" s="92">
        <f>data!M79</f>
        <v>2</v>
      </c>
    </row>
    <row r="79" spans="1:13" x14ac:dyDescent="0.25">
      <c r="A79" t="str">
        <f>data!A80</f>
        <v>comment</v>
      </c>
      <c r="B79" s="92" t="str">
        <f>data!B80</f>
        <v>6001</v>
      </c>
      <c r="C79" s="92" t="str">
        <f>data!C80</f>
        <v>CZCE</v>
      </c>
      <c r="D79" s="92" t="str">
        <f>data!D80</f>
        <v>SR807</v>
      </c>
      <c r="E79" s="92">
        <f>data!E80</f>
        <v>3</v>
      </c>
      <c r="F79" s="92">
        <f>data!F80</f>
        <v>0</v>
      </c>
      <c r="G79" s="92" t="str">
        <f>data!G80</f>
        <v>SR80730</v>
      </c>
      <c r="H79" s="92">
        <f>data!H80</f>
        <v>5.0000000000000001E-4</v>
      </c>
      <c r="I79" s="92">
        <f>data!I80</f>
        <v>5</v>
      </c>
      <c r="J79" s="92">
        <f>data!J80</f>
        <v>5.0000000000000001E-4</v>
      </c>
      <c r="K79" s="92">
        <f>data!K80</f>
        <v>5</v>
      </c>
      <c r="L79" s="92">
        <f>data!L80</f>
        <v>2.0000000000000001E-4</v>
      </c>
      <c r="M79" s="92">
        <f>data!M80</f>
        <v>2</v>
      </c>
    </row>
    <row r="80" spans="1:13" x14ac:dyDescent="0.25">
      <c r="A80" t="str">
        <f>data!A81</f>
        <v>comment</v>
      </c>
      <c r="B80" s="92" t="str">
        <f>data!B81</f>
        <v>6001</v>
      </c>
      <c r="C80" s="92" t="str">
        <f>data!C81</f>
        <v>CZCE</v>
      </c>
      <c r="D80" s="92" t="str">
        <f>data!D81</f>
        <v>SR807</v>
      </c>
      <c r="E80" s="92">
        <f>data!E81</f>
        <v>3</v>
      </c>
      <c r="F80" s="92">
        <f>data!F81</f>
        <v>1</v>
      </c>
      <c r="G80" s="92" t="str">
        <f>data!G81</f>
        <v>SR80731</v>
      </c>
      <c r="H80" s="92">
        <f>data!H81</f>
        <v>4.0000000000000002E-4</v>
      </c>
      <c r="I80" s="92">
        <f>data!I81</f>
        <v>4</v>
      </c>
      <c r="J80" s="92">
        <f>data!J81</f>
        <v>3.9999999999999996E-4</v>
      </c>
      <c r="K80" s="92">
        <f>data!K81</f>
        <v>4</v>
      </c>
      <c r="L80" s="92">
        <f>data!L81</f>
        <v>2.0000000000000001E-4</v>
      </c>
      <c r="M80" s="92">
        <f>data!M81</f>
        <v>2</v>
      </c>
    </row>
    <row r="81" spans="1:13" x14ac:dyDescent="0.25">
      <c r="A81" t="str">
        <f>data!A82</f>
        <v>comment</v>
      </c>
      <c r="B81" s="92" t="str">
        <f>data!B82</f>
        <v>6001</v>
      </c>
      <c r="C81" s="92" t="str">
        <f>data!C82</f>
        <v>CZCE</v>
      </c>
      <c r="D81" s="92" t="str">
        <f>data!D82</f>
        <v>SR807</v>
      </c>
      <c r="E81" s="92">
        <f>data!E82</f>
        <v>3</v>
      </c>
      <c r="F81" s="92">
        <f>data!F82</f>
        <v>2</v>
      </c>
      <c r="G81" s="92" t="str">
        <f>data!G82</f>
        <v>SR80732</v>
      </c>
      <c r="H81" s="92">
        <f>data!H82</f>
        <v>2.9999999999999997E-4</v>
      </c>
      <c r="I81" s="92">
        <f>data!I82</f>
        <v>3</v>
      </c>
      <c r="J81" s="92">
        <f>data!J82</f>
        <v>3.0000000000000003E-4</v>
      </c>
      <c r="K81" s="92">
        <f>data!K82</f>
        <v>3</v>
      </c>
      <c r="L81" s="92">
        <f>data!L82</f>
        <v>2.0000000000000001E-4</v>
      </c>
      <c r="M81" s="92">
        <f>data!M82</f>
        <v>2</v>
      </c>
    </row>
    <row r="82" spans="1:13" x14ac:dyDescent="0.25">
      <c r="A82" t="str">
        <f>data!A83</f>
        <v>comment</v>
      </c>
      <c r="B82" s="92" t="str">
        <f>data!B83</f>
        <v>6001</v>
      </c>
      <c r="C82" s="92" t="str">
        <f>data!C83</f>
        <v>CZCE</v>
      </c>
      <c r="D82" s="92" t="str">
        <f>data!D83</f>
        <v>SR807</v>
      </c>
      <c r="E82" s="92">
        <f>data!E83</f>
        <v>3</v>
      </c>
      <c r="F82" s="92">
        <f>data!F83</f>
        <v>3</v>
      </c>
      <c r="G82" s="92" t="str">
        <f>data!G83</f>
        <v>SR80733</v>
      </c>
      <c r="H82" s="92">
        <f>data!H83</f>
        <v>2.0000000000000001E-4</v>
      </c>
      <c r="I82" s="92">
        <f>data!I83</f>
        <v>2</v>
      </c>
      <c r="J82" s="92">
        <f>data!J83</f>
        <v>2.0000000000000001E-4</v>
      </c>
      <c r="K82" s="92">
        <f>data!K83</f>
        <v>2</v>
      </c>
      <c r="L82" s="92">
        <f>data!L83</f>
        <v>2.0000000000000001E-4</v>
      </c>
      <c r="M82" s="92">
        <f>data!M83</f>
        <v>2</v>
      </c>
    </row>
    <row r="83" spans="1:13" x14ac:dyDescent="0.25">
      <c r="A83" t="str">
        <f>data!A84</f>
        <v>comment</v>
      </c>
      <c r="B83" s="92" t="str">
        <f>data!B84</f>
        <v>6001</v>
      </c>
      <c r="C83" s="92" t="str">
        <f>data!C84</f>
        <v>CZCE</v>
      </c>
      <c r="D83" s="92" t="str">
        <f>data!D84</f>
        <v>SR809</v>
      </c>
      <c r="E83" s="92">
        <f>data!E84</f>
        <v>1</v>
      </c>
      <c r="F83" s="92">
        <f>data!F84</f>
        <v>0</v>
      </c>
      <c r="G83" s="92" t="str">
        <f>data!G84</f>
        <v>SR80910</v>
      </c>
      <c r="H83" s="92">
        <f>data!H84</f>
        <v>5.0000000000000001E-4</v>
      </c>
      <c r="I83" s="92">
        <f>data!I84</f>
        <v>5</v>
      </c>
      <c r="J83" s="92">
        <f>data!J84</f>
        <v>4.0000000000000002E-4</v>
      </c>
      <c r="K83" s="92">
        <f>data!K84</f>
        <v>4</v>
      </c>
      <c r="L83" s="92">
        <f>data!L84</f>
        <v>2.0000000000000001E-4</v>
      </c>
      <c r="M83" s="92">
        <f>data!M84</f>
        <v>2</v>
      </c>
    </row>
    <row r="84" spans="1:13" x14ac:dyDescent="0.25">
      <c r="A84" t="str">
        <f>data!A85</f>
        <v>comment</v>
      </c>
      <c r="B84" s="92" t="str">
        <f>data!B85</f>
        <v>6001</v>
      </c>
      <c r="C84" s="92" t="str">
        <f>data!C85</f>
        <v>CZCE</v>
      </c>
      <c r="D84" s="92" t="str">
        <f>data!D85</f>
        <v>SR809</v>
      </c>
      <c r="E84" s="92">
        <f>data!E85</f>
        <v>1</v>
      </c>
      <c r="F84" s="92">
        <f>data!F85</f>
        <v>1</v>
      </c>
      <c r="G84" s="92" t="str">
        <f>data!G85</f>
        <v>SR80911</v>
      </c>
      <c r="H84" s="92">
        <f>data!H85</f>
        <v>4.0000000000000002E-4</v>
      </c>
      <c r="I84" s="92">
        <f>data!I85</f>
        <v>4</v>
      </c>
      <c r="J84" s="92">
        <f>data!J85</f>
        <v>2.9999999999999997E-4</v>
      </c>
      <c r="K84" s="92">
        <f>data!K85</f>
        <v>3</v>
      </c>
      <c r="L84" s="92">
        <f>data!L85</f>
        <v>2.0000000000000001E-4</v>
      </c>
      <c r="M84" s="92">
        <f>data!M85</f>
        <v>2</v>
      </c>
    </row>
    <row r="85" spans="1:13" x14ac:dyDescent="0.25">
      <c r="A85" t="str">
        <f>data!A86</f>
        <v>comment</v>
      </c>
      <c r="B85" s="92" t="str">
        <f>data!B86</f>
        <v>6001</v>
      </c>
      <c r="C85" s="92" t="str">
        <f>data!C86</f>
        <v>CZCE</v>
      </c>
      <c r="D85" s="92" t="str">
        <f>data!D86</f>
        <v>SR809</v>
      </c>
      <c r="E85" s="92">
        <f>data!E86</f>
        <v>1</v>
      </c>
      <c r="F85" s="92">
        <f>data!F86</f>
        <v>2</v>
      </c>
      <c r="G85" s="92" t="str">
        <f>data!G86</f>
        <v>SR80912</v>
      </c>
      <c r="H85" s="92">
        <f>data!H86</f>
        <v>2.9999999999999997E-4</v>
      </c>
      <c r="I85" s="92">
        <f>data!I86</f>
        <v>3</v>
      </c>
      <c r="J85" s="92">
        <f>data!J86</f>
        <v>2.0000000000000001E-4</v>
      </c>
      <c r="K85" s="92">
        <f>data!K86</f>
        <v>2</v>
      </c>
      <c r="L85" s="92">
        <f>data!L86</f>
        <v>2.0000000000000001E-4</v>
      </c>
      <c r="M85" s="92">
        <f>data!M86</f>
        <v>2</v>
      </c>
    </row>
    <row r="86" spans="1:13" x14ac:dyDescent="0.25">
      <c r="A86" t="str">
        <f>data!A87</f>
        <v>comment</v>
      </c>
      <c r="B86" s="92" t="str">
        <f>data!B87</f>
        <v>6001</v>
      </c>
      <c r="C86" s="92" t="str">
        <f>data!C87</f>
        <v>CZCE</v>
      </c>
      <c r="D86" s="92" t="str">
        <f>data!D87</f>
        <v>SR809</v>
      </c>
      <c r="E86" s="92">
        <f>data!E87</f>
        <v>1</v>
      </c>
      <c r="F86" s="92">
        <f>data!F87</f>
        <v>3</v>
      </c>
      <c r="G86" s="92" t="str">
        <f>data!G87</f>
        <v>SR80913</v>
      </c>
      <c r="H86" s="92">
        <f>data!H87</f>
        <v>2.0000000000000001E-4</v>
      </c>
      <c r="I86" s="92">
        <f>data!I87</f>
        <v>2</v>
      </c>
      <c r="J86" s="92">
        <f>data!J87</f>
        <v>1E-4</v>
      </c>
      <c r="K86" s="92">
        <f>data!K87</f>
        <v>1</v>
      </c>
      <c r="L86" s="92">
        <f>data!L87</f>
        <v>2.0000000000000001E-4</v>
      </c>
      <c r="M86" s="92">
        <f>data!M87</f>
        <v>2</v>
      </c>
    </row>
    <row r="87" spans="1:13" x14ac:dyDescent="0.25">
      <c r="A87" t="str">
        <f>data!A88</f>
        <v>comment</v>
      </c>
      <c r="B87" s="92" t="str">
        <f>data!B88</f>
        <v>6001</v>
      </c>
      <c r="C87" s="92" t="str">
        <f>data!C88</f>
        <v>CZCE</v>
      </c>
      <c r="D87" s="92" t="str">
        <f>data!D88</f>
        <v>SR809</v>
      </c>
      <c r="E87" s="92">
        <f>data!E88</f>
        <v>3</v>
      </c>
      <c r="F87" s="92">
        <f>data!F88</f>
        <v>0</v>
      </c>
      <c r="G87" s="92" t="str">
        <f>data!G88</f>
        <v>SR80930</v>
      </c>
      <c r="H87" s="92">
        <f>data!H88</f>
        <v>5.0000000000000001E-4</v>
      </c>
      <c r="I87" s="92">
        <f>data!I88</f>
        <v>5</v>
      </c>
      <c r="J87" s="92">
        <f>data!J88</f>
        <v>5.0000000000000001E-4</v>
      </c>
      <c r="K87" s="92">
        <f>data!K88</f>
        <v>5</v>
      </c>
      <c r="L87" s="92">
        <f>data!L88</f>
        <v>2.0000000000000001E-4</v>
      </c>
      <c r="M87" s="92">
        <f>data!M88</f>
        <v>2</v>
      </c>
    </row>
    <row r="88" spans="1:13" x14ac:dyDescent="0.25">
      <c r="A88" t="str">
        <f>data!A89</f>
        <v>comment</v>
      </c>
      <c r="B88" s="92" t="str">
        <f>data!B89</f>
        <v>6001</v>
      </c>
      <c r="C88" s="92" t="str">
        <f>data!C89</f>
        <v>CZCE</v>
      </c>
      <c r="D88" s="92" t="str">
        <f>data!D89</f>
        <v>SR809</v>
      </c>
      <c r="E88" s="92">
        <f>data!E89</f>
        <v>3</v>
      </c>
      <c r="F88" s="92">
        <f>data!F89</f>
        <v>1</v>
      </c>
      <c r="G88" s="92" t="str">
        <f>data!G89</f>
        <v>SR80931</v>
      </c>
      <c r="H88" s="92">
        <f>data!H89</f>
        <v>4.0000000000000002E-4</v>
      </c>
      <c r="I88" s="92">
        <f>data!I89</f>
        <v>4</v>
      </c>
      <c r="J88" s="92">
        <f>data!J89</f>
        <v>3.9999999999999996E-4</v>
      </c>
      <c r="K88" s="92">
        <f>data!K89</f>
        <v>4</v>
      </c>
      <c r="L88" s="92">
        <f>data!L89</f>
        <v>2.0000000000000001E-4</v>
      </c>
      <c r="M88" s="92">
        <f>data!M89</f>
        <v>2</v>
      </c>
    </row>
    <row r="89" spans="1:13" x14ac:dyDescent="0.25">
      <c r="A89" t="str">
        <f>data!A90</f>
        <v>comment</v>
      </c>
      <c r="B89" s="92" t="str">
        <f>data!B90</f>
        <v>6001</v>
      </c>
      <c r="C89" s="92" t="str">
        <f>data!C90</f>
        <v>CZCE</v>
      </c>
      <c r="D89" s="92" t="str">
        <f>data!D90</f>
        <v>SR809</v>
      </c>
      <c r="E89" s="92">
        <f>data!E90</f>
        <v>3</v>
      </c>
      <c r="F89" s="92">
        <f>data!F90</f>
        <v>2</v>
      </c>
      <c r="G89" s="92" t="str">
        <f>data!G90</f>
        <v>SR80932</v>
      </c>
      <c r="H89" s="92">
        <f>data!H90</f>
        <v>2.9999999999999997E-4</v>
      </c>
      <c r="I89" s="92">
        <f>data!I90</f>
        <v>3</v>
      </c>
      <c r="J89" s="92">
        <f>data!J90</f>
        <v>3.0000000000000003E-4</v>
      </c>
      <c r="K89" s="92">
        <f>data!K90</f>
        <v>3</v>
      </c>
      <c r="L89" s="92">
        <f>data!L90</f>
        <v>2.0000000000000001E-4</v>
      </c>
      <c r="M89" s="92">
        <f>data!M90</f>
        <v>2</v>
      </c>
    </row>
    <row r="90" spans="1:13" x14ac:dyDescent="0.25">
      <c r="A90" t="str">
        <f>data!A91</f>
        <v>comment</v>
      </c>
      <c r="B90" s="92" t="str">
        <f>data!B91</f>
        <v>6001</v>
      </c>
      <c r="C90" s="92" t="str">
        <f>data!C91</f>
        <v>CZCE</v>
      </c>
      <c r="D90" s="92" t="str">
        <f>data!D91</f>
        <v>SR809</v>
      </c>
      <c r="E90" s="92">
        <f>data!E91</f>
        <v>3</v>
      </c>
      <c r="F90" s="92">
        <f>data!F91</f>
        <v>3</v>
      </c>
      <c r="G90" s="92" t="str">
        <f>data!G91</f>
        <v>SR80933</v>
      </c>
      <c r="H90" s="92">
        <f>data!H91</f>
        <v>2.0000000000000001E-4</v>
      </c>
      <c r="I90" s="92">
        <f>data!I91</f>
        <v>2</v>
      </c>
      <c r="J90" s="92">
        <f>data!J91</f>
        <v>2.0000000000000001E-4</v>
      </c>
      <c r="K90" s="92">
        <f>data!K91</f>
        <v>2</v>
      </c>
      <c r="L90" s="92">
        <f>data!L91</f>
        <v>2.0000000000000001E-4</v>
      </c>
      <c r="M90" s="92">
        <f>data!M91</f>
        <v>2</v>
      </c>
    </row>
    <row r="91" spans="1:13" x14ac:dyDescent="0.25">
      <c r="A91" t="str">
        <f>data!A92</f>
        <v>comment</v>
      </c>
      <c r="B91" s="92" t="str">
        <f>data!B92</f>
        <v>6001</v>
      </c>
      <c r="C91" s="92" t="str">
        <f>data!C92</f>
        <v>CZCE</v>
      </c>
      <c r="D91" s="92" t="str">
        <f>data!D92</f>
        <v>OI811</v>
      </c>
      <c r="E91" s="92">
        <f>data!E92</f>
        <v>1</v>
      </c>
      <c r="F91" s="92">
        <f>data!F92</f>
        <v>0</v>
      </c>
      <c r="G91" s="92" t="str">
        <f>data!G92</f>
        <v>OI81110</v>
      </c>
      <c r="H91" s="92">
        <f>data!H92</f>
        <v>5.0000000000000001E-4</v>
      </c>
      <c r="I91" s="92">
        <f>data!I92</f>
        <v>5</v>
      </c>
      <c r="J91" s="92">
        <f>data!J92</f>
        <v>4.0000000000000002E-4</v>
      </c>
      <c r="K91" s="92">
        <f>data!K92</f>
        <v>4</v>
      </c>
      <c r="L91" s="92">
        <f>data!L92</f>
        <v>2.0000000000000001E-4</v>
      </c>
      <c r="M91" s="92">
        <f>data!M92</f>
        <v>2</v>
      </c>
    </row>
    <row r="92" spans="1:13" x14ac:dyDescent="0.25">
      <c r="A92" t="str">
        <f>data!A93</f>
        <v>comment</v>
      </c>
      <c r="B92" s="92" t="str">
        <f>data!B93</f>
        <v>6001</v>
      </c>
      <c r="C92" s="92" t="str">
        <f>data!C93</f>
        <v>CZCE</v>
      </c>
      <c r="D92" s="92" t="str">
        <f>data!D93</f>
        <v>OI811</v>
      </c>
      <c r="E92" s="92">
        <f>data!E93</f>
        <v>1</v>
      </c>
      <c r="F92" s="92">
        <f>data!F93</f>
        <v>1</v>
      </c>
      <c r="G92" s="92" t="str">
        <f>data!G93</f>
        <v>OI81111</v>
      </c>
      <c r="H92" s="92">
        <f>data!H93</f>
        <v>4.0000000000000002E-4</v>
      </c>
      <c r="I92" s="92">
        <f>data!I93</f>
        <v>4</v>
      </c>
      <c r="J92" s="92">
        <f>data!J93</f>
        <v>2.9999999999999997E-4</v>
      </c>
      <c r="K92" s="92">
        <f>data!K93</f>
        <v>3</v>
      </c>
      <c r="L92" s="92">
        <f>data!L93</f>
        <v>2.0000000000000001E-4</v>
      </c>
      <c r="M92" s="92">
        <f>data!M93</f>
        <v>2</v>
      </c>
    </row>
    <row r="93" spans="1:13" x14ac:dyDescent="0.25">
      <c r="A93" t="str">
        <f>data!A94</f>
        <v>comment</v>
      </c>
      <c r="B93" s="92" t="str">
        <f>data!B94</f>
        <v>6001</v>
      </c>
      <c r="C93" s="92" t="str">
        <f>data!C94</f>
        <v>CZCE</v>
      </c>
      <c r="D93" s="92" t="str">
        <f>data!D94</f>
        <v>OI811</v>
      </c>
      <c r="E93" s="92">
        <f>data!E94</f>
        <v>1</v>
      </c>
      <c r="F93" s="92">
        <f>data!F94</f>
        <v>2</v>
      </c>
      <c r="G93" s="92" t="str">
        <f>data!G94</f>
        <v>OI81112</v>
      </c>
      <c r="H93" s="92">
        <f>data!H94</f>
        <v>2.9999999999999997E-4</v>
      </c>
      <c r="I93" s="92">
        <f>data!I94</f>
        <v>3</v>
      </c>
      <c r="J93" s="92">
        <f>data!J94</f>
        <v>2.0000000000000001E-4</v>
      </c>
      <c r="K93" s="92">
        <f>data!K94</f>
        <v>2</v>
      </c>
      <c r="L93" s="92">
        <f>data!L94</f>
        <v>2.0000000000000001E-4</v>
      </c>
      <c r="M93" s="92">
        <f>data!M94</f>
        <v>2</v>
      </c>
    </row>
    <row r="94" spans="1:13" x14ac:dyDescent="0.25">
      <c r="A94" t="str">
        <f>data!A95</f>
        <v>comment</v>
      </c>
      <c r="B94" s="92" t="str">
        <f>data!B95</f>
        <v>6001</v>
      </c>
      <c r="C94" s="92" t="str">
        <f>data!C95</f>
        <v>CZCE</v>
      </c>
      <c r="D94" s="92" t="str">
        <f>data!D95</f>
        <v>OI811</v>
      </c>
      <c r="E94" s="92">
        <f>data!E95</f>
        <v>1</v>
      </c>
      <c r="F94" s="92">
        <f>data!F95</f>
        <v>3</v>
      </c>
      <c r="G94" s="92" t="str">
        <f>data!G95</f>
        <v>OI81113</v>
      </c>
      <c r="H94" s="92">
        <f>data!H95</f>
        <v>2.0000000000000001E-4</v>
      </c>
      <c r="I94" s="92">
        <f>data!I95</f>
        <v>2</v>
      </c>
      <c r="J94" s="92">
        <f>data!J95</f>
        <v>1E-4</v>
      </c>
      <c r="K94" s="92">
        <f>data!K95</f>
        <v>1</v>
      </c>
      <c r="L94" s="92">
        <f>data!L95</f>
        <v>2.0000000000000001E-4</v>
      </c>
      <c r="M94" s="92">
        <f>data!M95</f>
        <v>2</v>
      </c>
    </row>
    <row r="95" spans="1:13" x14ac:dyDescent="0.25">
      <c r="A95" t="str">
        <f>data!A96</f>
        <v>comment</v>
      </c>
      <c r="B95" s="92" t="str">
        <f>data!B96</f>
        <v>6001</v>
      </c>
      <c r="C95" s="92" t="str">
        <f>data!C96</f>
        <v>CZCE</v>
      </c>
      <c r="D95" s="92" t="str">
        <f>data!D96</f>
        <v>OI811</v>
      </c>
      <c r="E95" s="92">
        <f>data!E96</f>
        <v>3</v>
      </c>
      <c r="F95" s="92">
        <f>data!F96</f>
        <v>0</v>
      </c>
      <c r="G95" s="92" t="str">
        <f>data!G96</f>
        <v>OI81130</v>
      </c>
      <c r="H95" s="92">
        <f>data!H96</f>
        <v>5.0000000000000001E-4</v>
      </c>
      <c r="I95" s="92">
        <f>data!I96</f>
        <v>5</v>
      </c>
      <c r="J95" s="92">
        <f>data!J96</f>
        <v>5.0000000000000001E-4</v>
      </c>
      <c r="K95" s="92">
        <f>data!K96</f>
        <v>5</v>
      </c>
      <c r="L95" s="92">
        <f>data!L96</f>
        <v>2.0000000000000001E-4</v>
      </c>
      <c r="M95" s="92">
        <f>data!M96</f>
        <v>2</v>
      </c>
    </row>
    <row r="96" spans="1:13" x14ac:dyDescent="0.25">
      <c r="A96" t="str">
        <f>data!A97</f>
        <v>comment</v>
      </c>
      <c r="B96" s="92" t="str">
        <f>data!B97</f>
        <v>6001</v>
      </c>
      <c r="C96" s="92" t="str">
        <f>data!C97</f>
        <v>CZCE</v>
      </c>
      <c r="D96" s="92" t="str">
        <f>data!D97</f>
        <v>OI811</v>
      </c>
      <c r="E96" s="92">
        <f>data!E97</f>
        <v>3</v>
      </c>
      <c r="F96" s="92">
        <f>data!F97</f>
        <v>1</v>
      </c>
      <c r="G96" s="92" t="str">
        <f>data!G97</f>
        <v>OI81131</v>
      </c>
      <c r="H96" s="92">
        <f>data!H97</f>
        <v>4.0000000000000002E-4</v>
      </c>
      <c r="I96" s="92">
        <f>data!I97</f>
        <v>4</v>
      </c>
      <c r="J96" s="92">
        <f>data!J97</f>
        <v>3.9999999999999996E-4</v>
      </c>
      <c r="K96" s="92">
        <f>data!K97</f>
        <v>4</v>
      </c>
      <c r="L96" s="92">
        <f>data!L97</f>
        <v>2.0000000000000001E-4</v>
      </c>
      <c r="M96" s="92">
        <f>data!M97</f>
        <v>2</v>
      </c>
    </row>
    <row r="97" spans="1:13" x14ac:dyDescent="0.25">
      <c r="A97" t="str">
        <f>data!A98</f>
        <v>comment</v>
      </c>
      <c r="B97" s="92" t="str">
        <f>data!B98</f>
        <v>6001</v>
      </c>
      <c r="C97" s="92" t="str">
        <f>data!C98</f>
        <v>CZCE</v>
      </c>
      <c r="D97" s="92" t="str">
        <f>data!D98</f>
        <v>OI811</v>
      </c>
      <c r="E97" s="92">
        <f>data!E98</f>
        <v>3</v>
      </c>
      <c r="F97" s="92">
        <f>data!F98</f>
        <v>2</v>
      </c>
      <c r="G97" s="92" t="str">
        <f>data!G98</f>
        <v>OI81132</v>
      </c>
      <c r="H97" s="92">
        <f>data!H98</f>
        <v>2.9999999999999997E-4</v>
      </c>
      <c r="I97" s="92">
        <f>data!I98</f>
        <v>3</v>
      </c>
      <c r="J97" s="92">
        <f>data!J98</f>
        <v>3.0000000000000003E-4</v>
      </c>
      <c r="K97" s="92">
        <f>data!K98</f>
        <v>3</v>
      </c>
      <c r="L97" s="92">
        <f>data!L98</f>
        <v>2.0000000000000001E-4</v>
      </c>
      <c r="M97" s="92">
        <f>data!M98</f>
        <v>2</v>
      </c>
    </row>
    <row r="98" spans="1:13" x14ac:dyDescent="0.25">
      <c r="A98" t="str">
        <f>data!A99</f>
        <v>comment</v>
      </c>
      <c r="B98" s="92" t="str">
        <f>data!B99</f>
        <v>6001</v>
      </c>
      <c r="C98" s="92" t="str">
        <f>data!C99</f>
        <v>CZCE</v>
      </c>
      <c r="D98" s="92" t="str">
        <f>data!D99</f>
        <v>OI811</v>
      </c>
      <c r="E98" s="92">
        <f>data!E99</f>
        <v>3</v>
      </c>
      <c r="F98" s="92">
        <f>data!F99</f>
        <v>3</v>
      </c>
      <c r="G98" s="92" t="str">
        <f>data!G99</f>
        <v>OI81133</v>
      </c>
      <c r="H98" s="92">
        <f>data!H99</f>
        <v>2.0000000000000001E-4</v>
      </c>
      <c r="I98" s="92">
        <f>data!I99</f>
        <v>2</v>
      </c>
      <c r="J98" s="92">
        <f>data!J99</f>
        <v>2.0000000000000001E-4</v>
      </c>
      <c r="K98" s="92">
        <f>data!K99</f>
        <v>2</v>
      </c>
      <c r="L98" s="92">
        <f>data!L99</f>
        <v>2.0000000000000001E-4</v>
      </c>
      <c r="M98" s="92">
        <f>data!M99</f>
        <v>2</v>
      </c>
    </row>
    <row r="99" spans="1:13" x14ac:dyDescent="0.25">
      <c r="A99" t="str">
        <f>data!A100</f>
        <v>comment</v>
      </c>
      <c r="B99" s="92" t="str">
        <f>data!B100</f>
        <v>6001</v>
      </c>
      <c r="C99" s="92" t="str">
        <f>data!C100</f>
        <v>CZCE</v>
      </c>
      <c r="D99" s="92" t="str">
        <f>data!D100</f>
        <v>PTA807</v>
      </c>
      <c r="E99" s="92">
        <f>data!E100</f>
        <v>1</v>
      </c>
      <c r="F99" s="92">
        <f>data!F100</f>
        <v>0</v>
      </c>
      <c r="G99" s="92" t="str">
        <f>data!G100</f>
        <v>PTA80710</v>
      </c>
      <c r="H99" s="92">
        <f>data!H100</f>
        <v>5.0000000000000001E-4</v>
      </c>
      <c r="I99" s="92">
        <f>data!I100</f>
        <v>5</v>
      </c>
      <c r="J99" s="92">
        <f>data!J100</f>
        <v>4.0000000000000002E-4</v>
      </c>
      <c r="K99" s="92">
        <f>data!K100</f>
        <v>4</v>
      </c>
      <c r="L99" s="92">
        <f>data!L100</f>
        <v>2.0000000000000001E-4</v>
      </c>
      <c r="M99" s="92">
        <f>data!M100</f>
        <v>2</v>
      </c>
    </row>
    <row r="100" spans="1:13" x14ac:dyDescent="0.25">
      <c r="A100" t="str">
        <f>data!A101</f>
        <v>comment</v>
      </c>
      <c r="B100" s="92" t="str">
        <f>data!B101</f>
        <v>6001</v>
      </c>
      <c r="C100" s="92" t="str">
        <f>data!C101</f>
        <v>CZCE</v>
      </c>
      <c r="D100" s="92" t="str">
        <f>data!D101</f>
        <v>PTA807</v>
      </c>
      <c r="E100" s="92">
        <f>data!E101</f>
        <v>1</v>
      </c>
      <c r="F100" s="92">
        <f>data!F101</f>
        <v>1</v>
      </c>
      <c r="G100" s="92" t="str">
        <f>data!G101</f>
        <v>PTA80711</v>
      </c>
      <c r="H100" s="92">
        <f>data!H101</f>
        <v>4.0000000000000002E-4</v>
      </c>
      <c r="I100" s="92">
        <f>data!I101</f>
        <v>4</v>
      </c>
      <c r="J100" s="92">
        <f>data!J101</f>
        <v>2.9999999999999997E-4</v>
      </c>
      <c r="K100" s="92">
        <f>data!K101</f>
        <v>3</v>
      </c>
      <c r="L100" s="92">
        <f>data!L101</f>
        <v>2.0000000000000001E-4</v>
      </c>
      <c r="M100" s="92">
        <f>data!M101</f>
        <v>2</v>
      </c>
    </row>
    <row r="101" spans="1:13" x14ac:dyDescent="0.25">
      <c r="A101" t="str">
        <f>data!A102</f>
        <v>comment</v>
      </c>
      <c r="B101" s="92" t="str">
        <f>data!B102</f>
        <v>6001</v>
      </c>
      <c r="C101" s="92" t="str">
        <f>data!C102</f>
        <v>CZCE</v>
      </c>
      <c r="D101" s="92" t="str">
        <f>data!D102</f>
        <v>PTA807</v>
      </c>
      <c r="E101" s="92">
        <f>data!E102</f>
        <v>1</v>
      </c>
      <c r="F101" s="92">
        <f>data!F102</f>
        <v>2</v>
      </c>
      <c r="G101" s="92" t="str">
        <f>data!G102</f>
        <v>PTA80712</v>
      </c>
      <c r="H101" s="92">
        <f>data!H102</f>
        <v>2.9999999999999997E-4</v>
      </c>
      <c r="I101" s="92">
        <f>data!I102</f>
        <v>3</v>
      </c>
      <c r="J101" s="92">
        <f>data!J102</f>
        <v>2.0000000000000001E-4</v>
      </c>
      <c r="K101" s="92">
        <f>data!K102</f>
        <v>2</v>
      </c>
      <c r="L101" s="92">
        <f>data!L102</f>
        <v>2.0000000000000001E-4</v>
      </c>
      <c r="M101" s="92">
        <f>data!M102</f>
        <v>2</v>
      </c>
    </row>
    <row r="102" spans="1:13" x14ac:dyDescent="0.25">
      <c r="A102" t="str">
        <f>data!A103</f>
        <v>comment</v>
      </c>
      <c r="B102" s="92" t="str">
        <f>data!B103</f>
        <v>6001</v>
      </c>
      <c r="C102" s="92" t="str">
        <f>data!C103</f>
        <v>CZCE</v>
      </c>
      <c r="D102" s="92" t="str">
        <f>data!D103</f>
        <v>PTA807</v>
      </c>
      <c r="E102" s="92">
        <f>data!E103</f>
        <v>1</v>
      </c>
      <c r="F102" s="92">
        <f>data!F103</f>
        <v>3</v>
      </c>
      <c r="G102" s="92" t="str">
        <f>data!G103</f>
        <v>PTA80713</v>
      </c>
      <c r="H102" s="92">
        <f>data!H103</f>
        <v>2.0000000000000001E-4</v>
      </c>
      <c r="I102" s="92">
        <f>data!I103</f>
        <v>2</v>
      </c>
      <c r="J102" s="92">
        <f>data!J103</f>
        <v>1E-4</v>
      </c>
      <c r="K102" s="92">
        <f>data!K103</f>
        <v>1</v>
      </c>
      <c r="L102" s="92">
        <f>data!L103</f>
        <v>2.0000000000000001E-4</v>
      </c>
      <c r="M102" s="92">
        <f>data!M103</f>
        <v>2</v>
      </c>
    </row>
    <row r="103" spans="1:13" x14ac:dyDescent="0.25">
      <c r="A103" t="str">
        <f>data!A104</f>
        <v>comment</v>
      </c>
      <c r="B103" s="92" t="str">
        <f>data!B104</f>
        <v>6001</v>
      </c>
      <c r="C103" s="92" t="str">
        <f>data!C104</f>
        <v>CZCE</v>
      </c>
      <c r="D103" s="92" t="str">
        <f>data!D104</f>
        <v>PTA807</v>
      </c>
      <c r="E103" s="92">
        <f>data!E104</f>
        <v>3</v>
      </c>
      <c r="F103" s="92">
        <f>data!F104</f>
        <v>0</v>
      </c>
      <c r="G103" s="92" t="str">
        <f>data!G104</f>
        <v>PTA80730</v>
      </c>
      <c r="H103" s="92">
        <f>data!H104</f>
        <v>5.0000000000000001E-4</v>
      </c>
      <c r="I103" s="92">
        <f>data!I104</f>
        <v>5</v>
      </c>
      <c r="J103" s="92">
        <f>data!J104</f>
        <v>5.0000000000000001E-4</v>
      </c>
      <c r="K103" s="92">
        <f>data!K104</f>
        <v>5</v>
      </c>
      <c r="L103" s="92">
        <f>data!L104</f>
        <v>2.0000000000000001E-4</v>
      </c>
      <c r="M103" s="92">
        <f>data!M104</f>
        <v>2</v>
      </c>
    </row>
    <row r="104" spans="1:13" x14ac:dyDescent="0.25">
      <c r="A104" t="str">
        <f>data!A105</f>
        <v>comment</v>
      </c>
      <c r="B104" s="92" t="str">
        <f>data!B105</f>
        <v>6001</v>
      </c>
      <c r="C104" s="92" t="str">
        <f>data!C105</f>
        <v>CZCE</v>
      </c>
      <c r="D104" s="92" t="str">
        <f>data!D105</f>
        <v>PTA807</v>
      </c>
      <c r="E104" s="92">
        <f>data!E105</f>
        <v>3</v>
      </c>
      <c r="F104" s="92">
        <f>data!F105</f>
        <v>1</v>
      </c>
      <c r="G104" s="92" t="str">
        <f>data!G105</f>
        <v>PTA80731</v>
      </c>
      <c r="H104" s="92">
        <f>data!H105</f>
        <v>4.0000000000000002E-4</v>
      </c>
      <c r="I104" s="92">
        <f>data!I105</f>
        <v>4</v>
      </c>
      <c r="J104" s="92">
        <f>data!J105</f>
        <v>3.9999999999999996E-4</v>
      </c>
      <c r="K104" s="92">
        <f>data!K105</f>
        <v>4</v>
      </c>
      <c r="L104" s="92">
        <f>data!L105</f>
        <v>2.0000000000000001E-4</v>
      </c>
      <c r="M104" s="92">
        <f>data!M105</f>
        <v>2</v>
      </c>
    </row>
    <row r="105" spans="1:13" x14ac:dyDescent="0.25">
      <c r="A105" t="str">
        <f>data!A106</f>
        <v>comment</v>
      </c>
      <c r="B105" s="92" t="str">
        <f>data!B106</f>
        <v>6001</v>
      </c>
      <c r="C105" s="92" t="str">
        <f>data!C106</f>
        <v>CZCE</v>
      </c>
      <c r="D105" s="92" t="str">
        <f>data!D106</f>
        <v>PTA807</v>
      </c>
      <c r="E105" s="92">
        <f>data!E106</f>
        <v>3</v>
      </c>
      <c r="F105" s="92">
        <f>data!F106</f>
        <v>2</v>
      </c>
      <c r="G105" s="92" t="str">
        <f>data!G106</f>
        <v>PTA80732</v>
      </c>
      <c r="H105" s="92">
        <f>data!H106</f>
        <v>2.9999999999999997E-4</v>
      </c>
      <c r="I105" s="92">
        <f>data!I106</f>
        <v>3</v>
      </c>
      <c r="J105" s="92">
        <f>data!J106</f>
        <v>3.0000000000000003E-4</v>
      </c>
      <c r="K105" s="92">
        <f>data!K106</f>
        <v>3</v>
      </c>
      <c r="L105" s="92">
        <f>data!L106</f>
        <v>2.0000000000000001E-4</v>
      </c>
      <c r="M105" s="92">
        <f>data!M106</f>
        <v>2</v>
      </c>
    </row>
    <row r="106" spans="1:13" x14ac:dyDescent="0.25">
      <c r="A106" t="str">
        <f>data!A107</f>
        <v>comment</v>
      </c>
      <c r="B106" s="92" t="str">
        <f>data!B107</f>
        <v>6001</v>
      </c>
      <c r="C106" s="92" t="str">
        <f>data!C107</f>
        <v>CZCE</v>
      </c>
      <c r="D106" s="92" t="str">
        <f>data!D107</f>
        <v>PTA807</v>
      </c>
      <c r="E106" s="92">
        <f>data!E107</f>
        <v>3</v>
      </c>
      <c r="F106" s="92">
        <f>data!F107</f>
        <v>3</v>
      </c>
      <c r="G106" s="92" t="str">
        <f>data!G107</f>
        <v>PTA80733</v>
      </c>
      <c r="H106" s="92">
        <f>data!H107</f>
        <v>2.0000000000000001E-4</v>
      </c>
      <c r="I106" s="92">
        <f>data!I107</f>
        <v>2</v>
      </c>
      <c r="J106" s="92">
        <f>data!J107</f>
        <v>2.0000000000000001E-4</v>
      </c>
      <c r="K106" s="92">
        <f>data!K107</f>
        <v>2</v>
      </c>
      <c r="L106" s="92">
        <f>data!L107</f>
        <v>2.0000000000000001E-4</v>
      </c>
      <c r="M106" s="92">
        <f>data!M107</f>
        <v>2</v>
      </c>
    </row>
    <row r="107" spans="1:13" x14ac:dyDescent="0.25">
      <c r="A107" t="str">
        <f>data!A108</f>
        <v>comment</v>
      </c>
      <c r="B107" s="92" t="str">
        <f>data!B108</f>
        <v>6001</v>
      </c>
      <c r="C107" s="92" t="str">
        <f>data!C108</f>
        <v>CZCE</v>
      </c>
      <c r="D107" s="92" t="str">
        <f>data!D108</f>
        <v>PTA809</v>
      </c>
      <c r="E107" s="92">
        <f>data!E108</f>
        <v>1</v>
      </c>
      <c r="F107" s="92">
        <f>data!F108</f>
        <v>0</v>
      </c>
      <c r="G107" s="92" t="str">
        <f>data!G108</f>
        <v>PTA80910</v>
      </c>
      <c r="H107" s="92">
        <f>data!H108</f>
        <v>5.0000000000000001E-4</v>
      </c>
      <c r="I107" s="92">
        <f>data!I108</f>
        <v>5</v>
      </c>
      <c r="J107" s="92">
        <f>data!J108</f>
        <v>4.0000000000000002E-4</v>
      </c>
      <c r="K107" s="92">
        <f>data!K108</f>
        <v>4</v>
      </c>
      <c r="L107" s="92">
        <f>data!L108</f>
        <v>2.0000000000000001E-4</v>
      </c>
      <c r="M107" s="92">
        <f>data!M108</f>
        <v>2</v>
      </c>
    </row>
    <row r="108" spans="1:13" x14ac:dyDescent="0.25">
      <c r="A108" t="str">
        <f>data!A109</f>
        <v>comment</v>
      </c>
      <c r="B108" s="92" t="str">
        <f>data!B109</f>
        <v>6001</v>
      </c>
      <c r="C108" s="92" t="str">
        <f>data!C109</f>
        <v>CZCE</v>
      </c>
      <c r="D108" s="92" t="str">
        <f>data!D109</f>
        <v>PTA809</v>
      </c>
      <c r="E108" s="92">
        <f>data!E109</f>
        <v>1</v>
      </c>
      <c r="F108" s="92">
        <f>data!F109</f>
        <v>1</v>
      </c>
      <c r="G108" s="92" t="str">
        <f>data!G109</f>
        <v>PTA80911</v>
      </c>
      <c r="H108" s="92">
        <f>data!H109</f>
        <v>4.0000000000000002E-4</v>
      </c>
      <c r="I108" s="92">
        <f>data!I109</f>
        <v>4</v>
      </c>
      <c r="J108" s="92">
        <f>data!J109</f>
        <v>2.9999999999999997E-4</v>
      </c>
      <c r="K108" s="92">
        <f>data!K109</f>
        <v>3</v>
      </c>
      <c r="L108" s="92">
        <f>data!L109</f>
        <v>2.0000000000000001E-4</v>
      </c>
      <c r="M108" s="92">
        <f>data!M109</f>
        <v>2</v>
      </c>
    </row>
    <row r="109" spans="1:13" x14ac:dyDescent="0.25">
      <c r="A109" t="str">
        <f>data!A110</f>
        <v>comment</v>
      </c>
      <c r="B109" s="92" t="str">
        <f>data!B110</f>
        <v>6001</v>
      </c>
      <c r="C109" s="92" t="str">
        <f>data!C110</f>
        <v>CZCE</v>
      </c>
      <c r="D109" s="92" t="str">
        <f>data!D110</f>
        <v>PTA809</v>
      </c>
      <c r="E109" s="92">
        <f>data!E110</f>
        <v>1</v>
      </c>
      <c r="F109" s="92">
        <f>data!F110</f>
        <v>2</v>
      </c>
      <c r="G109" s="92" t="str">
        <f>data!G110</f>
        <v>PTA80912</v>
      </c>
      <c r="H109" s="92">
        <f>data!H110</f>
        <v>2.9999999999999997E-4</v>
      </c>
      <c r="I109" s="92">
        <f>data!I110</f>
        <v>3</v>
      </c>
      <c r="J109" s="92">
        <f>data!J110</f>
        <v>2.0000000000000001E-4</v>
      </c>
      <c r="K109" s="92">
        <f>data!K110</f>
        <v>2</v>
      </c>
      <c r="L109" s="92">
        <f>data!L110</f>
        <v>2.0000000000000001E-4</v>
      </c>
      <c r="M109" s="92">
        <f>data!M110</f>
        <v>2</v>
      </c>
    </row>
    <row r="110" spans="1:13" x14ac:dyDescent="0.25">
      <c r="A110" t="str">
        <f>data!A111</f>
        <v>comment</v>
      </c>
      <c r="B110" s="92" t="str">
        <f>data!B111</f>
        <v>6001</v>
      </c>
      <c r="C110" s="92" t="str">
        <f>data!C111</f>
        <v>CZCE</v>
      </c>
      <c r="D110" s="92" t="str">
        <f>data!D111</f>
        <v>PTA809</v>
      </c>
      <c r="E110" s="92">
        <f>data!E111</f>
        <v>1</v>
      </c>
      <c r="F110" s="92">
        <f>data!F111</f>
        <v>3</v>
      </c>
      <c r="G110" s="92" t="str">
        <f>data!G111</f>
        <v>PTA80913</v>
      </c>
      <c r="H110" s="92">
        <f>data!H111</f>
        <v>2.0000000000000001E-4</v>
      </c>
      <c r="I110" s="92">
        <f>data!I111</f>
        <v>2</v>
      </c>
      <c r="J110" s="92">
        <f>data!J111</f>
        <v>1E-4</v>
      </c>
      <c r="K110" s="92">
        <f>data!K111</f>
        <v>1</v>
      </c>
      <c r="L110" s="92">
        <f>data!L111</f>
        <v>2.0000000000000001E-4</v>
      </c>
      <c r="M110" s="92">
        <f>data!M111</f>
        <v>2</v>
      </c>
    </row>
    <row r="111" spans="1:13" x14ac:dyDescent="0.25">
      <c r="A111" t="str">
        <f>data!A112</f>
        <v>comment</v>
      </c>
      <c r="B111" s="92" t="str">
        <f>data!B112</f>
        <v>6001</v>
      </c>
      <c r="C111" s="92" t="str">
        <f>data!C112</f>
        <v>CZCE</v>
      </c>
      <c r="D111" s="92" t="str">
        <f>data!D112</f>
        <v>PTA809</v>
      </c>
      <c r="E111" s="92">
        <f>data!E112</f>
        <v>3</v>
      </c>
      <c r="F111" s="92">
        <f>data!F112</f>
        <v>0</v>
      </c>
      <c r="G111" s="92" t="str">
        <f>data!G112</f>
        <v>PTA80930</v>
      </c>
      <c r="H111" s="92">
        <f>data!H112</f>
        <v>5.0000000000000001E-4</v>
      </c>
      <c r="I111" s="92">
        <f>data!I112</f>
        <v>5</v>
      </c>
      <c r="J111" s="92">
        <f>data!J112</f>
        <v>5.0000000000000001E-4</v>
      </c>
      <c r="K111" s="92">
        <f>data!K112</f>
        <v>5</v>
      </c>
      <c r="L111" s="92">
        <f>data!L112</f>
        <v>2.0000000000000001E-4</v>
      </c>
      <c r="M111" s="92">
        <f>data!M112</f>
        <v>2</v>
      </c>
    </row>
    <row r="112" spans="1:13" x14ac:dyDescent="0.25">
      <c r="A112" t="str">
        <f>data!A113</f>
        <v>comment</v>
      </c>
      <c r="B112" s="92" t="str">
        <f>data!B113</f>
        <v>6001</v>
      </c>
      <c r="C112" s="92" t="str">
        <f>data!C113</f>
        <v>CZCE</v>
      </c>
      <c r="D112" s="92" t="str">
        <f>data!D113</f>
        <v>PTA809</v>
      </c>
      <c r="E112" s="92">
        <f>data!E113</f>
        <v>3</v>
      </c>
      <c r="F112" s="92">
        <f>data!F113</f>
        <v>1</v>
      </c>
      <c r="G112" s="92" t="str">
        <f>data!G113</f>
        <v>PTA80931</v>
      </c>
      <c r="H112" s="92">
        <f>data!H113</f>
        <v>4.0000000000000002E-4</v>
      </c>
      <c r="I112" s="92">
        <f>data!I113</f>
        <v>4</v>
      </c>
      <c r="J112" s="92">
        <f>data!J113</f>
        <v>3.9999999999999996E-4</v>
      </c>
      <c r="K112" s="92">
        <f>data!K113</f>
        <v>4</v>
      </c>
      <c r="L112" s="92">
        <f>data!L113</f>
        <v>2.0000000000000001E-4</v>
      </c>
      <c r="M112" s="92">
        <f>data!M113</f>
        <v>2</v>
      </c>
    </row>
    <row r="113" spans="1:13" x14ac:dyDescent="0.25">
      <c r="A113" t="str">
        <f>data!A114</f>
        <v>comment</v>
      </c>
      <c r="B113" s="92" t="str">
        <f>data!B114</f>
        <v>6001</v>
      </c>
      <c r="C113" s="92" t="str">
        <f>data!C114</f>
        <v>CZCE</v>
      </c>
      <c r="D113" s="92" t="str">
        <f>data!D114</f>
        <v>PTA809</v>
      </c>
      <c r="E113" s="92">
        <f>data!E114</f>
        <v>3</v>
      </c>
      <c r="F113" s="92">
        <f>data!F114</f>
        <v>2</v>
      </c>
      <c r="G113" s="92" t="str">
        <f>data!G114</f>
        <v>PTA80932</v>
      </c>
      <c r="H113" s="92">
        <f>data!H114</f>
        <v>2.9999999999999997E-4</v>
      </c>
      <c r="I113" s="92">
        <f>data!I114</f>
        <v>3</v>
      </c>
      <c r="J113" s="92">
        <f>data!J114</f>
        <v>3.0000000000000003E-4</v>
      </c>
      <c r="K113" s="92">
        <f>data!K114</f>
        <v>3</v>
      </c>
      <c r="L113" s="92">
        <f>data!L114</f>
        <v>2.0000000000000001E-4</v>
      </c>
      <c r="M113" s="92">
        <f>data!M114</f>
        <v>2</v>
      </c>
    </row>
    <row r="114" spans="1:13" x14ac:dyDescent="0.25">
      <c r="A114" t="str">
        <f>data!A115</f>
        <v>comment</v>
      </c>
      <c r="B114" s="92" t="str">
        <f>data!B115</f>
        <v>6001</v>
      </c>
      <c r="C114" s="92" t="str">
        <f>data!C115</f>
        <v>CZCE</v>
      </c>
      <c r="D114" s="92" t="str">
        <f>data!D115</f>
        <v>PTA809</v>
      </c>
      <c r="E114" s="92">
        <f>data!E115</f>
        <v>3</v>
      </c>
      <c r="F114" s="92">
        <f>data!F115</f>
        <v>3</v>
      </c>
      <c r="G114" s="92" t="str">
        <f>data!G115</f>
        <v>PTA80933</v>
      </c>
      <c r="H114" s="92">
        <f>data!H115</f>
        <v>2.0000000000000001E-4</v>
      </c>
      <c r="I114" s="92">
        <f>data!I115</f>
        <v>2</v>
      </c>
      <c r="J114" s="92">
        <f>data!J115</f>
        <v>2.0000000000000001E-4</v>
      </c>
      <c r="K114" s="92">
        <f>data!K115</f>
        <v>2</v>
      </c>
      <c r="L114" s="92">
        <f>data!L115</f>
        <v>2.0000000000000001E-4</v>
      </c>
      <c r="M114" s="92">
        <f>data!M115</f>
        <v>2</v>
      </c>
    </row>
    <row r="115" spans="1:13" x14ac:dyDescent="0.25">
      <c r="A115" t="str">
        <f>data!A116</f>
        <v>comment</v>
      </c>
      <c r="B115" t="str">
        <f>data!B116</f>
        <v>期权：交易所手续费率&amp;投资者手续费率</v>
      </c>
      <c r="F115" t="str">
        <f>data!F116</f>
        <v>4: 执行5：履约</v>
      </c>
    </row>
    <row r="116" spans="1:13" x14ac:dyDescent="0.25">
      <c r="A116" t="str">
        <f>data!A117</f>
        <v>comment</v>
      </c>
      <c r="B116" s="94" t="str">
        <f>data!B117</f>
        <v>投资者代码</v>
      </c>
      <c r="C116" s="94" t="str">
        <f>data!C117</f>
        <v>交易所代码</v>
      </c>
      <c r="D116" s="94" t="str">
        <f>data!D117</f>
        <v>合约代码</v>
      </c>
      <c r="E116" s="94" t="str">
        <f>data!E117</f>
        <v>投机套保标志</v>
      </c>
      <c r="F116" s="94" t="str">
        <f>data!F117</f>
        <v>开平标志</v>
      </c>
      <c r="G116" s="94" t="str">
        <f>data!G117</f>
        <v>辅助列</v>
      </c>
      <c r="H116" s="94" t="str">
        <f>data!H117</f>
        <v>投资者手续费率按金额</v>
      </c>
      <c r="I116" s="94" t="str">
        <f>data!I117</f>
        <v>投资者手续费率按手数</v>
      </c>
      <c r="J116" s="94" t="str">
        <f>data!J117</f>
        <v>交易所手续费率按金额</v>
      </c>
      <c r="K116" s="94" t="str">
        <f>data!K117</f>
        <v>交易所手续费率按手数</v>
      </c>
      <c r="L116" s="94" t="str">
        <f>data!L117</f>
        <v>投资者结算按金额</v>
      </c>
      <c r="M116" s="94" t="str">
        <f>data!M117</f>
        <v>投资者结算按手数</v>
      </c>
    </row>
    <row r="117" spans="1:13" x14ac:dyDescent="0.25">
      <c r="A117" t="str">
        <f>data!A118</f>
        <v>comment</v>
      </c>
      <c r="B117" s="92" t="str">
        <f>data!B118</f>
        <v>6001</v>
      </c>
      <c r="C117" s="92" t="str">
        <f>data!C118</f>
        <v>CZCE</v>
      </c>
      <c r="D117" s="92" t="str">
        <f>data!D118</f>
        <v>SR807C6500</v>
      </c>
      <c r="E117" s="92">
        <f>data!E118</f>
        <v>1</v>
      </c>
      <c r="F117" s="92">
        <f>data!F118</f>
        <v>0</v>
      </c>
      <c r="G117" s="92" t="str">
        <f>data!G118</f>
        <v>SR807C650010</v>
      </c>
      <c r="H117" s="92">
        <f>data!H118</f>
        <v>5.0000000000000001E-4</v>
      </c>
      <c r="I117" s="92">
        <f>data!I118</f>
        <v>5</v>
      </c>
      <c r="J117" s="92">
        <f>data!J118</f>
        <v>4.0000000000000002E-4</v>
      </c>
      <c r="K117" s="92">
        <f>data!K118</f>
        <v>4</v>
      </c>
      <c r="L117" s="6">
        <f>data!L118</f>
        <v>2.0000000000000001E-4</v>
      </c>
      <c r="M117" s="6">
        <f>data!M118</f>
        <v>2</v>
      </c>
    </row>
    <row r="118" spans="1:13" x14ac:dyDescent="0.25">
      <c r="A118" t="str">
        <f>data!A119</f>
        <v>comment</v>
      </c>
      <c r="B118" s="92" t="str">
        <f>data!B119</f>
        <v>6001</v>
      </c>
      <c r="C118" s="92" t="str">
        <f>data!C119</f>
        <v>CZCE</v>
      </c>
      <c r="D118" s="92" t="str">
        <f>data!D119</f>
        <v>SR807C6500</v>
      </c>
      <c r="E118" s="92">
        <f>data!E119</f>
        <v>1</v>
      </c>
      <c r="F118" s="92">
        <f>data!F119</f>
        <v>1</v>
      </c>
      <c r="G118" s="92" t="str">
        <f>data!G119</f>
        <v>SR807C650011</v>
      </c>
      <c r="H118" s="92">
        <f>data!H119</f>
        <v>4.0000000000000002E-4</v>
      </c>
      <c r="I118" s="92">
        <f>data!I119</f>
        <v>4</v>
      </c>
      <c r="J118" s="92">
        <f>data!J119</f>
        <v>2.9999999999999997E-4</v>
      </c>
      <c r="K118" s="92">
        <f>data!K119</f>
        <v>3</v>
      </c>
      <c r="L118" s="6">
        <f>data!L119</f>
        <v>2.0000000000000001E-4</v>
      </c>
      <c r="M118" s="6">
        <f>data!M119</f>
        <v>2</v>
      </c>
    </row>
    <row r="119" spans="1:13" x14ac:dyDescent="0.25">
      <c r="A119" t="str">
        <f>data!A120</f>
        <v>comment</v>
      </c>
      <c r="B119" s="92" t="str">
        <f>data!B120</f>
        <v>6001</v>
      </c>
      <c r="C119" s="92" t="str">
        <f>data!C120</f>
        <v>CZCE</v>
      </c>
      <c r="D119" s="92" t="str">
        <f>data!D120</f>
        <v>SR807C6500</v>
      </c>
      <c r="E119" s="92">
        <f>data!E120</f>
        <v>1</v>
      </c>
      <c r="F119" s="92">
        <f>data!F120</f>
        <v>3</v>
      </c>
      <c r="G119" s="92" t="str">
        <f>data!G120</f>
        <v>SR807C650013</v>
      </c>
      <c r="H119" s="92">
        <f>data!H120</f>
        <v>2.0000000000000001E-4</v>
      </c>
      <c r="I119" s="92">
        <f>data!I120</f>
        <v>2</v>
      </c>
      <c r="J119" s="92">
        <f>data!J120</f>
        <v>1E-4</v>
      </c>
      <c r="K119" s="92">
        <f>data!K120</f>
        <v>1</v>
      </c>
      <c r="L119" s="6">
        <f>data!L120</f>
        <v>2.0000000000000001E-4</v>
      </c>
      <c r="M119" s="6">
        <f>data!M120</f>
        <v>2</v>
      </c>
    </row>
    <row r="120" spans="1:13" x14ac:dyDescent="0.25">
      <c r="A120" t="str">
        <f>data!A121</f>
        <v>comment</v>
      </c>
      <c r="B120" s="92" t="str">
        <f>data!B121</f>
        <v>6001</v>
      </c>
      <c r="C120" s="92" t="str">
        <f>data!C121</f>
        <v>CZCE</v>
      </c>
      <c r="D120" s="92" t="str">
        <f>data!D121</f>
        <v>SR807C6500</v>
      </c>
      <c r="E120" s="92">
        <f>data!E121</f>
        <v>1</v>
      </c>
      <c r="F120" s="92">
        <f>data!F121</f>
        <v>4</v>
      </c>
      <c r="G120" s="92" t="str">
        <f>data!G121</f>
        <v>SR807C650014</v>
      </c>
      <c r="H120" s="92">
        <f>data!H121</f>
        <v>4.2000000000000002E-4</v>
      </c>
      <c r="I120" s="92">
        <f>data!I121</f>
        <v>4.2</v>
      </c>
      <c r="J120" s="92">
        <f>data!J121</f>
        <v>3.2000000000000003E-4</v>
      </c>
      <c r="K120" s="92">
        <f>data!K121</f>
        <v>3.2</v>
      </c>
      <c r="L120" s="6">
        <f>data!L121</f>
        <v>2.0000000000000001E-4</v>
      </c>
      <c r="M120" s="6">
        <f>data!M121</f>
        <v>2</v>
      </c>
    </row>
    <row r="121" spans="1:13" x14ac:dyDescent="0.25">
      <c r="A121" t="str">
        <f>data!A122</f>
        <v>comment</v>
      </c>
      <c r="B121" s="92" t="str">
        <f>data!B122</f>
        <v>6001</v>
      </c>
      <c r="C121" s="92" t="str">
        <f>data!C122</f>
        <v>CZCE</v>
      </c>
      <c r="D121" s="92" t="str">
        <f>data!D122</f>
        <v>SR807C6500</v>
      </c>
      <c r="E121" s="92">
        <f>data!E122</f>
        <v>1</v>
      </c>
      <c r="F121" s="92">
        <f>data!F122</f>
        <v>5</v>
      </c>
      <c r="G121" s="92" t="str">
        <f>data!G122</f>
        <v>SR807C650015</v>
      </c>
      <c r="H121" s="92">
        <f>data!H122</f>
        <v>4.4999999999999999E-4</v>
      </c>
      <c r="I121" s="92">
        <f>data!I122</f>
        <v>4.5</v>
      </c>
      <c r="J121" s="92">
        <f>data!J122</f>
        <v>3.5E-4</v>
      </c>
      <c r="K121" s="92">
        <f>data!K122</f>
        <v>3.5</v>
      </c>
      <c r="L121" s="6">
        <f>data!L122</f>
        <v>2.0000000000000001E-4</v>
      </c>
      <c r="M121" s="6">
        <f>data!M122</f>
        <v>2</v>
      </c>
    </row>
    <row r="122" spans="1:13" x14ac:dyDescent="0.25">
      <c r="A122" t="str">
        <f>data!A123</f>
        <v>comment</v>
      </c>
      <c r="B122" s="92" t="str">
        <f>data!B123</f>
        <v>6001</v>
      </c>
      <c r="C122" s="92" t="str">
        <f>data!C123</f>
        <v>CZCE</v>
      </c>
      <c r="D122" s="92" t="str">
        <f>data!D123</f>
        <v>SR807C6500</v>
      </c>
      <c r="E122" s="92">
        <f>data!E123</f>
        <v>3</v>
      </c>
      <c r="F122" s="92">
        <f>data!F123</f>
        <v>0</v>
      </c>
      <c r="G122" s="92" t="str">
        <f>data!G123</f>
        <v>SR807C650030</v>
      </c>
      <c r="H122" s="92">
        <f>data!H123</f>
        <v>5.0000000000000001E-4</v>
      </c>
      <c r="I122" s="92">
        <f>data!I123</f>
        <v>5</v>
      </c>
      <c r="J122" s="92">
        <f>data!J123</f>
        <v>5.0000000000000001E-4</v>
      </c>
      <c r="K122" s="92">
        <f>data!K123</f>
        <v>5</v>
      </c>
      <c r="L122" s="6">
        <f>data!L123</f>
        <v>2.0000000000000001E-4</v>
      </c>
      <c r="M122" s="6">
        <f>data!M123</f>
        <v>2</v>
      </c>
    </row>
    <row r="123" spans="1:13" x14ac:dyDescent="0.25">
      <c r="A123" t="str">
        <f>data!A124</f>
        <v>comment</v>
      </c>
      <c r="B123" s="92" t="str">
        <f>data!B124</f>
        <v>6001</v>
      </c>
      <c r="C123" s="92" t="str">
        <f>data!C124</f>
        <v>CZCE</v>
      </c>
      <c r="D123" s="92" t="str">
        <f>data!D124</f>
        <v>SR807C6500</v>
      </c>
      <c r="E123" s="92">
        <f>data!E124</f>
        <v>3</v>
      </c>
      <c r="F123" s="92">
        <f>data!F124</f>
        <v>1</v>
      </c>
      <c r="G123" s="92" t="str">
        <f>data!G124</f>
        <v>SR807C650031</v>
      </c>
      <c r="H123" s="92">
        <f>data!H124</f>
        <v>4.0000000000000002E-4</v>
      </c>
      <c r="I123" s="92">
        <f>data!I124</f>
        <v>4</v>
      </c>
      <c r="J123" s="92">
        <f>data!J124</f>
        <v>3.9999999999999996E-4</v>
      </c>
      <c r="K123" s="92">
        <f>data!K124</f>
        <v>4</v>
      </c>
      <c r="L123" s="6">
        <f>data!L124</f>
        <v>2.0000000000000001E-4</v>
      </c>
      <c r="M123" s="6">
        <f>data!M124</f>
        <v>2</v>
      </c>
    </row>
    <row r="124" spans="1:13" x14ac:dyDescent="0.25">
      <c r="A124" t="str">
        <f>data!A125</f>
        <v>comment</v>
      </c>
      <c r="B124" s="92" t="str">
        <f>data!B125</f>
        <v>6001</v>
      </c>
      <c r="C124" s="92" t="str">
        <f>data!C125</f>
        <v>CZCE</v>
      </c>
      <c r="D124" s="92" t="str">
        <f>data!D125</f>
        <v>SR807C6500</v>
      </c>
      <c r="E124" s="92">
        <f>data!E125</f>
        <v>3</v>
      </c>
      <c r="F124" s="92">
        <f>data!F125</f>
        <v>3</v>
      </c>
      <c r="G124" s="92" t="str">
        <f>data!G125</f>
        <v>SR807C650033</v>
      </c>
      <c r="H124" s="92">
        <f>data!H125</f>
        <v>2.0000000000000001E-4</v>
      </c>
      <c r="I124" s="92">
        <f>data!I125</f>
        <v>2</v>
      </c>
      <c r="J124" s="92">
        <f>data!J125</f>
        <v>2.0000000000000001E-4</v>
      </c>
      <c r="K124" s="92">
        <f>data!K125</f>
        <v>2</v>
      </c>
      <c r="L124" s="6">
        <f>data!L125</f>
        <v>2.0000000000000001E-4</v>
      </c>
      <c r="M124" s="6">
        <f>data!M125</f>
        <v>2</v>
      </c>
    </row>
    <row r="125" spans="1:13" x14ac:dyDescent="0.25">
      <c r="A125" t="str">
        <f>data!A126</f>
        <v>comment</v>
      </c>
      <c r="B125" s="92" t="str">
        <f>data!B126</f>
        <v>6001</v>
      </c>
      <c r="C125" s="92" t="str">
        <f>data!C126</f>
        <v>CZCE</v>
      </c>
      <c r="D125" s="92" t="str">
        <f>data!D126</f>
        <v>SR807C6500</v>
      </c>
      <c r="E125" s="92">
        <f>data!E126</f>
        <v>3</v>
      </c>
      <c r="F125" s="92">
        <f>data!F126</f>
        <v>4</v>
      </c>
      <c r="G125" s="92" t="str">
        <f>data!G126</f>
        <v>SR807C650034</v>
      </c>
      <c r="H125" s="92">
        <f>data!H126</f>
        <v>4.2000000000000002E-4</v>
      </c>
      <c r="I125" s="92">
        <f>data!I126</f>
        <v>4.2</v>
      </c>
      <c r="J125" s="92">
        <f>data!J126</f>
        <v>4.2000000000000002E-4</v>
      </c>
      <c r="K125" s="92">
        <f>data!K126</f>
        <v>4.2</v>
      </c>
      <c r="L125" s="6">
        <f>data!L126</f>
        <v>2.0000000000000001E-4</v>
      </c>
      <c r="M125" s="6">
        <f>data!M126</f>
        <v>2</v>
      </c>
    </row>
    <row r="126" spans="1:13" x14ac:dyDescent="0.25">
      <c r="A126" t="str">
        <f>data!A127</f>
        <v>comment</v>
      </c>
      <c r="B126" s="92" t="str">
        <f>data!B127</f>
        <v>6001</v>
      </c>
      <c r="C126" s="92" t="str">
        <f>data!C127</f>
        <v>CZCE</v>
      </c>
      <c r="D126" s="92" t="str">
        <f>data!D127</f>
        <v>SR807C6500</v>
      </c>
      <c r="E126" s="92">
        <f>data!E127</f>
        <v>3</v>
      </c>
      <c r="F126" s="92">
        <f>data!F127</f>
        <v>5</v>
      </c>
      <c r="G126" s="92" t="str">
        <f>data!G127</f>
        <v>SR807C650035</v>
      </c>
      <c r="H126" s="92">
        <f>data!H127</f>
        <v>4.4999999999999999E-4</v>
      </c>
      <c r="I126" s="92">
        <f>data!I127</f>
        <v>4.5</v>
      </c>
      <c r="J126" s="92">
        <f>data!J127</f>
        <v>4.4999999999999999E-4</v>
      </c>
      <c r="K126" s="92">
        <f>data!K127</f>
        <v>4.5</v>
      </c>
      <c r="L126" s="6">
        <f>data!L127</f>
        <v>2.0000000000000001E-4</v>
      </c>
      <c r="M126" s="6">
        <f>data!M127</f>
        <v>2</v>
      </c>
    </row>
    <row r="127" spans="1:13" x14ac:dyDescent="0.25">
      <c r="A127" t="str">
        <f>data!A128</f>
        <v>comment</v>
      </c>
      <c r="B127" s="92" t="str">
        <f>data!B128</f>
        <v>6001</v>
      </c>
      <c r="C127" s="92" t="str">
        <f>data!C128</f>
        <v>CZCE</v>
      </c>
      <c r="D127" s="92" t="str">
        <f>data!D128</f>
        <v>SR807P6500</v>
      </c>
      <c r="E127" s="92">
        <f>data!E128</f>
        <v>1</v>
      </c>
      <c r="F127" s="92">
        <f>data!F128</f>
        <v>0</v>
      </c>
      <c r="G127" s="92" t="str">
        <f>data!G128</f>
        <v>SR807P650010</v>
      </c>
      <c r="H127" s="92">
        <f>data!H128</f>
        <v>5.0000000000000001E-4</v>
      </c>
      <c r="I127" s="92">
        <f>data!I128</f>
        <v>5</v>
      </c>
      <c r="J127" s="92">
        <f>data!J128</f>
        <v>4.0000000000000002E-4</v>
      </c>
      <c r="K127" s="92">
        <f>data!K128</f>
        <v>4</v>
      </c>
      <c r="L127" s="6">
        <f>data!L128</f>
        <v>2.0000000000000001E-4</v>
      </c>
      <c r="M127" s="6">
        <f>data!M128</f>
        <v>2</v>
      </c>
    </row>
    <row r="128" spans="1:13" x14ac:dyDescent="0.25">
      <c r="A128" t="str">
        <f>data!A129</f>
        <v>comment</v>
      </c>
      <c r="B128" s="92" t="str">
        <f>data!B129</f>
        <v>6001</v>
      </c>
      <c r="C128" s="92" t="str">
        <f>data!C129</f>
        <v>CZCE</v>
      </c>
      <c r="D128" s="92" t="str">
        <f>data!D129</f>
        <v>SR807P6500</v>
      </c>
      <c r="E128" s="92">
        <f>data!E129</f>
        <v>1</v>
      </c>
      <c r="F128" s="92">
        <f>data!F129</f>
        <v>1</v>
      </c>
      <c r="G128" s="92" t="str">
        <f>data!G129</f>
        <v>SR807P650011</v>
      </c>
      <c r="H128" s="92">
        <f>data!H129</f>
        <v>4.0000000000000002E-4</v>
      </c>
      <c r="I128" s="92">
        <f>data!I129</f>
        <v>4</v>
      </c>
      <c r="J128" s="92">
        <f>data!J129</f>
        <v>2.9999999999999997E-4</v>
      </c>
      <c r="K128" s="92">
        <f>data!K129</f>
        <v>3</v>
      </c>
      <c r="L128" s="6">
        <f>data!L129</f>
        <v>2.0000000000000001E-4</v>
      </c>
      <c r="M128" s="6">
        <f>data!M129</f>
        <v>2</v>
      </c>
    </row>
    <row r="129" spans="1:13" x14ac:dyDescent="0.25">
      <c r="A129" t="str">
        <f>data!A130</f>
        <v>comment</v>
      </c>
      <c r="B129" s="92" t="str">
        <f>data!B130</f>
        <v>6001</v>
      </c>
      <c r="C129" s="92" t="str">
        <f>data!C130</f>
        <v>CZCE</v>
      </c>
      <c r="D129" s="92" t="str">
        <f>data!D130</f>
        <v>SR807P6500</v>
      </c>
      <c r="E129" s="92">
        <f>data!E130</f>
        <v>1</v>
      </c>
      <c r="F129" s="92">
        <f>data!F130</f>
        <v>3</v>
      </c>
      <c r="G129" s="92" t="str">
        <f>data!G130</f>
        <v>SR807P650013</v>
      </c>
      <c r="H129" s="92">
        <f>data!H130</f>
        <v>2.0000000000000001E-4</v>
      </c>
      <c r="I129" s="92">
        <f>data!I130</f>
        <v>2</v>
      </c>
      <c r="J129" s="92">
        <f>data!J130</f>
        <v>1E-4</v>
      </c>
      <c r="K129" s="92">
        <f>data!K130</f>
        <v>1</v>
      </c>
      <c r="L129" s="6">
        <f>data!L130</f>
        <v>2.0000000000000001E-4</v>
      </c>
      <c r="M129" s="6">
        <f>data!M130</f>
        <v>2</v>
      </c>
    </row>
    <row r="130" spans="1:13" x14ac:dyDescent="0.25">
      <c r="A130" t="str">
        <f>data!A131</f>
        <v>comment</v>
      </c>
      <c r="B130" s="92" t="str">
        <f>data!B131</f>
        <v>6001</v>
      </c>
      <c r="C130" s="92" t="str">
        <f>data!C131</f>
        <v>CZCE</v>
      </c>
      <c r="D130" s="92" t="str">
        <f>data!D131</f>
        <v>SR807P6500</v>
      </c>
      <c r="E130" s="92">
        <f>data!E131</f>
        <v>1</v>
      </c>
      <c r="F130" s="92">
        <f>data!F131</f>
        <v>4</v>
      </c>
      <c r="G130" s="92" t="str">
        <f>data!G131</f>
        <v>SR807P650014</v>
      </c>
      <c r="H130" s="92">
        <f>data!H131</f>
        <v>4.2000000000000002E-4</v>
      </c>
      <c r="I130" s="92">
        <f>data!I131</f>
        <v>4.2</v>
      </c>
      <c r="J130" s="92">
        <f>data!J131</f>
        <v>3.2000000000000003E-4</v>
      </c>
      <c r="K130" s="92">
        <f>data!K131</f>
        <v>3.2</v>
      </c>
      <c r="L130" s="6">
        <f>data!L131</f>
        <v>2.0000000000000001E-4</v>
      </c>
      <c r="M130" s="6">
        <f>data!M131</f>
        <v>2</v>
      </c>
    </row>
    <row r="131" spans="1:13" x14ac:dyDescent="0.25">
      <c r="A131" t="str">
        <f>data!A132</f>
        <v>comment</v>
      </c>
      <c r="B131" s="92" t="str">
        <f>data!B132</f>
        <v>6001</v>
      </c>
      <c r="C131" s="92" t="str">
        <f>data!C132</f>
        <v>CZCE</v>
      </c>
      <c r="D131" s="92" t="str">
        <f>data!D132</f>
        <v>SR807P6500</v>
      </c>
      <c r="E131" s="92">
        <f>data!E132</f>
        <v>1</v>
      </c>
      <c r="F131" s="92">
        <f>data!F132</f>
        <v>5</v>
      </c>
      <c r="G131" s="92" t="str">
        <f>data!G132</f>
        <v>SR807P650015</v>
      </c>
      <c r="H131" s="92">
        <f>data!H132</f>
        <v>4.4999999999999999E-4</v>
      </c>
      <c r="I131" s="92">
        <f>data!I132</f>
        <v>4.5</v>
      </c>
      <c r="J131" s="92">
        <f>data!J132</f>
        <v>3.5E-4</v>
      </c>
      <c r="K131" s="92">
        <f>data!K132</f>
        <v>3.5</v>
      </c>
      <c r="L131" s="6">
        <f>data!L132</f>
        <v>2.0000000000000001E-4</v>
      </c>
      <c r="M131" s="6">
        <f>data!M132</f>
        <v>2</v>
      </c>
    </row>
    <row r="132" spans="1:13" x14ac:dyDescent="0.25">
      <c r="A132" t="str">
        <f>data!A133</f>
        <v>comment</v>
      </c>
      <c r="B132" s="92" t="str">
        <f>data!B133</f>
        <v>6001</v>
      </c>
      <c r="C132" s="92" t="str">
        <f>data!C133</f>
        <v>CZCE</v>
      </c>
      <c r="D132" s="92" t="str">
        <f>data!D133</f>
        <v>SR807P6500</v>
      </c>
      <c r="E132" s="92">
        <f>data!E133</f>
        <v>3</v>
      </c>
      <c r="F132" s="92">
        <f>data!F133</f>
        <v>0</v>
      </c>
      <c r="G132" s="92" t="str">
        <f>data!G133</f>
        <v>SR807P650030</v>
      </c>
      <c r="H132" s="92">
        <f>data!H133</f>
        <v>5.0000000000000001E-4</v>
      </c>
      <c r="I132" s="92">
        <f>data!I133</f>
        <v>5</v>
      </c>
      <c r="J132" s="92">
        <f>data!J133</f>
        <v>5.0000000000000001E-4</v>
      </c>
      <c r="K132" s="92">
        <f>data!K133</f>
        <v>5</v>
      </c>
      <c r="L132" s="6">
        <f>data!L133</f>
        <v>2.0000000000000001E-4</v>
      </c>
      <c r="M132" s="6">
        <f>data!M133</f>
        <v>2</v>
      </c>
    </row>
    <row r="133" spans="1:13" x14ac:dyDescent="0.25">
      <c r="A133" t="str">
        <f>data!A134</f>
        <v>comment</v>
      </c>
      <c r="B133" s="92" t="str">
        <f>data!B134</f>
        <v>6001</v>
      </c>
      <c r="C133" s="92" t="str">
        <f>data!C134</f>
        <v>CZCE</v>
      </c>
      <c r="D133" s="92" t="str">
        <f>data!D134</f>
        <v>SR807P6500</v>
      </c>
      <c r="E133" s="92">
        <f>data!E134</f>
        <v>3</v>
      </c>
      <c r="F133" s="92">
        <f>data!F134</f>
        <v>1</v>
      </c>
      <c r="G133" s="92" t="str">
        <f>data!G134</f>
        <v>SR807P650031</v>
      </c>
      <c r="H133" s="92">
        <f>data!H134</f>
        <v>4.0000000000000002E-4</v>
      </c>
      <c r="I133" s="92">
        <f>data!I134</f>
        <v>4</v>
      </c>
      <c r="J133" s="92">
        <f>data!J134</f>
        <v>3.9999999999999996E-4</v>
      </c>
      <c r="K133" s="92">
        <f>data!K134</f>
        <v>4</v>
      </c>
      <c r="L133" s="6">
        <f>data!L134</f>
        <v>2.0000000000000001E-4</v>
      </c>
      <c r="M133" s="6">
        <f>data!M134</f>
        <v>2</v>
      </c>
    </row>
    <row r="134" spans="1:13" x14ac:dyDescent="0.25">
      <c r="A134" t="str">
        <f>data!A135</f>
        <v>comment</v>
      </c>
      <c r="B134" s="92" t="str">
        <f>data!B135</f>
        <v>6001</v>
      </c>
      <c r="C134" s="92" t="str">
        <f>data!C135</f>
        <v>CZCE</v>
      </c>
      <c r="D134" s="92" t="str">
        <f>data!D135</f>
        <v>SR807P6500</v>
      </c>
      <c r="E134" s="92">
        <f>data!E135</f>
        <v>3</v>
      </c>
      <c r="F134" s="92">
        <f>data!F135</f>
        <v>3</v>
      </c>
      <c r="G134" s="92" t="str">
        <f>data!G135</f>
        <v>SR807P650033</v>
      </c>
      <c r="H134" s="92">
        <f>data!H135</f>
        <v>2.0000000000000001E-4</v>
      </c>
      <c r="I134" s="92">
        <f>data!I135</f>
        <v>2</v>
      </c>
      <c r="J134" s="92">
        <f>data!J135</f>
        <v>2.0000000000000001E-4</v>
      </c>
      <c r="K134" s="92">
        <f>data!K135</f>
        <v>2</v>
      </c>
      <c r="L134" s="6">
        <f>data!L135</f>
        <v>2.0000000000000001E-4</v>
      </c>
      <c r="M134" s="6">
        <f>data!M135</f>
        <v>2</v>
      </c>
    </row>
    <row r="135" spans="1:13" x14ac:dyDescent="0.25">
      <c r="A135" t="str">
        <f>data!A136</f>
        <v>comment</v>
      </c>
      <c r="B135" s="92" t="str">
        <f>data!B136</f>
        <v>6001</v>
      </c>
      <c r="C135" s="92" t="str">
        <f>data!C136</f>
        <v>CZCE</v>
      </c>
      <c r="D135" s="92" t="str">
        <f>data!D136</f>
        <v>SR807P6500</v>
      </c>
      <c r="E135" s="92">
        <f>data!E136</f>
        <v>3</v>
      </c>
      <c r="F135" s="92">
        <f>data!F136</f>
        <v>4</v>
      </c>
      <c r="G135" s="92" t="str">
        <f>data!G136</f>
        <v>SR807P650034</v>
      </c>
      <c r="H135" s="92">
        <f>data!H136</f>
        <v>4.2000000000000002E-4</v>
      </c>
      <c r="I135" s="92">
        <f>data!I136</f>
        <v>4.2</v>
      </c>
      <c r="J135" s="92">
        <f>data!J136</f>
        <v>4.2000000000000002E-4</v>
      </c>
      <c r="K135" s="92">
        <f>data!K136</f>
        <v>4.2</v>
      </c>
      <c r="L135" s="6">
        <f>data!L136</f>
        <v>2.0000000000000001E-4</v>
      </c>
      <c r="M135" s="6">
        <f>data!M136</f>
        <v>2</v>
      </c>
    </row>
    <row r="136" spans="1:13" x14ac:dyDescent="0.25">
      <c r="A136" t="str">
        <f>data!A137</f>
        <v>comment</v>
      </c>
      <c r="B136" s="92" t="str">
        <f>data!B137</f>
        <v>6001</v>
      </c>
      <c r="C136" s="92" t="str">
        <f>data!C137</f>
        <v>CZCE</v>
      </c>
      <c r="D136" s="92" t="str">
        <f>data!D137</f>
        <v>SR807P6500</v>
      </c>
      <c r="E136" s="92">
        <f>data!E137</f>
        <v>3</v>
      </c>
      <c r="F136" s="92">
        <f>data!F137</f>
        <v>5</v>
      </c>
      <c r="G136" s="92" t="str">
        <f>data!G137</f>
        <v>SR807P650035</v>
      </c>
      <c r="H136" s="92">
        <f>data!H137</f>
        <v>4.4999999999999999E-4</v>
      </c>
      <c r="I136" s="92">
        <f>data!I137</f>
        <v>4.5</v>
      </c>
      <c r="J136" s="92">
        <f>data!J137</f>
        <v>4.4999999999999999E-4</v>
      </c>
      <c r="K136" s="92">
        <f>data!K137</f>
        <v>4.5</v>
      </c>
      <c r="L136" s="6">
        <f>data!L137</f>
        <v>2.0000000000000001E-4</v>
      </c>
      <c r="M136" s="6">
        <f>data!M137</f>
        <v>2</v>
      </c>
    </row>
    <row r="137" spans="1:13" x14ac:dyDescent="0.25">
      <c r="A137" t="str">
        <f>data!A138</f>
        <v>comment</v>
      </c>
      <c r="B137" s="92" t="str">
        <f>data!B138</f>
        <v>6001</v>
      </c>
      <c r="C137" s="92" t="str">
        <f>data!C138</f>
        <v>CZCE</v>
      </c>
      <c r="D137" s="92" t="str">
        <f>data!D138</f>
        <v>SR807P6400</v>
      </c>
      <c r="E137" s="92">
        <f>data!E138</f>
        <v>1</v>
      </c>
      <c r="F137" s="92">
        <f>data!F138</f>
        <v>0</v>
      </c>
      <c r="G137" s="92" t="str">
        <f>data!G138</f>
        <v>SR807P640010</v>
      </c>
      <c r="H137" s="92">
        <f>data!H138</f>
        <v>5.0000000000000001E-4</v>
      </c>
      <c r="I137" s="92">
        <f>data!I138</f>
        <v>5</v>
      </c>
      <c r="J137" s="92">
        <f>data!J138</f>
        <v>4.0000000000000002E-4</v>
      </c>
      <c r="K137" s="92">
        <f>data!K138</f>
        <v>4</v>
      </c>
      <c r="L137" s="6">
        <f>data!L138</f>
        <v>2.0000000000000001E-4</v>
      </c>
      <c r="M137" s="6">
        <f>data!M138</f>
        <v>2</v>
      </c>
    </row>
    <row r="138" spans="1:13" x14ac:dyDescent="0.25">
      <c r="A138" t="str">
        <f>data!A139</f>
        <v>comment</v>
      </c>
      <c r="B138" s="92" t="str">
        <f>data!B139</f>
        <v>6001</v>
      </c>
      <c r="C138" s="92" t="str">
        <f>data!C139</f>
        <v>CZCE</v>
      </c>
      <c r="D138" s="92" t="str">
        <f>data!D139</f>
        <v>SR807P6400</v>
      </c>
      <c r="E138" s="92">
        <f>data!E139</f>
        <v>1</v>
      </c>
      <c r="F138" s="92">
        <f>data!F139</f>
        <v>1</v>
      </c>
      <c r="G138" s="92" t="str">
        <f>data!G139</f>
        <v>SR807P640011</v>
      </c>
      <c r="H138" s="92">
        <f>data!H139</f>
        <v>4.0000000000000002E-4</v>
      </c>
      <c r="I138" s="92">
        <f>data!I139</f>
        <v>4</v>
      </c>
      <c r="J138" s="92">
        <f>data!J139</f>
        <v>2.9999999999999997E-4</v>
      </c>
      <c r="K138" s="92">
        <f>data!K139</f>
        <v>3</v>
      </c>
      <c r="L138" s="6">
        <f>data!L139</f>
        <v>2.0000000000000001E-4</v>
      </c>
      <c r="M138" s="6">
        <f>data!M139</f>
        <v>2</v>
      </c>
    </row>
    <row r="139" spans="1:13" x14ac:dyDescent="0.25">
      <c r="A139" t="str">
        <f>data!A140</f>
        <v>comment</v>
      </c>
      <c r="B139" s="92" t="str">
        <f>data!B140</f>
        <v>6001</v>
      </c>
      <c r="C139" s="92" t="str">
        <f>data!C140</f>
        <v>CZCE</v>
      </c>
      <c r="D139" s="92" t="str">
        <f>data!D140</f>
        <v>SR807P6400</v>
      </c>
      <c r="E139" s="92">
        <f>data!E140</f>
        <v>1</v>
      </c>
      <c r="F139" s="92">
        <f>data!F140</f>
        <v>3</v>
      </c>
      <c r="G139" s="92" t="str">
        <f>data!G140</f>
        <v>SR807P640013</v>
      </c>
      <c r="H139" s="92">
        <f>data!H140</f>
        <v>2.0000000000000001E-4</v>
      </c>
      <c r="I139" s="92">
        <f>data!I140</f>
        <v>2</v>
      </c>
      <c r="J139" s="92">
        <f>data!J140</f>
        <v>1E-4</v>
      </c>
      <c r="K139" s="92">
        <f>data!K140</f>
        <v>1</v>
      </c>
      <c r="L139" s="6">
        <f>data!L140</f>
        <v>2.0000000000000001E-4</v>
      </c>
      <c r="M139" s="6">
        <f>data!M140</f>
        <v>2</v>
      </c>
    </row>
    <row r="140" spans="1:13" x14ac:dyDescent="0.25">
      <c r="A140" t="str">
        <f>data!A141</f>
        <v>comment</v>
      </c>
      <c r="B140" s="92" t="str">
        <f>data!B141</f>
        <v>6001</v>
      </c>
      <c r="C140" s="92" t="str">
        <f>data!C141</f>
        <v>CZCE</v>
      </c>
      <c r="D140" s="92" t="str">
        <f>data!D141</f>
        <v>SR807P6400</v>
      </c>
      <c r="E140" s="92">
        <f>data!E141</f>
        <v>1</v>
      </c>
      <c r="F140" s="92">
        <f>data!F141</f>
        <v>4</v>
      </c>
      <c r="G140" s="92" t="str">
        <f>data!G141</f>
        <v>SR807P640014</v>
      </c>
      <c r="H140" s="92">
        <f>data!H141</f>
        <v>4.2000000000000002E-4</v>
      </c>
      <c r="I140" s="92">
        <f>data!I141</f>
        <v>4.2</v>
      </c>
      <c r="J140" s="92">
        <f>data!J141</f>
        <v>3.2000000000000003E-4</v>
      </c>
      <c r="K140" s="92">
        <f>data!K141</f>
        <v>3.2</v>
      </c>
      <c r="L140" s="6">
        <f>data!L141</f>
        <v>2.0000000000000001E-4</v>
      </c>
      <c r="M140" s="6">
        <f>data!M141</f>
        <v>2</v>
      </c>
    </row>
    <row r="141" spans="1:13" x14ac:dyDescent="0.25">
      <c r="A141" t="str">
        <f>data!A142</f>
        <v>comment</v>
      </c>
      <c r="B141" s="92" t="str">
        <f>data!B142</f>
        <v>6001</v>
      </c>
      <c r="C141" s="92" t="str">
        <f>data!C142</f>
        <v>CZCE</v>
      </c>
      <c r="D141" s="92" t="str">
        <f>data!D142</f>
        <v>SR807P6400</v>
      </c>
      <c r="E141" s="92">
        <f>data!E142</f>
        <v>1</v>
      </c>
      <c r="F141" s="92">
        <f>data!F142</f>
        <v>5</v>
      </c>
      <c r="G141" s="92" t="str">
        <f>data!G142</f>
        <v>SR807P640015</v>
      </c>
      <c r="H141" s="92">
        <f>data!H142</f>
        <v>4.4999999999999999E-4</v>
      </c>
      <c r="I141" s="92">
        <f>data!I142</f>
        <v>4.5</v>
      </c>
      <c r="J141" s="92">
        <f>data!J142</f>
        <v>3.5E-4</v>
      </c>
      <c r="K141" s="92">
        <f>data!K142</f>
        <v>3.5</v>
      </c>
      <c r="L141" s="6">
        <f>data!L142</f>
        <v>2.0000000000000001E-4</v>
      </c>
      <c r="M141" s="6">
        <f>data!M142</f>
        <v>2</v>
      </c>
    </row>
    <row r="142" spans="1:13" x14ac:dyDescent="0.25">
      <c r="A142" t="str">
        <f>data!A143</f>
        <v>comment</v>
      </c>
      <c r="B142" s="92" t="str">
        <f>data!B143</f>
        <v>6001</v>
      </c>
      <c r="C142" s="92" t="str">
        <f>data!C143</f>
        <v>CZCE</v>
      </c>
      <c r="D142" s="92" t="str">
        <f>data!D143</f>
        <v>SR807P6400</v>
      </c>
      <c r="E142" s="92">
        <f>data!E143</f>
        <v>3</v>
      </c>
      <c r="F142" s="92">
        <f>data!F143</f>
        <v>0</v>
      </c>
      <c r="G142" s="92" t="str">
        <f>data!G143</f>
        <v>SR807P640030</v>
      </c>
      <c r="H142" s="92">
        <f>data!H143</f>
        <v>5.0000000000000001E-4</v>
      </c>
      <c r="I142" s="92">
        <f>data!I143</f>
        <v>5</v>
      </c>
      <c r="J142" s="92">
        <f>data!J143</f>
        <v>5.0000000000000001E-4</v>
      </c>
      <c r="K142" s="92">
        <f>data!K143</f>
        <v>5</v>
      </c>
      <c r="L142" s="6">
        <f>data!L143</f>
        <v>2.0000000000000001E-4</v>
      </c>
      <c r="M142" s="6">
        <f>data!M143</f>
        <v>2</v>
      </c>
    </row>
    <row r="143" spans="1:13" x14ac:dyDescent="0.25">
      <c r="A143" t="str">
        <f>data!A144</f>
        <v>comment</v>
      </c>
      <c r="B143" s="92" t="str">
        <f>data!B144</f>
        <v>6001</v>
      </c>
      <c r="C143" s="92" t="str">
        <f>data!C144</f>
        <v>CZCE</v>
      </c>
      <c r="D143" s="92" t="str">
        <f>data!D144</f>
        <v>SR807P6400</v>
      </c>
      <c r="E143" s="92">
        <f>data!E144</f>
        <v>3</v>
      </c>
      <c r="F143" s="92">
        <f>data!F144</f>
        <v>1</v>
      </c>
      <c r="G143" s="92" t="str">
        <f>data!G144</f>
        <v>SR807P640031</v>
      </c>
      <c r="H143" s="92">
        <f>data!H144</f>
        <v>4.0000000000000002E-4</v>
      </c>
      <c r="I143" s="92">
        <f>data!I144</f>
        <v>4</v>
      </c>
      <c r="J143" s="92">
        <f>data!J144</f>
        <v>3.9999999999999996E-4</v>
      </c>
      <c r="K143" s="92">
        <f>data!K144</f>
        <v>4</v>
      </c>
      <c r="L143" s="6">
        <f>data!L144</f>
        <v>2.0000000000000001E-4</v>
      </c>
      <c r="M143" s="6">
        <f>data!M144</f>
        <v>2</v>
      </c>
    </row>
    <row r="144" spans="1:13" x14ac:dyDescent="0.25">
      <c r="A144" t="str">
        <f>data!A145</f>
        <v>comment</v>
      </c>
      <c r="B144" s="92" t="str">
        <f>data!B145</f>
        <v>6001</v>
      </c>
      <c r="C144" s="92" t="str">
        <f>data!C145</f>
        <v>CZCE</v>
      </c>
      <c r="D144" s="92" t="str">
        <f>data!D145</f>
        <v>SR807P6400</v>
      </c>
      <c r="E144" s="92">
        <f>data!E145</f>
        <v>3</v>
      </c>
      <c r="F144" s="92">
        <f>data!F145</f>
        <v>3</v>
      </c>
      <c r="G144" s="92" t="str">
        <f>data!G145</f>
        <v>SR807P640033</v>
      </c>
      <c r="H144" s="92">
        <f>data!H145</f>
        <v>2.0000000000000001E-4</v>
      </c>
      <c r="I144" s="92">
        <f>data!I145</f>
        <v>2</v>
      </c>
      <c r="J144" s="92">
        <f>data!J145</f>
        <v>2.0000000000000001E-4</v>
      </c>
      <c r="K144" s="92">
        <f>data!K145</f>
        <v>2</v>
      </c>
      <c r="L144" s="6">
        <f>data!L145</f>
        <v>2.0000000000000001E-4</v>
      </c>
      <c r="M144" s="6">
        <f>data!M145</f>
        <v>2</v>
      </c>
    </row>
    <row r="145" spans="1:13" x14ac:dyDescent="0.25">
      <c r="A145" t="str">
        <f>data!A146</f>
        <v>comment</v>
      </c>
      <c r="B145" s="92" t="str">
        <f>data!B146</f>
        <v>6001</v>
      </c>
      <c r="C145" s="92" t="str">
        <f>data!C146</f>
        <v>CZCE</v>
      </c>
      <c r="D145" s="92" t="str">
        <f>data!D146</f>
        <v>SR807P6400</v>
      </c>
      <c r="E145" s="92">
        <f>data!E146</f>
        <v>3</v>
      </c>
      <c r="F145" s="92">
        <f>data!F146</f>
        <v>4</v>
      </c>
      <c r="G145" s="92" t="str">
        <f>data!G146</f>
        <v>SR807P640034</v>
      </c>
      <c r="H145" s="92">
        <f>data!H146</f>
        <v>4.2000000000000002E-4</v>
      </c>
      <c r="I145" s="92">
        <f>data!I146</f>
        <v>4.2</v>
      </c>
      <c r="J145" s="92">
        <f>data!J146</f>
        <v>4.2000000000000002E-4</v>
      </c>
      <c r="K145" s="92">
        <f>data!K146</f>
        <v>4.2</v>
      </c>
      <c r="L145" s="6">
        <f>data!L146</f>
        <v>2.0000000000000001E-4</v>
      </c>
      <c r="M145" s="6">
        <f>data!M146</f>
        <v>2</v>
      </c>
    </row>
    <row r="146" spans="1:13" x14ac:dyDescent="0.25">
      <c r="A146" t="str">
        <f>data!A147</f>
        <v>comment</v>
      </c>
      <c r="B146" s="95" t="str">
        <f>data!B147</f>
        <v>6001</v>
      </c>
      <c r="C146" s="96" t="str">
        <f>data!C147</f>
        <v>CZCE</v>
      </c>
      <c r="D146" s="96" t="str">
        <f>data!D147</f>
        <v>SR807P6400</v>
      </c>
      <c r="E146" s="96">
        <f>data!E147</f>
        <v>3</v>
      </c>
      <c r="F146" s="96">
        <f>data!F147</f>
        <v>5</v>
      </c>
      <c r="G146" s="96" t="str">
        <f>data!G147</f>
        <v>SR807P640035</v>
      </c>
      <c r="H146" s="96">
        <f>data!H147</f>
        <v>4.4999999999999999E-4</v>
      </c>
      <c r="I146" s="96">
        <f>data!I147</f>
        <v>4.5</v>
      </c>
      <c r="J146" s="96">
        <f>data!J147</f>
        <v>4.4999999999999999E-4</v>
      </c>
      <c r="K146" s="97">
        <f>data!K147</f>
        <v>4.5</v>
      </c>
      <c r="L146" s="6">
        <f>data!L147</f>
        <v>2.0000000000000001E-4</v>
      </c>
      <c r="M146" s="6">
        <f>data!M147</f>
        <v>2</v>
      </c>
    </row>
    <row r="147" spans="1:13" s="6" customFormat="1" x14ac:dyDescent="0.25">
      <c r="A147" s="6" t="str">
        <f>data!A148</f>
        <v>comment</v>
      </c>
      <c r="B147" s="658" t="str">
        <f>data!B148</f>
        <v>6001</v>
      </c>
      <c r="C147" s="659" t="str">
        <f>data!C148</f>
        <v>CZCE</v>
      </c>
      <c r="D147" s="659" t="str">
        <f>data!D148</f>
        <v>SR809C6600</v>
      </c>
      <c r="E147" s="659">
        <f>data!E148</f>
        <v>1</v>
      </c>
      <c r="F147" s="659">
        <f>data!F148</f>
        <v>0</v>
      </c>
      <c r="G147" s="659" t="str">
        <f>data!G148</f>
        <v>SR809C660010</v>
      </c>
      <c r="H147" s="659">
        <f>data!H148</f>
        <v>5.0000000000000001E-4</v>
      </c>
      <c r="I147" s="659">
        <f>data!I148</f>
        <v>5</v>
      </c>
      <c r="J147" s="659">
        <f>data!J148</f>
        <v>4.0000000000000002E-4</v>
      </c>
      <c r="K147" s="660">
        <f>data!K148</f>
        <v>4</v>
      </c>
      <c r="L147" s="6">
        <f>data!L148</f>
        <v>2.0000000000000001E-4</v>
      </c>
      <c r="M147" s="6">
        <f>data!M148</f>
        <v>2</v>
      </c>
    </row>
    <row r="148" spans="1:13" s="6" customFormat="1" x14ac:dyDescent="0.25">
      <c r="A148" s="6" t="str">
        <f>data!A149</f>
        <v>comment</v>
      </c>
      <c r="B148" s="658" t="str">
        <f>data!B149</f>
        <v>6001</v>
      </c>
      <c r="C148" s="659" t="str">
        <f>data!C149</f>
        <v>CZCE</v>
      </c>
      <c r="D148" s="659" t="str">
        <f>data!D149</f>
        <v>SR809C6600</v>
      </c>
      <c r="E148" s="659">
        <f>data!E149</f>
        <v>1</v>
      </c>
      <c r="F148" s="659">
        <f>data!F149</f>
        <v>1</v>
      </c>
      <c r="G148" s="659" t="str">
        <f>data!G149</f>
        <v>SR809C660011</v>
      </c>
      <c r="H148" s="659">
        <f>data!H149</f>
        <v>4.0000000000000002E-4</v>
      </c>
      <c r="I148" s="659">
        <f>data!I149</f>
        <v>4</v>
      </c>
      <c r="J148" s="659">
        <f>data!J149</f>
        <v>2.9999999999999997E-4</v>
      </c>
      <c r="K148" s="660">
        <f>data!K149</f>
        <v>3</v>
      </c>
      <c r="L148" s="6">
        <f>data!L149</f>
        <v>2.0000000000000001E-4</v>
      </c>
      <c r="M148" s="6">
        <f>data!M149</f>
        <v>2</v>
      </c>
    </row>
    <row r="149" spans="1:13" s="6" customFormat="1" x14ac:dyDescent="0.25">
      <c r="A149" s="6" t="str">
        <f>data!A150</f>
        <v>comment</v>
      </c>
      <c r="B149" s="658" t="str">
        <f>data!B150</f>
        <v>6001</v>
      </c>
      <c r="C149" s="659" t="str">
        <f>data!C150</f>
        <v>CZCE</v>
      </c>
      <c r="D149" s="659" t="str">
        <f>data!D150</f>
        <v>SR809C6600</v>
      </c>
      <c r="E149" s="659">
        <f>data!E150</f>
        <v>1</v>
      </c>
      <c r="F149" s="659">
        <f>data!F150</f>
        <v>3</v>
      </c>
      <c r="G149" s="659" t="str">
        <f>data!G150</f>
        <v>SR809C660013</v>
      </c>
      <c r="H149" s="659">
        <f>data!H150</f>
        <v>2.0000000000000001E-4</v>
      </c>
      <c r="I149" s="659">
        <f>data!I150</f>
        <v>2</v>
      </c>
      <c r="J149" s="659">
        <f>data!J150</f>
        <v>1E-4</v>
      </c>
      <c r="K149" s="660">
        <f>data!K150</f>
        <v>1</v>
      </c>
      <c r="L149" s="6">
        <f>data!L150</f>
        <v>2.0000000000000001E-4</v>
      </c>
      <c r="M149" s="6">
        <f>data!M150</f>
        <v>2</v>
      </c>
    </row>
    <row r="150" spans="1:13" s="6" customFormat="1" x14ac:dyDescent="0.25">
      <c r="A150" s="6" t="str">
        <f>data!A151</f>
        <v>comment</v>
      </c>
      <c r="B150" s="658" t="str">
        <f>data!B151</f>
        <v>6001</v>
      </c>
      <c r="C150" s="659" t="str">
        <f>data!C151</f>
        <v>CZCE</v>
      </c>
      <c r="D150" s="659" t="str">
        <f>data!D151</f>
        <v>SR809C6600</v>
      </c>
      <c r="E150" s="659">
        <f>data!E151</f>
        <v>1</v>
      </c>
      <c r="F150" s="659">
        <f>data!F151</f>
        <v>4</v>
      </c>
      <c r="G150" s="659" t="str">
        <f>data!G151</f>
        <v>SR809C660014</v>
      </c>
      <c r="H150" s="659">
        <f>data!H151</f>
        <v>4.2000000000000002E-4</v>
      </c>
      <c r="I150" s="659">
        <f>data!I151</f>
        <v>4.2</v>
      </c>
      <c r="J150" s="659">
        <f>data!J151</f>
        <v>3.2000000000000003E-4</v>
      </c>
      <c r="K150" s="660">
        <f>data!K151</f>
        <v>3.2</v>
      </c>
      <c r="L150" s="6">
        <f>data!L151</f>
        <v>2.0000000000000001E-4</v>
      </c>
      <c r="M150" s="6">
        <f>data!M151</f>
        <v>2</v>
      </c>
    </row>
    <row r="151" spans="1:13" s="6" customFormat="1" x14ac:dyDescent="0.25">
      <c r="A151" s="6" t="str">
        <f>data!A152</f>
        <v>comment</v>
      </c>
      <c r="B151" s="658" t="str">
        <f>data!B152</f>
        <v>6001</v>
      </c>
      <c r="C151" s="659" t="str">
        <f>data!C152</f>
        <v>CZCE</v>
      </c>
      <c r="D151" s="659" t="str">
        <f>data!D152</f>
        <v>SR809C6600</v>
      </c>
      <c r="E151" s="659">
        <f>data!E152</f>
        <v>1</v>
      </c>
      <c r="F151" s="659">
        <f>data!F152</f>
        <v>5</v>
      </c>
      <c r="G151" s="659" t="str">
        <f>data!G152</f>
        <v>SR809C660015</v>
      </c>
      <c r="H151" s="659">
        <f>data!H152</f>
        <v>4.4999999999999999E-4</v>
      </c>
      <c r="I151" s="659">
        <f>data!I152</f>
        <v>4.5</v>
      </c>
      <c r="J151" s="659">
        <f>data!J152</f>
        <v>3.5E-4</v>
      </c>
      <c r="K151" s="660">
        <f>data!K152</f>
        <v>3.5</v>
      </c>
      <c r="L151" s="6">
        <f>data!L152</f>
        <v>2.0000000000000001E-4</v>
      </c>
      <c r="M151" s="6">
        <f>data!M152</f>
        <v>2</v>
      </c>
    </row>
    <row r="152" spans="1:13" s="6" customFormat="1" x14ac:dyDescent="0.25">
      <c r="A152" s="6" t="str">
        <f>data!A153</f>
        <v>comment</v>
      </c>
      <c r="B152" s="658" t="str">
        <f>data!B153</f>
        <v>6001</v>
      </c>
      <c r="C152" s="659" t="str">
        <f>data!C153</f>
        <v>CZCE</v>
      </c>
      <c r="D152" s="659" t="str">
        <f>data!D153</f>
        <v>SR809C6600</v>
      </c>
      <c r="E152" s="659">
        <f>data!E153</f>
        <v>3</v>
      </c>
      <c r="F152" s="659">
        <f>data!F153</f>
        <v>0</v>
      </c>
      <c r="G152" s="659" t="str">
        <f>data!G153</f>
        <v>SR809C660030</v>
      </c>
      <c r="H152" s="659">
        <f>data!H153</f>
        <v>5.0000000000000001E-4</v>
      </c>
      <c r="I152" s="659">
        <f>data!I153</f>
        <v>5</v>
      </c>
      <c r="J152" s="659">
        <f>data!J153</f>
        <v>5.0000000000000001E-4</v>
      </c>
      <c r="K152" s="660">
        <f>data!K153</f>
        <v>5</v>
      </c>
      <c r="L152" s="6">
        <f>data!L153</f>
        <v>2.0000000000000001E-4</v>
      </c>
      <c r="M152" s="6">
        <f>data!M153</f>
        <v>2</v>
      </c>
    </row>
    <row r="153" spans="1:13" s="6" customFormat="1" x14ac:dyDescent="0.25">
      <c r="A153" s="6" t="str">
        <f>data!A154</f>
        <v>comment</v>
      </c>
      <c r="B153" s="658" t="str">
        <f>data!B154</f>
        <v>6001</v>
      </c>
      <c r="C153" s="659" t="str">
        <f>data!C154</f>
        <v>CZCE</v>
      </c>
      <c r="D153" s="659" t="str">
        <f>data!D154</f>
        <v>SR809C6600</v>
      </c>
      <c r="E153" s="659">
        <f>data!E154</f>
        <v>3</v>
      </c>
      <c r="F153" s="659">
        <f>data!F154</f>
        <v>1</v>
      </c>
      <c r="G153" s="659" t="str">
        <f>data!G154</f>
        <v>SR809C660031</v>
      </c>
      <c r="H153" s="659">
        <f>data!H154</f>
        <v>4.0000000000000002E-4</v>
      </c>
      <c r="I153" s="659">
        <f>data!I154</f>
        <v>4</v>
      </c>
      <c r="J153" s="659">
        <f>data!J154</f>
        <v>3.9999999999999996E-4</v>
      </c>
      <c r="K153" s="660">
        <f>data!K154</f>
        <v>4</v>
      </c>
      <c r="L153" s="6">
        <f>data!L154</f>
        <v>2.0000000000000001E-4</v>
      </c>
      <c r="M153" s="6">
        <f>data!M154</f>
        <v>2</v>
      </c>
    </row>
    <row r="154" spans="1:13" s="6" customFormat="1" x14ac:dyDescent="0.25">
      <c r="A154" s="6" t="str">
        <f>data!A155</f>
        <v>comment</v>
      </c>
      <c r="B154" s="658" t="str">
        <f>data!B155</f>
        <v>6001</v>
      </c>
      <c r="C154" s="659" t="str">
        <f>data!C155</f>
        <v>CZCE</v>
      </c>
      <c r="D154" s="659" t="str">
        <f>data!D155</f>
        <v>SR809C6600</v>
      </c>
      <c r="E154" s="659">
        <f>data!E155</f>
        <v>3</v>
      </c>
      <c r="F154" s="659">
        <f>data!F155</f>
        <v>3</v>
      </c>
      <c r="G154" s="659" t="str">
        <f>data!G155</f>
        <v>SR809C660033</v>
      </c>
      <c r="H154" s="659">
        <f>data!H155</f>
        <v>2.0000000000000001E-4</v>
      </c>
      <c r="I154" s="659">
        <f>data!I155</f>
        <v>2</v>
      </c>
      <c r="J154" s="659">
        <f>data!J155</f>
        <v>2.0000000000000001E-4</v>
      </c>
      <c r="K154" s="660">
        <f>data!K155</f>
        <v>2</v>
      </c>
      <c r="L154" s="6">
        <f>data!L155</f>
        <v>2.0000000000000001E-4</v>
      </c>
      <c r="M154" s="6">
        <f>data!M155</f>
        <v>2</v>
      </c>
    </row>
    <row r="155" spans="1:13" s="6" customFormat="1" x14ac:dyDescent="0.25">
      <c r="A155" s="6" t="str">
        <f>data!A156</f>
        <v>comment</v>
      </c>
      <c r="B155" s="658" t="str">
        <f>data!B156</f>
        <v>6001</v>
      </c>
      <c r="C155" s="659" t="str">
        <f>data!C156</f>
        <v>CZCE</v>
      </c>
      <c r="D155" s="659" t="str">
        <f>data!D156</f>
        <v>SR809C6600</v>
      </c>
      <c r="E155" s="659">
        <f>data!E156</f>
        <v>3</v>
      </c>
      <c r="F155" s="659">
        <f>data!F156</f>
        <v>4</v>
      </c>
      <c r="G155" s="659" t="str">
        <f>data!G156</f>
        <v>SR809C660034</v>
      </c>
      <c r="H155" s="659">
        <f>data!H156</f>
        <v>4.2000000000000002E-4</v>
      </c>
      <c r="I155" s="659">
        <f>data!I156</f>
        <v>4.2</v>
      </c>
      <c r="J155" s="659">
        <f>data!J156</f>
        <v>4.2000000000000002E-4</v>
      </c>
      <c r="K155" s="660">
        <f>data!K156</f>
        <v>4.2</v>
      </c>
      <c r="L155" s="6">
        <f>data!L156</f>
        <v>2.0000000000000001E-4</v>
      </c>
      <c r="M155" s="6">
        <f>data!M156</f>
        <v>2</v>
      </c>
    </row>
    <row r="156" spans="1:13" s="6" customFormat="1" x14ac:dyDescent="0.25">
      <c r="A156" s="6" t="str">
        <f>data!A157</f>
        <v>comment</v>
      </c>
      <c r="B156" s="658" t="str">
        <f>data!B157</f>
        <v>6001</v>
      </c>
      <c r="C156" s="659" t="str">
        <f>data!C157</f>
        <v>CZCE</v>
      </c>
      <c r="D156" s="659" t="str">
        <f>data!D157</f>
        <v>SR809C6600</v>
      </c>
      <c r="E156" s="659">
        <f>data!E157</f>
        <v>3</v>
      </c>
      <c r="F156" s="659">
        <f>data!F157</f>
        <v>5</v>
      </c>
      <c r="G156" s="659" t="str">
        <f>data!G157</f>
        <v>SR809C660035</v>
      </c>
      <c r="H156" s="659">
        <f>data!H157</f>
        <v>4.4999999999999999E-4</v>
      </c>
      <c r="I156" s="659">
        <f>data!I157</f>
        <v>4.5</v>
      </c>
      <c r="J156" s="659">
        <f>data!J157</f>
        <v>4.4999999999999999E-4</v>
      </c>
      <c r="K156" s="660">
        <f>data!K157</f>
        <v>4.5</v>
      </c>
      <c r="L156" s="6">
        <f>data!L157</f>
        <v>2.0000000000000001E-4</v>
      </c>
      <c r="M156" s="6">
        <f>data!M157</f>
        <v>2</v>
      </c>
    </row>
    <row r="157" spans="1:13" x14ac:dyDescent="0.25">
      <c r="A157" t="str">
        <f>data!A158</f>
        <v>comment</v>
      </c>
      <c r="B157" s="95" t="str">
        <f>data!B158</f>
        <v>6001</v>
      </c>
      <c r="C157" s="96" t="str">
        <f>data!C158</f>
        <v>CZCE</v>
      </c>
      <c r="D157" s="96" t="str">
        <f>data!D158</f>
        <v>PTA807C6500</v>
      </c>
      <c r="E157" s="96">
        <f>data!E158</f>
        <v>1</v>
      </c>
      <c r="F157" s="96">
        <f>data!F158</f>
        <v>0</v>
      </c>
      <c r="G157" s="96" t="str">
        <f>data!G158</f>
        <v>PTA807C650010</v>
      </c>
      <c r="H157" s="96">
        <f>data!H158</f>
        <v>5.0000000000000001E-4</v>
      </c>
      <c r="I157" s="96">
        <f>data!I158</f>
        <v>5</v>
      </c>
      <c r="J157" s="96">
        <f>data!J158</f>
        <v>4.0000000000000002E-4</v>
      </c>
      <c r="K157" s="97">
        <f>data!K158</f>
        <v>4</v>
      </c>
      <c r="L157" s="6">
        <f>data!L158</f>
        <v>2.0000000000000001E-4</v>
      </c>
      <c r="M157" s="6">
        <f>data!M158</f>
        <v>2</v>
      </c>
    </row>
    <row r="158" spans="1:13" x14ac:dyDescent="0.25">
      <c r="A158" t="str">
        <f>data!A159</f>
        <v>comment</v>
      </c>
      <c r="B158" s="95" t="str">
        <f>data!B159</f>
        <v>6001</v>
      </c>
      <c r="C158" s="96" t="str">
        <f>data!C159</f>
        <v>CZCE</v>
      </c>
      <c r="D158" s="96" t="str">
        <f>data!D159</f>
        <v>PTA807C6500</v>
      </c>
      <c r="E158" s="96">
        <f>data!E159</f>
        <v>1</v>
      </c>
      <c r="F158" s="96">
        <f>data!F159</f>
        <v>1</v>
      </c>
      <c r="G158" s="96" t="str">
        <f>data!G159</f>
        <v>PTA807C650011</v>
      </c>
      <c r="H158" s="96">
        <f>data!H159</f>
        <v>4.0000000000000002E-4</v>
      </c>
      <c r="I158" s="96">
        <f>data!I159</f>
        <v>4</v>
      </c>
      <c r="J158" s="96">
        <f>data!J159</f>
        <v>2.9999999999999997E-4</v>
      </c>
      <c r="K158" s="97">
        <f>data!K159</f>
        <v>3</v>
      </c>
      <c r="L158" s="6">
        <f>data!L159</f>
        <v>2.0000000000000001E-4</v>
      </c>
      <c r="M158" s="6">
        <f>data!M159</f>
        <v>2</v>
      </c>
    </row>
    <row r="159" spans="1:13" x14ac:dyDescent="0.25">
      <c r="A159" t="str">
        <f>data!A160</f>
        <v>comment</v>
      </c>
      <c r="B159" s="95" t="str">
        <f>data!B160</f>
        <v>6001</v>
      </c>
      <c r="C159" s="96" t="str">
        <f>data!C160</f>
        <v>CZCE</v>
      </c>
      <c r="D159" s="96" t="str">
        <f>data!D160</f>
        <v>PTA807C6500</v>
      </c>
      <c r="E159" s="96">
        <f>data!E160</f>
        <v>1</v>
      </c>
      <c r="F159" s="96">
        <f>data!F160</f>
        <v>3</v>
      </c>
      <c r="G159" s="96" t="str">
        <f>data!G160</f>
        <v>PTA807C650013</v>
      </c>
      <c r="H159" s="96">
        <f>data!H160</f>
        <v>2.0000000000000001E-4</v>
      </c>
      <c r="I159" s="96">
        <f>data!I160</f>
        <v>2</v>
      </c>
      <c r="J159" s="96">
        <f>data!J160</f>
        <v>1E-4</v>
      </c>
      <c r="K159" s="97">
        <f>data!K160</f>
        <v>1</v>
      </c>
      <c r="L159" s="6">
        <f>data!L160</f>
        <v>2.0000000000000001E-4</v>
      </c>
      <c r="M159" s="6">
        <f>data!M160</f>
        <v>2</v>
      </c>
    </row>
    <row r="160" spans="1:13" x14ac:dyDescent="0.25">
      <c r="A160" t="str">
        <f>data!A161</f>
        <v>comment</v>
      </c>
      <c r="B160" s="95" t="str">
        <f>data!B161</f>
        <v>6001</v>
      </c>
      <c r="C160" s="96" t="str">
        <f>data!C161</f>
        <v>CZCE</v>
      </c>
      <c r="D160" s="96" t="str">
        <f>data!D161</f>
        <v>PTA807C6500</v>
      </c>
      <c r="E160" s="96">
        <f>data!E161</f>
        <v>1</v>
      </c>
      <c r="F160" s="96">
        <f>data!F161</f>
        <v>4</v>
      </c>
      <c r="G160" s="96" t="str">
        <f>data!G161</f>
        <v>PTA807C650014</v>
      </c>
      <c r="H160" s="96">
        <f>data!H161</f>
        <v>4.2000000000000002E-4</v>
      </c>
      <c r="I160" s="96">
        <f>data!I161</f>
        <v>4.2</v>
      </c>
      <c r="J160" s="96">
        <f>data!J161</f>
        <v>3.2000000000000003E-4</v>
      </c>
      <c r="K160" s="97">
        <f>data!K161</f>
        <v>3.2</v>
      </c>
      <c r="L160" s="6">
        <f>data!L161</f>
        <v>2.0000000000000001E-4</v>
      </c>
      <c r="M160" s="6">
        <f>data!M161</f>
        <v>2</v>
      </c>
    </row>
    <row r="161" spans="1:13" x14ac:dyDescent="0.25">
      <c r="A161" t="str">
        <f>data!A162</f>
        <v>comment</v>
      </c>
      <c r="B161" s="95" t="str">
        <f>data!B162</f>
        <v>6001</v>
      </c>
      <c r="C161" s="96" t="str">
        <f>data!C162</f>
        <v>CZCE</v>
      </c>
      <c r="D161" s="96" t="str">
        <f>data!D162</f>
        <v>PTA807C6500</v>
      </c>
      <c r="E161" s="96">
        <f>data!E162</f>
        <v>1</v>
      </c>
      <c r="F161" s="96">
        <f>data!F162</f>
        <v>5</v>
      </c>
      <c r="G161" s="96" t="str">
        <f>data!G162</f>
        <v>PTA807C650015</v>
      </c>
      <c r="H161" s="96">
        <f>data!H162</f>
        <v>4.4999999999999999E-4</v>
      </c>
      <c r="I161" s="96">
        <f>data!I162</f>
        <v>4.5</v>
      </c>
      <c r="J161" s="96">
        <f>data!J162</f>
        <v>3.5E-4</v>
      </c>
      <c r="K161" s="97">
        <f>data!K162</f>
        <v>3.5</v>
      </c>
      <c r="L161" s="6">
        <f>data!L162</f>
        <v>2.0000000000000001E-4</v>
      </c>
      <c r="M161" s="6">
        <f>data!M162</f>
        <v>2</v>
      </c>
    </row>
    <row r="162" spans="1:13" x14ac:dyDescent="0.25">
      <c r="A162" t="str">
        <f>data!A163</f>
        <v>comment</v>
      </c>
      <c r="B162" s="95" t="str">
        <f>data!B163</f>
        <v>6001</v>
      </c>
      <c r="C162" s="96" t="str">
        <f>data!C163</f>
        <v>CZCE</v>
      </c>
      <c r="D162" s="96" t="str">
        <f>data!D163</f>
        <v>PTA807C6500</v>
      </c>
      <c r="E162" s="96">
        <f>data!E163</f>
        <v>3</v>
      </c>
      <c r="F162" s="96">
        <f>data!F163</f>
        <v>0</v>
      </c>
      <c r="G162" s="96" t="str">
        <f>data!G163</f>
        <v>PTA807C650030</v>
      </c>
      <c r="H162" s="96">
        <f>data!H163</f>
        <v>5.0000000000000001E-4</v>
      </c>
      <c r="I162" s="96">
        <f>data!I163</f>
        <v>5</v>
      </c>
      <c r="J162" s="96">
        <f>data!J163</f>
        <v>5.0000000000000001E-4</v>
      </c>
      <c r="K162" s="97">
        <f>data!K163</f>
        <v>5</v>
      </c>
      <c r="L162" s="6">
        <f>data!L163</f>
        <v>2.0000000000000001E-4</v>
      </c>
      <c r="M162" s="6">
        <f>data!M163</f>
        <v>2</v>
      </c>
    </row>
    <row r="163" spans="1:13" x14ac:dyDescent="0.25">
      <c r="A163" t="str">
        <f>data!A164</f>
        <v>comment</v>
      </c>
      <c r="B163" s="95" t="str">
        <f>data!B164</f>
        <v>6001</v>
      </c>
      <c r="C163" s="96" t="str">
        <f>data!C164</f>
        <v>CZCE</v>
      </c>
      <c r="D163" s="96" t="str">
        <f>data!D164</f>
        <v>PTA807C6500</v>
      </c>
      <c r="E163" s="96">
        <f>data!E164</f>
        <v>3</v>
      </c>
      <c r="F163" s="96">
        <f>data!F164</f>
        <v>1</v>
      </c>
      <c r="G163" s="96" t="str">
        <f>data!G164</f>
        <v>PTA807C650031</v>
      </c>
      <c r="H163" s="96">
        <f>data!H164</f>
        <v>4.0000000000000002E-4</v>
      </c>
      <c r="I163" s="96">
        <f>data!I164</f>
        <v>4</v>
      </c>
      <c r="J163" s="96">
        <f>data!J164</f>
        <v>3.9999999999999996E-4</v>
      </c>
      <c r="K163" s="97">
        <f>data!K164</f>
        <v>4</v>
      </c>
      <c r="L163" s="6">
        <f>data!L164</f>
        <v>2.0000000000000001E-4</v>
      </c>
      <c r="M163" s="6">
        <f>data!M164</f>
        <v>2</v>
      </c>
    </row>
    <row r="164" spans="1:13" x14ac:dyDescent="0.25">
      <c r="A164" t="str">
        <f>data!A165</f>
        <v>comment</v>
      </c>
      <c r="B164" s="95" t="str">
        <f>data!B165</f>
        <v>6001</v>
      </c>
      <c r="C164" s="96" t="str">
        <f>data!C165</f>
        <v>CZCE</v>
      </c>
      <c r="D164" s="96" t="str">
        <f>data!D165</f>
        <v>PTA807C6500</v>
      </c>
      <c r="E164" s="96">
        <f>data!E165</f>
        <v>3</v>
      </c>
      <c r="F164" s="96">
        <f>data!F165</f>
        <v>3</v>
      </c>
      <c r="G164" s="96" t="str">
        <f>data!G165</f>
        <v>PTA807C650033</v>
      </c>
      <c r="H164" s="96">
        <f>data!H165</f>
        <v>2.0000000000000001E-4</v>
      </c>
      <c r="I164" s="96">
        <f>data!I165</f>
        <v>2</v>
      </c>
      <c r="J164" s="96">
        <f>data!J165</f>
        <v>2.0000000000000001E-4</v>
      </c>
      <c r="K164" s="97">
        <f>data!K165</f>
        <v>2</v>
      </c>
      <c r="L164" s="6">
        <f>data!L165</f>
        <v>2.0000000000000001E-4</v>
      </c>
      <c r="M164" s="6">
        <f>data!M165</f>
        <v>2</v>
      </c>
    </row>
    <row r="165" spans="1:13" x14ac:dyDescent="0.25">
      <c r="A165" t="str">
        <f>data!A166</f>
        <v>comment</v>
      </c>
      <c r="B165" s="95" t="str">
        <f>data!B166</f>
        <v>6001</v>
      </c>
      <c r="C165" s="96" t="str">
        <f>data!C166</f>
        <v>CZCE</v>
      </c>
      <c r="D165" s="96" t="str">
        <f>data!D166</f>
        <v>PTA807C6500</v>
      </c>
      <c r="E165" s="96">
        <f>data!E166</f>
        <v>3</v>
      </c>
      <c r="F165" s="96">
        <f>data!F166</f>
        <v>4</v>
      </c>
      <c r="G165" s="96" t="str">
        <f>data!G166</f>
        <v>PTA807C650034</v>
      </c>
      <c r="H165" s="96">
        <f>data!H166</f>
        <v>4.2000000000000002E-4</v>
      </c>
      <c r="I165" s="96">
        <f>data!I166</f>
        <v>4.2</v>
      </c>
      <c r="J165" s="96">
        <f>data!J166</f>
        <v>4.2000000000000002E-4</v>
      </c>
      <c r="K165" s="97">
        <f>data!K166</f>
        <v>4.2</v>
      </c>
      <c r="L165" s="6">
        <f>data!L166</f>
        <v>2.0000000000000001E-4</v>
      </c>
      <c r="M165" s="6">
        <f>data!M166</f>
        <v>2</v>
      </c>
    </row>
    <row r="166" spans="1:13" x14ac:dyDescent="0.25">
      <c r="A166" t="str">
        <f>data!A167</f>
        <v>comment</v>
      </c>
      <c r="B166" s="95" t="str">
        <f>data!B167</f>
        <v>6001</v>
      </c>
      <c r="C166" s="96" t="str">
        <f>data!C167</f>
        <v>CZCE</v>
      </c>
      <c r="D166" s="96" t="str">
        <f>data!D167</f>
        <v>PTA807C6500</v>
      </c>
      <c r="E166" s="96">
        <f>data!E167</f>
        <v>3</v>
      </c>
      <c r="F166" s="96">
        <f>data!F167</f>
        <v>5</v>
      </c>
      <c r="G166" s="96" t="str">
        <f>data!G167</f>
        <v>PTA807C650035</v>
      </c>
      <c r="H166" s="96">
        <f>data!H167</f>
        <v>4.4999999999999999E-4</v>
      </c>
      <c r="I166" s="96">
        <f>data!I167</f>
        <v>4.5</v>
      </c>
      <c r="J166" s="96">
        <f>data!J167</f>
        <v>4.4999999999999999E-4</v>
      </c>
      <c r="K166" s="97">
        <f>data!K167</f>
        <v>4.5</v>
      </c>
      <c r="L166" s="6">
        <f>data!L167</f>
        <v>2.0000000000000001E-4</v>
      </c>
      <c r="M166" s="6">
        <f>data!M167</f>
        <v>2</v>
      </c>
    </row>
    <row r="167" spans="1:13" x14ac:dyDescent="0.25">
      <c r="A167" t="str">
        <f>data!A168</f>
        <v>comment</v>
      </c>
      <c r="B167" s="95" t="str">
        <f>data!B168</f>
        <v>6001</v>
      </c>
      <c r="C167" s="96" t="str">
        <f>data!C168</f>
        <v>CZCE</v>
      </c>
      <c r="D167" s="96" t="str">
        <f>data!D168</f>
        <v>PTA807P6200</v>
      </c>
      <c r="E167" s="96">
        <f>data!E168</f>
        <v>1</v>
      </c>
      <c r="F167" s="96">
        <f>data!F168</f>
        <v>0</v>
      </c>
      <c r="G167" s="96" t="str">
        <f>data!G168</f>
        <v>PTA807P620010</v>
      </c>
      <c r="H167" s="96">
        <f>data!H168</f>
        <v>5.0000000000000001E-4</v>
      </c>
      <c r="I167" s="96">
        <f>data!I168</f>
        <v>5</v>
      </c>
      <c r="J167" s="96">
        <f>data!J168</f>
        <v>4.0000000000000002E-4</v>
      </c>
      <c r="K167" s="97">
        <f>data!K168</f>
        <v>4</v>
      </c>
      <c r="L167" s="6">
        <f>data!L168</f>
        <v>2.0000000000000001E-4</v>
      </c>
      <c r="M167" s="6">
        <f>data!M168</f>
        <v>2</v>
      </c>
    </row>
    <row r="168" spans="1:13" x14ac:dyDescent="0.25">
      <c r="A168" t="str">
        <f>data!A169</f>
        <v>comment</v>
      </c>
      <c r="B168" s="95" t="str">
        <f>data!B169</f>
        <v>6001</v>
      </c>
      <c r="C168" s="96" t="str">
        <f>data!C169</f>
        <v>CZCE</v>
      </c>
      <c r="D168" s="96" t="str">
        <f>data!D169</f>
        <v>PTA807P6200</v>
      </c>
      <c r="E168" s="96">
        <f>data!E169</f>
        <v>1</v>
      </c>
      <c r="F168" s="96">
        <f>data!F169</f>
        <v>1</v>
      </c>
      <c r="G168" s="96" t="str">
        <f>data!G169</f>
        <v>PTA807P620011</v>
      </c>
      <c r="H168" s="96">
        <f>data!H169</f>
        <v>4.0000000000000002E-4</v>
      </c>
      <c r="I168" s="96">
        <f>data!I169</f>
        <v>4</v>
      </c>
      <c r="J168" s="96">
        <f>data!J169</f>
        <v>2.9999999999999997E-4</v>
      </c>
      <c r="K168" s="97">
        <f>data!K169</f>
        <v>3</v>
      </c>
      <c r="L168" s="6">
        <f>data!L169</f>
        <v>2.0000000000000001E-4</v>
      </c>
      <c r="M168" s="6">
        <f>data!M169</f>
        <v>2</v>
      </c>
    </row>
    <row r="169" spans="1:13" x14ac:dyDescent="0.25">
      <c r="A169" t="str">
        <f>data!A170</f>
        <v>comment</v>
      </c>
      <c r="B169" s="95" t="str">
        <f>data!B170</f>
        <v>6001</v>
      </c>
      <c r="C169" s="96" t="str">
        <f>data!C170</f>
        <v>CZCE</v>
      </c>
      <c r="D169" s="96" t="str">
        <f>data!D170</f>
        <v>PTA807P6200</v>
      </c>
      <c r="E169" s="96">
        <f>data!E170</f>
        <v>1</v>
      </c>
      <c r="F169" s="96">
        <f>data!F170</f>
        <v>3</v>
      </c>
      <c r="G169" s="96" t="str">
        <f>data!G170</f>
        <v>PTA807P620013</v>
      </c>
      <c r="H169" s="96">
        <f>data!H170</f>
        <v>2.0000000000000001E-4</v>
      </c>
      <c r="I169" s="96">
        <f>data!I170</f>
        <v>2</v>
      </c>
      <c r="J169" s="96">
        <f>data!J170</f>
        <v>1E-4</v>
      </c>
      <c r="K169" s="97">
        <f>data!K170</f>
        <v>1</v>
      </c>
      <c r="L169" s="6">
        <f>data!L170</f>
        <v>2.0000000000000001E-4</v>
      </c>
      <c r="M169" s="6">
        <f>data!M170</f>
        <v>2</v>
      </c>
    </row>
    <row r="170" spans="1:13" x14ac:dyDescent="0.25">
      <c r="A170" t="str">
        <f>data!A171</f>
        <v>comment</v>
      </c>
      <c r="B170" s="95" t="str">
        <f>data!B171</f>
        <v>6001</v>
      </c>
      <c r="C170" s="96" t="str">
        <f>data!C171</f>
        <v>CZCE</v>
      </c>
      <c r="D170" s="96" t="str">
        <f>data!D171</f>
        <v>PTA807P6200</v>
      </c>
      <c r="E170" s="96">
        <f>data!E171</f>
        <v>1</v>
      </c>
      <c r="F170" s="96">
        <f>data!F171</f>
        <v>4</v>
      </c>
      <c r="G170" s="96" t="str">
        <f>data!G171</f>
        <v>PTA807P620014</v>
      </c>
      <c r="H170" s="96">
        <f>data!H171</f>
        <v>4.2000000000000002E-4</v>
      </c>
      <c r="I170" s="96">
        <f>data!I171</f>
        <v>4.2</v>
      </c>
      <c r="J170" s="96">
        <f>data!J171</f>
        <v>3.2000000000000003E-4</v>
      </c>
      <c r="K170" s="97">
        <f>data!K171</f>
        <v>3.2</v>
      </c>
      <c r="L170" s="6">
        <f>data!L171</f>
        <v>2.0000000000000001E-4</v>
      </c>
      <c r="M170" s="6">
        <f>data!M171</f>
        <v>2</v>
      </c>
    </row>
    <row r="171" spans="1:13" x14ac:dyDescent="0.25">
      <c r="A171" t="str">
        <f>data!A172</f>
        <v>comment</v>
      </c>
      <c r="B171" s="95" t="str">
        <f>data!B172</f>
        <v>6001</v>
      </c>
      <c r="C171" s="96" t="str">
        <f>data!C172</f>
        <v>CZCE</v>
      </c>
      <c r="D171" s="96" t="str">
        <f>data!D172</f>
        <v>PTA807P6200</v>
      </c>
      <c r="E171" s="96">
        <f>data!E172</f>
        <v>1</v>
      </c>
      <c r="F171" s="96">
        <f>data!F172</f>
        <v>5</v>
      </c>
      <c r="G171" s="96" t="str">
        <f>data!G172</f>
        <v>PTA807P620015</v>
      </c>
      <c r="H171" s="96">
        <f>data!H172</f>
        <v>4.4999999999999999E-4</v>
      </c>
      <c r="I171" s="96">
        <f>data!I172</f>
        <v>4.5</v>
      </c>
      <c r="J171" s="96">
        <f>data!J172</f>
        <v>3.5E-4</v>
      </c>
      <c r="K171" s="97">
        <f>data!K172</f>
        <v>3.5</v>
      </c>
      <c r="L171" s="6">
        <f>data!L172</f>
        <v>2.0000000000000001E-4</v>
      </c>
      <c r="M171" s="6">
        <f>data!M172</f>
        <v>2</v>
      </c>
    </row>
    <row r="172" spans="1:13" x14ac:dyDescent="0.25">
      <c r="A172" t="str">
        <f>data!A173</f>
        <v>comment</v>
      </c>
      <c r="B172" s="95" t="str">
        <f>data!B173</f>
        <v>6001</v>
      </c>
      <c r="C172" s="96" t="str">
        <f>data!C173</f>
        <v>CZCE</v>
      </c>
      <c r="D172" s="96" t="str">
        <f>data!D173</f>
        <v>PTA807P6200</v>
      </c>
      <c r="E172" s="96">
        <f>data!E173</f>
        <v>3</v>
      </c>
      <c r="F172" s="96">
        <f>data!F173</f>
        <v>0</v>
      </c>
      <c r="G172" s="96" t="str">
        <f>data!G173</f>
        <v>PTA807P620030</v>
      </c>
      <c r="H172" s="96">
        <f>data!H173</f>
        <v>5.0000000000000001E-4</v>
      </c>
      <c r="I172" s="96">
        <f>data!I173</f>
        <v>5</v>
      </c>
      <c r="J172" s="96">
        <f>data!J173</f>
        <v>5.0000000000000001E-4</v>
      </c>
      <c r="K172" s="97">
        <f>data!K173</f>
        <v>5</v>
      </c>
      <c r="L172" s="6">
        <f>data!L173</f>
        <v>2.0000000000000001E-4</v>
      </c>
      <c r="M172" s="6">
        <f>data!M173</f>
        <v>2</v>
      </c>
    </row>
    <row r="173" spans="1:13" x14ac:dyDescent="0.25">
      <c r="A173" t="str">
        <f>data!A174</f>
        <v>comment</v>
      </c>
      <c r="B173" s="95" t="str">
        <f>data!B174</f>
        <v>6001</v>
      </c>
      <c r="C173" s="96" t="str">
        <f>data!C174</f>
        <v>CZCE</v>
      </c>
      <c r="D173" s="96" t="str">
        <f>data!D174</f>
        <v>PTA807P6200</v>
      </c>
      <c r="E173" s="96">
        <f>data!E174</f>
        <v>3</v>
      </c>
      <c r="F173" s="96">
        <f>data!F174</f>
        <v>1</v>
      </c>
      <c r="G173" s="96" t="str">
        <f>data!G174</f>
        <v>PTA807P620031</v>
      </c>
      <c r="H173" s="96">
        <f>data!H174</f>
        <v>4.0000000000000002E-4</v>
      </c>
      <c r="I173" s="96">
        <f>data!I174</f>
        <v>4</v>
      </c>
      <c r="J173" s="96">
        <f>data!J174</f>
        <v>3.9999999999999996E-4</v>
      </c>
      <c r="K173" s="97">
        <f>data!K174</f>
        <v>4</v>
      </c>
      <c r="L173" s="6">
        <f>data!L174</f>
        <v>2.0000000000000001E-4</v>
      </c>
      <c r="M173" s="6">
        <f>data!M174</f>
        <v>2</v>
      </c>
    </row>
    <row r="174" spans="1:13" x14ac:dyDescent="0.25">
      <c r="A174" t="str">
        <f>data!A175</f>
        <v>comment</v>
      </c>
      <c r="B174" s="95" t="str">
        <f>data!B175</f>
        <v>6001</v>
      </c>
      <c r="C174" s="96" t="str">
        <f>data!C175</f>
        <v>CZCE</v>
      </c>
      <c r="D174" s="96" t="str">
        <f>data!D175</f>
        <v>PTA807P6200</v>
      </c>
      <c r="E174" s="96">
        <f>data!E175</f>
        <v>3</v>
      </c>
      <c r="F174" s="96">
        <f>data!F175</f>
        <v>3</v>
      </c>
      <c r="G174" s="96" t="str">
        <f>data!G175</f>
        <v>PTA807P620033</v>
      </c>
      <c r="H174" s="96">
        <f>data!H175</f>
        <v>2.0000000000000001E-4</v>
      </c>
      <c r="I174" s="96">
        <f>data!I175</f>
        <v>2</v>
      </c>
      <c r="J174" s="96">
        <f>data!J175</f>
        <v>2.0000000000000001E-4</v>
      </c>
      <c r="K174" s="97">
        <f>data!K175</f>
        <v>2</v>
      </c>
      <c r="L174" s="6">
        <f>data!L175</f>
        <v>2.0000000000000001E-4</v>
      </c>
      <c r="M174" s="6">
        <f>data!M175</f>
        <v>2</v>
      </c>
    </row>
    <row r="175" spans="1:13" x14ac:dyDescent="0.25">
      <c r="A175" t="str">
        <f>data!A176</f>
        <v>comment</v>
      </c>
      <c r="B175" s="95" t="str">
        <f>data!B176</f>
        <v>6001</v>
      </c>
      <c r="C175" s="96" t="str">
        <f>data!C176</f>
        <v>CZCE</v>
      </c>
      <c r="D175" s="96" t="str">
        <f>data!D176</f>
        <v>PTA807P6200</v>
      </c>
      <c r="E175" s="96">
        <f>data!E176</f>
        <v>3</v>
      </c>
      <c r="F175" s="96">
        <f>data!F176</f>
        <v>4</v>
      </c>
      <c r="G175" s="96" t="str">
        <f>data!G176</f>
        <v>PTA807P620034</v>
      </c>
      <c r="H175" s="96">
        <f>data!H176</f>
        <v>4.2000000000000002E-4</v>
      </c>
      <c r="I175" s="96">
        <f>data!I176</f>
        <v>4.2</v>
      </c>
      <c r="J175" s="96">
        <f>data!J176</f>
        <v>4.2000000000000002E-4</v>
      </c>
      <c r="K175" s="97">
        <f>data!K176</f>
        <v>4.2</v>
      </c>
      <c r="L175" s="6">
        <f>data!L176</f>
        <v>2.0000000000000001E-4</v>
      </c>
      <c r="M175" s="6">
        <f>data!M176</f>
        <v>2</v>
      </c>
    </row>
    <row r="176" spans="1:13" x14ac:dyDescent="0.25">
      <c r="A176" t="str">
        <f>data!A177</f>
        <v>comment</v>
      </c>
      <c r="B176" s="95" t="str">
        <f>data!B177</f>
        <v>6001</v>
      </c>
      <c r="C176" s="96" t="str">
        <f>data!C177</f>
        <v>CZCE</v>
      </c>
      <c r="D176" s="96" t="str">
        <f>data!D177</f>
        <v>PTA807P6200</v>
      </c>
      <c r="E176" s="96">
        <f>data!E177</f>
        <v>3</v>
      </c>
      <c r="F176" s="96">
        <f>data!F177</f>
        <v>5</v>
      </c>
      <c r="G176" s="96" t="str">
        <f>data!G177</f>
        <v>PTA807P620035</v>
      </c>
      <c r="H176" s="96">
        <f>data!H177</f>
        <v>4.4999999999999999E-4</v>
      </c>
      <c r="I176" s="96">
        <f>data!I177</f>
        <v>4.5</v>
      </c>
      <c r="J176" s="96">
        <f>data!J177</f>
        <v>4.4999999999999999E-4</v>
      </c>
      <c r="K176" s="97">
        <f>data!K177</f>
        <v>4.5</v>
      </c>
      <c r="L176" s="6">
        <f>data!L177</f>
        <v>2.0000000000000001E-4</v>
      </c>
      <c r="M176" s="6">
        <f>data!M177</f>
        <v>2</v>
      </c>
    </row>
    <row r="177" spans="1:13" x14ac:dyDescent="0.25">
      <c r="A177" t="str">
        <f>data!A178</f>
        <v>comment</v>
      </c>
      <c r="B177" s="95" t="str">
        <f>data!B178</f>
        <v>6001</v>
      </c>
      <c r="C177" s="96" t="str">
        <f>data!C178</f>
        <v>CZCE</v>
      </c>
      <c r="D177" s="96" t="str">
        <f>data!D178</f>
        <v>PTA807P6500</v>
      </c>
      <c r="E177" s="96">
        <f>data!E178</f>
        <v>1</v>
      </c>
      <c r="F177" s="96">
        <f>data!F178</f>
        <v>0</v>
      </c>
      <c r="G177" s="96" t="str">
        <f>data!G178</f>
        <v>PTA807P650010</v>
      </c>
      <c r="H177" s="96">
        <f>data!H178</f>
        <v>5.0000000000000001E-4</v>
      </c>
      <c r="I177" s="96">
        <f>data!I178</f>
        <v>5</v>
      </c>
      <c r="J177" s="96">
        <f>data!J178</f>
        <v>4.0000000000000002E-4</v>
      </c>
      <c r="K177" s="97">
        <f>data!K178</f>
        <v>4</v>
      </c>
      <c r="L177" s="6">
        <f>data!L178</f>
        <v>2.0000000000000001E-4</v>
      </c>
      <c r="M177" s="6">
        <f>data!M178</f>
        <v>2</v>
      </c>
    </row>
    <row r="178" spans="1:13" x14ac:dyDescent="0.25">
      <c r="A178" t="str">
        <f>data!A179</f>
        <v>comment</v>
      </c>
      <c r="B178" s="95" t="str">
        <f>data!B179</f>
        <v>6001</v>
      </c>
      <c r="C178" s="96" t="str">
        <f>data!C179</f>
        <v>CZCE</v>
      </c>
      <c r="D178" s="96" t="str">
        <f>data!D179</f>
        <v>PTA807P6500</v>
      </c>
      <c r="E178" s="96">
        <f>data!E179</f>
        <v>1</v>
      </c>
      <c r="F178" s="96">
        <f>data!F179</f>
        <v>1</v>
      </c>
      <c r="G178" s="96" t="str">
        <f>data!G179</f>
        <v>PTA807P650011</v>
      </c>
      <c r="H178" s="96">
        <f>data!H179</f>
        <v>4.0000000000000002E-4</v>
      </c>
      <c r="I178" s="96">
        <f>data!I179</f>
        <v>4</v>
      </c>
      <c r="J178" s="96">
        <f>data!J179</f>
        <v>2.9999999999999997E-4</v>
      </c>
      <c r="K178" s="97">
        <f>data!K179</f>
        <v>3</v>
      </c>
      <c r="L178" s="6">
        <f>data!L179</f>
        <v>2.0000000000000001E-4</v>
      </c>
      <c r="M178" s="6">
        <f>data!M179</f>
        <v>2</v>
      </c>
    </row>
    <row r="179" spans="1:13" x14ac:dyDescent="0.25">
      <c r="A179" t="str">
        <f>data!A180</f>
        <v>comment</v>
      </c>
      <c r="B179" s="95" t="str">
        <f>data!B180</f>
        <v>6001</v>
      </c>
      <c r="C179" s="96" t="str">
        <f>data!C180</f>
        <v>CZCE</v>
      </c>
      <c r="D179" s="96" t="str">
        <f>data!D180</f>
        <v>PTA807P6500</v>
      </c>
      <c r="E179" s="96">
        <f>data!E180</f>
        <v>1</v>
      </c>
      <c r="F179" s="96">
        <f>data!F180</f>
        <v>3</v>
      </c>
      <c r="G179" s="96" t="str">
        <f>data!G180</f>
        <v>PTA807P650013</v>
      </c>
      <c r="H179" s="96">
        <f>data!H180</f>
        <v>2.0000000000000001E-4</v>
      </c>
      <c r="I179" s="96">
        <f>data!I180</f>
        <v>2</v>
      </c>
      <c r="J179" s="96">
        <f>data!J180</f>
        <v>1E-4</v>
      </c>
      <c r="K179" s="97">
        <f>data!K180</f>
        <v>1</v>
      </c>
      <c r="L179" s="6">
        <f>data!L180</f>
        <v>2.0000000000000001E-4</v>
      </c>
      <c r="M179" s="6">
        <f>data!M180</f>
        <v>2</v>
      </c>
    </row>
    <row r="180" spans="1:13" x14ac:dyDescent="0.25">
      <c r="A180" t="str">
        <f>data!A181</f>
        <v>comment</v>
      </c>
      <c r="B180" s="95" t="str">
        <f>data!B181</f>
        <v>6001</v>
      </c>
      <c r="C180" s="96" t="str">
        <f>data!C181</f>
        <v>CZCE</v>
      </c>
      <c r="D180" s="96" t="str">
        <f>data!D181</f>
        <v>PTA807P6500</v>
      </c>
      <c r="E180" s="96">
        <f>data!E181</f>
        <v>1</v>
      </c>
      <c r="F180" s="96">
        <f>data!F181</f>
        <v>4</v>
      </c>
      <c r="G180" s="96" t="str">
        <f>data!G181</f>
        <v>PTA807P650014</v>
      </c>
      <c r="H180" s="96">
        <f>data!H181</f>
        <v>4.2000000000000002E-4</v>
      </c>
      <c r="I180" s="96">
        <f>data!I181</f>
        <v>4.2</v>
      </c>
      <c r="J180" s="96">
        <f>data!J181</f>
        <v>3.2000000000000003E-4</v>
      </c>
      <c r="K180" s="97">
        <f>data!K181</f>
        <v>3.2</v>
      </c>
      <c r="L180" s="6">
        <f>data!L181</f>
        <v>2.0000000000000001E-4</v>
      </c>
      <c r="M180" s="6">
        <f>data!M181</f>
        <v>2</v>
      </c>
    </row>
    <row r="181" spans="1:13" x14ac:dyDescent="0.25">
      <c r="A181" t="str">
        <f>data!A182</f>
        <v>comment</v>
      </c>
      <c r="B181" s="95" t="str">
        <f>data!B182</f>
        <v>6001</v>
      </c>
      <c r="C181" s="96" t="str">
        <f>data!C182</f>
        <v>CZCE</v>
      </c>
      <c r="D181" s="96" t="str">
        <f>data!D182</f>
        <v>PTA807P6500</v>
      </c>
      <c r="E181" s="96">
        <f>data!E182</f>
        <v>3</v>
      </c>
      <c r="F181" s="96">
        <f>data!F182</f>
        <v>5</v>
      </c>
      <c r="G181" s="96" t="str">
        <f>data!G182</f>
        <v>PTA807P650035</v>
      </c>
      <c r="H181" s="96">
        <f>data!H182</f>
        <v>4.4999999999999999E-4</v>
      </c>
      <c r="I181" s="96">
        <f>data!I182</f>
        <v>4.5</v>
      </c>
      <c r="J181" s="96">
        <f>data!J182</f>
        <v>3.5E-4</v>
      </c>
      <c r="K181" s="97">
        <f>data!K182</f>
        <v>3.5</v>
      </c>
      <c r="L181" s="6">
        <f>data!L182</f>
        <v>2.0000000000000001E-4</v>
      </c>
      <c r="M181" s="6">
        <f>data!M182</f>
        <v>2</v>
      </c>
    </row>
    <row r="182" spans="1:13" x14ac:dyDescent="0.25">
      <c r="A182" t="str">
        <f>data!A183</f>
        <v>comment</v>
      </c>
      <c r="B182" s="95" t="str">
        <f>data!B183</f>
        <v>6001</v>
      </c>
      <c r="C182" s="96" t="str">
        <f>data!C183</f>
        <v>CZCE</v>
      </c>
      <c r="D182" s="96" t="str">
        <f>data!D183</f>
        <v>PTA807P6500</v>
      </c>
      <c r="E182" s="96">
        <f>data!E183</f>
        <v>3</v>
      </c>
      <c r="F182" s="96">
        <f>data!F183</f>
        <v>0</v>
      </c>
      <c r="G182" s="96" t="str">
        <f>data!G183</f>
        <v>PTA807P650030</v>
      </c>
      <c r="H182" s="96">
        <f>data!H183</f>
        <v>5.0000000000000001E-4</v>
      </c>
      <c r="I182" s="96">
        <f>data!I183</f>
        <v>5</v>
      </c>
      <c r="J182" s="96">
        <f>data!J183</f>
        <v>5.0000000000000001E-4</v>
      </c>
      <c r="K182" s="97">
        <f>data!K183</f>
        <v>5</v>
      </c>
      <c r="L182" s="6">
        <f>data!L183</f>
        <v>2.0000000000000001E-4</v>
      </c>
      <c r="M182" s="6">
        <f>data!M183</f>
        <v>2</v>
      </c>
    </row>
    <row r="183" spans="1:13" x14ac:dyDescent="0.25">
      <c r="A183" t="str">
        <f>data!A184</f>
        <v>comment</v>
      </c>
      <c r="B183" s="95" t="str">
        <f>data!B184</f>
        <v>6001</v>
      </c>
      <c r="C183" s="96" t="str">
        <f>data!C184</f>
        <v>CZCE</v>
      </c>
      <c r="D183" s="96" t="str">
        <f>data!D184</f>
        <v>PTA807P6500</v>
      </c>
      <c r="E183" s="96">
        <f>data!E184</f>
        <v>3</v>
      </c>
      <c r="F183" s="96">
        <f>data!F184</f>
        <v>1</v>
      </c>
      <c r="G183" s="96" t="str">
        <f>data!G184</f>
        <v>PTA807P650031</v>
      </c>
      <c r="H183" s="96">
        <f>data!H184</f>
        <v>4.0000000000000002E-4</v>
      </c>
      <c r="I183" s="96">
        <f>data!I184</f>
        <v>4</v>
      </c>
      <c r="J183" s="96">
        <f>data!J184</f>
        <v>3.9999999999999996E-4</v>
      </c>
      <c r="K183" s="97">
        <f>data!K184</f>
        <v>4</v>
      </c>
      <c r="L183" s="6">
        <f>data!L184</f>
        <v>2.0000000000000001E-4</v>
      </c>
      <c r="M183" s="6">
        <f>data!M184</f>
        <v>2</v>
      </c>
    </row>
    <row r="184" spans="1:13" x14ac:dyDescent="0.25">
      <c r="A184" t="str">
        <f>data!A185</f>
        <v>comment</v>
      </c>
      <c r="B184" s="95" t="str">
        <f>data!B185</f>
        <v>6001</v>
      </c>
      <c r="C184" s="96" t="str">
        <f>data!C185</f>
        <v>CZCE</v>
      </c>
      <c r="D184" s="96" t="str">
        <f>data!D185</f>
        <v>PTA807P6500</v>
      </c>
      <c r="E184" s="96">
        <f>data!E185</f>
        <v>3</v>
      </c>
      <c r="F184" s="96">
        <f>data!F185</f>
        <v>3</v>
      </c>
      <c r="G184" s="96" t="str">
        <f>data!G185</f>
        <v>PTA807P650033</v>
      </c>
      <c r="H184" s="96">
        <f>data!H185</f>
        <v>2.0000000000000001E-4</v>
      </c>
      <c r="I184" s="96">
        <f>data!I185</f>
        <v>2</v>
      </c>
      <c r="J184" s="96">
        <f>data!J185</f>
        <v>2.0000000000000001E-4</v>
      </c>
      <c r="K184" s="97">
        <f>data!K185</f>
        <v>2</v>
      </c>
      <c r="L184" s="6">
        <f>data!L185</f>
        <v>2.0000000000000001E-4</v>
      </c>
      <c r="M184" s="6">
        <f>data!M185</f>
        <v>2</v>
      </c>
    </row>
    <row r="185" spans="1:13" x14ac:dyDescent="0.25">
      <c r="A185" t="str">
        <f>data!A186</f>
        <v>comment</v>
      </c>
      <c r="B185" s="95" t="str">
        <f>data!B186</f>
        <v>6001</v>
      </c>
      <c r="C185" s="96" t="str">
        <f>data!C186</f>
        <v>CZCE</v>
      </c>
      <c r="D185" s="96" t="str">
        <f>data!D186</f>
        <v>PTA807P6500</v>
      </c>
      <c r="E185" s="96">
        <f>data!E186</f>
        <v>3</v>
      </c>
      <c r="F185" s="96">
        <f>data!F186</f>
        <v>4</v>
      </c>
      <c r="G185" s="96" t="str">
        <f>data!G186</f>
        <v>PTA807P650034</v>
      </c>
      <c r="H185" s="96">
        <f>data!H186</f>
        <v>4.2000000000000002E-4</v>
      </c>
      <c r="I185" s="96">
        <f>data!I186</f>
        <v>4.2</v>
      </c>
      <c r="J185" s="96">
        <f>data!J186</f>
        <v>4.2000000000000002E-4</v>
      </c>
      <c r="K185" s="97">
        <f>data!K186</f>
        <v>4.2</v>
      </c>
      <c r="L185" s="6">
        <f>data!L186</f>
        <v>2.0000000000000001E-4</v>
      </c>
      <c r="M185" s="6">
        <f>data!M186</f>
        <v>2</v>
      </c>
    </row>
    <row r="186" spans="1:13" x14ac:dyDescent="0.25">
      <c r="A186" t="str">
        <f>data!A187</f>
        <v>comment</v>
      </c>
      <c r="B186" s="95" t="str">
        <f>data!B187</f>
        <v>6001</v>
      </c>
      <c r="C186" s="96" t="str">
        <f>data!C187</f>
        <v>CZCE</v>
      </c>
      <c r="D186" s="96" t="str">
        <f>data!D187</f>
        <v>PTA807P6500</v>
      </c>
      <c r="E186" s="96">
        <f>data!E187</f>
        <v>3</v>
      </c>
      <c r="F186" s="96">
        <f>data!F187</f>
        <v>5</v>
      </c>
      <c r="G186" s="96" t="str">
        <f>data!G187</f>
        <v>PTA807P650035</v>
      </c>
      <c r="H186" s="96">
        <f>data!H187</f>
        <v>4.4999999999999999E-4</v>
      </c>
      <c r="I186" s="96">
        <f>data!I187</f>
        <v>4.5</v>
      </c>
      <c r="J186" s="96">
        <f>data!J187</f>
        <v>4.4999999999999999E-4</v>
      </c>
      <c r="K186" s="97">
        <f>data!K187</f>
        <v>4.5</v>
      </c>
      <c r="L186" s="6">
        <f>data!L187</f>
        <v>2.0000000000000001E-4</v>
      </c>
      <c r="M186" s="6">
        <f>data!M187</f>
        <v>2</v>
      </c>
    </row>
    <row r="187" spans="1:13" x14ac:dyDescent="0.25">
      <c r="A187" t="str">
        <f>data!A188</f>
        <v>comment</v>
      </c>
      <c r="B187" t="str">
        <f>data!B188</f>
        <v xml:space="preserve"> 结算参数</v>
      </c>
    </row>
    <row r="188" spans="1:13" x14ac:dyDescent="0.25">
      <c r="A188" t="str">
        <f>data!A189</f>
        <v>comment</v>
      </c>
      <c r="B188" t="str">
        <f>data!B189</f>
        <v>交易所结算参数设置</v>
      </c>
      <c r="C188" t="str">
        <f>data!C189</f>
        <v>0:最后交易日收取</v>
      </c>
      <c r="G188" t="str">
        <f>data!G189</f>
        <v>0：双边1：对锁</v>
      </c>
      <c r="H188" t="str">
        <f>data!H189</f>
        <v>开仓3：开仓&amp;行权</v>
      </c>
    </row>
    <row r="189" spans="1:13" x14ac:dyDescent="0.25">
      <c r="A189" t="str">
        <f>data!A190</f>
        <v>comment</v>
      </c>
      <c r="B189" s="93" t="str">
        <f>data!B190</f>
        <v>交易所</v>
      </c>
      <c r="C189" s="93" t="str">
        <f>data!C190</f>
        <v>投资者交割手续费收取时间</v>
      </c>
      <c r="D189" s="93" t="str">
        <f>data!D190</f>
        <v>交易所交割手续费收取时间</v>
      </c>
      <c r="E189" s="93" t="str">
        <f>data!E190</f>
        <v>虚值期权保证金优惠比率</v>
      </c>
      <c r="F189" s="93" t="str">
        <f>data!F190</f>
        <v>最低保障系数</v>
      </c>
      <c r="G189" s="93" t="str">
        <f>data!G190</f>
        <v xml:space="preserve"> 
郑商所组合持仓保证金收取方式</v>
      </c>
      <c r="H189" s="93" t="str">
        <f>data!H190</f>
        <v>郑商所行权手续费收取方式</v>
      </c>
      <c r="I189" s="93"/>
      <c r="J189" s="93"/>
    </row>
    <row r="190" spans="1:13" x14ac:dyDescent="0.25">
      <c r="A190" t="str">
        <f>data!A191</f>
        <v>comment</v>
      </c>
      <c r="B190" s="92" t="str">
        <f>data!B191</f>
        <v>CZCE</v>
      </c>
      <c r="C190" s="92">
        <f>data!C191</f>
        <v>0</v>
      </c>
      <c r="D190" s="92">
        <f>data!D191</f>
        <v>0</v>
      </c>
      <c r="E190" s="92">
        <f>data!E191</f>
        <v>0.5</v>
      </c>
      <c r="F190" s="92">
        <f>data!F191</f>
        <v>0.5</v>
      </c>
      <c r="G190" s="92">
        <f>data!G191</f>
        <v>1</v>
      </c>
      <c r="H190" s="92">
        <f>data!H191</f>
        <v>3</v>
      </c>
      <c r="I190" s="92"/>
      <c r="J190" s="92"/>
    </row>
    <row r="191" spans="1:13" x14ac:dyDescent="0.25">
      <c r="A191" t="str">
        <f>data!A192</f>
        <v>comment</v>
      </c>
      <c r="B191" t="str">
        <f>data!B192</f>
        <v>投资者结算参数设置</v>
      </c>
    </row>
    <row r="192" spans="1:13" x14ac:dyDescent="0.25">
      <c r="A192" t="str">
        <f>data!A193</f>
        <v>comment</v>
      </c>
      <c r="B192" s="93" t="str">
        <f>data!B193</f>
        <v>投资者代码</v>
      </c>
      <c r="C192" s="93" t="str">
        <f>data!C193</f>
        <v>币种</v>
      </c>
      <c r="D192" s="93" t="str">
        <f>data!D193</f>
        <v>基础保证金</v>
      </c>
      <c r="E192" s="93" t="str">
        <f>data!E193</f>
        <v>最低权益</v>
      </c>
    </row>
    <row r="193" spans="1:5" x14ac:dyDescent="0.25">
      <c r="A193" t="str">
        <f>data!A194</f>
        <v>comment</v>
      </c>
      <c r="B193" s="92" t="str">
        <f>data!B194</f>
        <v>所有</v>
      </c>
      <c r="C193" s="92" t="str">
        <f>data!C194</f>
        <v>CNY</v>
      </c>
      <c r="D193" s="92">
        <f>data!D194</f>
        <v>1000</v>
      </c>
      <c r="E193" s="92">
        <f>data!E194</f>
        <v>2000</v>
      </c>
    </row>
    <row r="194" spans="1:5" x14ac:dyDescent="0.25">
      <c r="A194" t="str">
        <f>data!A195</f>
        <v>comment</v>
      </c>
      <c r="B194" s="92" t="str">
        <f>data!B195</f>
        <v>所有</v>
      </c>
      <c r="C194" s="92" t="str">
        <f>data!C195</f>
        <v>HKD</v>
      </c>
      <c r="D194" s="92">
        <f>data!D195</f>
        <v>0</v>
      </c>
      <c r="E194" s="92">
        <f>data!E195</f>
        <v>0</v>
      </c>
    </row>
    <row r="195" spans="1:5" x14ac:dyDescent="0.25">
      <c r="A195" t="str">
        <f>data!A196</f>
        <v>comment</v>
      </c>
      <c r="B195" s="92" t="str">
        <f>data!B196</f>
        <v>所有</v>
      </c>
      <c r="C195" s="92" t="str">
        <f>data!C196</f>
        <v>USD</v>
      </c>
      <c r="D195" s="92">
        <f>data!D196</f>
        <v>0</v>
      </c>
      <c r="E195" s="92">
        <f>data!E196</f>
        <v>0</v>
      </c>
    </row>
    <row r="196" spans="1:5" x14ac:dyDescent="0.25">
      <c r="A196" t="str">
        <f>data!A197</f>
        <v>comment</v>
      </c>
      <c r="B196" t="str">
        <f>data!B197</f>
        <v>汇率</v>
      </c>
    </row>
    <row r="197" spans="1:5" x14ac:dyDescent="0.25">
      <c r="A197" t="str">
        <f>data!A198</f>
        <v>comment</v>
      </c>
      <c r="B197" s="93" t="s">
        <v>1901</v>
      </c>
      <c r="C197" s="93" t="str">
        <f>data!C198</f>
        <v>CNY-&gt;USD</v>
      </c>
    </row>
    <row r="198" spans="1:5" x14ac:dyDescent="0.25">
      <c r="A198" t="str">
        <f>data!A199</f>
        <v>comment</v>
      </c>
      <c r="B198" s="92">
        <f>data!B199</f>
        <v>6.1234000000000002</v>
      </c>
      <c r="C198" s="92">
        <f>data!C199</f>
        <v>0.13450000000000001</v>
      </c>
    </row>
    <row r="199" spans="1:5" x14ac:dyDescent="0.25">
      <c r="A199" t="str">
        <f>data!A200</f>
        <v>comment</v>
      </c>
      <c r="B199" s="422" t="str">
        <f>data!B200</f>
        <v>HKD-&gt;CNY</v>
      </c>
      <c r="C199" s="93" t="str">
        <f>data!C200</f>
        <v>CNY-&gt;HKD</v>
      </c>
    </row>
    <row r="200" spans="1:5" x14ac:dyDescent="0.25">
      <c r="A200" t="str">
        <f>data!A201</f>
        <v>comment</v>
      </c>
      <c r="B200" s="206">
        <f>data!B201</f>
        <v>0.88200000000000001</v>
      </c>
      <c r="C200" s="92">
        <f>data!C201</f>
        <v>1.1337999999999999</v>
      </c>
    </row>
    <row r="201" spans="1:5" x14ac:dyDescent="0.25">
      <c r="A201" t="str">
        <f>data!A202</f>
        <v>comment</v>
      </c>
      <c r="B201" t="str">
        <f>data!B202</f>
        <v>投资者货币质押折扣率</v>
      </c>
    </row>
    <row r="202" spans="1:5" x14ac:dyDescent="0.25">
      <c r="A202" t="str">
        <f>data!A203</f>
        <v>comment</v>
      </c>
      <c r="B202" s="93" t="str">
        <f>data!B203</f>
        <v>USD-&gt;CNY</v>
      </c>
      <c r="C202" s="93" t="str">
        <f>data!C203</f>
        <v>CNY-&gt;USD</v>
      </c>
    </row>
    <row r="203" spans="1:5" x14ac:dyDescent="0.25">
      <c r="A203" t="str">
        <f>data!A204</f>
        <v>comment</v>
      </c>
      <c r="B203" s="92">
        <f>data!B204</f>
        <v>0.9</v>
      </c>
      <c r="C203" s="92">
        <f>data!C204</f>
        <v>0.95</v>
      </c>
    </row>
    <row r="204" spans="1:5" x14ac:dyDescent="0.25">
      <c r="A204" t="str">
        <f>data!A205</f>
        <v>comment</v>
      </c>
      <c r="B204" s="93" t="str">
        <f>data!B205</f>
        <v>HKD-&gt;CNY</v>
      </c>
      <c r="C204" s="93" t="str">
        <f>data!C205</f>
        <v>CNY-&gt;HKD</v>
      </c>
    </row>
    <row r="205" spans="1:5" x14ac:dyDescent="0.25">
      <c r="A205" t="str">
        <f>data!A206</f>
        <v>comment</v>
      </c>
      <c r="B205" s="92">
        <f>data!B206</f>
        <v>0.9</v>
      </c>
      <c r="C205" s="92">
        <f>data!C206</f>
        <v>0.95</v>
      </c>
    </row>
    <row r="206" spans="1:5" x14ac:dyDescent="0.25">
      <c r="A206" t="str">
        <f>data!A207</f>
        <v>comment</v>
      </c>
      <c r="B206" t="str">
        <f>data!B207</f>
        <v>交易所货币质押折扣率</v>
      </c>
    </row>
    <row r="207" spans="1:5" x14ac:dyDescent="0.25">
      <c r="A207" t="str">
        <f>data!A208</f>
        <v>comment</v>
      </c>
      <c r="B207" s="93" t="str">
        <f>data!B208</f>
        <v>USD-&gt;CNY</v>
      </c>
      <c r="C207" s="93" t="str">
        <f>data!C208</f>
        <v>CNY-&gt;USD</v>
      </c>
    </row>
    <row r="208" spans="1:5" x14ac:dyDescent="0.25">
      <c r="A208" t="str">
        <f>data!A209</f>
        <v>comment</v>
      </c>
      <c r="B208" s="92">
        <f>data!B209</f>
        <v>0.8</v>
      </c>
      <c r="C208" s="92">
        <f>data!C209</f>
        <v>0.85</v>
      </c>
    </row>
    <row r="209" spans="1:3" x14ac:dyDescent="0.25">
      <c r="A209" t="str">
        <f>data!A210</f>
        <v>comment</v>
      </c>
      <c r="B209" s="93" t="str">
        <f>data!B210</f>
        <v>HKD-&gt;CNY</v>
      </c>
      <c r="C209" s="93" t="str">
        <f>data!C210</f>
        <v>CNY-&gt;HKD</v>
      </c>
    </row>
    <row r="210" spans="1:3" x14ac:dyDescent="0.25">
      <c r="A210" t="str">
        <f>data!A211</f>
        <v>comment</v>
      </c>
      <c r="B210" s="92">
        <f>data!B211</f>
        <v>0.8</v>
      </c>
      <c r="C210" s="92">
        <f>data!C211</f>
        <v>0.85</v>
      </c>
    </row>
    <row r="211" spans="1:3" s="509" customFormat="1" x14ac:dyDescent="0.25">
      <c r="A211" s="4" t="str">
        <f>data!A209</f>
        <v>comment</v>
      </c>
      <c r="B211" s="197" t="s">
        <v>2023</v>
      </c>
      <c r="C211" s="126"/>
    </row>
    <row r="212" spans="1:3" s="509" customFormat="1" x14ac:dyDescent="0.25">
      <c r="A212" s="348" t="s">
        <v>970</v>
      </c>
      <c r="B212" s="348" t="s">
        <v>1621</v>
      </c>
      <c r="C212" s="126"/>
    </row>
    <row r="213" spans="1:3" s="509" customFormat="1" x14ac:dyDescent="0.25">
      <c r="A213" s="348" t="s">
        <v>1095</v>
      </c>
      <c r="B213" s="360" t="s">
        <v>1622</v>
      </c>
      <c r="C213" s="126"/>
    </row>
    <row r="214" spans="1:3" s="509" customFormat="1" x14ac:dyDescent="0.25">
      <c r="A214" s="348"/>
      <c r="B214" s="520" t="s">
        <v>2025</v>
      </c>
      <c r="C214" s="126"/>
    </row>
    <row r="215" spans="1:3" s="1" customFormat="1" x14ac:dyDescent="0.25">
      <c r="A215" s="224" t="s">
        <v>124</v>
      </c>
      <c r="B215" s="92" t="s">
        <v>1347</v>
      </c>
      <c r="C215" s="92"/>
    </row>
    <row r="216" spans="1:3" s="1" customFormat="1" x14ac:dyDescent="0.25">
      <c r="A216" s="224" t="s">
        <v>306</v>
      </c>
      <c r="B216" s="131" t="s">
        <v>1349</v>
      </c>
      <c r="C216" s="92"/>
    </row>
    <row r="217" spans="1:3" s="1" customFormat="1" ht="75.599999999999994" customHeight="1" x14ac:dyDescent="0.25">
      <c r="A217" s="92"/>
      <c r="B217" s="226" t="s">
        <v>2044</v>
      </c>
      <c r="C217" s="92"/>
    </row>
    <row r="218" spans="1:3" s="1" customFormat="1" x14ac:dyDescent="0.25">
      <c r="A218" s="224" t="s">
        <v>1350</v>
      </c>
      <c r="B218" s="131" t="s">
        <v>1559</v>
      </c>
      <c r="C218" s="131"/>
    </row>
    <row r="219" spans="1:3" s="1" customFormat="1" x14ac:dyDescent="0.25">
      <c r="A219" s="92"/>
      <c r="B219" s="225">
        <v>1</v>
      </c>
      <c r="C219" s="225"/>
    </row>
    <row r="220" spans="1:3" s="1" customFormat="1" x14ac:dyDescent="0.25">
      <c r="A220" s="224" t="s">
        <v>124</v>
      </c>
      <c r="B220" s="92" t="s">
        <v>1347</v>
      </c>
      <c r="C220" s="92"/>
    </row>
    <row r="221" spans="1:3" s="1" customFormat="1" x14ac:dyDescent="0.25">
      <c r="A221" s="224" t="s">
        <v>306</v>
      </c>
      <c r="B221" s="131" t="s">
        <v>1349</v>
      </c>
      <c r="C221" s="92"/>
    </row>
    <row r="222" spans="1:3" s="1" customFormat="1" ht="72.599999999999994" customHeight="1" x14ac:dyDescent="0.25">
      <c r="A222" s="92"/>
      <c r="B222" s="226" t="s">
        <v>2045</v>
      </c>
      <c r="C222" s="92"/>
    </row>
    <row r="223" spans="1:3" s="1" customFormat="1" x14ac:dyDescent="0.25">
      <c r="A223" s="224" t="s">
        <v>1350</v>
      </c>
      <c r="B223" s="131" t="s">
        <v>1559</v>
      </c>
      <c r="C223" s="131"/>
    </row>
    <row r="224" spans="1:3" s="1" customFormat="1" x14ac:dyDescent="0.25">
      <c r="A224" s="92"/>
      <c r="B224" s="225">
        <v>1</v>
      </c>
      <c r="C224" s="225"/>
    </row>
    <row r="225" spans="1:42" x14ac:dyDescent="0.25">
      <c r="A225" t="s">
        <v>173</v>
      </c>
      <c r="B225" s="36" t="s">
        <v>13</v>
      </c>
      <c r="C225" s="2"/>
      <c r="D225" s="2"/>
      <c r="E225" s="2"/>
      <c r="F225" s="2"/>
      <c r="G225" s="2"/>
      <c r="H225" s="2"/>
      <c r="I225" s="137"/>
      <c r="J225" s="2"/>
    </row>
    <row r="226" spans="1:42" x14ac:dyDescent="0.25">
      <c r="A226" s="57" t="s">
        <v>124</v>
      </c>
      <c r="B226" s="9" t="s">
        <v>1558</v>
      </c>
      <c r="C226" s="2"/>
      <c r="D226" s="2"/>
      <c r="E226" s="2"/>
      <c r="F226" s="2"/>
      <c r="G226" s="2"/>
      <c r="H226" s="2"/>
      <c r="I226" s="137"/>
      <c r="J226" s="2"/>
    </row>
    <row r="227" spans="1:42" x14ac:dyDescent="0.25">
      <c r="A227" s="57" t="s">
        <v>306</v>
      </c>
      <c r="B227" s="704" t="s">
        <v>1530</v>
      </c>
      <c r="C227" s="705"/>
      <c r="D227" s="706"/>
      <c r="E227" s="706"/>
      <c r="F227" s="706"/>
      <c r="G227" s="706"/>
      <c r="H227" s="706"/>
      <c r="I227" s="706"/>
      <c r="J227" s="706"/>
      <c r="K227" s="706"/>
    </row>
    <row r="228" spans="1:42" x14ac:dyDescent="0.25">
      <c r="A228" t="s">
        <v>1538</v>
      </c>
      <c r="B228" s="93" t="s">
        <v>5</v>
      </c>
      <c r="C228" s="93" t="s">
        <v>52</v>
      </c>
      <c r="D228" s="93" t="s">
        <v>12</v>
      </c>
      <c r="E228" s="93" t="s">
        <v>13</v>
      </c>
      <c r="F228" s="93" t="s">
        <v>987</v>
      </c>
      <c r="G228" s="93" t="s">
        <v>988</v>
      </c>
      <c r="H228" s="93" t="s">
        <v>984</v>
      </c>
      <c r="I228" s="93" t="s">
        <v>985</v>
      </c>
      <c r="J228" s="93" t="s">
        <v>365</v>
      </c>
      <c r="K228" s="93" t="s">
        <v>843</v>
      </c>
    </row>
    <row r="229" spans="1:42" x14ac:dyDescent="0.25">
      <c r="B229" s="93" t="s">
        <v>327</v>
      </c>
      <c r="C229" s="93" t="s">
        <v>328</v>
      </c>
      <c r="D229" s="93" t="s">
        <v>1590</v>
      </c>
      <c r="E229" s="93" t="s">
        <v>1540</v>
      </c>
      <c r="F229" s="93" t="s">
        <v>987</v>
      </c>
      <c r="G229" s="93" t="s">
        <v>988</v>
      </c>
      <c r="H229" s="93" t="s">
        <v>366</v>
      </c>
      <c r="I229" s="93" t="s">
        <v>983</v>
      </c>
      <c r="J229" s="93" t="s">
        <v>325</v>
      </c>
      <c r="K229" s="93" t="s">
        <v>346</v>
      </c>
    </row>
    <row r="230" spans="1:42" x14ac:dyDescent="0.25">
      <c r="B230" s="8" t="str">
        <f>$B$190</f>
        <v>CZCE</v>
      </c>
      <c r="C230" s="138" t="str">
        <f t="shared" ref="C230:C242" si="0">C19</f>
        <v>SR807</v>
      </c>
      <c r="D230" s="138">
        <f>'day1'!E237</f>
        <v>6150</v>
      </c>
      <c r="E230" s="138">
        <v>6155</v>
      </c>
      <c r="F230" s="92"/>
      <c r="G230" s="138"/>
      <c r="H230" s="92">
        <v>0</v>
      </c>
      <c r="I230" s="92">
        <v>0</v>
      </c>
      <c r="J230" s="92">
        <f>$B$2</f>
        <v>20180327</v>
      </c>
      <c r="K230" s="92" t="str">
        <f>C362</f>
        <v>9999</v>
      </c>
    </row>
    <row r="231" spans="1:42" x14ac:dyDescent="0.25">
      <c r="B231" s="8" t="str">
        <f t="shared" ref="B231:B242" si="1">$B$190</f>
        <v>CZCE</v>
      </c>
      <c r="C231" s="138" t="str">
        <f t="shared" si="0"/>
        <v>SR809</v>
      </c>
      <c r="D231" s="138">
        <f>'day1'!E238</f>
        <v>6155</v>
      </c>
      <c r="E231" s="138">
        <v>6156</v>
      </c>
      <c r="F231" s="92"/>
      <c r="G231" s="138"/>
      <c r="H231" s="92">
        <v>0</v>
      </c>
      <c r="I231" s="92">
        <v>0</v>
      </c>
      <c r="J231" s="92">
        <f t="shared" ref="J231:J242" si="2">$B$2</f>
        <v>20180327</v>
      </c>
      <c r="K231" s="92" t="str">
        <f t="shared" ref="K231:K242" si="3">$F$5</f>
        <v>9999</v>
      </c>
    </row>
    <row r="232" spans="1:42" x14ac:dyDescent="0.25">
      <c r="B232" s="8" t="str">
        <f t="shared" si="1"/>
        <v>CZCE</v>
      </c>
      <c r="C232" s="138" t="str">
        <f t="shared" si="0"/>
        <v>OI811</v>
      </c>
      <c r="D232" s="138">
        <f>'day1'!E239</f>
        <v>6160</v>
      </c>
      <c r="E232" s="138">
        <v>6165</v>
      </c>
      <c r="F232" s="92"/>
      <c r="G232" s="138"/>
      <c r="H232" s="92">
        <v>0</v>
      </c>
      <c r="I232" s="92">
        <v>0</v>
      </c>
      <c r="J232" s="92">
        <f t="shared" si="2"/>
        <v>20180327</v>
      </c>
      <c r="K232" s="92" t="str">
        <f t="shared" si="3"/>
        <v>9999</v>
      </c>
    </row>
    <row r="233" spans="1:42" x14ac:dyDescent="0.25">
      <c r="B233" s="8" t="str">
        <f t="shared" si="1"/>
        <v>CZCE</v>
      </c>
      <c r="C233" s="138" t="str">
        <f t="shared" si="0"/>
        <v>PTA807</v>
      </c>
      <c r="D233" s="138">
        <f>'day1'!E240</f>
        <v>6165</v>
      </c>
      <c r="E233" s="138">
        <v>6160</v>
      </c>
      <c r="F233" s="92"/>
      <c r="G233" s="138"/>
      <c r="H233" s="92">
        <v>0</v>
      </c>
      <c r="I233" s="92">
        <v>0</v>
      </c>
      <c r="J233" s="92">
        <f t="shared" si="2"/>
        <v>20180327</v>
      </c>
      <c r="K233" s="92" t="str">
        <f t="shared" si="3"/>
        <v>9999</v>
      </c>
    </row>
    <row r="234" spans="1:42" x14ac:dyDescent="0.25">
      <c r="B234" s="8" t="str">
        <f t="shared" si="1"/>
        <v>CZCE</v>
      </c>
      <c r="C234" s="138" t="str">
        <f t="shared" si="0"/>
        <v>PTA809</v>
      </c>
      <c r="D234" s="138">
        <f>'day1'!E241</f>
        <v>6170</v>
      </c>
      <c r="E234" s="139">
        <v>6165</v>
      </c>
      <c r="F234" s="8"/>
      <c r="G234" s="138"/>
      <c r="H234" s="92">
        <v>0</v>
      </c>
      <c r="I234" s="92">
        <v>0</v>
      </c>
      <c r="J234" s="92">
        <f t="shared" si="2"/>
        <v>20180327</v>
      </c>
      <c r="K234" s="92" t="str">
        <f t="shared" si="3"/>
        <v>9999</v>
      </c>
    </row>
    <row r="235" spans="1:42" x14ac:dyDescent="0.25">
      <c r="B235" s="8" t="str">
        <f t="shared" si="1"/>
        <v>CZCE</v>
      </c>
      <c r="C235" s="138" t="str">
        <f t="shared" si="0"/>
        <v>PTA807C6500</v>
      </c>
      <c r="D235" s="138">
        <f>'day1'!E242</f>
        <v>600</v>
      </c>
      <c r="E235" s="139">
        <v>580</v>
      </c>
      <c r="F235" s="8">
        <f t="shared" ref="F235:F242" si="4">VLOOKUP(C235,$C$19:$L$31,8,FALSE)</f>
        <v>6500</v>
      </c>
      <c r="G235" s="138">
        <f>E233</f>
        <v>6160</v>
      </c>
      <c r="H235" s="92">
        <v>0</v>
      </c>
      <c r="I235" s="92">
        <v>0</v>
      </c>
      <c r="J235" s="92">
        <f t="shared" si="2"/>
        <v>20180327</v>
      </c>
      <c r="K235" s="92" t="str">
        <f t="shared" si="3"/>
        <v>9999</v>
      </c>
    </row>
    <row r="236" spans="1:42" x14ac:dyDescent="0.25">
      <c r="B236" s="8" t="str">
        <f t="shared" si="1"/>
        <v>CZCE</v>
      </c>
      <c r="C236" s="138" t="str">
        <f t="shared" si="0"/>
        <v>PTA807P6200</v>
      </c>
      <c r="D236" s="138">
        <f>'day1'!E243</f>
        <v>605</v>
      </c>
      <c r="E236" s="139">
        <v>600</v>
      </c>
      <c r="F236" s="8">
        <f t="shared" si="4"/>
        <v>6200</v>
      </c>
      <c r="G236" s="138">
        <f>G235</f>
        <v>6160</v>
      </c>
      <c r="H236" s="92">
        <v>0</v>
      </c>
      <c r="I236" s="92">
        <v>0</v>
      </c>
      <c r="J236" s="92">
        <f t="shared" si="2"/>
        <v>20180327</v>
      </c>
      <c r="K236" s="92" t="str">
        <f t="shared" si="3"/>
        <v>9999</v>
      </c>
    </row>
    <row r="237" spans="1:42" x14ac:dyDescent="0.25">
      <c r="B237" s="8" t="str">
        <f t="shared" si="1"/>
        <v>CZCE</v>
      </c>
      <c r="C237" s="138" t="str">
        <f t="shared" si="0"/>
        <v>PTA807P6500</v>
      </c>
      <c r="D237" s="138">
        <f>'day1'!E244</f>
        <v>610</v>
      </c>
      <c r="E237" s="139">
        <v>620</v>
      </c>
      <c r="F237" s="8">
        <f t="shared" si="4"/>
        <v>6500</v>
      </c>
      <c r="G237" s="138">
        <f>G235</f>
        <v>6160</v>
      </c>
      <c r="H237" s="92">
        <v>0</v>
      </c>
      <c r="I237" s="92">
        <v>0</v>
      </c>
      <c r="J237" s="92">
        <f t="shared" si="2"/>
        <v>20180327</v>
      </c>
      <c r="K237" s="92" t="str">
        <f t="shared" si="3"/>
        <v>9999</v>
      </c>
    </row>
    <row r="238" spans="1:42" x14ac:dyDescent="0.25">
      <c r="B238" s="8" t="str">
        <f t="shared" si="1"/>
        <v>CZCE</v>
      </c>
      <c r="C238" s="138" t="str">
        <f t="shared" si="0"/>
        <v>SR807C6500</v>
      </c>
      <c r="D238" s="138">
        <f>'day1'!E245</f>
        <v>615</v>
      </c>
      <c r="E238" s="8">
        <v>610</v>
      </c>
      <c r="F238" s="8">
        <f t="shared" si="4"/>
        <v>6500</v>
      </c>
      <c r="G238" s="138">
        <f>E230</f>
        <v>6155</v>
      </c>
      <c r="H238" s="92">
        <v>0</v>
      </c>
      <c r="I238" s="92">
        <v>0</v>
      </c>
      <c r="J238" s="92">
        <f t="shared" si="2"/>
        <v>20180327</v>
      </c>
      <c r="K238" s="92" t="str">
        <f t="shared" si="3"/>
        <v>9999</v>
      </c>
    </row>
    <row r="239" spans="1:42" x14ac:dyDescent="0.25">
      <c r="B239" s="8" t="str">
        <f t="shared" si="1"/>
        <v>CZCE</v>
      </c>
      <c r="C239" s="138" t="str">
        <f t="shared" si="0"/>
        <v>SR807P6500</v>
      </c>
      <c r="D239" s="138">
        <f>'day1'!E246</f>
        <v>620</v>
      </c>
      <c r="E239" s="8">
        <v>615</v>
      </c>
      <c r="F239" s="8">
        <f t="shared" si="4"/>
        <v>6500</v>
      </c>
      <c r="G239" s="138">
        <f>G238</f>
        <v>6155</v>
      </c>
      <c r="H239" s="92">
        <v>0</v>
      </c>
      <c r="I239" s="92">
        <v>0</v>
      </c>
      <c r="J239" s="92">
        <f t="shared" si="2"/>
        <v>20180327</v>
      </c>
      <c r="K239" s="92" t="str">
        <f t="shared" si="3"/>
        <v>9999</v>
      </c>
    </row>
    <row r="240" spans="1:42" x14ac:dyDescent="0.25">
      <c r="B240" s="8" t="str">
        <f t="shared" si="1"/>
        <v>CZCE</v>
      </c>
      <c r="C240" s="138" t="str">
        <f t="shared" si="0"/>
        <v>SR807P6400</v>
      </c>
      <c r="D240" s="138">
        <f>'day1'!E247</f>
        <v>625</v>
      </c>
      <c r="E240" s="8">
        <v>620</v>
      </c>
      <c r="F240" s="8">
        <f t="shared" si="4"/>
        <v>6400</v>
      </c>
      <c r="G240" s="138">
        <f>G238</f>
        <v>6155</v>
      </c>
      <c r="H240" s="92">
        <v>0</v>
      </c>
      <c r="I240" s="92">
        <v>0</v>
      </c>
      <c r="J240" s="92">
        <f t="shared" si="2"/>
        <v>20180327</v>
      </c>
      <c r="K240" s="92" t="str">
        <f t="shared" si="3"/>
        <v>9999</v>
      </c>
      <c r="W240" s="18"/>
      <c r="X240" s="6"/>
      <c r="Y240" s="6"/>
      <c r="Z240" s="6"/>
      <c r="AA240" s="6"/>
      <c r="AB240" s="6"/>
      <c r="AC240" s="6"/>
      <c r="AD240" s="6"/>
      <c r="AE240" s="6"/>
      <c r="AF240" s="6"/>
      <c r="AG240" s="6"/>
      <c r="AH240" s="6"/>
      <c r="AI240" s="6"/>
      <c r="AJ240" s="6"/>
      <c r="AK240" s="6"/>
      <c r="AL240" s="6"/>
      <c r="AM240" s="6"/>
      <c r="AN240" s="6"/>
      <c r="AO240" s="6"/>
      <c r="AP240" s="6"/>
    </row>
    <row r="241" spans="1:44" s="451" customFormat="1" x14ac:dyDescent="0.25">
      <c r="B241" s="8" t="str">
        <f t="shared" si="1"/>
        <v>CZCE</v>
      </c>
      <c r="C241" s="138" t="str">
        <f t="shared" si="0"/>
        <v>SR809C6600</v>
      </c>
      <c r="D241" s="138">
        <f>'day1'!E248</f>
        <v>645</v>
      </c>
      <c r="E241" s="8">
        <v>640</v>
      </c>
      <c r="F241" s="8">
        <f t="shared" si="4"/>
        <v>6600</v>
      </c>
      <c r="G241" s="138">
        <f>E231</f>
        <v>6156</v>
      </c>
      <c r="H241" s="92">
        <v>0</v>
      </c>
      <c r="I241" s="92">
        <v>0</v>
      </c>
      <c r="J241" s="92">
        <f t="shared" si="2"/>
        <v>20180327</v>
      </c>
      <c r="K241" s="92" t="str">
        <f t="shared" si="3"/>
        <v>9999</v>
      </c>
      <c r="W241" s="18"/>
      <c r="X241" s="6"/>
      <c r="Y241" s="6"/>
      <c r="Z241" s="6"/>
      <c r="AA241" s="6"/>
      <c r="AB241" s="6"/>
      <c r="AC241" s="6"/>
      <c r="AD241" s="6"/>
      <c r="AE241" s="6"/>
      <c r="AF241" s="6"/>
      <c r="AG241" s="6"/>
      <c r="AH241" s="6"/>
      <c r="AI241" s="6"/>
      <c r="AJ241" s="6"/>
      <c r="AK241" s="6"/>
      <c r="AL241" s="6"/>
      <c r="AM241" s="6"/>
      <c r="AN241" s="6"/>
      <c r="AO241" s="6"/>
      <c r="AP241" s="6"/>
    </row>
    <row r="242" spans="1:44" x14ac:dyDescent="0.25">
      <c r="B242" s="8" t="str">
        <f t="shared" si="1"/>
        <v>CZCE</v>
      </c>
      <c r="C242" s="138" t="str">
        <f t="shared" si="0"/>
        <v>SR809C6500</v>
      </c>
      <c r="D242" s="138">
        <f>'day1'!E249</f>
        <v>630</v>
      </c>
      <c r="E242" s="8">
        <v>635</v>
      </c>
      <c r="F242" s="8">
        <f t="shared" si="4"/>
        <v>6500</v>
      </c>
      <c r="G242" s="138">
        <f>E231</f>
        <v>6156</v>
      </c>
      <c r="H242" s="92">
        <v>0</v>
      </c>
      <c r="I242" s="92">
        <v>0</v>
      </c>
      <c r="J242" s="92">
        <f t="shared" si="2"/>
        <v>20180327</v>
      </c>
      <c r="K242" s="92" t="str">
        <f t="shared" si="3"/>
        <v>9999</v>
      </c>
      <c r="W242" s="6"/>
      <c r="X242" s="6"/>
      <c r="Y242" s="6"/>
      <c r="Z242" s="6"/>
      <c r="AA242" s="6"/>
      <c r="AB242" s="6"/>
      <c r="AC242" s="6"/>
      <c r="AD242" s="6"/>
      <c r="AE242" s="6"/>
      <c r="AF242" s="6"/>
      <c r="AG242" s="6"/>
      <c r="AH242" s="6"/>
      <c r="AI242" s="6"/>
      <c r="AJ242" s="6"/>
      <c r="AK242" s="6"/>
      <c r="AL242" s="6"/>
      <c r="AM242" s="6"/>
      <c r="AN242" s="6"/>
      <c r="AO242" s="6"/>
      <c r="AP242" s="6"/>
    </row>
    <row r="243" spans="1:44" s="509" customFormat="1" x14ac:dyDescent="0.25">
      <c r="A243" s="218" t="s">
        <v>1674</v>
      </c>
      <c r="B243" s="359" t="s">
        <v>1620</v>
      </c>
      <c r="C243" s="138"/>
      <c r="D243" s="138"/>
      <c r="E243" s="8"/>
      <c r="F243" s="8"/>
      <c r="G243" s="138"/>
      <c r="H243" s="92"/>
      <c r="I243" s="92"/>
      <c r="J243" s="92"/>
      <c r="K243" s="92"/>
      <c r="W243" s="6"/>
      <c r="X243" s="6"/>
      <c r="Y243" s="6"/>
      <c r="Z243" s="6"/>
      <c r="AA243" s="6"/>
      <c r="AB243" s="6"/>
      <c r="AC243" s="6"/>
      <c r="AD243" s="6"/>
      <c r="AE243" s="6"/>
      <c r="AF243" s="6"/>
      <c r="AG243" s="6"/>
      <c r="AH243" s="6"/>
      <c r="AI243" s="6"/>
      <c r="AJ243" s="6"/>
      <c r="AK243" s="6"/>
      <c r="AL243" s="6"/>
      <c r="AM243" s="6"/>
      <c r="AN243" s="6"/>
      <c r="AO243" s="6"/>
      <c r="AP243" s="6"/>
    </row>
    <row r="244" spans="1:44" s="509" customFormat="1" x14ac:dyDescent="0.25">
      <c r="A244" s="348" t="s">
        <v>970</v>
      </c>
      <c r="B244" s="348" t="s">
        <v>1621</v>
      </c>
      <c r="C244" s="138"/>
      <c r="D244" s="138"/>
      <c r="E244" s="8"/>
      <c r="F244" s="8"/>
      <c r="G244" s="138"/>
      <c r="H244" s="92"/>
      <c r="I244" s="92"/>
      <c r="J244" s="92"/>
      <c r="K244" s="92"/>
      <c r="W244" s="6"/>
      <c r="X244" s="6"/>
      <c r="Y244" s="6"/>
      <c r="Z244" s="6"/>
      <c r="AA244" s="6"/>
      <c r="AB244" s="6"/>
      <c r="AC244" s="6"/>
      <c r="AD244" s="6"/>
      <c r="AE244" s="6"/>
      <c r="AF244" s="6"/>
      <c r="AG244" s="6"/>
      <c r="AH244" s="6"/>
      <c r="AI244" s="6"/>
      <c r="AJ244" s="6"/>
      <c r="AK244" s="6"/>
      <c r="AL244" s="6"/>
      <c r="AM244" s="6"/>
      <c r="AN244" s="6"/>
      <c r="AO244" s="6"/>
      <c r="AP244" s="6"/>
    </row>
    <row r="245" spans="1:44" s="509" customFormat="1" x14ac:dyDescent="0.25">
      <c r="A245" s="348" t="s">
        <v>1095</v>
      </c>
      <c r="B245" s="360" t="s">
        <v>1622</v>
      </c>
      <c r="C245" s="138"/>
      <c r="D245" s="138"/>
      <c r="E245" s="8"/>
      <c r="F245" s="8"/>
      <c r="G245" s="138"/>
      <c r="H245" s="92"/>
      <c r="I245" s="92"/>
      <c r="J245" s="92"/>
      <c r="K245" s="92"/>
      <c r="W245" s="6"/>
      <c r="X245" s="6"/>
      <c r="Y245" s="6"/>
      <c r="Z245" s="6"/>
      <c r="AA245" s="6"/>
      <c r="AB245" s="6"/>
      <c r="AC245" s="6"/>
      <c r="AD245" s="6"/>
      <c r="AE245" s="6"/>
      <c r="AF245" s="6"/>
      <c r="AG245" s="6"/>
      <c r="AH245" s="6"/>
      <c r="AI245" s="6"/>
      <c r="AJ245" s="6"/>
      <c r="AK245" s="6"/>
      <c r="AL245" s="6"/>
      <c r="AM245" s="6"/>
      <c r="AN245" s="6"/>
      <c r="AO245" s="6"/>
      <c r="AP245" s="6"/>
    </row>
    <row r="246" spans="1:44" x14ac:dyDescent="0.25">
      <c r="A246" s="348"/>
      <c r="B246" s="520" t="s">
        <v>1748</v>
      </c>
      <c r="C246" s="138"/>
      <c r="D246" s="8"/>
      <c r="E246" s="8"/>
      <c r="F246" s="8"/>
      <c r="G246" s="138"/>
      <c r="H246" s="92"/>
      <c r="I246" s="92"/>
      <c r="J246" s="92"/>
      <c r="K246" s="92"/>
      <c r="W246" s="6"/>
      <c r="X246" s="6"/>
      <c r="Y246" s="6"/>
      <c r="Z246" s="6"/>
      <c r="AA246" s="6"/>
      <c r="AB246" s="6"/>
      <c r="AC246" s="6"/>
      <c r="AD246" s="6"/>
      <c r="AE246" s="6"/>
      <c r="AF246" s="6"/>
      <c r="AG246" s="6"/>
      <c r="AH246" s="6"/>
      <c r="AI246" s="6"/>
      <c r="AJ246" s="6"/>
      <c r="AK246" s="6"/>
      <c r="AL246" s="6"/>
      <c r="AM246" s="6"/>
      <c r="AN246" s="6"/>
      <c r="AO246" s="6"/>
      <c r="AP246" s="6"/>
    </row>
    <row r="247" spans="1:44" s="664" customFormat="1" ht="15.6" customHeight="1" x14ac:dyDescent="0.25">
      <c r="A247" s="566"/>
      <c r="B247" s="674"/>
      <c r="C247" s="138"/>
      <c r="D247" s="8"/>
      <c r="E247" s="8"/>
      <c r="F247" s="8"/>
      <c r="G247" s="138"/>
      <c r="H247" s="92"/>
      <c r="I247" s="92"/>
      <c r="J247" s="92"/>
      <c r="K247" s="92"/>
      <c r="W247" s="6"/>
      <c r="X247" s="6"/>
      <c r="Y247" s="6"/>
      <c r="Z247" s="6"/>
      <c r="AA247" s="6"/>
      <c r="AB247" s="6"/>
      <c r="AC247" s="6"/>
      <c r="AD247" s="6"/>
      <c r="AE247" s="6"/>
      <c r="AF247" s="6"/>
      <c r="AG247" s="6"/>
      <c r="AH247" s="6"/>
      <c r="AI247" s="6"/>
      <c r="AJ247" s="6"/>
      <c r="AK247" s="6"/>
      <c r="AL247" s="6"/>
      <c r="AM247" s="6"/>
      <c r="AN247" s="6"/>
      <c r="AO247" s="6"/>
      <c r="AP247" s="6"/>
    </row>
    <row r="248" spans="1:44" x14ac:dyDescent="0.25">
      <c r="A248" s="92" t="s">
        <v>173</v>
      </c>
      <c r="B248" s="714" t="s">
        <v>1602</v>
      </c>
      <c r="C248" s="714"/>
      <c r="D248" s="714"/>
      <c r="E248" s="714"/>
      <c r="F248" s="210"/>
      <c r="G248" s="209"/>
      <c r="H248" s="209"/>
      <c r="I248" s="209"/>
      <c r="J248" s="209"/>
      <c r="K248" s="209"/>
      <c r="L248" s="209"/>
      <c r="M248" s="212"/>
      <c r="N248" s="211"/>
      <c r="O248" s="211"/>
      <c r="P248" s="211"/>
      <c r="Q248" s="211"/>
      <c r="R248" s="211"/>
      <c r="S248" s="211"/>
      <c r="T248" s="211"/>
      <c r="U248" s="212"/>
      <c r="V248" s="212"/>
      <c r="W248" s="211"/>
      <c r="X248" s="211"/>
      <c r="Y248" s="211"/>
      <c r="Z248" s="211"/>
      <c r="AA248" s="211"/>
      <c r="AB248" s="211"/>
      <c r="AC248" s="188"/>
      <c r="AD248" s="167"/>
      <c r="AE248" s="167"/>
      <c r="AF248" s="167"/>
      <c r="AG248" s="167"/>
      <c r="AH248" s="167"/>
      <c r="AI248" s="167"/>
      <c r="AJ248" s="6"/>
      <c r="AK248" s="6"/>
      <c r="AL248" s="6"/>
      <c r="AM248" s="6"/>
      <c r="AN248" s="6"/>
      <c r="AO248" s="6"/>
    </row>
    <row r="249" spans="1:44" x14ac:dyDescent="0.25">
      <c r="A249" s="170" t="s">
        <v>1502</v>
      </c>
      <c r="B249" s="348" t="s">
        <v>1603</v>
      </c>
      <c r="C249" s="347"/>
      <c r="D249" s="92"/>
      <c r="E249" s="92"/>
      <c r="F249" s="210"/>
      <c r="G249" s="209"/>
      <c r="H249" s="209"/>
      <c r="I249" s="209"/>
      <c r="J249" s="209"/>
      <c r="K249" s="209"/>
      <c r="L249" s="209"/>
      <c r="M249" s="212"/>
      <c r="N249" s="211"/>
      <c r="O249" s="211"/>
      <c r="P249" s="211"/>
      <c r="Q249" s="211"/>
      <c r="R249" s="211"/>
      <c r="S249" s="211"/>
      <c r="T249" s="211"/>
      <c r="U249" s="212"/>
      <c r="V249" s="212"/>
      <c r="W249" s="211"/>
      <c r="X249" s="211"/>
      <c r="Y249" s="211"/>
      <c r="Z249" s="211"/>
      <c r="AA249" s="211"/>
      <c r="AB249" s="211"/>
      <c r="AC249" s="188"/>
      <c r="AD249" s="167"/>
      <c r="AE249" s="167"/>
      <c r="AF249" s="167"/>
      <c r="AG249" s="167"/>
      <c r="AH249" s="167"/>
      <c r="AI249" s="167"/>
      <c r="AJ249" s="6"/>
      <c r="AK249" s="6"/>
      <c r="AL249" s="6"/>
      <c r="AM249" s="6"/>
      <c r="AN249" s="6"/>
      <c r="AO249" s="6"/>
    </row>
    <row r="250" spans="1:44" x14ac:dyDescent="0.25">
      <c r="A250" s="170" t="s">
        <v>1503</v>
      </c>
      <c r="B250" s="172" t="s">
        <v>1504</v>
      </c>
      <c r="C250" s="172" t="s">
        <v>1604</v>
      </c>
      <c r="D250" s="172" t="s">
        <v>1605</v>
      </c>
      <c r="E250" s="172" t="s">
        <v>1606</v>
      </c>
      <c r="F250" s="172" t="s">
        <v>1607</v>
      </c>
      <c r="G250" s="209"/>
      <c r="H250" s="209"/>
      <c r="I250" s="209"/>
      <c r="J250" s="209"/>
      <c r="K250" s="209"/>
      <c r="L250" s="209"/>
      <c r="M250" s="212"/>
      <c r="N250" s="211"/>
      <c r="O250" s="211"/>
      <c r="P250" s="211"/>
      <c r="Q250" s="211"/>
      <c r="R250" s="211"/>
      <c r="S250" s="211"/>
      <c r="T250" s="211"/>
      <c r="U250" s="212"/>
      <c r="V250" s="212"/>
      <c r="W250" s="211"/>
      <c r="X250" s="211"/>
      <c r="Y250" s="211"/>
      <c r="Z250" s="211"/>
      <c r="AA250" s="211"/>
      <c r="AB250" s="211"/>
      <c r="AC250" s="188"/>
      <c r="AD250" s="167"/>
      <c r="AE250" s="167"/>
      <c r="AF250" s="167"/>
      <c r="AG250" s="167"/>
      <c r="AH250" s="167"/>
      <c r="AI250" s="167"/>
      <c r="AJ250" s="6"/>
      <c r="AK250" s="6"/>
      <c r="AL250" s="6"/>
      <c r="AM250" s="6"/>
      <c r="AN250" s="6"/>
      <c r="AO250" s="6"/>
    </row>
    <row r="251" spans="1:44" x14ac:dyDescent="0.25">
      <c r="A251" s="170"/>
      <c r="B251" s="526" t="s">
        <v>1944</v>
      </c>
      <c r="C251" s="213">
        <f>$B$2</f>
        <v>20180327</v>
      </c>
      <c r="D251" s="213" t="str">
        <f>$F$5</f>
        <v>9999</v>
      </c>
      <c r="E251" s="213" t="str">
        <f>$B$14</f>
        <v>CZCE</v>
      </c>
      <c r="F251" s="350">
        <v>1</v>
      </c>
      <c r="G251" s="209"/>
      <c r="H251" s="209"/>
      <c r="I251" s="209"/>
      <c r="J251" s="209"/>
      <c r="K251" s="209"/>
      <c r="L251" s="209"/>
      <c r="M251" s="212"/>
      <c r="N251" s="211"/>
      <c r="O251" s="211"/>
      <c r="P251" s="211"/>
      <c r="Q251" s="211"/>
      <c r="R251" s="211"/>
      <c r="S251" s="211"/>
      <c r="T251" s="211"/>
      <c r="U251" s="212"/>
      <c r="V251" s="212"/>
      <c r="W251" s="211"/>
      <c r="X251" s="211"/>
      <c r="Y251" s="211"/>
      <c r="Z251" s="211"/>
      <c r="AA251" s="211"/>
      <c r="AB251" s="211"/>
      <c r="AC251" s="188"/>
      <c r="AD251" s="167"/>
      <c r="AE251" s="167"/>
      <c r="AF251" s="167"/>
      <c r="AG251" s="167"/>
      <c r="AH251" s="167"/>
      <c r="AI251" s="167"/>
      <c r="AJ251" s="6"/>
      <c r="AK251" s="6"/>
      <c r="AL251" s="6"/>
      <c r="AM251" s="6"/>
      <c r="AN251" s="6"/>
      <c r="AO251" s="6"/>
    </row>
    <row r="252" spans="1:44" s="6" customFormat="1" x14ac:dyDescent="0.25">
      <c r="A252" s="6" t="s">
        <v>173</v>
      </c>
      <c r="B252" s="195" t="s">
        <v>2141</v>
      </c>
      <c r="C252" s="195"/>
      <c r="D252" s="323"/>
      <c r="E252" s="323"/>
      <c r="F252" s="188"/>
      <c r="G252" s="188"/>
      <c r="H252" s="188"/>
      <c r="I252" s="188"/>
      <c r="J252" s="188"/>
      <c r="K252" s="188"/>
      <c r="L252" s="188"/>
      <c r="M252" s="188"/>
      <c r="N252" s="167"/>
      <c r="O252" s="167"/>
      <c r="P252" s="167"/>
      <c r="Q252" s="167"/>
      <c r="R252" s="167"/>
      <c r="S252" s="167"/>
      <c r="T252" s="167"/>
      <c r="U252" s="167"/>
      <c r="V252" s="182"/>
      <c r="W252" s="167"/>
      <c r="X252" s="167"/>
      <c r="Y252" s="167"/>
      <c r="Z252" s="167"/>
      <c r="AA252" s="167"/>
      <c r="AB252" s="167"/>
      <c r="AC252" s="167"/>
      <c r="AD252" s="167"/>
      <c r="AE252" s="167"/>
      <c r="AF252" s="167"/>
      <c r="AG252" s="167"/>
      <c r="AH252" s="167"/>
      <c r="AI252" s="167"/>
      <c r="AJ252" s="167"/>
    </row>
    <row r="253" spans="1:44" s="664" customFormat="1" hidden="1" x14ac:dyDescent="0.25">
      <c r="A253" s="323" t="s">
        <v>173</v>
      </c>
      <c r="B253" s="4" t="s">
        <v>124</v>
      </c>
      <c r="C253" s="203" t="s">
        <v>1581</v>
      </c>
      <c r="D253" s="204"/>
      <c r="E253" s="204"/>
      <c r="F253" s="204"/>
      <c r="G253" s="188"/>
      <c r="H253" s="188"/>
      <c r="I253" s="188"/>
      <c r="J253" s="188"/>
      <c r="K253" s="188"/>
      <c r="L253" s="188"/>
      <c r="M253" s="188"/>
      <c r="N253" s="188"/>
      <c r="O253" s="167"/>
      <c r="P253" s="167"/>
      <c r="Q253" s="167"/>
      <c r="R253" s="167"/>
      <c r="S253" s="167"/>
      <c r="T253" s="167"/>
      <c r="U253" s="167"/>
      <c r="V253" s="167"/>
      <c r="W253" s="182"/>
      <c r="X253" s="167"/>
      <c r="Y253" s="167"/>
      <c r="Z253" s="167"/>
      <c r="AA253" s="167"/>
      <c r="AB253" s="167"/>
      <c r="AC253" s="167"/>
      <c r="AD253" s="167"/>
      <c r="AE253" s="167"/>
      <c r="AF253" s="167"/>
      <c r="AG253" s="167"/>
      <c r="AH253" s="167"/>
      <c r="AI253" s="167"/>
      <c r="AJ253" s="167"/>
      <c r="AK253" s="167"/>
      <c r="AL253" s="6"/>
      <c r="AM253" s="6"/>
      <c r="AN253" s="6"/>
      <c r="AO253" s="6"/>
      <c r="AP253" s="6"/>
      <c r="AQ253" s="6"/>
    </row>
    <row r="254" spans="1:44" s="664" customFormat="1" hidden="1" x14ac:dyDescent="0.25">
      <c r="A254" s="323" t="s">
        <v>173</v>
      </c>
      <c r="B254" s="4" t="s">
        <v>306</v>
      </c>
      <c r="C254" s="704" t="s">
        <v>1582</v>
      </c>
      <c r="D254" s="705"/>
      <c r="E254" s="705"/>
      <c r="F254" s="705"/>
      <c r="G254" s="705"/>
      <c r="H254" s="705"/>
      <c r="I254" s="705"/>
      <c r="J254" s="705"/>
      <c r="K254" s="705"/>
      <c r="L254" s="705"/>
      <c r="M254" s="705"/>
      <c r="N254" s="705"/>
      <c r="O254" s="705"/>
      <c r="P254" s="705"/>
      <c r="Q254" s="705"/>
      <c r="R254" s="705"/>
      <c r="S254" s="708"/>
      <c r="T254" s="712" t="s">
        <v>1126</v>
      </c>
      <c r="U254" s="712" t="s">
        <v>1107</v>
      </c>
      <c r="V254" s="712" t="s">
        <v>1108</v>
      </c>
      <c r="W254" s="167"/>
      <c r="X254" s="182"/>
      <c r="Y254" s="167"/>
      <c r="Z254" s="167"/>
      <c r="AA254" s="167"/>
      <c r="AB254" s="167"/>
      <c r="AC254" s="167"/>
      <c r="AD254" s="167"/>
      <c r="AE254" s="167"/>
      <c r="AF254" s="167"/>
      <c r="AG254" s="167"/>
      <c r="AH254" s="167"/>
      <c r="AI254" s="167"/>
      <c r="AJ254" s="167"/>
      <c r="AK254" s="167"/>
      <c r="AL254" s="167"/>
      <c r="AM254" s="6"/>
      <c r="AN254" s="6"/>
      <c r="AO254" s="6"/>
      <c r="AP254" s="6"/>
      <c r="AQ254" s="6"/>
      <c r="AR254" s="6"/>
    </row>
    <row r="255" spans="1:44" s="664" customFormat="1" hidden="1" x14ac:dyDescent="0.25">
      <c r="A255" s="323" t="s">
        <v>173</v>
      </c>
      <c r="C255" s="663" t="s">
        <v>1111</v>
      </c>
      <c r="D255" s="663" t="s">
        <v>1217</v>
      </c>
      <c r="E255" s="663" t="s">
        <v>1134</v>
      </c>
      <c r="F255" s="663" t="s">
        <v>1117</v>
      </c>
      <c r="G255" s="189" t="s">
        <v>1218</v>
      </c>
      <c r="H255" s="189" t="s">
        <v>1219</v>
      </c>
      <c r="I255" s="189" t="s">
        <v>1220</v>
      </c>
      <c r="J255" s="189" t="s">
        <v>1221</v>
      </c>
      <c r="K255" s="189" t="s">
        <v>1222</v>
      </c>
      <c r="L255" s="189" t="s">
        <v>1754</v>
      </c>
      <c r="M255" s="189" t="s">
        <v>1223</v>
      </c>
      <c r="N255" s="189" t="s">
        <v>1224</v>
      </c>
      <c r="O255" s="189" t="s">
        <v>1225</v>
      </c>
      <c r="P255" s="189" t="s">
        <v>1226</v>
      </c>
      <c r="Q255" s="189" t="s">
        <v>1147</v>
      </c>
      <c r="R255" s="189" t="s">
        <v>1227</v>
      </c>
      <c r="S255" s="189" t="s">
        <v>1228</v>
      </c>
      <c r="T255" s="713"/>
      <c r="U255" s="713"/>
      <c r="V255" s="713"/>
      <c r="W255" s="167"/>
      <c r="X255" s="182"/>
      <c r="Y255" s="167"/>
      <c r="Z255" s="167"/>
      <c r="AA255" s="167"/>
      <c r="AB255" s="167"/>
      <c r="AC255" s="167"/>
      <c r="AD255" s="167"/>
      <c r="AE255" s="167"/>
      <c r="AF255" s="167"/>
      <c r="AG255" s="167"/>
      <c r="AH255" s="167"/>
      <c r="AI255" s="167"/>
      <c r="AJ255" s="167"/>
      <c r="AK255" s="167"/>
      <c r="AL255" s="167"/>
      <c r="AM255" s="6"/>
      <c r="AN255" s="6"/>
      <c r="AO255" s="6"/>
      <c r="AP255" s="6"/>
      <c r="AQ255" s="6"/>
      <c r="AR255" s="6"/>
    </row>
    <row r="256" spans="1:44" s="664" customFormat="1" hidden="1" x14ac:dyDescent="0.25">
      <c r="A256" s="323" t="s">
        <v>173</v>
      </c>
      <c r="C256" s="663" t="e">
        <f>#REF!</f>
        <v>#REF!</v>
      </c>
      <c r="D256" s="663" t="e">
        <f>C256</f>
        <v>#REF!</v>
      </c>
      <c r="E256" s="663" t="str">
        <f>$F$5</f>
        <v>9999</v>
      </c>
      <c r="F256" s="663" t="s">
        <v>1708</v>
      </c>
      <c r="G256" s="189">
        <v>0</v>
      </c>
      <c r="H256" s="189">
        <v>0</v>
      </c>
      <c r="I256" s="189">
        <v>0</v>
      </c>
      <c r="J256" s="189">
        <v>0</v>
      </c>
      <c r="K256" s="189">
        <f>$B$2-1</f>
        <v>20180326</v>
      </c>
      <c r="L256" s="189">
        <v>7</v>
      </c>
      <c r="M256" s="189">
        <v>2</v>
      </c>
      <c r="N256" s="189">
        <v>2</v>
      </c>
      <c r="O256" s="189">
        <v>2</v>
      </c>
      <c r="P256" s="189">
        <v>1</v>
      </c>
      <c r="Q256" s="111" t="s">
        <v>1128</v>
      </c>
      <c r="R256" s="111">
        <f>$B$2</f>
        <v>20180327</v>
      </c>
      <c r="S256" s="205">
        <v>0.53385416666666663</v>
      </c>
      <c r="T256" s="205" t="s">
        <v>1128</v>
      </c>
      <c r="U256" s="111"/>
      <c r="V256" s="111"/>
      <c r="W256" s="167"/>
      <c r="X256" s="182"/>
      <c r="Y256" s="167"/>
      <c r="Z256" s="167"/>
      <c r="AA256" s="167"/>
      <c r="AB256" s="167"/>
      <c r="AC256" s="167"/>
      <c r="AD256" s="167"/>
      <c r="AE256" s="167"/>
      <c r="AF256" s="167"/>
      <c r="AG256" s="167"/>
      <c r="AH256" s="167"/>
      <c r="AI256" s="167"/>
      <c r="AJ256" s="167"/>
      <c r="AK256" s="167"/>
      <c r="AL256" s="167"/>
      <c r="AM256" s="6"/>
      <c r="AN256" s="6"/>
      <c r="AO256" s="6"/>
      <c r="AP256" s="6"/>
      <c r="AQ256" s="6"/>
      <c r="AR256" s="6"/>
    </row>
    <row r="257" spans="1:45" s="9" customFormat="1" ht="13.95" hidden="1" customHeight="1" x14ac:dyDescent="0.25">
      <c r="A257" s="323" t="s">
        <v>173</v>
      </c>
      <c r="B257" s="361" t="s">
        <v>359</v>
      </c>
      <c r="C257" s="361" t="s">
        <v>1627</v>
      </c>
      <c r="D257" s="361"/>
      <c r="E257" s="361"/>
      <c r="F257" s="361"/>
    </row>
    <row r="258" spans="1:45" s="9" customFormat="1" ht="13.95" hidden="1" customHeight="1" x14ac:dyDescent="0.25">
      <c r="A258" s="323" t="s">
        <v>173</v>
      </c>
      <c r="B258" s="369" t="s">
        <v>970</v>
      </c>
      <c r="C258" s="369" t="s">
        <v>1670</v>
      </c>
      <c r="D258" s="369"/>
      <c r="E258" s="361"/>
      <c r="F258" s="361"/>
    </row>
    <row r="259" spans="1:45" s="364" customFormat="1" ht="13.95" hidden="1" customHeight="1" x14ac:dyDescent="0.15">
      <c r="A259" s="323" t="s">
        <v>173</v>
      </c>
      <c r="B259" s="361" t="s">
        <v>1628</v>
      </c>
      <c r="C259" s="704" t="s">
        <v>1582</v>
      </c>
      <c r="D259" s="705"/>
      <c r="E259" s="705"/>
      <c r="F259" s="705"/>
      <c r="G259" s="705"/>
      <c r="H259" s="705"/>
      <c r="I259" s="705"/>
      <c r="J259" s="705"/>
      <c r="K259" s="705"/>
      <c r="L259" s="705"/>
      <c r="M259" s="705"/>
      <c r="N259" s="705"/>
      <c r="O259" s="705"/>
      <c r="P259" s="705"/>
      <c r="Q259" s="705"/>
      <c r="R259" s="705"/>
      <c r="S259" s="708"/>
      <c r="T259" s="740" t="s">
        <v>1981</v>
      </c>
      <c r="U259" s="717" t="s">
        <v>1629</v>
      </c>
      <c r="V259" s="717" t="s">
        <v>1630</v>
      </c>
      <c r="W259" s="717" t="s">
        <v>1631</v>
      </c>
      <c r="X259" s="362"/>
      <c r="Y259" s="107"/>
      <c r="Z259" s="362"/>
      <c r="AA259" s="362"/>
      <c r="AB259" s="362"/>
      <c r="AC259" s="362"/>
      <c r="AD259" s="362"/>
      <c r="AE259" s="362"/>
      <c r="AF259" s="362"/>
      <c r="AG259" s="362"/>
      <c r="AH259" s="362"/>
      <c r="AI259" s="362"/>
      <c r="AJ259" s="362"/>
      <c r="AK259" s="362"/>
      <c r="AL259" s="362"/>
      <c r="AM259" s="362"/>
      <c r="AN259" s="363"/>
      <c r="AO259" s="363"/>
      <c r="AP259" s="363"/>
      <c r="AQ259" s="363"/>
      <c r="AR259" s="363"/>
      <c r="AS259" s="363"/>
    </row>
    <row r="260" spans="1:45" s="364" customFormat="1" ht="13.95" hidden="1" customHeight="1" x14ac:dyDescent="0.25">
      <c r="A260" s="323" t="s">
        <v>173</v>
      </c>
      <c r="C260" s="365" t="s">
        <v>1439</v>
      </c>
      <c r="D260" s="365" t="s">
        <v>1633</v>
      </c>
      <c r="E260" s="365" t="s">
        <v>1634</v>
      </c>
      <c r="F260" s="365" t="s">
        <v>1635</v>
      </c>
      <c r="G260" s="366" t="s">
        <v>1636</v>
      </c>
      <c r="H260" s="366" t="s">
        <v>1637</v>
      </c>
      <c r="I260" s="366" t="s">
        <v>1638</v>
      </c>
      <c r="J260" s="366" t="s">
        <v>1639</v>
      </c>
      <c r="K260" s="366" t="s">
        <v>1640</v>
      </c>
      <c r="L260" s="366" t="s">
        <v>1641</v>
      </c>
      <c r="M260" s="366" t="s">
        <v>1642</v>
      </c>
      <c r="N260" s="366" t="s">
        <v>1643</v>
      </c>
      <c r="O260" s="366" t="s">
        <v>1644</v>
      </c>
      <c r="P260" s="366" t="s">
        <v>1645</v>
      </c>
      <c r="Q260" s="366" t="s">
        <v>1646</v>
      </c>
      <c r="R260" s="366" t="s">
        <v>1647</v>
      </c>
      <c r="S260" s="366" t="s">
        <v>1648</v>
      </c>
      <c r="T260" s="741"/>
      <c r="U260" s="718"/>
      <c r="V260" s="718"/>
      <c r="W260" s="718"/>
      <c r="X260" s="362"/>
      <c r="Y260" s="107"/>
      <c r="Z260" s="362"/>
      <c r="AA260" s="362"/>
      <c r="AB260" s="362"/>
      <c r="AC260" s="362"/>
      <c r="AD260" s="362"/>
      <c r="AE260" s="362"/>
      <c r="AF260" s="362"/>
      <c r="AG260" s="362"/>
      <c r="AH260" s="362"/>
      <c r="AI260" s="362"/>
      <c r="AJ260" s="362"/>
      <c r="AK260" s="362"/>
      <c r="AL260" s="362"/>
      <c r="AM260" s="362"/>
      <c r="AN260" s="363"/>
      <c r="AO260" s="363"/>
      <c r="AP260" s="363"/>
      <c r="AQ260" s="363"/>
      <c r="AR260" s="363"/>
      <c r="AS260" s="363"/>
    </row>
    <row r="261" spans="1:45" s="364" customFormat="1" ht="13.95" hidden="1" customHeight="1" x14ac:dyDescent="0.25">
      <c r="A261" s="323" t="s">
        <v>173</v>
      </c>
      <c r="C261" s="365">
        <f>$B$2</f>
        <v>20180327</v>
      </c>
      <c r="D261" s="365">
        <f>$B$2</f>
        <v>20180327</v>
      </c>
      <c r="E261" s="365" t="str">
        <f>$F$5</f>
        <v>9999</v>
      </c>
      <c r="F261" s="365" t="str">
        <f>F256</f>
        <v>CFFEX</v>
      </c>
      <c r="G261" s="366">
        <v>0</v>
      </c>
      <c r="H261" s="366">
        <v>0</v>
      </c>
      <c r="I261" s="366">
        <v>0</v>
      </c>
      <c r="J261" s="366">
        <v>0</v>
      </c>
      <c r="K261" s="366">
        <f>$B$2-1</f>
        <v>20180326</v>
      </c>
      <c r="L261" s="366">
        <v>7</v>
      </c>
      <c r="M261" s="366">
        <v>2</v>
      </c>
      <c r="N261" s="366">
        <v>2</v>
      </c>
      <c r="O261" s="366">
        <v>2</v>
      </c>
      <c r="P261" s="366">
        <v>1</v>
      </c>
      <c r="Q261" s="367" t="s">
        <v>1649</v>
      </c>
      <c r="R261" s="367">
        <f>$B$2</f>
        <v>20180327</v>
      </c>
      <c r="S261" s="368">
        <v>0.53385416666666663</v>
      </c>
      <c r="T261" s="387">
        <v>1</v>
      </c>
      <c r="U261" s="368" t="s">
        <v>1649</v>
      </c>
      <c r="V261" s="367"/>
      <c r="W261" s="367"/>
      <c r="X261" s="362"/>
      <c r="Y261" s="107"/>
      <c r="Z261" s="362"/>
      <c r="AA261" s="362"/>
      <c r="AB261" s="362"/>
      <c r="AC261" s="362"/>
      <c r="AD261" s="362"/>
      <c r="AE261" s="362"/>
      <c r="AF261" s="362"/>
      <c r="AG261" s="362"/>
      <c r="AH261" s="362"/>
      <c r="AI261" s="362"/>
      <c r="AJ261" s="362"/>
      <c r="AK261" s="362"/>
      <c r="AL261" s="362"/>
      <c r="AM261" s="362"/>
      <c r="AN261" s="363"/>
      <c r="AO261" s="363"/>
      <c r="AP261" s="363"/>
      <c r="AQ261" s="363"/>
      <c r="AR261" s="363"/>
      <c r="AS261" s="363"/>
    </row>
    <row r="262" spans="1:45" s="9" customFormat="1" ht="13.95" hidden="1" customHeight="1" x14ac:dyDescent="0.25">
      <c r="A262" s="323" t="s">
        <v>173</v>
      </c>
      <c r="B262" s="361" t="s">
        <v>359</v>
      </c>
      <c r="C262" s="361" t="s">
        <v>1627</v>
      </c>
    </row>
    <row r="263" spans="1:45" s="9" customFormat="1" ht="13.95" hidden="1" customHeight="1" x14ac:dyDescent="0.25">
      <c r="A263" s="323" t="s">
        <v>173</v>
      </c>
      <c r="B263" s="369" t="s">
        <v>970</v>
      </c>
      <c r="C263" s="369" t="s">
        <v>1671</v>
      </c>
      <c r="D263" s="44"/>
    </row>
    <row r="264" spans="1:45" s="364" customFormat="1" hidden="1" x14ac:dyDescent="0.15">
      <c r="A264" s="323" t="s">
        <v>173</v>
      </c>
      <c r="B264" s="361" t="s">
        <v>1628</v>
      </c>
      <c r="C264" s="704" t="s">
        <v>1672</v>
      </c>
      <c r="D264" s="705"/>
      <c r="E264" s="705"/>
      <c r="F264" s="705"/>
      <c r="G264" s="705"/>
      <c r="H264" s="705"/>
      <c r="I264" s="705"/>
      <c r="J264" s="705"/>
      <c r="K264" s="705"/>
      <c r="L264" s="705"/>
      <c r="M264" s="705"/>
      <c r="N264" s="705"/>
      <c r="O264" s="705"/>
      <c r="P264" s="705"/>
      <c r="Q264" s="705"/>
      <c r="R264" s="705"/>
      <c r="S264" s="708"/>
      <c r="T264" s="717" t="s">
        <v>1650</v>
      </c>
      <c r="U264" s="717" t="s">
        <v>1494</v>
      </c>
      <c r="V264" s="717" t="s">
        <v>1652</v>
      </c>
      <c r="W264" s="362"/>
      <c r="X264" s="107"/>
      <c r="Y264" s="362"/>
      <c r="Z264" s="362"/>
      <c r="AA264" s="362"/>
      <c r="AB264" s="362"/>
      <c r="AC264" s="362"/>
      <c r="AD264" s="362"/>
      <c r="AE264" s="362"/>
      <c r="AF264" s="362"/>
      <c r="AG264" s="362"/>
      <c r="AH264" s="362"/>
      <c r="AI264" s="362"/>
      <c r="AJ264" s="362"/>
      <c r="AK264" s="362"/>
      <c r="AL264" s="362"/>
      <c r="AM264" s="363"/>
      <c r="AN264" s="363"/>
      <c r="AO264" s="363"/>
      <c r="AP264" s="363"/>
      <c r="AQ264" s="363"/>
      <c r="AR264" s="363"/>
    </row>
    <row r="265" spans="1:45" s="364" customFormat="1" hidden="1" x14ac:dyDescent="0.25">
      <c r="A265" s="323" t="s">
        <v>173</v>
      </c>
      <c r="C265" s="365" t="s">
        <v>1653</v>
      </c>
      <c r="D265" s="365" t="s">
        <v>1654</v>
      </c>
      <c r="E265" s="365" t="s">
        <v>1634</v>
      </c>
      <c r="F265" s="365" t="s">
        <v>1656</v>
      </c>
      <c r="G265" s="366" t="s">
        <v>1657</v>
      </c>
      <c r="H265" s="366" t="s">
        <v>1658</v>
      </c>
      <c r="I265" s="366" t="s">
        <v>1659</v>
      </c>
      <c r="J265" s="366" t="s">
        <v>1660</v>
      </c>
      <c r="K265" s="366" t="s">
        <v>1661</v>
      </c>
      <c r="L265" s="366" t="s">
        <v>1662</v>
      </c>
      <c r="M265" s="366" t="s">
        <v>1663</v>
      </c>
      <c r="N265" s="366" t="s">
        <v>1664</v>
      </c>
      <c r="O265" s="366" t="s">
        <v>1665</v>
      </c>
      <c r="P265" s="366" t="s">
        <v>1666</v>
      </c>
      <c r="Q265" s="366" t="s">
        <v>1667</v>
      </c>
      <c r="R265" s="366" t="s">
        <v>1668</v>
      </c>
      <c r="S265" s="366" t="s">
        <v>1669</v>
      </c>
      <c r="T265" s="718"/>
      <c r="U265" s="718"/>
      <c r="V265" s="718"/>
      <c r="W265" s="362"/>
      <c r="X265" s="107"/>
      <c r="Y265" s="362"/>
      <c r="Z265" s="362"/>
      <c r="AA265" s="362"/>
      <c r="AB265" s="362"/>
      <c r="AC265" s="362"/>
      <c r="AD265" s="362"/>
      <c r="AE265" s="362"/>
      <c r="AF265" s="362"/>
      <c r="AG265" s="362"/>
      <c r="AH265" s="362"/>
      <c r="AI265" s="362"/>
      <c r="AJ265" s="362"/>
      <c r="AK265" s="362"/>
      <c r="AL265" s="362"/>
      <c r="AM265" s="363"/>
      <c r="AN265" s="363"/>
      <c r="AO265" s="363"/>
      <c r="AP265" s="363"/>
      <c r="AQ265" s="363"/>
      <c r="AR265" s="363"/>
    </row>
    <row r="266" spans="1:45" s="364" customFormat="1" hidden="1" x14ac:dyDescent="0.25">
      <c r="A266" s="323" t="s">
        <v>173</v>
      </c>
      <c r="C266" s="365">
        <f>$B$2</f>
        <v>20180327</v>
      </c>
      <c r="D266" s="365">
        <f>$B$2</f>
        <v>20180327</v>
      </c>
      <c r="E266" s="365" t="str">
        <f>$F$5</f>
        <v>9999</v>
      </c>
      <c r="F266" s="365" t="str">
        <f>F256</f>
        <v>CFFEX</v>
      </c>
      <c r="G266" s="366">
        <v>0</v>
      </c>
      <c r="H266" s="366">
        <v>0</v>
      </c>
      <c r="I266" s="366">
        <v>0</v>
      </c>
      <c r="J266" s="366">
        <v>0</v>
      </c>
      <c r="K266" s="366">
        <f>$B$2-1</f>
        <v>20180326</v>
      </c>
      <c r="L266" s="366">
        <v>7</v>
      </c>
      <c r="M266" s="366">
        <v>2</v>
      </c>
      <c r="N266" s="366">
        <v>2</v>
      </c>
      <c r="O266" s="366">
        <v>2</v>
      </c>
      <c r="P266" s="366">
        <v>1</v>
      </c>
      <c r="Q266" s="367" t="s">
        <v>1128</v>
      </c>
      <c r="R266" s="367">
        <f>$B$2</f>
        <v>20180327</v>
      </c>
      <c r="S266" s="368">
        <v>0.53385416666666663</v>
      </c>
      <c r="T266" s="368" t="s">
        <v>1128</v>
      </c>
      <c r="U266" s="367"/>
      <c r="V266" s="367"/>
      <c r="W266" s="362"/>
      <c r="X266" s="107"/>
      <c r="Y266" s="362"/>
      <c r="Z266" s="362"/>
      <c r="AA266" s="362"/>
      <c r="AB266" s="362"/>
      <c r="AC266" s="362"/>
      <c r="AD266" s="362"/>
      <c r="AE266" s="362"/>
      <c r="AF266" s="362"/>
      <c r="AG266" s="362"/>
      <c r="AH266" s="362"/>
      <c r="AI266" s="362"/>
      <c r="AJ266" s="362"/>
      <c r="AK266" s="362"/>
      <c r="AL266" s="362"/>
      <c r="AM266" s="363"/>
      <c r="AN266" s="363"/>
      <c r="AO266" s="363"/>
      <c r="AP266" s="363"/>
      <c r="AQ266" s="363"/>
      <c r="AR266" s="363"/>
    </row>
    <row r="267" spans="1:45" s="9" customFormat="1" ht="13.95" hidden="1" customHeight="1" x14ac:dyDescent="0.25">
      <c r="A267" s="323" t="s">
        <v>173</v>
      </c>
      <c r="B267" s="361" t="s">
        <v>359</v>
      </c>
      <c r="C267" s="361" t="s">
        <v>1627</v>
      </c>
    </row>
    <row r="268" spans="1:45" s="9" customFormat="1" ht="13.95" hidden="1" customHeight="1" x14ac:dyDescent="0.25">
      <c r="A268" s="323" t="s">
        <v>173</v>
      </c>
      <c r="B268" s="369" t="s">
        <v>970</v>
      </c>
      <c r="C268" s="369" t="s">
        <v>1762</v>
      </c>
      <c r="D268" s="44"/>
    </row>
    <row r="269" spans="1:45" s="364" customFormat="1" hidden="1" x14ac:dyDescent="0.15">
      <c r="A269" s="323" t="s">
        <v>173</v>
      </c>
      <c r="B269" s="361" t="s">
        <v>306</v>
      </c>
      <c r="C269" s="704" t="s">
        <v>1763</v>
      </c>
      <c r="D269" s="705"/>
      <c r="E269" s="705"/>
      <c r="F269" s="705"/>
      <c r="G269" s="705"/>
      <c r="H269" s="705"/>
      <c r="I269" s="705"/>
      <c r="J269" s="705"/>
      <c r="K269" s="705"/>
      <c r="L269" s="705"/>
      <c r="M269" s="705"/>
      <c r="N269" s="705"/>
      <c r="O269" s="705"/>
      <c r="P269" s="705"/>
      <c r="Q269" s="705"/>
      <c r="R269" s="705"/>
      <c r="S269" s="708"/>
      <c r="T269" s="717" t="s">
        <v>1650</v>
      </c>
      <c r="U269" s="717" t="s">
        <v>1107</v>
      </c>
      <c r="V269" s="717" t="s">
        <v>1652</v>
      </c>
      <c r="W269" s="362"/>
      <c r="X269" s="107"/>
      <c r="Y269" s="362"/>
      <c r="Z269" s="362"/>
      <c r="AA269" s="362"/>
      <c r="AB269" s="362"/>
      <c r="AC269" s="362"/>
      <c r="AD269" s="362"/>
      <c r="AE269" s="362"/>
      <c r="AF269" s="362"/>
      <c r="AG269" s="362"/>
      <c r="AH269" s="362"/>
      <c r="AI269" s="362"/>
      <c r="AJ269" s="362"/>
      <c r="AK269" s="362"/>
      <c r="AL269" s="362"/>
      <c r="AM269" s="363"/>
      <c r="AN269" s="363"/>
      <c r="AO269" s="363"/>
      <c r="AP269" s="363"/>
      <c r="AQ269" s="363"/>
      <c r="AR269" s="363"/>
    </row>
    <row r="270" spans="1:45" s="364" customFormat="1" hidden="1" x14ac:dyDescent="0.25">
      <c r="A270" s="323" t="s">
        <v>173</v>
      </c>
      <c r="C270" s="365" t="s">
        <v>1439</v>
      </c>
      <c r="D270" s="365" t="s">
        <v>1654</v>
      </c>
      <c r="E270" s="365" t="s">
        <v>1634</v>
      </c>
      <c r="F270" s="365" t="s">
        <v>1656</v>
      </c>
      <c r="G270" s="366" t="s">
        <v>1657</v>
      </c>
      <c r="H270" s="366" t="s">
        <v>1658</v>
      </c>
      <c r="I270" s="366" t="s">
        <v>1659</v>
      </c>
      <c r="J270" s="366" t="s">
        <v>1660</v>
      </c>
      <c r="K270" s="366" t="s">
        <v>1640</v>
      </c>
      <c r="L270" s="366" t="s">
        <v>1641</v>
      </c>
      <c r="M270" s="366" t="s">
        <v>1663</v>
      </c>
      <c r="N270" s="366" t="s">
        <v>1664</v>
      </c>
      <c r="O270" s="366" t="s">
        <v>1665</v>
      </c>
      <c r="P270" s="366" t="s">
        <v>1666</v>
      </c>
      <c r="Q270" s="366" t="s">
        <v>1646</v>
      </c>
      <c r="R270" s="366" t="s">
        <v>1668</v>
      </c>
      <c r="S270" s="366" t="s">
        <v>1648</v>
      </c>
      <c r="T270" s="718"/>
      <c r="U270" s="718"/>
      <c r="V270" s="718"/>
      <c r="W270" s="362"/>
      <c r="X270" s="107"/>
      <c r="Y270" s="362"/>
      <c r="Z270" s="362"/>
      <c r="AA270" s="362"/>
      <c r="AB270" s="362"/>
      <c r="AC270" s="362"/>
      <c r="AD270" s="362"/>
      <c r="AE270" s="362"/>
      <c r="AF270" s="362"/>
      <c r="AG270" s="362"/>
      <c r="AH270" s="362"/>
      <c r="AI270" s="362"/>
      <c r="AJ270" s="362"/>
      <c r="AK270" s="362"/>
      <c r="AL270" s="362"/>
      <c r="AM270" s="363"/>
      <c r="AN270" s="363"/>
      <c r="AO270" s="363"/>
      <c r="AP270" s="363"/>
      <c r="AQ270" s="363"/>
      <c r="AR270" s="363"/>
    </row>
    <row r="271" spans="1:45" s="364" customFormat="1" hidden="1" x14ac:dyDescent="0.25">
      <c r="A271" s="323" t="s">
        <v>173</v>
      </c>
      <c r="C271" s="365">
        <f>$B$2</f>
        <v>20180327</v>
      </c>
      <c r="D271" s="365">
        <f>$B$2</f>
        <v>20180327</v>
      </c>
      <c r="E271" s="365" t="str">
        <f>$F$5</f>
        <v>9999</v>
      </c>
      <c r="F271" s="365" t="str">
        <f>F256</f>
        <v>CFFEX</v>
      </c>
      <c r="G271" s="366">
        <v>0</v>
      </c>
      <c r="H271" s="366">
        <v>0</v>
      </c>
      <c r="I271" s="366">
        <v>0</v>
      </c>
      <c r="J271" s="366">
        <v>0</v>
      </c>
      <c r="K271" s="366">
        <f>$B$2-1</f>
        <v>20180326</v>
      </c>
      <c r="L271" s="366">
        <v>7</v>
      </c>
      <c r="M271" s="366">
        <v>2</v>
      </c>
      <c r="N271" s="366">
        <v>2</v>
      </c>
      <c r="O271" s="366">
        <v>2</v>
      </c>
      <c r="P271" s="366">
        <v>1</v>
      </c>
      <c r="Q271" s="367" t="s">
        <v>1128</v>
      </c>
      <c r="R271" s="367">
        <f>$B$2</f>
        <v>20180327</v>
      </c>
      <c r="S271" s="368">
        <v>0.53385416666666663</v>
      </c>
      <c r="T271" s="368" t="s">
        <v>1128</v>
      </c>
      <c r="U271" s="367"/>
      <c r="V271" s="367"/>
      <c r="W271" s="362"/>
      <c r="X271" s="107"/>
      <c r="Y271" s="362"/>
      <c r="Z271" s="362"/>
      <c r="AA271" s="362"/>
      <c r="AB271" s="362"/>
      <c r="AC271" s="362"/>
      <c r="AD271" s="362"/>
      <c r="AE271" s="362"/>
      <c r="AF271" s="362"/>
      <c r="AG271" s="362"/>
      <c r="AH271" s="362"/>
      <c r="AI271" s="362"/>
      <c r="AJ271" s="362"/>
      <c r="AK271" s="362"/>
      <c r="AL271" s="362"/>
      <c r="AM271" s="363"/>
      <c r="AN271" s="363"/>
      <c r="AO271" s="363"/>
      <c r="AP271" s="363"/>
      <c r="AQ271" s="363"/>
      <c r="AR271" s="363"/>
    </row>
    <row r="272" spans="1:45" s="664" customFormat="1" hidden="1" x14ac:dyDescent="0.25">
      <c r="A272" s="323" t="s">
        <v>173</v>
      </c>
      <c r="B272" s="664" t="s">
        <v>173</v>
      </c>
      <c r="C272" s="323" t="s">
        <v>1675</v>
      </c>
      <c r="D272" s="323"/>
      <c r="E272" s="323"/>
      <c r="F272" s="323"/>
      <c r="G272" s="188"/>
      <c r="H272" s="188"/>
      <c r="I272" s="188"/>
      <c r="J272" s="188"/>
      <c r="K272" s="188"/>
      <c r="L272" s="188"/>
      <c r="M272" s="188"/>
      <c r="N272" s="188"/>
      <c r="O272" s="188"/>
      <c r="P272" s="188"/>
      <c r="Q272" s="167"/>
      <c r="R272" s="167"/>
      <c r="S272" s="338"/>
      <c r="T272" s="338"/>
      <c r="U272" s="167"/>
      <c r="V272" s="167"/>
      <c r="W272" s="167"/>
      <c r="X272" s="182"/>
      <c r="Y272" s="167"/>
      <c r="Z272" s="167"/>
      <c r="AA272" s="167"/>
      <c r="AB272" s="167"/>
      <c r="AC272" s="167"/>
      <c r="AD272" s="167"/>
      <c r="AE272" s="167"/>
      <c r="AF272" s="167"/>
      <c r="AG272" s="167"/>
      <c r="AH272" s="167"/>
      <c r="AI272" s="167"/>
      <c r="AJ272" s="167"/>
      <c r="AK272" s="167"/>
      <c r="AL272" s="167"/>
      <c r="AM272" s="6"/>
      <c r="AN272" s="6"/>
      <c r="AO272" s="6"/>
      <c r="AP272" s="6"/>
      <c r="AQ272" s="6"/>
      <c r="AR272" s="6"/>
    </row>
    <row r="273" spans="1:45" s="664" customFormat="1" ht="13.95" hidden="1" customHeight="1" x14ac:dyDescent="0.25">
      <c r="A273" s="323" t="s">
        <v>173</v>
      </c>
      <c r="B273" s="4" t="s">
        <v>124</v>
      </c>
      <c r="C273" s="203" t="s">
        <v>1251</v>
      </c>
      <c r="D273" s="204"/>
      <c r="E273" s="204"/>
      <c r="F273" s="204"/>
      <c r="G273" s="188"/>
      <c r="H273" s="188"/>
      <c r="I273" s="188"/>
      <c r="J273" s="188"/>
      <c r="K273" s="188"/>
      <c r="L273" s="188"/>
      <c r="M273" s="188"/>
      <c r="N273" s="188"/>
      <c r="O273" s="167"/>
      <c r="P273" s="167"/>
      <c r="Q273" s="167"/>
      <c r="R273" s="167"/>
      <c r="S273" s="167"/>
      <c r="T273" s="167"/>
      <c r="U273" s="167"/>
      <c r="V273" s="167"/>
      <c r="W273" s="182"/>
      <c r="X273" s="167"/>
      <c r="Y273" s="167"/>
      <c r="Z273" s="167"/>
      <c r="AA273" s="167"/>
      <c r="AB273" s="167"/>
      <c r="AC273" s="167"/>
      <c r="AD273" s="167"/>
      <c r="AE273" s="167"/>
      <c r="AF273" s="167"/>
      <c r="AG273" s="167"/>
      <c r="AH273" s="167"/>
      <c r="AI273" s="167"/>
      <c r="AJ273" s="167"/>
      <c r="AK273" s="167"/>
      <c r="AL273" s="6"/>
      <c r="AM273" s="6"/>
      <c r="AN273" s="6"/>
      <c r="AO273" s="6"/>
      <c r="AP273" s="6"/>
      <c r="AQ273" s="6"/>
    </row>
    <row r="274" spans="1:45" s="664" customFormat="1" ht="13.95" hidden="1" customHeight="1" x14ac:dyDescent="0.25">
      <c r="A274" s="323" t="s">
        <v>173</v>
      </c>
      <c r="B274" s="4" t="s">
        <v>306</v>
      </c>
      <c r="C274" s="704" t="s">
        <v>1583</v>
      </c>
      <c r="D274" s="705"/>
      <c r="E274" s="705"/>
      <c r="F274" s="705"/>
      <c r="G274" s="705"/>
      <c r="H274" s="705"/>
      <c r="I274" s="705"/>
      <c r="J274" s="705"/>
      <c r="K274" s="705"/>
      <c r="L274" s="705"/>
      <c r="M274" s="705"/>
      <c r="N274" s="705"/>
      <c r="O274" s="705"/>
      <c r="P274" s="705"/>
      <c r="Q274" s="705"/>
      <c r="R274" s="705"/>
      <c r="S274" s="708"/>
      <c r="T274" s="712" t="s">
        <v>1126</v>
      </c>
      <c r="U274" s="712" t="s">
        <v>1107</v>
      </c>
      <c r="V274" s="712" t="s">
        <v>1108</v>
      </c>
      <c r="W274" s="167"/>
      <c r="X274" s="182"/>
      <c r="Y274" s="167"/>
      <c r="Z274" s="167"/>
      <c r="AA274" s="167"/>
      <c r="AB274" s="167"/>
      <c r="AC274" s="167"/>
      <c r="AD274" s="167"/>
      <c r="AE274" s="167"/>
      <c r="AF274" s="167"/>
      <c r="AG274" s="167"/>
      <c r="AH274" s="167"/>
      <c r="AI274" s="167"/>
      <c r="AJ274" s="167"/>
      <c r="AK274" s="167"/>
      <c r="AL274" s="167"/>
      <c r="AM274" s="6"/>
      <c r="AN274" s="6"/>
      <c r="AO274" s="6"/>
      <c r="AP274" s="6"/>
      <c r="AQ274" s="6"/>
      <c r="AR274" s="6"/>
    </row>
    <row r="275" spans="1:45" s="664" customFormat="1" ht="13.95" hidden="1" customHeight="1" x14ac:dyDescent="0.25">
      <c r="A275" s="323" t="s">
        <v>173</v>
      </c>
      <c r="C275" s="663" t="s">
        <v>1111</v>
      </c>
      <c r="D275" s="663" t="s">
        <v>1217</v>
      </c>
      <c r="E275" s="663" t="s">
        <v>1134</v>
      </c>
      <c r="F275" s="663" t="s">
        <v>1117</v>
      </c>
      <c r="G275" s="189" t="s">
        <v>1218</v>
      </c>
      <c r="H275" s="189" t="s">
        <v>1219</v>
      </c>
      <c r="I275" s="189" t="s">
        <v>1220</v>
      </c>
      <c r="J275" s="189" t="s">
        <v>1221</v>
      </c>
      <c r="K275" s="189" t="s">
        <v>1222</v>
      </c>
      <c r="L275" s="189" t="s">
        <v>1662</v>
      </c>
      <c r="M275" s="189" t="s">
        <v>1223</v>
      </c>
      <c r="N275" s="189" t="s">
        <v>1224</v>
      </c>
      <c r="O275" s="189" t="s">
        <v>1225</v>
      </c>
      <c r="P275" s="189" t="s">
        <v>1226</v>
      </c>
      <c r="Q275" s="189" t="s">
        <v>1147</v>
      </c>
      <c r="R275" s="189" t="s">
        <v>1227</v>
      </c>
      <c r="S275" s="189" t="s">
        <v>1228</v>
      </c>
      <c r="T275" s="713"/>
      <c r="U275" s="713"/>
      <c r="V275" s="713"/>
      <c r="W275" s="167"/>
      <c r="X275" s="182"/>
      <c r="Y275" s="167"/>
      <c r="Z275" s="167"/>
      <c r="AA275" s="167"/>
      <c r="AB275" s="167"/>
      <c r="AC275" s="167"/>
      <c r="AD275" s="167"/>
      <c r="AE275" s="167"/>
      <c r="AF275" s="167"/>
      <c r="AG275" s="167"/>
      <c r="AH275" s="167"/>
      <c r="AI275" s="167"/>
      <c r="AJ275" s="167"/>
      <c r="AK275" s="167"/>
      <c r="AL275" s="167"/>
      <c r="AM275" s="6"/>
      <c r="AN275" s="6"/>
      <c r="AO275" s="6"/>
      <c r="AP275" s="6"/>
      <c r="AQ275" s="6"/>
      <c r="AR275" s="6"/>
    </row>
    <row r="276" spans="1:45" s="664" customFormat="1" ht="13.95" hidden="1" customHeight="1" x14ac:dyDescent="0.25">
      <c r="A276" s="323" t="s">
        <v>173</v>
      </c>
      <c r="C276" s="663">
        <f>$B$2</f>
        <v>20180327</v>
      </c>
      <c r="D276" s="663">
        <f>$B$2</f>
        <v>20180327</v>
      </c>
      <c r="E276" s="663" t="str">
        <f>$F$5</f>
        <v>9999</v>
      </c>
      <c r="F276" s="663" t="s">
        <v>1675</v>
      </c>
      <c r="G276" s="189">
        <v>0</v>
      </c>
      <c r="H276" s="189">
        <v>0</v>
      </c>
      <c r="I276" s="189">
        <v>0</v>
      </c>
      <c r="J276" s="189">
        <v>0</v>
      </c>
      <c r="K276" s="189">
        <f>$B$2-1</f>
        <v>20180326</v>
      </c>
      <c r="L276" s="189">
        <v>7</v>
      </c>
      <c r="M276" s="189">
        <v>2</v>
      </c>
      <c r="N276" s="189">
        <v>2</v>
      </c>
      <c r="O276" s="189">
        <v>2</v>
      </c>
      <c r="P276" s="189">
        <v>1</v>
      </c>
      <c r="Q276" s="111" t="s">
        <v>1128</v>
      </c>
      <c r="R276" s="111">
        <f>$B$2</f>
        <v>20180327</v>
      </c>
      <c r="S276" s="205">
        <v>0.53385416666666663</v>
      </c>
      <c r="T276" s="205" t="s">
        <v>1128</v>
      </c>
      <c r="U276" s="111"/>
      <c r="V276" s="111"/>
      <c r="W276" s="167"/>
      <c r="X276" s="182"/>
      <c r="Y276" s="167"/>
      <c r="Z276" s="167"/>
      <c r="AA276" s="167"/>
      <c r="AB276" s="167"/>
      <c r="AC276" s="167"/>
      <c r="AD276" s="167"/>
      <c r="AE276" s="167"/>
      <c r="AF276" s="167"/>
      <c r="AG276" s="167"/>
      <c r="AH276" s="167"/>
      <c r="AI276" s="167"/>
      <c r="AJ276" s="167"/>
      <c r="AK276" s="167"/>
      <c r="AL276" s="167"/>
      <c r="AM276" s="6"/>
      <c r="AN276" s="6"/>
      <c r="AO276" s="6"/>
      <c r="AP276" s="6"/>
      <c r="AQ276" s="6"/>
      <c r="AR276" s="6"/>
    </row>
    <row r="277" spans="1:45" s="9" customFormat="1" ht="13.95" hidden="1" customHeight="1" x14ac:dyDescent="0.25">
      <c r="A277" s="323" t="s">
        <v>173</v>
      </c>
      <c r="B277" s="361" t="s">
        <v>359</v>
      </c>
      <c r="C277" s="361" t="s">
        <v>1627</v>
      </c>
      <c r="D277" s="361"/>
      <c r="E277" s="361"/>
      <c r="F277" s="361"/>
    </row>
    <row r="278" spans="1:45" s="9" customFormat="1" ht="13.95" hidden="1" customHeight="1" x14ac:dyDescent="0.25">
      <c r="A278" s="323" t="s">
        <v>173</v>
      </c>
      <c r="B278" s="369" t="s">
        <v>970</v>
      </c>
      <c r="C278" s="369" t="s">
        <v>1670</v>
      </c>
      <c r="D278" s="369"/>
      <c r="E278" s="361"/>
      <c r="F278" s="361"/>
    </row>
    <row r="279" spans="1:45" s="364" customFormat="1" ht="13.95" hidden="1" customHeight="1" x14ac:dyDescent="0.15">
      <c r="A279" s="323" t="s">
        <v>173</v>
      </c>
      <c r="B279" s="361" t="s">
        <v>1628</v>
      </c>
      <c r="C279" s="704" t="s">
        <v>1582</v>
      </c>
      <c r="D279" s="705"/>
      <c r="E279" s="705"/>
      <c r="F279" s="705"/>
      <c r="G279" s="705"/>
      <c r="H279" s="705"/>
      <c r="I279" s="705"/>
      <c r="J279" s="705"/>
      <c r="K279" s="705"/>
      <c r="L279" s="705"/>
      <c r="M279" s="705"/>
      <c r="N279" s="705"/>
      <c r="O279" s="705"/>
      <c r="P279" s="705"/>
      <c r="Q279" s="705"/>
      <c r="R279" s="705"/>
      <c r="S279" s="708"/>
      <c r="T279" s="740" t="s">
        <v>1779</v>
      </c>
      <c r="U279" s="717" t="s">
        <v>1629</v>
      </c>
      <c r="V279" s="717" t="s">
        <v>1630</v>
      </c>
      <c r="W279" s="717" t="s">
        <v>1631</v>
      </c>
      <c r="X279" s="362"/>
      <c r="Y279" s="107"/>
      <c r="Z279" s="362"/>
      <c r="AA279" s="362"/>
      <c r="AB279" s="362"/>
      <c r="AC279" s="362"/>
      <c r="AD279" s="362"/>
      <c r="AE279" s="362"/>
      <c r="AF279" s="362"/>
      <c r="AG279" s="362"/>
      <c r="AH279" s="362"/>
      <c r="AI279" s="362"/>
      <c r="AJ279" s="362"/>
      <c r="AK279" s="362"/>
      <c r="AL279" s="362"/>
      <c r="AM279" s="362"/>
      <c r="AN279" s="363"/>
      <c r="AO279" s="363"/>
      <c r="AP279" s="363"/>
      <c r="AQ279" s="363"/>
      <c r="AR279" s="363"/>
      <c r="AS279" s="363"/>
    </row>
    <row r="280" spans="1:45" s="364" customFormat="1" ht="13.95" hidden="1" customHeight="1" x14ac:dyDescent="0.25">
      <c r="A280" s="323" t="s">
        <v>173</v>
      </c>
      <c r="C280" s="365" t="s">
        <v>1439</v>
      </c>
      <c r="D280" s="365" t="s">
        <v>1633</v>
      </c>
      <c r="E280" s="365" t="s">
        <v>1634</v>
      </c>
      <c r="F280" s="365" t="s">
        <v>1635</v>
      </c>
      <c r="G280" s="366" t="s">
        <v>1636</v>
      </c>
      <c r="H280" s="366" t="s">
        <v>1637</v>
      </c>
      <c r="I280" s="366" t="s">
        <v>1638</v>
      </c>
      <c r="J280" s="366" t="s">
        <v>1639</v>
      </c>
      <c r="K280" s="366" t="s">
        <v>1640</v>
      </c>
      <c r="L280" s="366" t="s">
        <v>1641</v>
      </c>
      <c r="M280" s="366" t="s">
        <v>1642</v>
      </c>
      <c r="N280" s="366" t="s">
        <v>1643</v>
      </c>
      <c r="O280" s="366" t="s">
        <v>1644</v>
      </c>
      <c r="P280" s="366" t="s">
        <v>1645</v>
      </c>
      <c r="Q280" s="366" t="s">
        <v>1646</v>
      </c>
      <c r="R280" s="366" t="s">
        <v>1647</v>
      </c>
      <c r="S280" s="366" t="s">
        <v>1648</v>
      </c>
      <c r="T280" s="741"/>
      <c r="U280" s="718"/>
      <c r="V280" s="718"/>
      <c r="W280" s="718"/>
      <c r="X280" s="362"/>
      <c r="Y280" s="107"/>
      <c r="Z280" s="362"/>
      <c r="AA280" s="362"/>
      <c r="AB280" s="362"/>
      <c r="AC280" s="362"/>
      <c r="AD280" s="362"/>
      <c r="AE280" s="362"/>
      <c r="AF280" s="362"/>
      <c r="AG280" s="362"/>
      <c r="AH280" s="362"/>
      <c r="AI280" s="362"/>
      <c r="AJ280" s="362"/>
      <c r="AK280" s="362"/>
      <c r="AL280" s="362"/>
      <c r="AM280" s="362"/>
      <c r="AN280" s="363"/>
      <c r="AO280" s="363"/>
      <c r="AP280" s="363"/>
      <c r="AQ280" s="363"/>
      <c r="AR280" s="363"/>
      <c r="AS280" s="363"/>
    </row>
    <row r="281" spans="1:45" s="364" customFormat="1" ht="13.95" hidden="1" customHeight="1" x14ac:dyDescent="0.25">
      <c r="A281" s="323" t="s">
        <v>173</v>
      </c>
      <c r="C281" s="365">
        <f>$B$2</f>
        <v>20180327</v>
      </c>
      <c r="D281" s="365">
        <f>$B$2</f>
        <v>20180327</v>
      </c>
      <c r="E281" s="365" t="str">
        <f>$F$5</f>
        <v>9999</v>
      </c>
      <c r="F281" s="365" t="s">
        <v>1675</v>
      </c>
      <c r="G281" s="366">
        <v>0</v>
      </c>
      <c r="H281" s="366">
        <v>0</v>
      </c>
      <c r="I281" s="366">
        <v>0</v>
      </c>
      <c r="J281" s="366">
        <v>0</v>
      </c>
      <c r="K281" s="366">
        <f>$B$2-1</f>
        <v>20180326</v>
      </c>
      <c r="L281" s="366">
        <v>7</v>
      </c>
      <c r="M281" s="366">
        <v>2</v>
      </c>
      <c r="N281" s="366">
        <v>2</v>
      </c>
      <c r="O281" s="366">
        <v>2</v>
      </c>
      <c r="P281" s="366">
        <v>1</v>
      </c>
      <c r="Q281" s="367" t="s">
        <v>1649</v>
      </c>
      <c r="R281" s="367">
        <f>$B$2</f>
        <v>20180327</v>
      </c>
      <c r="S281" s="368">
        <v>0.53385416666666663</v>
      </c>
      <c r="T281" s="387">
        <v>1</v>
      </c>
      <c r="U281" s="368" t="s">
        <v>1649</v>
      </c>
      <c r="V281" s="367"/>
      <c r="W281" s="367"/>
      <c r="X281" s="362"/>
      <c r="Y281" s="107"/>
      <c r="Z281" s="362"/>
      <c r="AA281" s="362"/>
      <c r="AB281" s="362"/>
      <c r="AC281" s="362"/>
      <c r="AD281" s="362"/>
      <c r="AE281" s="362"/>
      <c r="AF281" s="362"/>
      <c r="AG281" s="362"/>
      <c r="AH281" s="362"/>
      <c r="AI281" s="362"/>
      <c r="AJ281" s="362"/>
      <c r="AK281" s="362"/>
      <c r="AL281" s="362"/>
      <c r="AM281" s="362"/>
      <c r="AN281" s="363"/>
      <c r="AO281" s="363"/>
      <c r="AP281" s="363"/>
      <c r="AQ281" s="363"/>
      <c r="AR281" s="363"/>
      <c r="AS281" s="363"/>
    </row>
    <row r="282" spans="1:45" s="9" customFormat="1" ht="13.95" hidden="1" customHeight="1" x14ac:dyDescent="0.25">
      <c r="A282" s="323" t="s">
        <v>173</v>
      </c>
      <c r="B282" s="361" t="s">
        <v>359</v>
      </c>
      <c r="C282" s="361" t="s">
        <v>1627</v>
      </c>
    </row>
    <row r="283" spans="1:45" s="9" customFormat="1" ht="13.95" hidden="1" customHeight="1" x14ac:dyDescent="0.25">
      <c r="A283" s="323" t="s">
        <v>173</v>
      </c>
      <c r="B283" s="369" t="s">
        <v>970</v>
      </c>
      <c r="C283" s="369" t="s">
        <v>1671</v>
      </c>
      <c r="D283" s="44"/>
    </row>
    <row r="284" spans="1:45" s="364" customFormat="1" hidden="1" x14ac:dyDescent="0.15">
      <c r="A284" s="323" t="s">
        <v>173</v>
      </c>
      <c r="B284" s="361" t="s">
        <v>1628</v>
      </c>
      <c r="C284" s="704" t="s">
        <v>1672</v>
      </c>
      <c r="D284" s="705"/>
      <c r="E284" s="705"/>
      <c r="F284" s="705"/>
      <c r="G284" s="705"/>
      <c r="H284" s="705"/>
      <c r="I284" s="705"/>
      <c r="J284" s="705"/>
      <c r="K284" s="705"/>
      <c r="L284" s="705"/>
      <c r="M284" s="705"/>
      <c r="N284" s="705"/>
      <c r="O284" s="705"/>
      <c r="P284" s="705"/>
      <c r="Q284" s="705"/>
      <c r="R284" s="705"/>
      <c r="S284" s="708"/>
      <c r="T284" s="717" t="s">
        <v>1650</v>
      </c>
      <c r="U284" s="717" t="s">
        <v>1494</v>
      </c>
      <c r="V284" s="717" t="s">
        <v>1652</v>
      </c>
      <c r="W284" s="362"/>
      <c r="X284" s="107"/>
      <c r="Y284" s="362"/>
      <c r="Z284" s="362"/>
      <c r="AA284" s="362"/>
      <c r="AB284" s="362"/>
      <c r="AC284" s="362"/>
      <c r="AD284" s="362"/>
      <c r="AE284" s="362"/>
      <c r="AF284" s="362"/>
      <c r="AG284" s="362"/>
      <c r="AH284" s="362"/>
      <c r="AI284" s="362"/>
      <c r="AJ284" s="362"/>
      <c r="AK284" s="362"/>
      <c r="AL284" s="362"/>
      <c r="AM284" s="363"/>
      <c r="AN284" s="363"/>
      <c r="AO284" s="363"/>
      <c r="AP284" s="363"/>
      <c r="AQ284" s="363"/>
      <c r="AR284" s="363"/>
    </row>
    <row r="285" spans="1:45" s="364" customFormat="1" hidden="1" x14ac:dyDescent="0.25">
      <c r="A285" s="323" t="s">
        <v>173</v>
      </c>
      <c r="C285" s="365" t="s">
        <v>1653</v>
      </c>
      <c r="D285" s="365" t="s">
        <v>1654</v>
      </c>
      <c r="E285" s="365" t="s">
        <v>1634</v>
      </c>
      <c r="F285" s="365" t="s">
        <v>1656</v>
      </c>
      <c r="G285" s="366" t="s">
        <v>1657</v>
      </c>
      <c r="H285" s="366" t="s">
        <v>1658</v>
      </c>
      <c r="I285" s="366" t="s">
        <v>1659</v>
      </c>
      <c r="J285" s="366" t="s">
        <v>1660</v>
      </c>
      <c r="K285" s="366" t="s">
        <v>1661</v>
      </c>
      <c r="L285" s="366" t="s">
        <v>1662</v>
      </c>
      <c r="M285" s="366" t="s">
        <v>1663</v>
      </c>
      <c r="N285" s="366" t="s">
        <v>1664</v>
      </c>
      <c r="O285" s="366" t="s">
        <v>1665</v>
      </c>
      <c r="P285" s="366" t="s">
        <v>1666</v>
      </c>
      <c r="Q285" s="366" t="s">
        <v>1667</v>
      </c>
      <c r="R285" s="366" t="s">
        <v>1668</v>
      </c>
      <c r="S285" s="366" t="s">
        <v>1669</v>
      </c>
      <c r="T285" s="718"/>
      <c r="U285" s="718"/>
      <c r="V285" s="718"/>
      <c r="W285" s="362"/>
      <c r="X285" s="107"/>
      <c r="Y285" s="362"/>
      <c r="Z285" s="362"/>
      <c r="AA285" s="362"/>
      <c r="AB285" s="362"/>
      <c r="AC285" s="362"/>
      <c r="AD285" s="362"/>
      <c r="AE285" s="362"/>
      <c r="AF285" s="362"/>
      <c r="AG285" s="362"/>
      <c r="AH285" s="362"/>
      <c r="AI285" s="362"/>
      <c r="AJ285" s="362"/>
      <c r="AK285" s="362"/>
      <c r="AL285" s="362"/>
      <c r="AM285" s="363"/>
      <c r="AN285" s="363"/>
      <c r="AO285" s="363"/>
      <c r="AP285" s="363"/>
      <c r="AQ285" s="363"/>
      <c r="AR285" s="363"/>
    </row>
    <row r="286" spans="1:45" s="364" customFormat="1" hidden="1" x14ac:dyDescent="0.25">
      <c r="A286" s="323" t="s">
        <v>173</v>
      </c>
      <c r="C286" s="365">
        <f>$B$2</f>
        <v>20180327</v>
      </c>
      <c r="D286" s="365">
        <f>$B$2</f>
        <v>20180327</v>
      </c>
      <c r="E286" s="365" t="str">
        <f>$F$5</f>
        <v>9999</v>
      </c>
      <c r="F286" s="365" t="s">
        <v>1675</v>
      </c>
      <c r="G286" s="366">
        <v>0</v>
      </c>
      <c r="H286" s="366">
        <v>0</v>
      </c>
      <c r="I286" s="366">
        <v>0</v>
      </c>
      <c r="J286" s="366">
        <v>0</v>
      </c>
      <c r="K286" s="366">
        <f>K281</f>
        <v>20180326</v>
      </c>
      <c r="L286" s="366">
        <v>7</v>
      </c>
      <c r="M286" s="366">
        <v>2</v>
      </c>
      <c r="N286" s="366">
        <v>2</v>
      </c>
      <c r="O286" s="366">
        <v>2</v>
      </c>
      <c r="P286" s="366">
        <v>1</v>
      </c>
      <c r="Q286" s="367" t="s">
        <v>1128</v>
      </c>
      <c r="R286" s="367">
        <f>$B$2</f>
        <v>20180327</v>
      </c>
      <c r="S286" s="368">
        <v>0.53385416666666663</v>
      </c>
      <c r="T286" s="368" t="s">
        <v>1128</v>
      </c>
      <c r="U286" s="367"/>
      <c r="V286" s="367"/>
      <c r="W286" s="362"/>
      <c r="X286" s="107"/>
      <c r="Y286" s="362"/>
      <c r="Z286" s="362"/>
      <c r="AA286" s="362"/>
      <c r="AB286" s="362"/>
      <c r="AC286" s="362"/>
      <c r="AD286" s="362"/>
      <c r="AE286" s="362"/>
      <c r="AF286" s="362"/>
      <c r="AG286" s="362"/>
      <c r="AH286" s="362"/>
      <c r="AI286" s="362"/>
      <c r="AJ286" s="362"/>
      <c r="AK286" s="362"/>
      <c r="AL286" s="362"/>
      <c r="AM286" s="363"/>
      <c r="AN286" s="363"/>
      <c r="AO286" s="363"/>
      <c r="AP286" s="363"/>
      <c r="AQ286" s="363"/>
      <c r="AR286" s="363"/>
    </row>
    <row r="287" spans="1:45" s="9" customFormat="1" ht="13.95" hidden="1" customHeight="1" x14ac:dyDescent="0.25">
      <c r="A287" s="323" t="s">
        <v>173</v>
      </c>
      <c r="B287" s="361" t="s">
        <v>359</v>
      </c>
      <c r="C287" s="361" t="s">
        <v>1627</v>
      </c>
    </row>
    <row r="288" spans="1:45" s="9" customFormat="1" ht="13.95" hidden="1" customHeight="1" x14ac:dyDescent="0.25">
      <c r="A288" s="323" t="s">
        <v>173</v>
      </c>
      <c r="B288" s="369" t="s">
        <v>970</v>
      </c>
      <c r="C288" s="369" t="s">
        <v>1762</v>
      </c>
      <c r="D288" s="44"/>
    </row>
    <row r="289" spans="1:45" s="364" customFormat="1" hidden="1" x14ac:dyDescent="0.15">
      <c r="A289" s="323" t="s">
        <v>173</v>
      </c>
      <c r="B289" s="361" t="s">
        <v>306</v>
      </c>
      <c r="C289" s="704" t="s">
        <v>1763</v>
      </c>
      <c r="D289" s="705"/>
      <c r="E289" s="705"/>
      <c r="F289" s="705"/>
      <c r="G289" s="705"/>
      <c r="H289" s="705"/>
      <c r="I289" s="705"/>
      <c r="J289" s="705"/>
      <c r="K289" s="705"/>
      <c r="L289" s="705"/>
      <c r="M289" s="705"/>
      <c r="N289" s="705"/>
      <c r="O289" s="705"/>
      <c r="P289" s="705"/>
      <c r="Q289" s="705"/>
      <c r="R289" s="705"/>
      <c r="S289" s="708"/>
      <c r="T289" s="717" t="s">
        <v>1629</v>
      </c>
      <c r="U289" s="717" t="s">
        <v>1107</v>
      </c>
      <c r="V289" s="717" t="s">
        <v>1254</v>
      </c>
      <c r="W289" s="362"/>
      <c r="X289" s="107"/>
      <c r="Y289" s="362"/>
      <c r="Z289" s="362"/>
      <c r="AA289" s="362"/>
      <c r="AB289" s="362"/>
      <c r="AC289" s="362"/>
      <c r="AD289" s="362"/>
      <c r="AE289" s="362"/>
      <c r="AF289" s="362"/>
      <c r="AG289" s="362"/>
      <c r="AH289" s="362"/>
      <c r="AI289" s="362"/>
      <c r="AJ289" s="362"/>
      <c r="AK289" s="362"/>
      <c r="AL289" s="362"/>
      <c r="AM289" s="363"/>
      <c r="AN289" s="363"/>
      <c r="AO289" s="363"/>
      <c r="AP289" s="363"/>
      <c r="AQ289" s="363"/>
      <c r="AR289" s="363"/>
    </row>
    <row r="290" spans="1:45" s="364" customFormat="1" hidden="1" x14ac:dyDescent="0.25">
      <c r="A290" s="323" t="s">
        <v>173</v>
      </c>
      <c r="C290" s="365" t="s">
        <v>1439</v>
      </c>
      <c r="D290" s="365" t="s">
        <v>1654</v>
      </c>
      <c r="E290" s="365" t="s">
        <v>1634</v>
      </c>
      <c r="F290" s="365" t="s">
        <v>1656</v>
      </c>
      <c r="G290" s="366" t="s">
        <v>1657</v>
      </c>
      <c r="H290" s="366" t="s">
        <v>1658</v>
      </c>
      <c r="I290" s="366" t="s">
        <v>1659</v>
      </c>
      <c r="J290" s="366" t="s">
        <v>1660</v>
      </c>
      <c r="K290" s="366" t="s">
        <v>1640</v>
      </c>
      <c r="L290" s="366" t="s">
        <v>1641</v>
      </c>
      <c r="M290" s="366" t="s">
        <v>1663</v>
      </c>
      <c r="N290" s="366" t="s">
        <v>1664</v>
      </c>
      <c r="O290" s="366" t="s">
        <v>1665</v>
      </c>
      <c r="P290" s="366" t="s">
        <v>1666</v>
      </c>
      <c r="Q290" s="366" t="s">
        <v>1147</v>
      </c>
      <c r="R290" s="366" t="s">
        <v>1227</v>
      </c>
      <c r="S290" s="366" t="s">
        <v>1648</v>
      </c>
      <c r="T290" s="718"/>
      <c r="U290" s="718"/>
      <c r="V290" s="718"/>
      <c r="W290" s="362"/>
      <c r="X290" s="107"/>
      <c r="Y290" s="362"/>
      <c r="Z290" s="362"/>
      <c r="AA290" s="362"/>
      <c r="AB290" s="362"/>
      <c r="AC290" s="362"/>
      <c r="AD290" s="362"/>
      <c r="AE290" s="362"/>
      <c r="AF290" s="362"/>
      <c r="AG290" s="362"/>
      <c r="AH290" s="362"/>
      <c r="AI290" s="362"/>
      <c r="AJ290" s="362"/>
      <c r="AK290" s="362"/>
      <c r="AL290" s="362"/>
      <c r="AM290" s="363"/>
      <c r="AN290" s="363"/>
      <c r="AO290" s="363"/>
      <c r="AP290" s="363"/>
      <c r="AQ290" s="363"/>
      <c r="AR290" s="363"/>
    </row>
    <row r="291" spans="1:45" s="364" customFormat="1" hidden="1" x14ac:dyDescent="0.25">
      <c r="A291" s="323" t="s">
        <v>173</v>
      </c>
      <c r="C291" s="365">
        <f>$B$2</f>
        <v>20180327</v>
      </c>
      <c r="D291" s="365">
        <f>$B$2</f>
        <v>20180327</v>
      </c>
      <c r="E291" s="365" t="str">
        <f>$F$5</f>
        <v>9999</v>
      </c>
      <c r="F291" s="365" t="s">
        <v>1705</v>
      </c>
      <c r="G291" s="366">
        <v>0</v>
      </c>
      <c r="H291" s="366">
        <v>0</v>
      </c>
      <c r="I291" s="366">
        <v>0</v>
      </c>
      <c r="J291" s="366">
        <v>0</v>
      </c>
      <c r="K291" s="366">
        <f>$B$2-1</f>
        <v>20180326</v>
      </c>
      <c r="L291" s="366">
        <v>7</v>
      </c>
      <c r="M291" s="366">
        <v>2</v>
      </c>
      <c r="N291" s="366">
        <v>2</v>
      </c>
      <c r="O291" s="366">
        <v>2</v>
      </c>
      <c r="P291" s="366">
        <v>1</v>
      </c>
      <c r="Q291" s="367" t="s">
        <v>1128</v>
      </c>
      <c r="R291" s="367">
        <f>$B$2</f>
        <v>20180327</v>
      </c>
      <c r="S291" s="368">
        <v>0.53385416666666663</v>
      </c>
      <c r="T291" s="368" t="s">
        <v>1128</v>
      </c>
      <c r="U291" s="367"/>
      <c r="V291" s="367"/>
      <c r="W291" s="362"/>
      <c r="X291" s="107"/>
      <c r="Y291" s="362"/>
      <c r="Z291" s="362"/>
      <c r="AA291" s="362"/>
      <c r="AB291" s="362"/>
      <c r="AC291" s="362"/>
      <c r="AD291" s="362"/>
      <c r="AE291" s="362"/>
      <c r="AF291" s="362"/>
      <c r="AG291" s="362"/>
      <c r="AH291" s="362"/>
      <c r="AI291" s="362"/>
      <c r="AJ291" s="362"/>
      <c r="AK291" s="362"/>
      <c r="AL291" s="362"/>
      <c r="AM291" s="363"/>
      <c r="AN291" s="363"/>
      <c r="AO291" s="363"/>
      <c r="AP291" s="363"/>
      <c r="AQ291" s="363"/>
      <c r="AR291" s="363"/>
    </row>
    <row r="292" spans="1:45" s="664" customFormat="1" hidden="1" x14ac:dyDescent="0.25">
      <c r="A292" s="323" t="s">
        <v>173</v>
      </c>
      <c r="B292" s="664" t="s">
        <v>173</v>
      </c>
      <c r="C292" s="323" t="s">
        <v>1677</v>
      </c>
      <c r="D292" s="323"/>
      <c r="E292" s="323"/>
      <c r="F292" s="323"/>
      <c r="G292" s="188"/>
      <c r="H292" s="188"/>
      <c r="I292" s="188"/>
      <c r="J292" s="188"/>
      <c r="K292" s="188"/>
      <c r="L292" s="188"/>
      <c r="M292" s="188"/>
      <c r="N292" s="188"/>
      <c r="O292" s="188"/>
      <c r="P292" s="188"/>
      <c r="Q292" s="167"/>
      <c r="R292" s="167"/>
      <c r="S292" s="338"/>
      <c r="T292" s="338"/>
      <c r="U292" s="167"/>
      <c r="V292" s="167"/>
      <c r="W292" s="167"/>
      <c r="X292" s="182"/>
      <c r="Y292" s="167"/>
      <c r="Z292" s="167"/>
      <c r="AA292" s="167"/>
      <c r="AB292" s="167"/>
      <c r="AC292" s="167"/>
      <c r="AD292" s="167"/>
      <c r="AE292" s="167"/>
      <c r="AF292" s="167"/>
      <c r="AG292" s="167"/>
      <c r="AH292" s="167"/>
      <c r="AI292" s="167"/>
      <c r="AJ292" s="167"/>
      <c r="AK292" s="167"/>
      <c r="AL292" s="167"/>
      <c r="AM292" s="6"/>
      <c r="AN292" s="6"/>
      <c r="AO292" s="6"/>
      <c r="AP292" s="6"/>
      <c r="AQ292" s="6"/>
      <c r="AR292" s="6"/>
    </row>
    <row r="293" spans="1:45" s="664" customFormat="1" ht="13.95" hidden="1" customHeight="1" x14ac:dyDescent="0.25">
      <c r="A293" s="323" t="s">
        <v>173</v>
      </c>
      <c r="B293" s="4" t="s">
        <v>124</v>
      </c>
      <c r="C293" s="203" t="s">
        <v>1251</v>
      </c>
      <c r="D293" s="204"/>
      <c r="E293" s="204"/>
      <c r="F293" s="204"/>
      <c r="G293" s="188"/>
      <c r="H293" s="188"/>
      <c r="I293" s="188"/>
      <c r="J293" s="188"/>
      <c r="K293" s="188"/>
      <c r="L293" s="188"/>
      <c r="M293" s="188"/>
      <c r="N293" s="188"/>
      <c r="O293" s="167"/>
      <c r="P293" s="167"/>
      <c r="Q293" s="167"/>
      <c r="R293" s="167"/>
      <c r="S293" s="167"/>
      <c r="T293" s="167"/>
      <c r="U293" s="167"/>
      <c r="V293" s="167"/>
      <c r="W293" s="182"/>
      <c r="X293" s="167"/>
      <c r="Y293" s="167"/>
      <c r="Z293" s="167"/>
      <c r="AA293" s="167"/>
      <c r="AB293" s="167"/>
      <c r="AC293" s="167"/>
      <c r="AD293" s="167"/>
      <c r="AE293" s="167"/>
      <c r="AF293" s="167"/>
      <c r="AG293" s="167"/>
      <c r="AH293" s="167"/>
      <c r="AI293" s="167"/>
      <c r="AJ293" s="167"/>
      <c r="AK293" s="167"/>
      <c r="AL293" s="6"/>
      <c r="AM293" s="6"/>
      <c r="AN293" s="6"/>
      <c r="AO293" s="6"/>
      <c r="AP293" s="6"/>
      <c r="AQ293" s="6"/>
    </row>
    <row r="294" spans="1:45" s="664" customFormat="1" ht="13.95" hidden="1" customHeight="1" x14ac:dyDescent="0.25">
      <c r="A294" s="323" t="s">
        <v>173</v>
      </c>
      <c r="B294" s="4" t="s">
        <v>306</v>
      </c>
      <c r="C294" s="704" t="s">
        <v>1583</v>
      </c>
      <c r="D294" s="705"/>
      <c r="E294" s="705"/>
      <c r="F294" s="705"/>
      <c r="G294" s="705"/>
      <c r="H294" s="705"/>
      <c r="I294" s="705"/>
      <c r="J294" s="705"/>
      <c r="K294" s="705"/>
      <c r="L294" s="705"/>
      <c r="M294" s="705"/>
      <c r="N294" s="705"/>
      <c r="O294" s="705"/>
      <c r="P294" s="705"/>
      <c r="Q294" s="705"/>
      <c r="R294" s="705"/>
      <c r="S294" s="708"/>
      <c r="T294" s="712" t="s">
        <v>1126</v>
      </c>
      <c r="U294" s="712" t="s">
        <v>1107</v>
      </c>
      <c r="V294" s="712" t="s">
        <v>1108</v>
      </c>
      <c r="W294" s="167"/>
      <c r="X294" s="182"/>
      <c r="Y294" s="167"/>
      <c r="Z294" s="167"/>
      <c r="AA294" s="167"/>
      <c r="AB294" s="167"/>
      <c r="AC294" s="167"/>
      <c r="AD294" s="167"/>
      <c r="AE294" s="167"/>
      <c r="AF294" s="167"/>
      <c r="AG294" s="167"/>
      <c r="AH294" s="167"/>
      <c r="AI294" s="167"/>
      <c r="AJ294" s="167"/>
      <c r="AK294" s="167"/>
      <c r="AL294" s="167"/>
      <c r="AM294" s="6"/>
      <c r="AN294" s="6"/>
      <c r="AO294" s="6"/>
      <c r="AP294" s="6"/>
      <c r="AQ294" s="6"/>
      <c r="AR294" s="6"/>
    </row>
    <row r="295" spans="1:45" s="664" customFormat="1" ht="13.95" hidden="1" customHeight="1" x14ac:dyDescent="0.25">
      <c r="A295" s="323" t="s">
        <v>173</v>
      </c>
      <c r="C295" s="663" t="s">
        <v>1111</v>
      </c>
      <c r="D295" s="663" t="s">
        <v>1217</v>
      </c>
      <c r="E295" s="663" t="s">
        <v>1134</v>
      </c>
      <c r="F295" s="663" t="s">
        <v>1117</v>
      </c>
      <c r="G295" s="189" t="s">
        <v>1218</v>
      </c>
      <c r="H295" s="189" t="s">
        <v>1219</v>
      </c>
      <c r="I295" s="189" t="s">
        <v>1220</v>
      </c>
      <c r="J295" s="189" t="s">
        <v>1221</v>
      </c>
      <c r="K295" s="189" t="s">
        <v>1222</v>
      </c>
      <c r="L295" s="189" t="s">
        <v>1756</v>
      </c>
      <c r="M295" s="189" t="s">
        <v>1223</v>
      </c>
      <c r="N295" s="189" t="s">
        <v>1224</v>
      </c>
      <c r="O295" s="189" t="s">
        <v>1225</v>
      </c>
      <c r="P295" s="189" t="s">
        <v>1226</v>
      </c>
      <c r="Q295" s="189" t="s">
        <v>1147</v>
      </c>
      <c r="R295" s="189" t="s">
        <v>1227</v>
      </c>
      <c r="S295" s="189" t="s">
        <v>1228</v>
      </c>
      <c r="T295" s="713"/>
      <c r="U295" s="713"/>
      <c r="V295" s="713"/>
      <c r="W295" s="167"/>
      <c r="X295" s="182"/>
      <c r="Y295" s="167"/>
      <c r="Z295" s="167"/>
      <c r="AA295" s="167"/>
      <c r="AB295" s="167"/>
      <c r="AC295" s="167"/>
      <c r="AD295" s="167"/>
      <c r="AE295" s="167"/>
      <c r="AF295" s="167"/>
      <c r="AG295" s="167"/>
      <c r="AH295" s="167"/>
      <c r="AI295" s="167"/>
      <c r="AJ295" s="167"/>
      <c r="AK295" s="167"/>
      <c r="AL295" s="167"/>
      <c r="AM295" s="6"/>
      <c r="AN295" s="6"/>
      <c r="AO295" s="6"/>
      <c r="AP295" s="6"/>
      <c r="AQ295" s="6"/>
      <c r="AR295" s="6"/>
    </row>
    <row r="296" spans="1:45" s="664" customFormat="1" ht="13.95" hidden="1" customHeight="1" x14ac:dyDescent="0.25">
      <c r="A296" s="323" t="s">
        <v>173</v>
      </c>
      <c r="C296" s="663">
        <f>$B$2</f>
        <v>20180327</v>
      </c>
      <c r="D296" s="663">
        <f>$B$2</f>
        <v>20180327</v>
      </c>
      <c r="E296" s="663" t="str">
        <f>$F$5</f>
        <v>9999</v>
      </c>
      <c r="F296" s="663" t="s">
        <v>1678</v>
      </c>
      <c r="G296" s="189">
        <v>0</v>
      </c>
      <c r="H296" s="189">
        <v>0</v>
      </c>
      <c r="I296" s="189">
        <v>0</v>
      </c>
      <c r="J296" s="189">
        <v>0</v>
      </c>
      <c r="K296" s="189">
        <f>$B$2-1</f>
        <v>20180326</v>
      </c>
      <c r="L296" s="189">
        <v>7</v>
      </c>
      <c r="M296" s="189">
        <v>2</v>
      </c>
      <c r="N296" s="189">
        <v>2</v>
      </c>
      <c r="O296" s="189">
        <v>2</v>
      </c>
      <c r="P296" s="189">
        <v>1</v>
      </c>
      <c r="Q296" s="111" t="s">
        <v>1128</v>
      </c>
      <c r="R296" s="111">
        <f>$B$2</f>
        <v>20180327</v>
      </c>
      <c r="S296" s="205">
        <v>0.53385416666666663</v>
      </c>
      <c r="T296" s="205" t="s">
        <v>1128</v>
      </c>
      <c r="U296" s="111"/>
      <c r="V296" s="111"/>
      <c r="W296" s="167"/>
      <c r="X296" s="182"/>
      <c r="Y296" s="167"/>
      <c r="Z296" s="167"/>
      <c r="AA296" s="167"/>
      <c r="AB296" s="167"/>
      <c r="AC296" s="167"/>
      <c r="AD296" s="167"/>
      <c r="AE296" s="167"/>
      <c r="AF296" s="167"/>
      <c r="AG296" s="167"/>
      <c r="AH296" s="167"/>
      <c r="AI296" s="167"/>
      <c r="AJ296" s="167"/>
      <c r="AK296" s="167"/>
      <c r="AL296" s="167"/>
      <c r="AM296" s="6"/>
      <c r="AN296" s="6"/>
      <c r="AO296" s="6"/>
      <c r="AP296" s="6"/>
      <c r="AQ296" s="6"/>
      <c r="AR296" s="6"/>
    </row>
    <row r="297" spans="1:45" s="9" customFormat="1" ht="13.95" hidden="1" customHeight="1" x14ac:dyDescent="0.25">
      <c r="A297" s="323" t="s">
        <v>173</v>
      </c>
      <c r="B297" s="361" t="s">
        <v>359</v>
      </c>
      <c r="C297" s="361" t="s">
        <v>1627</v>
      </c>
      <c r="D297" s="361"/>
      <c r="E297" s="361"/>
      <c r="F297" s="361"/>
    </row>
    <row r="298" spans="1:45" s="9" customFormat="1" ht="13.95" hidden="1" customHeight="1" x14ac:dyDescent="0.25">
      <c r="A298" s="323" t="s">
        <v>173</v>
      </c>
      <c r="B298" s="369" t="s">
        <v>970</v>
      </c>
      <c r="C298" s="369" t="s">
        <v>1670</v>
      </c>
      <c r="D298" s="369"/>
      <c r="E298" s="361"/>
      <c r="F298" s="361"/>
    </row>
    <row r="299" spans="1:45" s="364" customFormat="1" ht="13.95" hidden="1" customHeight="1" x14ac:dyDescent="0.15">
      <c r="A299" s="323" t="s">
        <v>173</v>
      </c>
      <c r="B299" s="361" t="s">
        <v>1628</v>
      </c>
      <c r="C299" s="704" t="s">
        <v>1582</v>
      </c>
      <c r="D299" s="705"/>
      <c r="E299" s="705"/>
      <c r="F299" s="705"/>
      <c r="G299" s="705"/>
      <c r="H299" s="705"/>
      <c r="I299" s="705"/>
      <c r="J299" s="705"/>
      <c r="K299" s="705"/>
      <c r="L299" s="705"/>
      <c r="M299" s="705"/>
      <c r="N299" s="705"/>
      <c r="O299" s="705"/>
      <c r="P299" s="705"/>
      <c r="Q299" s="705"/>
      <c r="R299" s="705"/>
      <c r="S299" s="708"/>
      <c r="T299" s="740" t="s">
        <v>1779</v>
      </c>
      <c r="U299" s="717" t="s">
        <v>1629</v>
      </c>
      <c r="V299" s="717" t="s">
        <v>1630</v>
      </c>
      <c r="W299" s="717" t="s">
        <v>1631</v>
      </c>
      <c r="X299" s="362"/>
      <c r="Y299" s="107"/>
      <c r="Z299" s="362"/>
      <c r="AA299" s="362"/>
      <c r="AB299" s="362"/>
      <c r="AC299" s="362"/>
      <c r="AD299" s="362"/>
      <c r="AE299" s="362"/>
      <c r="AF299" s="362"/>
      <c r="AG299" s="362"/>
      <c r="AH299" s="362"/>
      <c r="AI299" s="362"/>
      <c r="AJ299" s="362"/>
      <c r="AK299" s="362"/>
      <c r="AL299" s="362"/>
      <c r="AM299" s="362"/>
      <c r="AN299" s="363"/>
      <c r="AO299" s="363"/>
      <c r="AP299" s="363"/>
      <c r="AQ299" s="363"/>
      <c r="AR299" s="363"/>
      <c r="AS299" s="363"/>
    </row>
    <row r="300" spans="1:45" s="364" customFormat="1" ht="13.95" hidden="1" customHeight="1" x14ac:dyDescent="0.25">
      <c r="A300" s="323" t="s">
        <v>173</v>
      </c>
      <c r="C300" s="365" t="s">
        <v>1439</v>
      </c>
      <c r="D300" s="365" t="s">
        <v>1633</v>
      </c>
      <c r="E300" s="365" t="s">
        <v>1634</v>
      </c>
      <c r="F300" s="365" t="s">
        <v>1635</v>
      </c>
      <c r="G300" s="366" t="s">
        <v>1636</v>
      </c>
      <c r="H300" s="366" t="s">
        <v>1637</v>
      </c>
      <c r="I300" s="366" t="s">
        <v>1638</v>
      </c>
      <c r="J300" s="366" t="s">
        <v>1639</v>
      </c>
      <c r="K300" s="366" t="s">
        <v>1640</v>
      </c>
      <c r="L300" s="366" t="s">
        <v>1641</v>
      </c>
      <c r="M300" s="366" t="s">
        <v>1642</v>
      </c>
      <c r="N300" s="366" t="s">
        <v>1643</v>
      </c>
      <c r="O300" s="366" t="s">
        <v>1644</v>
      </c>
      <c r="P300" s="366" t="s">
        <v>1645</v>
      </c>
      <c r="Q300" s="366" t="s">
        <v>1646</v>
      </c>
      <c r="R300" s="366" t="s">
        <v>1647</v>
      </c>
      <c r="S300" s="366" t="s">
        <v>1648</v>
      </c>
      <c r="T300" s="741"/>
      <c r="U300" s="718"/>
      <c r="V300" s="718"/>
      <c r="W300" s="718"/>
      <c r="X300" s="362"/>
      <c r="Y300" s="107"/>
      <c r="Z300" s="362"/>
      <c r="AA300" s="362"/>
      <c r="AB300" s="362"/>
      <c r="AC300" s="362"/>
      <c r="AD300" s="362"/>
      <c r="AE300" s="362"/>
      <c r="AF300" s="362"/>
      <c r="AG300" s="362"/>
      <c r="AH300" s="362"/>
      <c r="AI300" s="362"/>
      <c r="AJ300" s="362"/>
      <c r="AK300" s="362"/>
      <c r="AL300" s="362"/>
      <c r="AM300" s="362"/>
      <c r="AN300" s="363"/>
      <c r="AO300" s="363"/>
      <c r="AP300" s="363"/>
      <c r="AQ300" s="363"/>
      <c r="AR300" s="363"/>
      <c r="AS300" s="363"/>
    </row>
    <row r="301" spans="1:45" s="364" customFormat="1" ht="13.95" hidden="1" customHeight="1" x14ac:dyDescent="0.25">
      <c r="A301" s="323" t="s">
        <v>173</v>
      </c>
      <c r="C301" s="365">
        <f>$B$2</f>
        <v>20180327</v>
      </c>
      <c r="D301" s="365">
        <f>$B$2</f>
        <v>20180327</v>
      </c>
      <c r="E301" s="365" t="str">
        <f>$F$5</f>
        <v>9999</v>
      </c>
      <c r="F301" s="365" t="s">
        <v>1678</v>
      </c>
      <c r="G301" s="366">
        <v>0</v>
      </c>
      <c r="H301" s="366">
        <v>0</v>
      </c>
      <c r="I301" s="366">
        <v>0</v>
      </c>
      <c r="J301" s="366">
        <v>0</v>
      </c>
      <c r="K301" s="366">
        <f>$B$2-1</f>
        <v>20180326</v>
      </c>
      <c r="L301" s="366">
        <v>7</v>
      </c>
      <c r="M301" s="366">
        <v>2</v>
      </c>
      <c r="N301" s="366">
        <v>2</v>
      </c>
      <c r="O301" s="366">
        <v>2</v>
      </c>
      <c r="P301" s="366">
        <v>1</v>
      </c>
      <c r="Q301" s="367" t="s">
        <v>1649</v>
      </c>
      <c r="R301" s="367">
        <f>$B$2</f>
        <v>20180327</v>
      </c>
      <c r="S301" s="368">
        <v>0.53385416666666663</v>
      </c>
      <c r="T301" s="387">
        <v>1</v>
      </c>
      <c r="U301" s="368" t="s">
        <v>1649</v>
      </c>
      <c r="V301" s="367"/>
      <c r="W301" s="367"/>
      <c r="X301" s="362"/>
      <c r="Y301" s="107"/>
      <c r="Z301" s="362"/>
      <c r="AA301" s="362"/>
      <c r="AB301" s="362"/>
      <c r="AC301" s="362"/>
      <c r="AD301" s="362"/>
      <c r="AE301" s="362"/>
      <c r="AF301" s="362"/>
      <c r="AG301" s="362"/>
      <c r="AH301" s="362"/>
      <c r="AI301" s="362"/>
      <c r="AJ301" s="362"/>
      <c r="AK301" s="362"/>
      <c r="AL301" s="362"/>
      <c r="AM301" s="362"/>
      <c r="AN301" s="363"/>
      <c r="AO301" s="363"/>
      <c r="AP301" s="363"/>
      <c r="AQ301" s="363"/>
      <c r="AR301" s="363"/>
      <c r="AS301" s="363"/>
    </row>
    <row r="302" spans="1:45" s="9" customFormat="1" ht="13.95" hidden="1" customHeight="1" x14ac:dyDescent="0.25">
      <c r="A302" s="323" t="s">
        <v>173</v>
      </c>
      <c r="B302" s="361" t="s">
        <v>359</v>
      </c>
      <c r="C302" s="361" t="s">
        <v>1627</v>
      </c>
    </row>
    <row r="303" spans="1:45" s="9" customFormat="1" ht="13.95" hidden="1" customHeight="1" x14ac:dyDescent="0.25">
      <c r="A303" s="323" t="s">
        <v>173</v>
      </c>
      <c r="B303" s="369" t="s">
        <v>970</v>
      </c>
      <c r="C303" s="369" t="s">
        <v>1671</v>
      </c>
      <c r="D303" s="44"/>
    </row>
    <row r="304" spans="1:45" s="364" customFormat="1" hidden="1" x14ac:dyDescent="0.15">
      <c r="A304" s="323" t="s">
        <v>173</v>
      </c>
      <c r="B304" s="361" t="s">
        <v>1628</v>
      </c>
      <c r="C304" s="704" t="s">
        <v>1672</v>
      </c>
      <c r="D304" s="705"/>
      <c r="E304" s="705"/>
      <c r="F304" s="705"/>
      <c r="G304" s="705"/>
      <c r="H304" s="705"/>
      <c r="I304" s="705"/>
      <c r="J304" s="705"/>
      <c r="K304" s="705"/>
      <c r="L304" s="705"/>
      <c r="M304" s="705"/>
      <c r="N304" s="705"/>
      <c r="O304" s="705"/>
      <c r="P304" s="705"/>
      <c r="Q304" s="705"/>
      <c r="R304" s="705"/>
      <c r="S304" s="708"/>
      <c r="T304" s="717" t="s">
        <v>1650</v>
      </c>
      <c r="U304" s="717" t="s">
        <v>1494</v>
      </c>
      <c r="V304" s="717" t="s">
        <v>1652</v>
      </c>
      <c r="W304" s="362"/>
      <c r="X304" s="107"/>
      <c r="Y304" s="362"/>
      <c r="Z304" s="362"/>
      <c r="AA304" s="362"/>
      <c r="AB304" s="362"/>
      <c r="AC304" s="362"/>
      <c r="AD304" s="362"/>
      <c r="AE304" s="362"/>
      <c r="AF304" s="362"/>
      <c r="AG304" s="362"/>
      <c r="AH304" s="362"/>
      <c r="AI304" s="362"/>
      <c r="AJ304" s="362"/>
      <c r="AK304" s="362"/>
      <c r="AL304" s="362"/>
      <c r="AM304" s="363"/>
      <c r="AN304" s="363"/>
      <c r="AO304" s="363"/>
      <c r="AP304" s="363"/>
      <c r="AQ304" s="363"/>
      <c r="AR304" s="363"/>
    </row>
    <row r="305" spans="1:45" s="364" customFormat="1" hidden="1" x14ac:dyDescent="0.25">
      <c r="A305" s="323" t="s">
        <v>173</v>
      </c>
      <c r="C305" s="365" t="s">
        <v>1653</v>
      </c>
      <c r="D305" s="365" t="s">
        <v>1654</v>
      </c>
      <c r="E305" s="365" t="s">
        <v>1634</v>
      </c>
      <c r="F305" s="365" t="s">
        <v>1656</v>
      </c>
      <c r="G305" s="366" t="s">
        <v>1657</v>
      </c>
      <c r="H305" s="366" t="s">
        <v>1658</v>
      </c>
      <c r="I305" s="366" t="s">
        <v>1659</v>
      </c>
      <c r="J305" s="366" t="s">
        <v>1660</v>
      </c>
      <c r="K305" s="366" t="s">
        <v>1661</v>
      </c>
      <c r="L305" s="366" t="s">
        <v>1662</v>
      </c>
      <c r="M305" s="366" t="s">
        <v>1663</v>
      </c>
      <c r="N305" s="366" t="s">
        <v>1664</v>
      </c>
      <c r="O305" s="366" t="s">
        <v>1665</v>
      </c>
      <c r="P305" s="366" t="s">
        <v>1666</v>
      </c>
      <c r="Q305" s="366" t="s">
        <v>1667</v>
      </c>
      <c r="R305" s="366" t="s">
        <v>1668</v>
      </c>
      <c r="S305" s="366" t="s">
        <v>1669</v>
      </c>
      <c r="T305" s="718"/>
      <c r="U305" s="718"/>
      <c r="V305" s="718"/>
      <c r="W305" s="362"/>
      <c r="X305" s="107"/>
      <c r="Y305" s="362"/>
      <c r="Z305" s="362"/>
      <c r="AA305" s="362"/>
      <c r="AB305" s="362"/>
      <c r="AC305" s="362"/>
      <c r="AD305" s="362"/>
      <c r="AE305" s="362"/>
      <c r="AF305" s="362"/>
      <c r="AG305" s="362"/>
      <c r="AH305" s="362"/>
      <c r="AI305" s="362"/>
      <c r="AJ305" s="362"/>
      <c r="AK305" s="362"/>
      <c r="AL305" s="362"/>
      <c r="AM305" s="363"/>
      <c r="AN305" s="363"/>
      <c r="AO305" s="363"/>
      <c r="AP305" s="363"/>
      <c r="AQ305" s="363"/>
      <c r="AR305" s="363"/>
    </row>
    <row r="306" spans="1:45" s="364" customFormat="1" hidden="1" x14ac:dyDescent="0.25">
      <c r="A306" s="323" t="s">
        <v>173</v>
      </c>
      <c r="C306" s="365">
        <f>$B$2</f>
        <v>20180327</v>
      </c>
      <c r="D306" s="365">
        <f>$B$2</f>
        <v>20180327</v>
      </c>
      <c r="E306" s="365" t="str">
        <f>$F$5</f>
        <v>9999</v>
      </c>
      <c r="F306" s="365" t="s">
        <v>1678</v>
      </c>
      <c r="G306" s="366">
        <v>0</v>
      </c>
      <c r="H306" s="366">
        <v>0</v>
      </c>
      <c r="I306" s="366">
        <v>0</v>
      </c>
      <c r="J306" s="366">
        <v>0</v>
      </c>
      <c r="K306" s="366">
        <f>K301</f>
        <v>20180326</v>
      </c>
      <c r="L306" s="366">
        <v>7</v>
      </c>
      <c r="M306" s="366">
        <v>2</v>
      </c>
      <c r="N306" s="366">
        <v>2</v>
      </c>
      <c r="O306" s="366">
        <v>2</v>
      </c>
      <c r="P306" s="366">
        <v>1</v>
      </c>
      <c r="Q306" s="367" t="s">
        <v>1128</v>
      </c>
      <c r="R306" s="367">
        <f>$B$2</f>
        <v>20180327</v>
      </c>
      <c r="S306" s="368">
        <v>0.53385416666666663</v>
      </c>
      <c r="T306" s="368" t="s">
        <v>1128</v>
      </c>
      <c r="U306" s="367"/>
      <c r="V306" s="367"/>
      <c r="W306" s="362"/>
      <c r="X306" s="107"/>
      <c r="Y306" s="362"/>
      <c r="Z306" s="362"/>
      <c r="AA306" s="362"/>
      <c r="AB306" s="362"/>
      <c r="AC306" s="362"/>
      <c r="AD306" s="362"/>
      <c r="AE306" s="362"/>
      <c r="AF306" s="362"/>
      <c r="AG306" s="362"/>
      <c r="AH306" s="362"/>
      <c r="AI306" s="362"/>
      <c r="AJ306" s="362"/>
      <c r="AK306" s="362"/>
      <c r="AL306" s="362"/>
      <c r="AM306" s="363"/>
      <c r="AN306" s="363"/>
      <c r="AO306" s="363"/>
      <c r="AP306" s="363"/>
      <c r="AQ306" s="363"/>
      <c r="AR306" s="363"/>
    </row>
    <row r="307" spans="1:45" s="9" customFormat="1" ht="13.95" hidden="1" customHeight="1" x14ac:dyDescent="0.25">
      <c r="A307" s="323" t="s">
        <v>173</v>
      </c>
      <c r="B307" s="361" t="s">
        <v>359</v>
      </c>
      <c r="C307" s="361" t="s">
        <v>1627</v>
      </c>
    </row>
    <row r="308" spans="1:45" s="9" customFormat="1" ht="13.95" hidden="1" customHeight="1" x14ac:dyDescent="0.25">
      <c r="A308" s="323" t="s">
        <v>173</v>
      </c>
      <c r="B308" s="369" t="s">
        <v>970</v>
      </c>
      <c r="C308" s="369" t="s">
        <v>1762</v>
      </c>
      <c r="D308" s="44"/>
    </row>
    <row r="309" spans="1:45" s="364" customFormat="1" hidden="1" x14ac:dyDescent="0.15">
      <c r="A309" s="323" t="s">
        <v>173</v>
      </c>
      <c r="B309" s="361" t="s">
        <v>306</v>
      </c>
      <c r="C309" s="704" t="s">
        <v>1763</v>
      </c>
      <c r="D309" s="705"/>
      <c r="E309" s="705"/>
      <c r="F309" s="705"/>
      <c r="G309" s="705"/>
      <c r="H309" s="705"/>
      <c r="I309" s="705"/>
      <c r="J309" s="705"/>
      <c r="K309" s="705"/>
      <c r="L309" s="705"/>
      <c r="M309" s="705"/>
      <c r="N309" s="705"/>
      <c r="O309" s="705"/>
      <c r="P309" s="705"/>
      <c r="Q309" s="705"/>
      <c r="R309" s="705"/>
      <c r="S309" s="708"/>
      <c r="T309" s="717" t="s">
        <v>1629</v>
      </c>
      <c r="U309" s="717" t="s">
        <v>1107</v>
      </c>
      <c r="V309" s="717" t="s">
        <v>1254</v>
      </c>
      <c r="W309" s="362"/>
      <c r="X309" s="107"/>
      <c r="Y309" s="362"/>
      <c r="Z309" s="362"/>
      <c r="AA309" s="362"/>
      <c r="AB309" s="362"/>
      <c r="AC309" s="362"/>
      <c r="AD309" s="362"/>
      <c r="AE309" s="362"/>
      <c r="AF309" s="362"/>
      <c r="AG309" s="362"/>
      <c r="AH309" s="362"/>
      <c r="AI309" s="362"/>
      <c r="AJ309" s="362"/>
      <c r="AK309" s="362"/>
      <c r="AL309" s="362"/>
      <c r="AM309" s="363"/>
      <c r="AN309" s="363"/>
      <c r="AO309" s="363"/>
      <c r="AP309" s="363"/>
      <c r="AQ309" s="363"/>
      <c r="AR309" s="363"/>
    </row>
    <row r="310" spans="1:45" s="364" customFormat="1" hidden="1" x14ac:dyDescent="0.25">
      <c r="A310" s="323" t="s">
        <v>173</v>
      </c>
      <c r="C310" s="365" t="s">
        <v>1439</v>
      </c>
      <c r="D310" s="365" t="s">
        <v>1654</v>
      </c>
      <c r="E310" s="365" t="s">
        <v>1634</v>
      </c>
      <c r="F310" s="365" t="s">
        <v>1656</v>
      </c>
      <c r="G310" s="366" t="s">
        <v>1657</v>
      </c>
      <c r="H310" s="366" t="s">
        <v>1658</v>
      </c>
      <c r="I310" s="366" t="s">
        <v>1659</v>
      </c>
      <c r="J310" s="366" t="s">
        <v>1660</v>
      </c>
      <c r="K310" s="366" t="s">
        <v>1640</v>
      </c>
      <c r="L310" s="366" t="s">
        <v>1641</v>
      </c>
      <c r="M310" s="366" t="s">
        <v>1663</v>
      </c>
      <c r="N310" s="366" t="s">
        <v>1664</v>
      </c>
      <c r="O310" s="366" t="s">
        <v>1665</v>
      </c>
      <c r="P310" s="366" t="s">
        <v>1666</v>
      </c>
      <c r="Q310" s="366" t="s">
        <v>1147</v>
      </c>
      <c r="R310" s="366" t="s">
        <v>1227</v>
      </c>
      <c r="S310" s="366" t="s">
        <v>1648</v>
      </c>
      <c r="T310" s="718"/>
      <c r="U310" s="718"/>
      <c r="V310" s="718"/>
      <c r="W310" s="362"/>
      <c r="X310" s="107"/>
      <c r="Y310" s="362"/>
      <c r="Z310" s="362"/>
      <c r="AA310" s="362"/>
      <c r="AB310" s="362"/>
      <c r="AC310" s="362"/>
      <c r="AD310" s="362"/>
      <c r="AE310" s="362"/>
      <c r="AF310" s="362"/>
      <c r="AG310" s="362"/>
      <c r="AH310" s="362"/>
      <c r="AI310" s="362"/>
      <c r="AJ310" s="362"/>
      <c r="AK310" s="362"/>
      <c r="AL310" s="362"/>
      <c r="AM310" s="363"/>
      <c r="AN310" s="363"/>
      <c r="AO310" s="363"/>
      <c r="AP310" s="363"/>
      <c r="AQ310" s="363"/>
      <c r="AR310" s="363"/>
    </row>
    <row r="311" spans="1:45" s="364" customFormat="1" hidden="1" x14ac:dyDescent="0.25">
      <c r="A311" s="323" t="s">
        <v>173</v>
      </c>
      <c r="C311" s="365">
        <f>$B$2</f>
        <v>20180327</v>
      </c>
      <c r="D311" s="365">
        <f>$B$2</f>
        <v>20180327</v>
      </c>
      <c r="E311" s="365" t="str">
        <f>$F$5</f>
        <v>9999</v>
      </c>
      <c r="F311" s="365" t="s">
        <v>1710</v>
      </c>
      <c r="G311" s="366">
        <v>0</v>
      </c>
      <c r="H311" s="366">
        <v>0</v>
      </c>
      <c r="I311" s="366">
        <v>0</v>
      </c>
      <c r="J311" s="366">
        <v>0</v>
      </c>
      <c r="K311" s="366">
        <f>$B$2-1</f>
        <v>20180326</v>
      </c>
      <c r="L311" s="366">
        <v>7</v>
      </c>
      <c r="M311" s="366">
        <v>2</v>
      </c>
      <c r="N311" s="366">
        <v>2</v>
      </c>
      <c r="O311" s="366">
        <v>2</v>
      </c>
      <c r="P311" s="366">
        <v>1</v>
      </c>
      <c r="Q311" s="367" t="s">
        <v>1128</v>
      </c>
      <c r="R311" s="367">
        <f>$B$2</f>
        <v>20180327</v>
      </c>
      <c r="S311" s="368">
        <v>0.53385416666666663</v>
      </c>
      <c r="T311" s="368" t="s">
        <v>1128</v>
      </c>
      <c r="U311" s="367"/>
      <c r="V311" s="367"/>
      <c r="W311" s="362"/>
      <c r="X311" s="107"/>
      <c r="Y311" s="362"/>
      <c r="Z311" s="362"/>
      <c r="AA311" s="362"/>
      <c r="AB311" s="362"/>
      <c r="AC311" s="362"/>
      <c r="AD311" s="362"/>
      <c r="AE311" s="362"/>
      <c r="AF311" s="362"/>
      <c r="AG311" s="362"/>
      <c r="AH311" s="362"/>
      <c r="AI311" s="362"/>
      <c r="AJ311" s="362"/>
      <c r="AK311" s="362"/>
      <c r="AL311" s="362"/>
      <c r="AM311" s="363"/>
      <c r="AN311" s="363"/>
      <c r="AO311" s="363"/>
      <c r="AP311" s="363"/>
      <c r="AQ311" s="363"/>
      <c r="AR311" s="363"/>
    </row>
    <row r="312" spans="1:45" s="664" customFormat="1" hidden="1" x14ac:dyDescent="0.25">
      <c r="A312" s="323" t="s">
        <v>173</v>
      </c>
      <c r="B312" s="664" t="s">
        <v>173</v>
      </c>
      <c r="C312" s="323" t="s">
        <v>1679</v>
      </c>
      <c r="D312" s="323"/>
      <c r="E312" s="323"/>
      <c r="F312" s="323"/>
      <c r="G312" s="188"/>
      <c r="H312" s="188"/>
      <c r="I312" s="188"/>
      <c r="J312" s="188"/>
      <c r="K312" s="188"/>
      <c r="L312" s="188"/>
      <c r="M312" s="188"/>
      <c r="N312" s="188"/>
      <c r="O312" s="188"/>
      <c r="P312" s="188"/>
      <c r="Q312" s="167"/>
      <c r="R312" s="167"/>
      <c r="S312" s="338"/>
      <c r="T312" s="338"/>
      <c r="U312" s="167"/>
      <c r="V312" s="167"/>
      <c r="W312" s="167"/>
      <c r="X312" s="182"/>
      <c r="Y312" s="167"/>
      <c r="Z312" s="167"/>
      <c r="AA312" s="167"/>
      <c r="AB312" s="167"/>
      <c r="AC312" s="167"/>
      <c r="AD312" s="167"/>
      <c r="AE312" s="167"/>
      <c r="AF312" s="167"/>
      <c r="AG312" s="167"/>
      <c r="AH312" s="167"/>
      <c r="AI312" s="167"/>
      <c r="AJ312" s="167"/>
      <c r="AK312" s="167"/>
      <c r="AL312" s="167"/>
      <c r="AM312" s="6"/>
      <c r="AN312" s="6"/>
      <c r="AO312" s="6"/>
      <c r="AP312" s="6"/>
      <c r="AQ312" s="6"/>
      <c r="AR312" s="6"/>
    </row>
    <row r="313" spans="1:45" s="664" customFormat="1" ht="13.95" hidden="1" customHeight="1" x14ac:dyDescent="0.25">
      <c r="A313" s="323" t="s">
        <v>173</v>
      </c>
      <c r="B313" s="4" t="s">
        <v>124</v>
      </c>
      <c r="C313" s="203" t="s">
        <v>1251</v>
      </c>
      <c r="D313" s="204"/>
      <c r="E313" s="204"/>
      <c r="F313" s="204"/>
      <c r="G313" s="188"/>
      <c r="H313" s="188"/>
      <c r="I313" s="188"/>
      <c r="J313" s="188"/>
      <c r="K313" s="188"/>
      <c r="L313" s="188"/>
      <c r="M313" s="188"/>
      <c r="N313" s="188"/>
      <c r="O313" s="167"/>
      <c r="P313" s="167"/>
      <c r="Q313" s="167"/>
      <c r="R313" s="167"/>
      <c r="S313" s="167"/>
      <c r="T313" s="167"/>
      <c r="U313" s="167"/>
      <c r="V313" s="167"/>
      <c r="W313" s="182"/>
      <c r="X313" s="167"/>
      <c r="Y313" s="167"/>
      <c r="Z313" s="167"/>
      <c r="AA313" s="167"/>
      <c r="AB313" s="167"/>
      <c r="AC313" s="167"/>
      <c r="AD313" s="167"/>
      <c r="AE313" s="167"/>
      <c r="AF313" s="167"/>
      <c r="AG313" s="167"/>
      <c r="AH313" s="167"/>
      <c r="AI313" s="167"/>
      <c r="AJ313" s="167"/>
      <c r="AK313" s="167"/>
      <c r="AL313" s="6"/>
      <c r="AM313" s="6"/>
      <c r="AN313" s="6"/>
      <c r="AO313" s="6"/>
      <c r="AP313" s="6"/>
      <c r="AQ313" s="6"/>
    </row>
    <row r="314" spans="1:45" s="664" customFormat="1" ht="13.95" hidden="1" customHeight="1" x14ac:dyDescent="0.25">
      <c r="A314" s="323" t="s">
        <v>173</v>
      </c>
      <c r="B314" s="4" t="s">
        <v>306</v>
      </c>
      <c r="C314" s="704" t="s">
        <v>1583</v>
      </c>
      <c r="D314" s="705"/>
      <c r="E314" s="705"/>
      <c r="F314" s="705"/>
      <c r="G314" s="705"/>
      <c r="H314" s="705"/>
      <c r="I314" s="705"/>
      <c r="J314" s="705"/>
      <c r="K314" s="705"/>
      <c r="L314" s="705"/>
      <c r="M314" s="705"/>
      <c r="N314" s="705"/>
      <c r="O314" s="705"/>
      <c r="P314" s="705"/>
      <c r="Q314" s="705"/>
      <c r="R314" s="705"/>
      <c r="S314" s="708"/>
      <c r="T314" s="712" t="s">
        <v>1126</v>
      </c>
      <c r="U314" s="712" t="s">
        <v>1107</v>
      </c>
      <c r="V314" s="712" t="s">
        <v>1108</v>
      </c>
      <c r="W314" s="167"/>
      <c r="X314" s="182"/>
      <c r="Y314" s="167"/>
      <c r="Z314" s="167"/>
      <c r="AA314" s="167"/>
      <c r="AB314" s="167"/>
      <c r="AC314" s="167"/>
      <c r="AD314" s="167"/>
      <c r="AE314" s="167"/>
      <c r="AF314" s="167"/>
      <c r="AG314" s="167"/>
      <c r="AH314" s="167"/>
      <c r="AI314" s="167"/>
      <c r="AJ314" s="167"/>
      <c r="AK314" s="167"/>
      <c r="AL314" s="167"/>
      <c r="AM314" s="6"/>
      <c r="AN314" s="6"/>
      <c r="AO314" s="6"/>
      <c r="AP314" s="6"/>
      <c r="AQ314" s="6"/>
      <c r="AR314" s="6"/>
    </row>
    <row r="315" spans="1:45" s="664" customFormat="1" ht="13.95" hidden="1" customHeight="1" x14ac:dyDescent="0.25">
      <c r="A315" s="323" t="s">
        <v>173</v>
      </c>
      <c r="C315" s="663" t="s">
        <v>1111</v>
      </c>
      <c r="D315" s="663" t="s">
        <v>1217</v>
      </c>
      <c r="E315" s="663" t="s">
        <v>1134</v>
      </c>
      <c r="F315" s="663" t="s">
        <v>1117</v>
      </c>
      <c r="G315" s="189" t="s">
        <v>1218</v>
      </c>
      <c r="H315" s="189" t="s">
        <v>1219</v>
      </c>
      <c r="I315" s="189" t="s">
        <v>1220</v>
      </c>
      <c r="J315" s="189" t="s">
        <v>1221</v>
      </c>
      <c r="K315" s="189" t="s">
        <v>1222</v>
      </c>
      <c r="L315" s="189" t="s">
        <v>1757</v>
      </c>
      <c r="M315" s="189" t="s">
        <v>1223</v>
      </c>
      <c r="N315" s="189" t="s">
        <v>1224</v>
      </c>
      <c r="O315" s="189" t="s">
        <v>1225</v>
      </c>
      <c r="P315" s="189" t="s">
        <v>1226</v>
      </c>
      <c r="Q315" s="189" t="s">
        <v>1147</v>
      </c>
      <c r="R315" s="189" t="s">
        <v>1227</v>
      </c>
      <c r="S315" s="189" t="s">
        <v>1228</v>
      </c>
      <c r="T315" s="713"/>
      <c r="U315" s="713"/>
      <c r="V315" s="713"/>
      <c r="W315" s="167"/>
      <c r="X315" s="182"/>
      <c r="Y315" s="167"/>
      <c r="Z315" s="167"/>
      <c r="AA315" s="167"/>
      <c r="AB315" s="167"/>
      <c r="AC315" s="167"/>
      <c r="AD315" s="167"/>
      <c r="AE315" s="167"/>
      <c r="AF315" s="167"/>
      <c r="AG315" s="167"/>
      <c r="AH315" s="167"/>
      <c r="AI315" s="167"/>
      <c r="AJ315" s="167"/>
      <c r="AK315" s="167"/>
      <c r="AL315" s="167"/>
      <c r="AM315" s="6"/>
      <c r="AN315" s="6"/>
      <c r="AO315" s="6"/>
      <c r="AP315" s="6"/>
      <c r="AQ315" s="6"/>
      <c r="AR315" s="6"/>
    </row>
    <row r="316" spans="1:45" s="664" customFormat="1" ht="13.95" hidden="1" customHeight="1" x14ac:dyDescent="0.25">
      <c r="A316" s="323" t="s">
        <v>173</v>
      </c>
      <c r="C316" s="663">
        <f>$B$2</f>
        <v>20180327</v>
      </c>
      <c r="D316" s="663">
        <f>$B$2</f>
        <v>20180327</v>
      </c>
      <c r="E316" s="663" t="str">
        <f>$F$5</f>
        <v>9999</v>
      </c>
      <c r="F316" s="663" t="s">
        <v>1679</v>
      </c>
      <c r="G316" s="189">
        <v>0</v>
      </c>
      <c r="H316" s="189">
        <v>0</v>
      </c>
      <c r="I316" s="189">
        <v>0</v>
      </c>
      <c r="J316" s="189">
        <v>0</v>
      </c>
      <c r="K316" s="189">
        <f>$B$2-1</f>
        <v>20180326</v>
      </c>
      <c r="L316" s="189">
        <v>7</v>
      </c>
      <c r="M316" s="189">
        <v>2</v>
      </c>
      <c r="N316" s="189">
        <v>2</v>
      </c>
      <c r="O316" s="189">
        <v>2</v>
      </c>
      <c r="P316" s="189">
        <v>1</v>
      </c>
      <c r="Q316" s="111" t="s">
        <v>1128</v>
      </c>
      <c r="R316" s="111">
        <f>$B$2</f>
        <v>20180327</v>
      </c>
      <c r="S316" s="205">
        <v>0.53385416666666663</v>
      </c>
      <c r="T316" s="205" t="s">
        <v>1128</v>
      </c>
      <c r="U316" s="111"/>
      <c r="V316" s="111"/>
      <c r="W316" s="167"/>
      <c r="X316" s="182"/>
      <c r="Y316" s="167"/>
      <c r="Z316" s="167"/>
      <c r="AA316" s="167"/>
      <c r="AB316" s="167"/>
      <c r="AC316" s="167"/>
      <c r="AD316" s="167"/>
      <c r="AE316" s="167"/>
      <c r="AF316" s="167"/>
      <c r="AG316" s="167"/>
      <c r="AH316" s="167"/>
      <c r="AI316" s="167"/>
      <c r="AJ316" s="167"/>
      <c r="AK316" s="167"/>
      <c r="AL316" s="167"/>
      <c r="AM316" s="6"/>
      <c r="AN316" s="6"/>
      <c r="AO316" s="6"/>
      <c r="AP316" s="6"/>
      <c r="AQ316" s="6"/>
      <c r="AR316" s="6"/>
    </row>
    <row r="317" spans="1:45" s="9" customFormat="1" ht="13.95" hidden="1" customHeight="1" x14ac:dyDescent="0.25">
      <c r="A317" s="323" t="s">
        <v>173</v>
      </c>
      <c r="B317" s="361" t="s">
        <v>359</v>
      </c>
      <c r="C317" s="361" t="s">
        <v>1627</v>
      </c>
      <c r="D317" s="361"/>
      <c r="E317" s="361"/>
      <c r="F317" s="361"/>
    </row>
    <row r="318" spans="1:45" s="9" customFormat="1" ht="13.95" hidden="1" customHeight="1" x14ac:dyDescent="0.25">
      <c r="A318" s="323" t="s">
        <v>173</v>
      </c>
      <c r="B318" s="369" t="s">
        <v>970</v>
      </c>
      <c r="C318" s="369" t="s">
        <v>1670</v>
      </c>
      <c r="D318" s="369"/>
      <c r="E318" s="361"/>
      <c r="F318" s="361"/>
    </row>
    <row r="319" spans="1:45" s="364" customFormat="1" ht="13.95" hidden="1" customHeight="1" x14ac:dyDescent="0.15">
      <c r="A319" s="323" t="s">
        <v>173</v>
      </c>
      <c r="B319" s="361" t="s">
        <v>1628</v>
      </c>
      <c r="C319" s="704" t="s">
        <v>1582</v>
      </c>
      <c r="D319" s="705"/>
      <c r="E319" s="705"/>
      <c r="F319" s="705"/>
      <c r="G319" s="705"/>
      <c r="H319" s="705"/>
      <c r="I319" s="705"/>
      <c r="J319" s="705"/>
      <c r="K319" s="705"/>
      <c r="L319" s="705"/>
      <c r="M319" s="705"/>
      <c r="N319" s="705"/>
      <c r="O319" s="705"/>
      <c r="P319" s="705"/>
      <c r="Q319" s="705"/>
      <c r="R319" s="705"/>
      <c r="S319" s="708"/>
      <c r="T319" s="740" t="s">
        <v>1779</v>
      </c>
      <c r="U319" s="717" t="s">
        <v>1629</v>
      </c>
      <c r="V319" s="717" t="s">
        <v>1630</v>
      </c>
      <c r="W319" s="717" t="s">
        <v>1631</v>
      </c>
      <c r="X319" s="362"/>
      <c r="Y319" s="107"/>
      <c r="Z319" s="362"/>
      <c r="AA319" s="362"/>
      <c r="AB319" s="362"/>
      <c r="AC319" s="362"/>
      <c r="AD319" s="362"/>
      <c r="AE319" s="362"/>
      <c r="AF319" s="362"/>
      <c r="AG319" s="362"/>
      <c r="AH319" s="362"/>
      <c r="AI319" s="362"/>
      <c r="AJ319" s="362"/>
      <c r="AK319" s="362"/>
      <c r="AL319" s="362"/>
      <c r="AM319" s="362"/>
      <c r="AN319" s="363"/>
      <c r="AO319" s="363"/>
      <c r="AP319" s="363"/>
      <c r="AQ319" s="363"/>
      <c r="AR319" s="363"/>
      <c r="AS319" s="363"/>
    </row>
    <row r="320" spans="1:45" s="364" customFormat="1" ht="13.95" hidden="1" customHeight="1" x14ac:dyDescent="0.25">
      <c r="A320" s="323" t="s">
        <v>173</v>
      </c>
      <c r="C320" s="365" t="s">
        <v>1439</v>
      </c>
      <c r="D320" s="365" t="s">
        <v>1633</v>
      </c>
      <c r="E320" s="365" t="s">
        <v>1634</v>
      </c>
      <c r="F320" s="365" t="s">
        <v>1635</v>
      </c>
      <c r="G320" s="366" t="s">
        <v>1636</v>
      </c>
      <c r="H320" s="366" t="s">
        <v>1637</v>
      </c>
      <c r="I320" s="366" t="s">
        <v>1638</v>
      </c>
      <c r="J320" s="366" t="s">
        <v>1639</v>
      </c>
      <c r="K320" s="366" t="s">
        <v>1640</v>
      </c>
      <c r="L320" s="366" t="s">
        <v>1641</v>
      </c>
      <c r="M320" s="366" t="s">
        <v>1642</v>
      </c>
      <c r="N320" s="366" t="s">
        <v>1643</v>
      </c>
      <c r="O320" s="366" t="s">
        <v>1644</v>
      </c>
      <c r="P320" s="366" t="s">
        <v>1645</v>
      </c>
      <c r="Q320" s="366" t="s">
        <v>1646</v>
      </c>
      <c r="R320" s="366" t="s">
        <v>1647</v>
      </c>
      <c r="S320" s="366" t="s">
        <v>1648</v>
      </c>
      <c r="T320" s="741"/>
      <c r="U320" s="718"/>
      <c r="V320" s="718"/>
      <c r="W320" s="718"/>
      <c r="X320" s="362"/>
      <c r="Y320" s="107"/>
      <c r="Z320" s="362"/>
      <c r="AA320" s="362"/>
      <c r="AB320" s="362"/>
      <c r="AC320" s="362"/>
      <c r="AD320" s="362"/>
      <c r="AE320" s="362"/>
      <c r="AF320" s="362"/>
      <c r="AG320" s="362"/>
      <c r="AH320" s="362"/>
      <c r="AI320" s="362"/>
      <c r="AJ320" s="362"/>
      <c r="AK320" s="362"/>
      <c r="AL320" s="362"/>
      <c r="AM320" s="362"/>
      <c r="AN320" s="363"/>
      <c r="AO320" s="363"/>
      <c r="AP320" s="363"/>
      <c r="AQ320" s="363"/>
      <c r="AR320" s="363"/>
      <c r="AS320" s="363"/>
    </row>
    <row r="321" spans="1:45" s="364" customFormat="1" ht="13.95" hidden="1" customHeight="1" x14ac:dyDescent="0.25">
      <c r="A321" s="323" t="s">
        <v>173</v>
      </c>
      <c r="C321" s="365">
        <f>$B$2</f>
        <v>20180327</v>
      </c>
      <c r="D321" s="365">
        <f>$B$2</f>
        <v>20180327</v>
      </c>
      <c r="E321" s="365" t="str">
        <f>$F$5</f>
        <v>9999</v>
      </c>
      <c r="F321" s="365" t="s">
        <v>1679</v>
      </c>
      <c r="G321" s="366">
        <v>0</v>
      </c>
      <c r="H321" s="366">
        <v>0</v>
      </c>
      <c r="I321" s="366">
        <v>0</v>
      </c>
      <c r="J321" s="366">
        <v>0</v>
      </c>
      <c r="K321" s="366">
        <f>$B$2-1</f>
        <v>20180326</v>
      </c>
      <c r="L321" s="366">
        <v>7</v>
      </c>
      <c r="M321" s="366">
        <v>2</v>
      </c>
      <c r="N321" s="366">
        <v>2</v>
      </c>
      <c r="O321" s="366">
        <v>2</v>
      </c>
      <c r="P321" s="366">
        <v>1</v>
      </c>
      <c r="Q321" s="367" t="s">
        <v>1649</v>
      </c>
      <c r="R321" s="367">
        <f>$B$2</f>
        <v>20180327</v>
      </c>
      <c r="S321" s="368">
        <v>0.53385416666666663</v>
      </c>
      <c r="T321" s="387">
        <v>1</v>
      </c>
      <c r="U321" s="368" t="s">
        <v>1649</v>
      </c>
      <c r="V321" s="367"/>
      <c r="W321" s="367"/>
      <c r="X321" s="362"/>
      <c r="Y321" s="107"/>
      <c r="Z321" s="362"/>
      <c r="AA321" s="362"/>
      <c r="AB321" s="362"/>
      <c r="AC321" s="362"/>
      <c r="AD321" s="362"/>
      <c r="AE321" s="362"/>
      <c r="AF321" s="362"/>
      <c r="AG321" s="362"/>
      <c r="AH321" s="362"/>
      <c r="AI321" s="362"/>
      <c r="AJ321" s="362"/>
      <c r="AK321" s="362"/>
      <c r="AL321" s="362"/>
      <c r="AM321" s="362"/>
      <c r="AN321" s="363"/>
      <c r="AO321" s="363"/>
      <c r="AP321" s="363"/>
      <c r="AQ321" s="363"/>
      <c r="AR321" s="363"/>
      <c r="AS321" s="363"/>
    </row>
    <row r="322" spans="1:45" s="9" customFormat="1" ht="13.95" hidden="1" customHeight="1" x14ac:dyDescent="0.25">
      <c r="A322" s="323" t="s">
        <v>173</v>
      </c>
      <c r="B322" s="361" t="s">
        <v>359</v>
      </c>
      <c r="C322" s="361" t="s">
        <v>1627</v>
      </c>
    </row>
    <row r="323" spans="1:45" s="9" customFormat="1" ht="13.95" hidden="1" customHeight="1" x14ac:dyDescent="0.25">
      <c r="A323" s="323" t="s">
        <v>173</v>
      </c>
      <c r="B323" s="369" t="s">
        <v>970</v>
      </c>
      <c r="C323" s="369" t="s">
        <v>1671</v>
      </c>
      <c r="D323" s="44"/>
    </row>
    <row r="324" spans="1:45" s="364" customFormat="1" hidden="1" x14ac:dyDescent="0.15">
      <c r="A324" s="323" t="s">
        <v>173</v>
      </c>
      <c r="B324" s="361" t="s">
        <v>1628</v>
      </c>
      <c r="C324" s="704" t="s">
        <v>1672</v>
      </c>
      <c r="D324" s="705"/>
      <c r="E324" s="705"/>
      <c r="F324" s="705"/>
      <c r="G324" s="705"/>
      <c r="H324" s="705"/>
      <c r="I324" s="705"/>
      <c r="J324" s="705"/>
      <c r="K324" s="705"/>
      <c r="L324" s="705"/>
      <c r="M324" s="705"/>
      <c r="N324" s="705"/>
      <c r="O324" s="705"/>
      <c r="P324" s="705"/>
      <c r="Q324" s="705"/>
      <c r="R324" s="705"/>
      <c r="S324" s="708"/>
      <c r="T324" s="717" t="s">
        <v>1650</v>
      </c>
      <c r="U324" s="717" t="s">
        <v>1494</v>
      </c>
      <c r="V324" s="717" t="s">
        <v>1652</v>
      </c>
      <c r="W324" s="362"/>
      <c r="X324" s="107"/>
      <c r="Y324" s="362"/>
      <c r="Z324" s="362"/>
      <c r="AA324" s="362"/>
      <c r="AB324" s="362"/>
      <c r="AC324" s="362"/>
      <c r="AD324" s="362"/>
      <c r="AE324" s="362"/>
      <c r="AF324" s="362"/>
      <c r="AG324" s="362"/>
      <c r="AH324" s="362"/>
      <c r="AI324" s="362"/>
      <c r="AJ324" s="362"/>
      <c r="AK324" s="362"/>
      <c r="AL324" s="362"/>
      <c r="AM324" s="363"/>
      <c r="AN324" s="363"/>
      <c r="AO324" s="363"/>
      <c r="AP324" s="363"/>
      <c r="AQ324" s="363"/>
      <c r="AR324" s="363"/>
    </row>
    <row r="325" spans="1:45" s="364" customFormat="1" hidden="1" x14ac:dyDescent="0.25">
      <c r="A325" s="323" t="s">
        <v>173</v>
      </c>
      <c r="C325" s="365" t="s">
        <v>1653</v>
      </c>
      <c r="D325" s="365" t="s">
        <v>1654</v>
      </c>
      <c r="E325" s="365" t="s">
        <v>1634</v>
      </c>
      <c r="F325" s="365" t="s">
        <v>1656</v>
      </c>
      <c r="G325" s="366" t="s">
        <v>1657</v>
      </c>
      <c r="H325" s="366" t="s">
        <v>1658</v>
      </c>
      <c r="I325" s="366" t="s">
        <v>1659</v>
      </c>
      <c r="J325" s="366" t="s">
        <v>1660</v>
      </c>
      <c r="K325" s="366" t="s">
        <v>1661</v>
      </c>
      <c r="L325" s="366" t="s">
        <v>1662</v>
      </c>
      <c r="M325" s="366" t="s">
        <v>1663</v>
      </c>
      <c r="N325" s="366" t="s">
        <v>1664</v>
      </c>
      <c r="O325" s="366" t="s">
        <v>1665</v>
      </c>
      <c r="P325" s="366" t="s">
        <v>1666</v>
      </c>
      <c r="Q325" s="366" t="s">
        <v>1667</v>
      </c>
      <c r="R325" s="366" t="s">
        <v>1668</v>
      </c>
      <c r="S325" s="366" t="s">
        <v>1669</v>
      </c>
      <c r="T325" s="718"/>
      <c r="U325" s="718"/>
      <c r="V325" s="718"/>
      <c r="W325" s="362"/>
      <c r="X325" s="107"/>
      <c r="Y325" s="362"/>
      <c r="Z325" s="362"/>
      <c r="AA325" s="362"/>
      <c r="AB325" s="362"/>
      <c r="AC325" s="362"/>
      <c r="AD325" s="362"/>
      <c r="AE325" s="362"/>
      <c r="AF325" s="362"/>
      <c r="AG325" s="362"/>
      <c r="AH325" s="362"/>
      <c r="AI325" s="362"/>
      <c r="AJ325" s="362"/>
      <c r="AK325" s="362"/>
      <c r="AL325" s="362"/>
      <c r="AM325" s="363"/>
      <c r="AN325" s="363"/>
      <c r="AO325" s="363"/>
      <c r="AP325" s="363"/>
      <c r="AQ325" s="363"/>
      <c r="AR325" s="363"/>
    </row>
    <row r="326" spans="1:45" s="364" customFormat="1" hidden="1" x14ac:dyDescent="0.25">
      <c r="A326" s="323" t="s">
        <v>173</v>
      </c>
      <c r="C326" s="365">
        <f>$B$2</f>
        <v>20180327</v>
      </c>
      <c r="D326" s="365">
        <f>$B$2</f>
        <v>20180327</v>
      </c>
      <c r="E326" s="365" t="str">
        <f>$F$5</f>
        <v>9999</v>
      </c>
      <c r="F326" s="365" t="s">
        <v>1679</v>
      </c>
      <c r="G326" s="366">
        <v>0</v>
      </c>
      <c r="H326" s="366">
        <v>0</v>
      </c>
      <c r="I326" s="366">
        <v>0</v>
      </c>
      <c r="J326" s="366">
        <v>0</v>
      </c>
      <c r="K326" s="366">
        <f>K321</f>
        <v>20180326</v>
      </c>
      <c r="L326" s="366">
        <v>7</v>
      </c>
      <c r="M326" s="366">
        <v>2</v>
      </c>
      <c r="N326" s="366">
        <v>2</v>
      </c>
      <c r="O326" s="366">
        <v>2</v>
      </c>
      <c r="P326" s="366">
        <v>1</v>
      </c>
      <c r="Q326" s="367" t="s">
        <v>1128</v>
      </c>
      <c r="R326" s="367">
        <f>$B$2</f>
        <v>20180327</v>
      </c>
      <c r="S326" s="368">
        <v>0.53385416666666663</v>
      </c>
      <c r="T326" s="368" t="s">
        <v>1128</v>
      </c>
      <c r="U326" s="367"/>
      <c r="V326" s="367"/>
      <c r="W326" s="362"/>
      <c r="X326" s="107"/>
      <c r="Y326" s="362"/>
      <c r="Z326" s="362"/>
      <c r="AA326" s="362"/>
      <c r="AB326" s="362"/>
      <c r="AC326" s="362"/>
      <c r="AD326" s="362"/>
      <c r="AE326" s="362"/>
      <c r="AF326" s="362"/>
      <c r="AG326" s="362"/>
      <c r="AH326" s="362"/>
      <c r="AI326" s="362"/>
      <c r="AJ326" s="362"/>
      <c r="AK326" s="362"/>
      <c r="AL326" s="362"/>
      <c r="AM326" s="363"/>
      <c r="AN326" s="363"/>
      <c r="AO326" s="363"/>
      <c r="AP326" s="363"/>
      <c r="AQ326" s="363"/>
      <c r="AR326" s="363"/>
    </row>
    <row r="327" spans="1:45" s="9" customFormat="1" ht="13.95" hidden="1" customHeight="1" x14ac:dyDescent="0.25">
      <c r="A327" s="323" t="s">
        <v>173</v>
      </c>
      <c r="B327" s="361" t="s">
        <v>359</v>
      </c>
      <c r="C327" s="361" t="s">
        <v>1627</v>
      </c>
    </row>
    <row r="328" spans="1:45" s="9" customFormat="1" ht="13.95" hidden="1" customHeight="1" x14ac:dyDescent="0.25">
      <c r="A328" s="323" t="s">
        <v>173</v>
      </c>
      <c r="B328" s="369" t="s">
        <v>970</v>
      </c>
      <c r="C328" s="369" t="s">
        <v>1762</v>
      </c>
      <c r="D328" s="44"/>
    </row>
    <row r="329" spans="1:45" s="364" customFormat="1" hidden="1" x14ac:dyDescent="0.15">
      <c r="A329" s="323" t="s">
        <v>173</v>
      </c>
      <c r="B329" s="361" t="s">
        <v>306</v>
      </c>
      <c r="C329" s="704" t="s">
        <v>1763</v>
      </c>
      <c r="D329" s="705"/>
      <c r="E329" s="705"/>
      <c r="F329" s="705"/>
      <c r="G329" s="705"/>
      <c r="H329" s="705"/>
      <c r="I329" s="705"/>
      <c r="J329" s="705"/>
      <c r="K329" s="705"/>
      <c r="L329" s="705"/>
      <c r="M329" s="705"/>
      <c r="N329" s="705"/>
      <c r="O329" s="705"/>
      <c r="P329" s="705"/>
      <c r="Q329" s="705"/>
      <c r="R329" s="705"/>
      <c r="S329" s="708"/>
      <c r="T329" s="717" t="s">
        <v>1629</v>
      </c>
      <c r="U329" s="717" t="s">
        <v>1107</v>
      </c>
      <c r="V329" s="717" t="s">
        <v>1254</v>
      </c>
      <c r="W329" s="362"/>
      <c r="X329" s="107"/>
      <c r="Y329" s="362"/>
      <c r="Z329" s="362"/>
      <c r="AA329" s="362"/>
      <c r="AB329" s="362"/>
      <c r="AC329" s="362"/>
      <c r="AD329" s="362"/>
      <c r="AE329" s="362"/>
      <c r="AF329" s="362"/>
      <c r="AG329" s="362"/>
      <c r="AH329" s="362"/>
      <c r="AI329" s="362"/>
      <c r="AJ329" s="362"/>
      <c r="AK329" s="362"/>
      <c r="AL329" s="362"/>
      <c r="AM329" s="363"/>
      <c r="AN329" s="363"/>
      <c r="AO329" s="363"/>
      <c r="AP329" s="363"/>
      <c r="AQ329" s="363"/>
      <c r="AR329" s="363"/>
    </row>
    <row r="330" spans="1:45" s="364" customFormat="1" hidden="1" x14ac:dyDescent="0.25">
      <c r="A330" s="323" t="s">
        <v>173</v>
      </c>
      <c r="C330" s="365" t="s">
        <v>1439</v>
      </c>
      <c r="D330" s="365" t="s">
        <v>1654</v>
      </c>
      <c r="E330" s="365" t="s">
        <v>1634</v>
      </c>
      <c r="F330" s="365" t="s">
        <v>1656</v>
      </c>
      <c r="G330" s="366" t="s">
        <v>1657</v>
      </c>
      <c r="H330" s="366" t="s">
        <v>1658</v>
      </c>
      <c r="I330" s="366" t="s">
        <v>1659</v>
      </c>
      <c r="J330" s="366" t="s">
        <v>1660</v>
      </c>
      <c r="K330" s="366" t="s">
        <v>1640</v>
      </c>
      <c r="L330" s="366" t="s">
        <v>1641</v>
      </c>
      <c r="M330" s="366" t="s">
        <v>1663</v>
      </c>
      <c r="N330" s="366" t="s">
        <v>1664</v>
      </c>
      <c r="O330" s="366" t="s">
        <v>1665</v>
      </c>
      <c r="P330" s="366" t="s">
        <v>1666</v>
      </c>
      <c r="Q330" s="366" t="s">
        <v>1147</v>
      </c>
      <c r="R330" s="366" t="s">
        <v>1227</v>
      </c>
      <c r="S330" s="366" t="s">
        <v>1648</v>
      </c>
      <c r="T330" s="718"/>
      <c r="U330" s="718"/>
      <c r="V330" s="718"/>
      <c r="W330" s="362"/>
      <c r="X330" s="107"/>
      <c r="Y330" s="362"/>
      <c r="Z330" s="362"/>
      <c r="AA330" s="362"/>
      <c r="AB330" s="362"/>
      <c r="AC330" s="362"/>
      <c r="AD330" s="362"/>
      <c r="AE330" s="362"/>
      <c r="AF330" s="362"/>
      <c r="AG330" s="362"/>
      <c r="AH330" s="362"/>
      <c r="AI330" s="362"/>
      <c r="AJ330" s="362"/>
      <c r="AK330" s="362"/>
      <c r="AL330" s="362"/>
      <c r="AM330" s="363"/>
      <c r="AN330" s="363"/>
      <c r="AO330" s="363"/>
      <c r="AP330" s="363"/>
      <c r="AQ330" s="363"/>
      <c r="AR330" s="363"/>
    </row>
    <row r="331" spans="1:45" s="364" customFormat="1" hidden="1" x14ac:dyDescent="0.25">
      <c r="A331" s="323" t="s">
        <v>173</v>
      </c>
      <c r="C331" s="365">
        <f>$B$2</f>
        <v>20180327</v>
      </c>
      <c r="D331" s="365">
        <f>$B$2</f>
        <v>20180327</v>
      </c>
      <c r="E331" s="365" t="str">
        <f>$F$5</f>
        <v>9999</v>
      </c>
      <c r="F331" s="365" t="s">
        <v>1701</v>
      </c>
      <c r="G331" s="366">
        <v>0</v>
      </c>
      <c r="H331" s="366">
        <v>0</v>
      </c>
      <c r="I331" s="366">
        <v>0</v>
      </c>
      <c r="J331" s="366">
        <v>0</v>
      </c>
      <c r="K331" s="366">
        <f>$B$2-1</f>
        <v>20180326</v>
      </c>
      <c r="L331" s="366">
        <v>7</v>
      </c>
      <c r="M331" s="366">
        <v>2</v>
      </c>
      <c r="N331" s="366">
        <v>2</v>
      </c>
      <c r="O331" s="366">
        <v>2</v>
      </c>
      <c r="P331" s="366">
        <v>1</v>
      </c>
      <c r="Q331" s="367" t="s">
        <v>1128</v>
      </c>
      <c r="R331" s="367">
        <f>$B$2</f>
        <v>20180327</v>
      </c>
      <c r="S331" s="368">
        <v>0.53385416666666663</v>
      </c>
      <c r="T331" s="368" t="s">
        <v>1128</v>
      </c>
      <c r="U331" s="367"/>
      <c r="V331" s="367"/>
      <c r="W331" s="362"/>
      <c r="X331" s="107"/>
      <c r="Y331" s="362"/>
      <c r="Z331" s="362"/>
      <c r="AA331" s="362"/>
      <c r="AB331" s="362"/>
      <c r="AC331" s="362"/>
      <c r="AD331" s="362"/>
      <c r="AE331" s="362"/>
      <c r="AF331" s="362"/>
      <c r="AG331" s="362"/>
      <c r="AH331" s="362"/>
      <c r="AI331" s="362"/>
      <c r="AJ331" s="362"/>
      <c r="AK331" s="362"/>
      <c r="AL331" s="362"/>
      <c r="AM331" s="363"/>
      <c r="AN331" s="363"/>
      <c r="AO331" s="363"/>
      <c r="AP331" s="363"/>
      <c r="AQ331" s="363"/>
      <c r="AR331" s="363"/>
    </row>
    <row r="332" spans="1:45" s="664" customFormat="1" x14ac:dyDescent="0.25">
      <c r="A332" s="664" t="s">
        <v>173</v>
      </c>
      <c r="B332" s="323" t="s">
        <v>2076</v>
      </c>
      <c r="C332" s="323"/>
      <c r="D332" s="323"/>
      <c r="E332" s="323"/>
      <c r="F332" s="188"/>
      <c r="G332" s="188"/>
      <c r="H332" s="188"/>
      <c r="I332" s="188"/>
      <c r="J332" s="188"/>
      <c r="K332" s="188"/>
      <c r="L332" s="188"/>
      <c r="M332" s="188"/>
      <c r="N332" s="188"/>
      <c r="O332" s="188"/>
      <c r="P332" s="167"/>
      <c r="Q332" s="167"/>
      <c r="R332" s="338"/>
      <c r="S332" s="338"/>
      <c r="T332" s="167"/>
      <c r="U332" s="167"/>
      <c r="V332" s="167"/>
      <c r="W332" s="182"/>
      <c r="X332" s="167"/>
      <c r="Y332" s="167"/>
      <c r="Z332" s="167"/>
      <c r="AA332" s="167"/>
      <c r="AB332" s="167"/>
      <c r="AC332" s="167"/>
      <c r="AD332" s="167"/>
      <c r="AE332" s="167"/>
      <c r="AF332" s="167"/>
      <c r="AG332" s="167"/>
      <c r="AH332" s="167"/>
      <c r="AI332" s="167"/>
      <c r="AJ332" s="167"/>
      <c r="AK332" s="167"/>
      <c r="AL332" s="6"/>
      <c r="AM332" s="6"/>
      <c r="AN332" s="6"/>
      <c r="AO332" s="6"/>
      <c r="AP332" s="6"/>
      <c r="AQ332" s="6"/>
    </row>
    <row r="333" spans="1:45" s="664" customFormat="1" ht="13.95" customHeight="1" x14ac:dyDescent="0.25">
      <c r="A333" s="4" t="s">
        <v>124</v>
      </c>
      <c r="B333" s="203" t="s">
        <v>1251</v>
      </c>
      <c r="C333" s="204"/>
      <c r="D333" s="204"/>
      <c r="E333" s="204"/>
      <c r="F333" s="188"/>
      <c r="G333" s="188"/>
      <c r="H333" s="188"/>
      <c r="I333" s="188"/>
      <c r="J333" s="188"/>
      <c r="K333" s="188"/>
      <c r="L333" s="188"/>
      <c r="M333" s="188"/>
      <c r="N333" s="167"/>
      <c r="O333" s="167"/>
      <c r="P333" s="167"/>
      <c r="Q333" s="167"/>
      <c r="R333" s="167"/>
      <c r="S333" s="167"/>
      <c r="T333" s="167"/>
      <c r="U333" s="167"/>
      <c r="V333" s="182"/>
      <c r="W333" s="167"/>
      <c r="X333" s="167"/>
      <c r="Y333" s="167"/>
      <c r="Z333" s="167"/>
      <c r="AA333" s="167"/>
      <c r="AB333" s="167"/>
      <c r="AC333" s="167"/>
      <c r="AD333" s="167"/>
      <c r="AE333" s="167"/>
      <c r="AF333" s="167"/>
      <c r="AG333" s="167"/>
      <c r="AH333" s="167"/>
      <c r="AI333" s="167"/>
      <c r="AJ333" s="167"/>
      <c r="AK333" s="6"/>
      <c r="AL333" s="6"/>
      <c r="AM333" s="6"/>
      <c r="AN333" s="6"/>
      <c r="AO333" s="6"/>
      <c r="AP333" s="6"/>
    </row>
    <row r="334" spans="1:45" s="664" customFormat="1" ht="13.95" customHeight="1" x14ac:dyDescent="0.25">
      <c r="A334" s="4" t="s">
        <v>306</v>
      </c>
      <c r="B334" s="704" t="s">
        <v>1583</v>
      </c>
      <c r="C334" s="705"/>
      <c r="D334" s="705"/>
      <c r="E334" s="705"/>
      <c r="F334" s="705"/>
      <c r="G334" s="705"/>
      <c r="H334" s="705"/>
      <c r="I334" s="705"/>
      <c r="J334" s="705"/>
      <c r="K334" s="705"/>
      <c r="L334" s="705"/>
      <c r="M334" s="705"/>
      <c r="N334" s="705"/>
      <c r="O334" s="705"/>
      <c r="P334" s="705"/>
      <c r="Q334" s="705"/>
      <c r="R334" s="708"/>
      <c r="S334" s="712" t="s">
        <v>1126</v>
      </c>
      <c r="T334" s="712" t="s">
        <v>1107</v>
      </c>
      <c r="U334" s="712" t="s">
        <v>1108</v>
      </c>
      <c r="V334" s="167"/>
      <c r="W334" s="182"/>
      <c r="X334" s="167"/>
      <c r="Y334" s="167"/>
      <c r="Z334" s="167"/>
      <c r="AA334" s="167"/>
      <c r="AB334" s="167"/>
      <c r="AC334" s="167"/>
      <c r="AD334" s="167"/>
      <c r="AE334" s="167"/>
      <c r="AF334" s="167"/>
      <c r="AG334" s="167"/>
      <c r="AH334" s="167"/>
      <c r="AI334" s="167"/>
      <c r="AJ334" s="167"/>
      <c r="AK334" s="167"/>
      <c r="AL334" s="6"/>
      <c r="AM334" s="6"/>
      <c r="AN334" s="6"/>
      <c r="AO334" s="6"/>
      <c r="AP334" s="6"/>
      <c r="AQ334" s="6"/>
    </row>
    <row r="335" spans="1:45" s="664" customFormat="1" ht="13.95" customHeight="1" x14ac:dyDescent="0.25">
      <c r="B335" s="663" t="s">
        <v>1111</v>
      </c>
      <c r="C335" s="663" t="s">
        <v>1217</v>
      </c>
      <c r="D335" s="663" t="s">
        <v>1134</v>
      </c>
      <c r="E335" s="663" t="s">
        <v>1117</v>
      </c>
      <c r="F335" s="189" t="s">
        <v>1218</v>
      </c>
      <c r="G335" s="189" t="s">
        <v>1219</v>
      </c>
      <c r="H335" s="189" t="s">
        <v>1220</v>
      </c>
      <c r="I335" s="189" t="s">
        <v>1221</v>
      </c>
      <c r="J335" s="189" t="s">
        <v>1222</v>
      </c>
      <c r="K335" s="189" t="s">
        <v>1758</v>
      </c>
      <c r="L335" s="189" t="s">
        <v>1223</v>
      </c>
      <c r="M335" s="189" t="s">
        <v>1224</v>
      </c>
      <c r="N335" s="189" t="s">
        <v>1225</v>
      </c>
      <c r="O335" s="189" t="s">
        <v>1226</v>
      </c>
      <c r="P335" s="189" t="s">
        <v>1147</v>
      </c>
      <c r="Q335" s="189" t="s">
        <v>1227</v>
      </c>
      <c r="R335" s="189" t="s">
        <v>1228</v>
      </c>
      <c r="S335" s="713"/>
      <c r="T335" s="713"/>
      <c r="U335" s="713"/>
      <c r="V335" s="167"/>
      <c r="W335" s="182"/>
      <c r="X335" s="167"/>
      <c r="Y335" s="167"/>
      <c r="Z335" s="167"/>
      <c r="AA335" s="167"/>
      <c r="AB335" s="167"/>
      <c r="AC335" s="167"/>
      <c r="AD335" s="167"/>
      <c r="AE335" s="167"/>
      <c r="AF335" s="167"/>
      <c r="AG335" s="167"/>
      <c r="AH335" s="167"/>
      <c r="AI335" s="167"/>
      <c r="AJ335" s="167"/>
      <c r="AK335" s="167"/>
      <c r="AL335" s="6"/>
      <c r="AM335" s="6"/>
      <c r="AN335" s="6"/>
      <c r="AO335" s="6"/>
      <c r="AP335" s="6"/>
      <c r="AQ335" s="6"/>
    </row>
    <row r="336" spans="1:45" s="664" customFormat="1" ht="13.95" customHeight="1" x14ac:dyDescent="0.25">
      <c r="B336" s="663">
        <f>$B$2</f>
        <v>20180327</v>
      </c>
      <c r="C336" s="663">
        <f>$B$2</f>
        <v>20180327</v>
      </c>
      <c r="D336" s="663" t="str">
        <f>$F$5</f>
        <v>9999</v>
      </c>
      <c r="E336" s="663" t="s">
        <v>2030</v>
      </c>
      <c r="F336" s="189">
        <v>0</v>
      </c>
      <c r="G336" s="189">
        <v>0</v>
      </c>
      <c r="H336" s="189">
        <v>0</v>
      </c>
      <c r="I336" s="189">
        <v>0</v>
      </c>
      <c r="J336" s="189">
        <f>$B$2-1</f>
        <v>20180326</v>
      </c>
      <c r="K336" s="189">
        <v>7</v>
      </c>
      <c r="L336" s="189">
        <v>2</v>
      </c>
      <c r="M336" s="189">
        <v>2</v>
      </c>
      <c r="N336" s="189">
        <v>2</v>
      </c>
      <c r="O336" s="189">
        <v>1</v>
      </c>
      <c r="P336" s="111" t="s">
        <v>1128</v>
      </c>
      <c r="Q336" s="111">
        <f>$B$2</f>
        <v>20180327</v>
      </c>
      <c r="R336" s="205">
        <v>0.53385416666666663</v>
      </c>
      <c r="S336" s="205" t="s">
        <v>1128</v>
      </c>
      <c r="T336" s="111"/>
      <c r="U336" s="111"/>
      <c r="V336" s="167"/>
      <c r="W336" s="182"/>
      <c r="X336" s="167"/>
      <c r="Y336" s="167"/>
      <c r="Z336" s="167"/>
      <c r="AA336" s="167"/>
      <c r="AB336" s="167"/>
      <c r="AC336" s="167"/>
      <c r="AD336" s="167"/>
      <c r="AE336" s="167"/>
      <c r="AF336" s="167"/>
      <c r="AG336" s="167"/>
      <c r="AH336" s="167"/>
      <c r="AI336" s="167"/>
      <c r="AJ336" s="167"/>
      <c r="AK336" s="167"/>
      <c r="AL336" s="6"/>
      <c r="AM336" s="6"/>
      <c r="AN336" s="6"/>
      <c r="AO336" s="6"/>
      <c r="AP336" s="6"/>
      <c r="AQ336" s="6"/>
    </row>
    <row r="337" spans="1:44" s="9" customFormat="1" ht="13.95" customHeight="1" x14ac:dyDescent="0.25">
      <c r="A337" s="361" t="s">
        <v>359</v>
      </c>
      <c r="B337" s="361" t="s">
        <v>1627</v>
      </c>
      <c r="C337" s="361"/>
      <c r="D337" s="361"/>
      <c r="E337" s="361"/>
    </row>
    <row r="338" spans="1:44" s="9" customFormat="1" ht="13.8" customHeight="1" x14ac:dyDescent="0.25">
      <c r="A338" s="369" t="s">
        <v>970</v>
      </c>
      <c r="B338" s="369" t="s">
        <v>1670</v>
      </c>
      <c r="C338" s="369"/>
      <c r="D338" s="361"/>
      <c r="E338" s="361"/>
    </row>
    <row r="339" spans="1:44" s="364" customFormat="1" ht="13.95" customHeight="1" x14ac:dyDescent="0.15">
      <c r="A339" s="361" t="s">
        <v>1628</v>
      </c>
      <c r="B339" s="704" t="s">
        <v>1582</v>
      </c>
      <c r="C339" s="705"/>
      <c r="D339" s="705"/>
      <c r="E339" s="705"/>
      <c r="F339" s="705"/>
      <c r="G339" s="705"/>
      <c r="H339" s="705"/>
      <c r="I339" s="705"/>
      <c r="J339" s="705"/>
      <c r="K339" s="705"/>
      <c r="L339" s="705"/>
      <c r="M339" s="705"/>
      <c r="N339" s="705"/>
      <c r="O339" s="705"/>
      <c r="P339" s="705"/>
      <c r="Q339" s="705"/>
      <c r="R339" s="708"/>
      <c r="S339" s="740" t="s">
        <v>1779</v>
      </c>
      <c r="T339" s="717" t="s">
        <v>1629</v>
      </c>
      <c r="U339" s="717" t="s">
        <v>1630</v>
      </c>
      <c r="V339" s="717" t="s">
        <v>1631</v>
      </c>
      <c r="W339" s="362"/>
      <c r="X339" s="107"/>
      <c r="Y339" s="362"/>
      <c r="Z339" s="362"/>
      <c r="AA339" s="362"/>
      <c r="AB339" s="362"/>
      <c r="AC339" s="362"/>
      <c r="AD339" s="362"/>
      <c r="AE339" s="362"/>
      <c r="AF339" s="362"/>
      <c r="AG339" s="362"/>
      <c r="AH339" s="362"/>
      <c r="AI339" s="362"/>
      <c r="AJ339" s="362"/>
      <c r="AK339" s="362"/>
      <c r="AL339" s="362"/>
      <c r="AM339" s="363"/>
      <c r="AN339" s="363"/>
      <c r="AO339" s="363"/>
      <c r="AP339" s="363"/>
      <c r="AQ339" s="363"/>
      <c r="AR339" s="363"/>
    </row>
    <row r="340" spans="1:44" s="364" customFormat="1" ht="13.95" customHeight="1" x14ac:dyDescent="0.25">
      <c r="B340" s="365" t="s">
        <v>1439</v>
      </c>
      <c r="C340" s="365" t="s">
        <v>1633</v>
      </c>
      <c r="D340" s="365" t="s">
        <v>1634</v>
      </c>
      <c r="E340" s="365" t="s">
        <v>1635</v>
      </c>
      <c r="F340" s="366" t="s">
        <v>1636</v>
      </c>
      <c r="G340" s="366" t="s">
        <v>1637</v>
      </c>
      <c r="H340" s="366" t="s">
        <v>1638</v>
      </c>
      <c r="I340" s="366" t="s">
        <v>1639</v>
      </c>
      <c r="J340" s="366" t="s">
        <v>1640</v>
      </c>
      <c r="K340" s="366" t="s">
        <v>1641</v>
      </c>
      <c r="L340" s="366" t="s">
        <v>1642</v>
      </c>
      <c r="M340" s="366" t="s">
        <v>1643</v>
      </c>
      <c r="N340" s="366" t="s">
        <v>1644</v>
      </c>
      <c r="O340" s="366" t="s">
        <v>1645</v>
      </c>
      <c r="P340" s="366" t="s">
        <v>1646</v>
      </c>
      <c r="Q340" s="366" t="s">
        <v>1647</v>
      </c>
      <c r="R340" s="366" t="s">
        <v>1648</v>
      </c>
      <c r="S340" s="741"/>
      <c r="T340" s="718"/>
      <c r="U340" s="718"/>
      <c r="V340" s="718"/>
      <c r="W340" s="362"/>
      <c r="X340" s="107"/>
      <c r="Y340" s="362"/>
      <c r="Z340" s="362"/>
      <c r="AA340" s="362"/>
      <c r="AB340" s="362"/>
      <c r="AC340" s="362"/>
      <c r="AD340" s="362"/>
      <c r="AE340" s="362"/>
      <c r="AF340" s="362"/>
      <c r="AG340" s="362"/>
      <c r="AH340" s="362"/>
      <c r="AI340" s="362"/>
      <c r="AJ340" s="362"/>
      <c r="AK340" s="362"/>
      <c r="AL340" s="362"/>
      <c r="AM340" s="363"/>
      <c r="AN340" s="363"/>
      <c r="AO340" s="363"/>
      <c r="AP340" s="363"/>
      <c r="AQ340" s="363"/>
      <c r="AR340" s="363"/>
    </row>
    <row r="341" spans="1:44" s="364" customFormat="1" ht="13.95" customHeight="1" x14ac:dyDescent="0.25">
      <c r="B341" s="365">
        <f>$B$2</f>
        <v>20180327</v>
      </c>
      <c r="C341" s="365">
        <f>$B$2</f>
        <v>20180327</v>
      </c>
      <c r="D341" s="365" t="str">
        <f>$F$5</f>
        <v>9999</v>
      </c>
      <c r="E341" s="365" t="str">
        <f>E336</f>
        <v>CZCE</v>
      </c>
      <c r="F341" s="366">
        <v>0</v>
      </c>
      <c r="G341" s="366">
        <v>0</v>
      </c>
      <c r="H341" s="366">
        <v>0</v>
      </c>
      <c r="I341" s="366">
        <v>0</v>
      </c>
      <c r="J341" s="366">
        <f>$B$2-1</f>
        <v>20180326</v>
      </c>
      <c r="K341" s="366">
        <v>7</v>
      </c>
      <c r="L341" s="366">
        <v>2</v>
      </c>
      <c r="M341" s="366">
        <v>2</v>
      </c>
      <c r="N341" s="366">
        <v>2</v>
      </c>
      <c r="O341" s="366">
        <v>1</v>
      </c>
      <c r="P341" s="367" t="s">
        <v>1649</v>
      </c>
      <c r="Q341" s="367">
        <f>$B$2</f>
        <v>20180327</v>
      </c>
      <c r="R341" s="368">
        <v>0.53385416666666663</v>
      </c>
      <c r="S341" s="387">
        <v>1</v>
      </c>
      <c r="T341" s="368" t="s">
        <v>1649</v>
      </c>
      <c r="U341" s="367"/>
      <c r="V341" s="367"/>
      <c r="W341" s="362"/>
      <c r="X341" s="107"/>
      <c r="Y341" s="362"/>
      <c r="Z341" s="362"/>
      <c r="AA341" s="362"/>
      <c r="AB341" s="362"/>
      <c r="AC341" s="362"/>
      <c r="AD341" s="362"/>
      <c r="AE341" s="362"/>
      <c r="AF341" s="362"/>
      <c r="AG341" s="362"/>
      <c r="AH341" s="362"/>
      <c r="AI341" s="362"/>
      <c r="AJ341" s="362"/>
      <c r="AK341" s="362"/>
      <c r="AL341" s="362"/>
      <c r="AM341" s="363"/>
      <c r="AN341" s="363"/>
      <c r="AO341" s="363"/>
      <c r="AP341" s="363"/>
      <c r="AQ341" s="363"/>
      <c r="AR341" s="363"/>
    </row>
    <row r="342" spans="1:44" s="9" customFormat="1" ht="13.95" customHeight="1" x14ac:dyDescent="0.25">
      <c r="A342" s="361" t="s">
        <v>359</v>
      </c>
      <c r="B342" s="361" t="s">
        <v>1627</v>
      </c>
    </row>
    <row r="343" spans="1:44" s="9" customFormat="1" ht="13.95" customHeight="1" x14ac:dyDescent="0.25">
      <c r="A343" s="369" t="s">
        <v>970</v>
      </c>
      <c r="B343" s="369" t="s">
        <v>1671</v>
      </c>
      <c r="C343" s="44"/>
    </row>
    <row r="344" spans="1:44" s="364" customFormat="1" x14ac:dyDescent="0.15">
      <c r="A344" s="361" t="s">
        <v>1628</v>
      </c>
      <c r="B344" s="704" t="s">
        <v>1672</v>
      </c>
      <c r="C344" s="705"/>
      <c r="D344" s="705"/>
      <c r="E344" s="705"/>
      <c r="F344" s="705"/>
      <c r="G344" s="705"/>
      <c r="H344" s="705"/>
      <c r="I344" s="705"/>
      <c r="J344" s="705"/>
      <c r="K344" s="705"/>
      <c r="L344" s="705"/>
      <c r="M344" s="705"/>
      <c r="N344" s="705"/>
      <c r="O344" s="705"/>
      <c r="P344" s="705"/>
      <c r="Q344" s="705"/>
      <c r="R344" s="708"/>
      <c r="S344" s="717" t="s">
        <v>1650</v>
      </c>
      <c r="T344" s="717" t="s">
        <v>1494</v>
      </c>
      <c r="U344" s="717" t="s">
        <v>1652</v>
      </c>
      <c r="V344" s="362"/>
      <c r="W344" s="107"/>
      <c r="X344" s="362"/>
      <c r="Y344" s="362"/>
      <c r="Z344" s="362"/>
      <c r="AA344" s="362"/>
      <c r="AB344" s="362"/>
      <c r="AC344" s="362"/>
      <c r="AD344" s="362"/>
      <c r="AE344" s="362"/>
      <c r="AF344" s="362"/>
      <c r="AG344" s="362"/>
      <c r="AH344" s="362"/>
      <c r="AI344" s="362"/>
      <c r="AJ344" s="362"/>
      <c r="AK344" s="362"/>
      <c r="AL344" s="363"/>
      <c r="AM344" s="363"/>
      <c r="AN344" s="363"/>
      <c r="AO344" s="363"/>
      <c r="AP344" s="363"/>
      <c r="AQ344" s="363"/>
    </row>
    <row r="345" spans="1:44" s="364" customFormat="1" ht="12" x14ac:dyDescent="0.25">
      <c r="B345" s="365" t="s">
        <v>1653</v>
      </c>
      <c r="C345" s="365" t="s">
        <v>1654</v>
      </c>
      <c r="D345" s="365" t="s">
        <v>1634</v>
      </c>
      <c r="E345" s="365" t="s">
        <v>1656</v>
      </c>
      <c r="F345" s="366" t="s">
        <v>1657</v>
      </c>
      <c r="G345" s="366" t="s">
        <v>1658</v>
      </c>
      <c r="H345" s="366" t="s">
        <v>1659</v>
      </c>
      <c r="I345" s="366" t="s">
        <v>1660</v>
      </c>
      <c r="J345" s="366" t="s">
        <v>1661</v>
      </c>
      <c r="K345" s="366" t="s">
        <v>1662</v>
      </c>
      <c r="L345" s="366" t="s">
        <v>1663</v>
      </c>
      <c r="M345" s="366" t="s">
        <v>1664</v>
      </c>
      <c r="N345" s="366" t="s">
        <v>1665</v>
      </c>
      <c r="O345" s="366" t="s">
        <v>1666</v>
      </c>
      <c r="P345" s="366" t="s">
        <v>1667</v>
      </c>
      <c r="Q345" s="366" t="s">
        <v>1668</v>
      </c>
      <c r="R345" s="366" t="s">
        <v>1669</v>
      </c>
      <c r="S345" s="718"/>
      <c r="T345" s="718"/>
      <c r="U345" s="718"/>
      <c r="V345" s="362"/>
      <c r="W345" s="107"/>
      <c r="X345" s="362"/>
      <c r="Y345" s="362"/>
      <c r="Z345" s="362"/>
      <c r="AA345" s="362"/>
      <c r="AB345" s="362"/>
      <c r="AC345" s="362"/>
      <c r="AD345" s="362"/>
      <c r="AE345" s="362"/>
      <c r="AF345" s="362"/>
      <c r="AG345" s="362"/>
      <c r="AH345" s="362"/>
      <c r="AI345" s="362"/>
      <c r="AJ345" s="362"/>
      <c r="AK345" s="362"/>
      <c r="AL345" s="363"/>
      <c r="AM345" s="363"/>
      <c r="AN345" s="363"/>
      <c r="AO345" s="363"/>
      <c r="AP345" s="363"/>
      <c r="AQ345" s="363"/>
    </row>
    <row r="346" spans="1:44" s="364" customFormat="1" ht="12" x14ac:dyDescent="0.25">
      <c r="B346" s="365">
        <f>$B$2</f>
        <v>20180327</v>
      </c>
      <c r="C346" s="365">
        <f>$B$2</f>
        <v>20180327</v>
      </c>
      <c r="D346" s="365" t="str">
        <f>$F$5</f>
        <v>9999</v>
      </c>
      <c r="E346" s="365" t="str">
        <f>E336</f>
        <v>CZCE</v>
      </c>
      <c r="F346" s="366">
        <v>0</v>
      </c>
      <c r="G346" s="366">
        <v>0</v>
      </c>
      <c r="H346" s="366">
        <v>0</v>
      </c>
      <c r="I346" s="366">
        <v>0</v>
      </c>
      <c r="J346" s="366">
        <f>$B$2-1</f>
        <v>20180326</v>
      </c>
      <c r="K346" s="366">
        <v>7</v>
      </c>
      <c r="L346" s="366">
        <v>2</v>
      </c>
      <c r="M346" s="366">
        <v>2</v>
      </c>
      <c r="N346" s="366">
        <v>2</v>
      </c>
      <c r="O346" s="366">
        <v>1</v>
      </c>
      <c r="P346" s="367" t="s">
        <v>1128</v>
      </c>
      <c r="Q346" s="367">
        <f>$B$2</f>
        <v>20180327</v>
      </c>
      <c r="R346" s="368">
        <v>0.53385416666666663</v>
      </c>
      <c r="S346" s="368" t="s">
        <v>1128</v>
      </c>
      <c r="T346" s="367"/>
      <c r="U346" s="367"/>
      <c r="V346" s="362"/>
      <c r="W346" s="107"/>
      <c r="X346" s="362"/>
      <c r="Y346" s="362"/>
      <c r="Z346" s="362"/>
      <c r="AA346" s="362"/>
      <c r="AB346" s="362"/>
      <c r="AC346" s="362"/>
      <c r="AD346" s="362"/>
      <c r="AE346" s="362"/>
      <c r="AF346" s="362"/>
      <c r="AG346" s="362"/>
      <c r="AH346" s="362"/>
      <c r="AI346" s="362"/>
      <c r="AJ346" s="362"/>
      <c r="AK346" s="362"/>
      <c r="AL346" s="363"/>
      <c r="AM346" s="363"/>
      <c r="AN346" s="363"/>
      <c r="AO346" s="363"/>
      <c r="AP346" s="363"/>
      <c r="AQ346" s="363"/>
    </row>
    <row r="347" spans="1:44" s="9" customFormat="1" ht="13.95" customHeight="1" x14ac:dyDescent="0.25">
      <c r="A347" s="361" t="s">
        <v>359</v>
      </c>
      <c r="B347" s="361" t="s">
        <v>1627</v>
      </c>
    </row>
    <row r="348" spans="1:44" s="9" customFormat="1" ht="13.95" customHeight="1" x14ac:dyDescent="0.25">
      <c r="A348" s="369" t="s">
        <v>970</v>
      </c>
      <c r="B348" s="369" t="s">
        <v>1957</v>
      </c>
      <c r="C348" s="44"/>
    </row>
    <row r="349" spans="1:44" s="364" customFormat="1" x14ac:dyDescent="0.15">
      <c r="A349" s="361" t="s">
        <v>306</v>
      </c>
      <c r="B349" s="704" t="s">
        <v>1763</v>
      </c>
      <c r="C349" s="705"/>
      <c r="D349" s="705"/>
      <c r="E349" s="705"/>
      <c r="F349" s="705"/>
      <c r="G349" s="705"/>
      <c r="H349" s="705"/>
      <c r="I349" s="705"/>
      <c r="J349" s="705"/>
      <c r="K349" s="705"/>
      <c r="L349" s="705"/>
      <c r="M349" s="705"/>
      <c r="N349" s="705"/>
      <c r="O349" s="705"/>
      <c r="P349" s="705"/>
      <c r="Q349" s="705"/>
      <c r="R349" s="708"/>
      <c r="S349" s="717" t="s">
        <v>1629</v>
      </c>
      <c r="T349" s="717" t="s">
        <v>1107</v>
      </c>
      <c r="U349" s="717" t="s">
        <v>1254</v>
      </c>
      <c r="V349" s="362"/>
      <c r="W349" s="107"/>
      <c r="X349" s="362"/>
      <c r="Y349" s="362"/>
      <c r="Z349" s="362"/>
      <c r="AA349" s="362"/>
      <c r="AB349" s="362"/>
      <c r="AC349" s="362"/>
      <c r="AD349" s="362"/>
      <c r="AE349" s="362"/>
      <c r="AF349" s="362"/>
      <c r="AG349" s="362"/>
      <c r="AH349" s="362"/>
      <c r="AI349" s="362"/>
      <c r="AJ349" s="362"/>
      <c r="AK349" s="362"/>
      <c r="AL349" s="363"/>
      <c r="AM349" s="363"/>
      <c r="AN349" s="363"/>
      <c r="AO349" s="363"/>
      <c r="AP349" s="363"/>
      <c r="AQ349" s="363"/>
    </row>
    <row r="350" spans="1:44" s="364" customFormat="1" ht="12" x14ac:dyDescent="0.25">
      <c r="B350" s="365" t="s">
        <v>1439</v>
      </c>
      <c r="C350" s="365" t="s">
        <v>1654</v>
      </c>
      <c r="D350" s="365" t="s">
        <v>1634</v>
      </c>
      <c r="E350" s="365" t="s">
        <v>1656</v>
      </c>
      <c r="F350" s="366" t="s">
        <v>1657</v>
      </c>
      <c r="G350" s="366" t="s">
        <v>1658</v>
      </c>
      <c r="H350" s="366" t="s">
        <v>1659</v>
      </c>
      <c r="I350" s="366" t="s">
        <v>1660</v>
      </c>
      <c r="J350" s="366" t="s">
        <v>1640</v>
      </c>
      <c r="K350" s="366" t="s">
        <v>1641</v>
      </c>
      <c r="L350" s="366" t="s">
        <v>1663</v>
      </c>
      <c r="M350" s="366" t="s">
        <v>1664</v>
      </c>
      <c r="N350" s="366" t="s">
        <v>1665</v>
      </c>
      <c r="O350" s="366" t="s">
        <v>1666</v>
      </c>
      <c r="P350" s="366" t="s">
        <v>1147</v>
      </c>
      <c r="Q350" s="366" t="s">
        <v>1227</v>
      </c>
      <c r="R350" s="366" t="s">
        <v>1648</v>
      </c>
      <c r="S350" s="718"/>
      <c r="T350" s="718"/>
      <c r="U350" s="718"/>
      <c r="V350" s="362"/>
      <c r="W350" s="107"/>
      <c r="X350" s="362"/>
      <c r="Y350" s="362"/>
      <c r="Z350" s="362"/>
      <c r="AA350" s="362"/>
      <c r="AB350" s="362"/>
      <c r="AC350" s="362"/>
      <c r="AD350" s="362"/>
      <c r="AE350" s="362"/>
      <c r="AF350" s="362"/>
      <c r="AG350" s="362"/>
      <c r="AH350" s="362"/>
      <c r="AI350" s="362"/>
      <c r="AJ350" s="362"/>
      <c r="AK350" s="362"/>
      <c r="AL350" s="363"/>
      <c r="AM350" s="363"/>
      <c r="AN350" s="363"/>
      <c r="AO350" s="363"/>
      <c r="AP350" s="363"/>
      <c r="AQ350" s="363"/>
    </row>
    <row r="351" spans="1:44" s="364" customFormat="1" ht="12" x14ac:dyDescent="0.25">
      <c r="B351" s="365">
        <f>$B$2</f>
        <v>20180327</v>
      </c>
      <c r="C351" s="365">
        <f>$B$2</f>
        <v>20180327</v>
      </c>
      <c r="D351" s="365" t="str">
        <f>$F$5</f>
        <v>9999</v>
      </c>
      <c r="E351" s="365" t="str">
        <f>E336</f>
        <v>CZCE</v>
      </c>
      <c r="F351" s="366">
        <v>0</v>
      </c>
      <c r="G351" s="366">
        <v>0</v>
      </c>
      <c r="H351" s="366">
        <v>0</v>
      </c>
      <c r="I351" s="366">
        <v>0</v>
      </c>
      <c r="J351" s="366">
        <f>$B$2-1</f>
        <v>20180326</v>
      </c>
      <c r="K351" s="366">
        <v>7</v>
      </c>
      <c r="L351" s="366">
        <v>2</v>
      </c>
      <c r="M351" s="366">
        <v>2</v>
      </c>
      <c r="N351" s="366">
        <v>2</v>
      </c>
      <c r="O351" s="366">
        <v>1</v>
      </c>
      <c r="P351" s="367" t="s">
        <v>1128</v>
      </c>
      <c r="Q351" s="367">
        <f>$B$2</f>
        <v>20180327</v>
      </c>
      <c r="R351" s="368">
        <v>0.53385416666666663</v>
      </c>
      <c r="S351" s="368" t="s">
        <v>1128</v>
      </c>
      <c r="T351" s="367"/>
      <c r="U351" s="367"/>
      <c r="V351" s="362"/>
      <c r="W351" s="107"/>
      <c r="X351" s="362"/>
      <c r="Y351" s="362"/>
      <c r="Z351" s="362"/>
      <c r="AA351" s="362"/>
      <c r="AB351" s="362"/>
      <c r="AC351" s="362"/>
      <c r="AD351" s="362"/>
      <c r="AE351" s="362"/>
      <c r="AF351" s="362"/>
      <c r="AG351" s="362"/>
      <c r="AH351" s="362"/>
      <c r="AI351" s="362"/>
      <c r="AJ351" s="362"/>
      <c r="AK351" s="362"/>
      <c r="AL351" s="363"/>
      <c r="AM351" s="363"/>
      <c r="AN351" s="363"/>
      <c r="AO351" s="363"/>
      <c r="AP351" s="363"/>
      <c r="AQ351" s="363"/>
    </row>
    <row r="352" spans="1:44" s="664" customFormat="1" x14ac:dyDescent="0.25">
      <c r="A352" s="614" t="s">
        <v>2132</v>
      </c>
      <c r="B352" s="675" t="s">
        <v>2133</v>
      </c>
      <c r="C352" s="213"/>
      <c r="D352" s="213"/>
      <c r="E352" s="213"/>
      <c r="F352" s="350"/>
      <c r="G352" s="209"/>
      <c r="H352" s="209"/>
      <c r="I352" s="209"/>
      <c r="J352" s="209"/>
      <c r="K352" s="209"/>
      <c r="L352" s="209"/>
      <c r="M352" s="212"/>
      <c r="N352" s="211"/>
      <c r="O352" s="211"/>
      <c r="P352" s="211"/>
      <c r="Q352" s="211"/>
      <c r="R352" s="211"/>
      <c r="S352" s="211"/>
      <c r="T352" s="211"/>
      <c r="U352" s="212"/>
      <c r="V352" s="212"/>
      <c r="W352" s="211"/>
      <c r="X352" s="211"/>
      <c r="Y352" s="211"/>
      <c r="Z352" s="211"/>
      <c r="AA352" s="211"/>
      <c r="AB352" s="211"/>
      <c r="AC352" s="188"/>
      <c r="AD352" s="167"/>
      <c r="AE352" s="167"/>
      <c r="AF352" s="167"/>
      <c r="AG352" s="167"/>
      <c r="AH352" s="167"/>
      <c r="AI352" s="167"/>
      <c r="AJ352" s="6"/>
      <c r="AK352" s="6"/>
      <c r="AL352" s="6"/>
      <c r="AM352" s="6"/>
      <c r="AN352" s="6"/>
      <c r="AO352" s="6"/>
    </row>
    <row r="353" spans="1:43" s="9" customFormat="1" ht="13.8" customHeight="1" x14ac:dyDescent="0.25">
      <c r="A353" s="369" t="s">
        <v>970</v>
      </c>
      <c r="B353" s="369" t="s">
        <v>2134</v>
      </c>
      <c r="C353" s="369"/>
      <c r="D353" s="361"/>
      <c r="E353" s="361"/>
    </row>
    <row r="354" spans="1:43" s="364" customFormat="1" ht="13.95" customHeight="1" x14ac:dyDescent="0.15">
      <c r="A354" s="361" t="s">
        <v>1628</v>
      </c>
      <c r="B354" s="704" t="s">
        <v>1582</v>
      </c>
      <c r="C354" s="705"/>
      <c r="D354" s="705"/>
      <c r="E354" s="705"/>
      <c r="F354" s="705"/>
      <c r="G354" s="705"/>
      <c r="H354" s="705"/>
      <c r="I354" s="705"/>
      <c r="J354" s="705"/>
      <c r="K354" s="705"/>
      <c r="L354" s="705"/>
      <c r="M354" s="705"/>
      <c r="N354" s="705"/>
      <c r="O354" s="705"/>
      <c r="P354" s="705"/>
      <c r="Q354" s="705"/>
      <c r="R354" s="708"/>
      <c r="S354" s="717" t="s">
        <v>1629</v>
      </c>
      <c r="T354" s="717" t="s">
        <v>1630</v>
      </c>
      <c r="U354" s="717" t="s">
        <v>1631</v>
      </c>
      <c r="V354" s="362"/>
      <c r="W354" s="107"/>
      <c r="X354" s="362"/>
      <c r="Y354" s="362"/>
      <c r="Z354" s="362"/>
      <c r="AA354" s="362"/>
      <c r="AB354" s="362"/>
      <c r="AC354" s="362"/>
      <c r="AD354" s="362"/>
      <c r="AE354" s="362"/>
      <c r="AF354" s="362"/>
      <c r="AG354" s="362"/>
      <c r="AH354" s="362"/>
      <c r="AI354" s="362"/>
      <c r="AJ354" s="362"/>
      <c r="AK354" s="362"/>
      <c r="AL354" s="363"/>
      <c r="AM354" s="363"/>
      <c r="AN354" s="363"/>
      <c r="AO354" s="363"/>
      <c r="AP354" s="363"/>
      <c r="AQ354" s="363"/>
    </row>
    <row r="355" spans="1:43" s="364" customFormat="1" ht="13.95" customHeight="1" x14ac:dyDescent="0.25">
      <c r="B355" s="365" t="s">
        <v>1439</v>
      </c>
      <c r="C355" s="365" t="s">
        <v>1633</v>
      </c>
      <c r="D355" s="365" t="s">
        <v>1634</v>
      </c>
      <c r="E355" s="365" t="s">
        <v>1635</v>
      </c>
      <c r="F355" s="366" t="s">
        <v>1636</v>
      </c>
      <c r="G355" s="366" t="s">
        <v>1637</v>
      </c>
      <c r="H355" s="366" t="s">
        <v>1638</v>
      </c>
      <c r="I355" s="366" t="s">
        <v>1639</v>
      </c>
      <c r="J355" s="366" t="s">
        <v>1640</v>
      </c>
      <c r="K355" s="366" t="s">
        <v>1641</v>
      </c>
      <c r="L355" s="366" t="s">
        <v>1642</v>
      </c>
      <c r="M355" s="366" t="s">
        <v>1643</v>
      </c>
      <c r="N355" s="366" t="s">
        <v>1644</v>
      </c>
      <c r="O355" s="366" t="s">
        <v>1645</v>
      </c>
      <c r="P355" s="366" t="s">
        <v>1646</v>
      </c>
      <c r="Q355" s="366" t="s">
        <v>1647</v>
      </c>
      <c r="R355" s="366" t="s">
        <v>1648</v>
      </c>
      <c r="S355" s="718"/>
      <c r="T355" s="718"/>
      <c r="U355" s="718"/>
      <c r="V355" s="362"/>
      <c r="W355" s="107"/>
      <c r="X355" s="362"/>
      <c r="Y355" s="362"/>
      <c r="Z355" s="362"/>
      <c r="AA355" s="362"/>
      <c r="AB355" s="362"/>
      <c r="AC355" s="362"/>
      <c r="AD355" s="362"/>
      <c r="AE355" s="362"/>
      <c r="AF355" s="362"/>
      <c r="AG355" s="362"/>
      <c r="AH355" s="362"/>
      <c r="AI355" s="362"/>
      <c r="AJ355" s="362"/>
      <c r="AK355" s="362"/>
      <c r="AL355" s="363"/>
      <c r="AM355" s="363"/>
      <c r="AN355" s="363"/>
      <c r="AO355" s="363"/>
      <c r="AP355" s="363"/>
      <c r="AQ355" s="363"/>
    </row>
    <row r="356" spans="1:43" s="364" customFormat="1" ht="13.95" customHeight="1" x14ac:dyDescent="0.25">
      <c r="B356" s="365">
        <f>$B$2</f>
        <v>20180327</v>
      </c>
      <c r="C356" s="365">
        <f>$B$2</f>
        <v>20180327</v>
      </c>
      <c r="D356" s="365" t="str">
        <f>$F$5</f>
        <v>9999</v>
      </c>
      <c r="E356" s="365" t="str">
        <f>E351</f>
        <v>CZCE</v>
      </c>
      <c r="F356" s="366">
        <v>2</v>
      </c>
      <c r="G356" s="366">
        <v>0</v>
      </c>
      <c r="H356" s="366">
        <v>0</v>
      </c>
      <c r="I356" s="366">
        <v>0</v>
      </c>
      <c r="J356" s="366">
        <f>$B$2-1</f>
        <v>20180326</v>
      </c>
      <c r="K356" s="366">
        <v>7</v>
      </c>
      <c r="L356" s="366">
        <v>2</v>
      </c>
      <c r="M356" s="366">
        <v>2</v>
      </c>
      <c r="N356" s="366">
        <v>2</v>
      </c>
      <c r="O356" s="366">
        <v>1</v>
      </c>
      <c r="P356" s="367" t="s">
        <v>1649</v>
      </c>
      <c r="Q356" s="367">
        <f>$B$2</f>
        <v>20180327</v>
      </c>
      <c r="R356" s="368">
        <v>0.53385416666666663</v>
      </c>
      <c r="S356" s="368" t="s">
        <v>1649</v>
      </c>
      <c r="T356" s="367"/>
      <c r="U356" s="367"/>
      <c r="V356" s="362"/>
      <c r="W356" s="107"/>
      <c r="X356" s="362"/>
      <c r="Y356" s="362"/>
      <c r="Z356" s="362"/>
      <c r="AA356" s="362"/>
      <c r="AB356" s="362"/>
      <c r="AC356" s="362"/>
      <c r="AD356" s="362"/>
      <c r="AE356" s="362"/>
      <c r="AF356" s="362"/>
      <c r="AG356" s="362"/>
      <c r="AH356" s="362"/>
      <c r="AI356" s="362"/>
      <c r="AJ356" s="362"/>
      <c r="AK356" s="362"/>
      <c r="AL356" s="363"/>
      <c r="AM356" s="363"/>
      <c r="AN356" s="363"/>
      <c r="AO356" s="363"/>
      <c r="AP356" s="363"/>
      <c r="AQ356" s="363"/>
    </row>
    <row r="357" spans="1:43" s="664" customFormat="1" x14ac:dyDescent="0.25">
      <c r="A357" s="664" t="s">
        <v>1370</v>
      </c>
      <c r="B357" s="2" t="s">
        <v>1368</v>
      </c>
      <c r="C357" s="138"/>
      <c r="D357" s="8"/>
      <c r="E357" s="8"/>
      <c r="F357" s="8"/>
      <c r="G357" s="138"/>
      <c r="H357" s="92"/>
      <c r="I357" s="92"/>
      <c r="J357" s="92"/>
      <c r="K357" s="92"/>
      <c r="W357" s="6"/>
      <c r="X357" s="6"/>
      <c r="Y357" s="6"/>
      <c r="Z357" s="6"/>
      <c r="AA357" s="6"/>
      <c r="AB357" s="6"/>
      <c r="AC357" s="6"/>
      <c r="AD357" s="6"/>
      <c r="AE357" s="6"/>
      <c r="AF357" s="6"/>
      <c r="AG357" s="6"/>
      <c r="AH357" s="6"/>
      <c r="AI357" s="6"/>
      <c r="AJ357" s="6"/>
      <c r="AK357" s="6"/>
      <c r="AL357" s="6"/>
      <c r="AM357" s="6"/>
      <c r="AN357" s="6"/>
      <c r="AO357" s="6"/>
      <c r="AP357" s="6"/>
    </row>
    <row r="358" spans="1:43" s="664" customFormat="1" x14ac:dyDescent="0.25">
      <c r="A358" s="664" t="s">
        <v>173</v>
      </c>
      <c r="B358" s="57" t="s">
        <v>124</v>
      </c>
      <c r="C358" s="44" t="s">
        <v>1557</v>
      </c>
      <c r="D358" s="138"/>
      <c r="E358" s="8"/>
      <c r="F358" s="8"/>
      <c r="G358" s="8"/>
      <c r="H358" s="138"/>
      <c r="I358" s="92"/>
      <c r="J358" s="92"/>
      <c r="K358" s="92"/>
      <c r="L358" s="92"/>
      <c r="X358" s="6"/>
      <c r="Y358" s="6"/>
      <c r="Z358" s="6"/>
      <c r="AA358" s="6"/>
      <c r="AB358" s="6"/>
      <c r="AC358" s="6"/>
      <c r="AD358" s="6"/>
      <c r="AE358" s="6"/>
      <c r="AF358" s="6"/>
      <c r="AG358" s="6"/>
      <c r="AH358" s="6"/>
      <c r="AI358" s="6"/>
      <c r="AJ358" s="6"/>
      <c r="AK358" s="6"/>
      <c r="AL358" s="6"/>
      <c r="AM358" s="6"/>
      <c r="AN358" s="6"/>
      <c r="AO358" s="6"/>
      <c r="AP358" s="6"/>
      <c r="AQ358" s="6"/>
    </row>
    <row r="359" spans="1:43" s="664" customFormat="1" x14ac:dyDescent="0.25">
      <c r="A359" s="664" t="s">
        <v>173</v>
      </c>
      <c r="B359" s="664" t="s">
        <v>306</v>
      </c>
      <c r="C359" s="748" t="s">
        <v>1198</v>
      </c>
      <c r="D359" s="749"/>
      <c r="E359" s="749"/>
      <c r="F359" s="749"/>
      <c r="G359" s="749"/>
      <c r="H359" s="749"/>
      <c r="I359" s="749"/>
      <c r="J359" s="749"/>
      <c r="K359" s="749"/>
      <c r="L359" s="749"/>
      <c r="M359" s="749"/>
      <c r="X359" s="6"/>
      <c r="Y359" s="6"/>
      <c r="Z359" s="6"/>
      <c r="AA359" s="6"/>
      <c r="AB359" s="6"/>
      <c r="AC359" s="6"/>
      <c r="AD359" s="6"/>
      <c r="AE359" s="6"/>
      <c r="AF359" s="6"/>
      <c r="AG359" s="6"/>
      <c r="AH359" s="6"/>
      <c r="AI359" s="6"/>
      <c r="AJ359" s="6"/>
      <c r="AK359" s="6"/>
      <c r="AL359" s="6"/>
      <c r="AM359" s="6"/>
      <c r="AN359" s="6"/>
      <c r="AO359" s="6"/>
      <c r="AP359" s="6"/>
      <c r="AQ359" s="6"/>
    </row>
    <row r="360" spans="1:43" s="664" customFormat="1" x14ac:dyDescent="0.25">
      <c r="A360" s="664" t="s">
        <v>173</v>
      </c>
      <c r="B360" s="664" t="s">
        <v>1370</v>
      </c>
      <c r="C360" s="92" t="s">
        <v>23</v>
      </c>
      <c r="D360" s="92" t="s">
        <v>25</v>
      </c>
      <c r="E360" s="92" t="s">
        <v>1200</v>
      </c>
      <c r="F360" s="92" t="s">
        <v>1201</v>
      </c>
      <c r="G360" s="92" t="s">
        <v>29</v>
      </c>
      <c r="H360" s="92" t="s">
        <v>1202</v>
      </c>
      <c r="I360" s="92" t="s">
        <v>28</v>
      </c>
      <c r="J360" s="92" t="s">
        <v>1203</v>
      </c>
      <c r="K360" s="92" t="s">
        <v>151</v>
      </c>
      <c r="L360" s="92" t="s">
        <v>150</v>
      </c>
      <c r="M360" s="92" t="s">
        <v>176</v>
      </c>
      <c r="X360" s="6"/>
      <c r="Y360" s="6"/>
      <c r="Z360" s="6"/>
      <c r="AA360" s="6"/>
      <c r="AB360" s="6"/>
      <c r="AC360" s="6"/>
      <c r="AD360" s="6"/>
      <c r="AE360" s="6"/>
      <c r="AF360" s="6"/>
      <c r="AG360" s="6"/>
      <c r="AH360" s="6"/>
      <c r="AI360" s="6"/>
      <c r="AJ360" s="6"/>
      <c r="AK360" s="6"/>
      <c r="AL360" s="6"/>
      <c r="AM360" s="6"/>
      <c r="AN360" s="6"/>
      <c r="AO360" s="6"/>
      <c r="AP360" s="6"/>
      <c r="AQ360" s="6"/>
    </row>
    <row r="361" spans="1:43" s="664" customFormat="1" x14ac:dyDescent="0.3">
      <c r="A361" s="664" t="s">
        <v>173</v>
      </c>
      <c r="C361" s="146" t="s">
        <v>23</v>
      </c>
      <c r="D361" s="146" t="s">
        <v>25</v>
      </c>
      <c r="E361" s="146" t="s">
        <v>1200</v>
      </c>
      <c r="F361" s="146" t="s">
        <v>1201</v>
      </c>
      <c r="G361" s="146" t="s">
        <v>29</v>
      </c>
      <c r="H361" s="146" t="s">
        <v>1202</v>
      </c>
      <c r="I361" s="146" t="s">
        <v>28</v>
      </c>
      <c r="J361" s="146" t="s">
        <v>1203</v>
      </c>
      <c r="K361" s="146" t="s">
        <v>151</v>
      </c>
      <c r="L361" s="146" t="s">
        <v>150</v>
      </c>
      <c r="M361" s="146" t="s">
        <v>176</v>
      </c>
      <c r="X361" s="6"/>
      <c r="Y361" s="6"/>
      <c r="Z361" s="6"/>
      <c r="AA361" s="6"/>
      <c r="AB361" s="6"/>
      <c r="AC361" s="6"/>
      <c r="AD361" s="6"/>
      <c r="AE361" s="6"/>
      <c r="AF361" s="6"/>
      <c r="AG361" s="6"/>
      <c r="AH361" s="6"/>
      <c r="AI361" s="6"/>
      <c r="AJ361" s="6"/>
      <c r="AK361" s="6"/>
      <c r="AL361" s="6"/>
      <c r="AM361" s="6"/>
      <c r="AN361" s="6"/>
      <c r="AO361" s="6"/>
      <c r="AP361" s="6"/>
      <c r="AQ361" s="6"/>
    </row>
    <row r="362" spans="1:43" s="664" customFormat="1" x14ac:dyDescent="0.25">
      <c r="A362" s="664" t="s">
        <v>173</v>
      </c>
      <c r="C362" s="661" t="str">
        <f>$F$5</f>
        <v>9999</v>
      </c>
      <c r="D362" s="661" t="str">
        <f>B5</f>
        <v>6001</v>
      </c>
      <c r="E362" s="661" t="str">
        <f>D19</f>
        <v>SR</v>
      </c>
      <c r="F362" s="661">
        <f>B2</f>
        <v>20180327</v>
      </c>
      <c r="G362" s="164">
        <v>345</v>
      </c>
      <c r="H362" s="152">
        <v>0.9</v>
      </c>
      <c r="I362" s="661">
        <v>1</v>
      </c>
      <c r="J362" s="662">
        <v>5000</v>
      </c>
      <c r="K362" s="661" t="s">
        <v>154</v>
      </c>
      <c r="L362" s="661" t="str">
        <f>D362</f>
        <v>6001</v>
      </c>
      <c r="M362" s="661">
        <v>1</v>
      </c>
      <c r="X362" s="6"/>
      <c r="Y362" s="6"/>
      <c r="Z362" s="6"/>
      <c r="AA362" s="6"/>
      <c r="AB362" s="6"/>
      <c r="AC362" s="6"/>
      <c r="AD362" s="6"/>
      <c r="AE362" s="6"/>
      <c r="AF362" s="6"/>
      <c r="AG362" s="6"/>
      <c r="AH362" s="6"/>
      <c r="AI362" s="6"/>
      <c r="AJ362" s="6"/>
      <c r="AK362" s="6"/>
      <c r="AL362" s="6"/>
      <c r="AM362" s="6"/>
      <c r="AN362" s="6"/>
      <c r="AO362" s="6"/>
      <c r="AP362" s="6"/>
      <c r="AQ362" s="6"/>
    </row>
    <row r="363" spans="1:43" s="664" customFormat="1" x14ac:dyDescent="0.25">
      <c r="A363" s="664" t="s">
        <v>1369</v>
      </c>
      <c r="B363" s="8" t="s">
        <v>2012</v>
      </c>
      <c r="C363" s="138"/>
      <c r="D363" s="8"/>
      <c r="E363" s="8"/>
      <c r="F363" s="8"/>
      <c r="G363" s="138"/>
      <c r="H363" s="92"/>
      <c r="I363" s="92"/>
      <c r="J363" s="92"/>
      <c r="K363" s="92"/>
      <c r="W363" s="6"/>
      <c r="X363" s="6"/>
      <c r="Y363" s="6"/>
      <c r="Z363" s="6"/>
      <c r="AA363" s="6"/>
      <c r="AB363" s="6"/>
      <c r="AC363" s="6"/>
      <c r="AD363" s="6"/>
      <c r="AE363" s="6"/>
      <c r="AF363" s="6"/>
      <c r="AG363" s="6"/>
      <c r="AH363" s="6"/>
      <c r="AI363" s="6"/>
      <c r="AJ363" s="6"/>
      <c r="AK363" s="6"/>
      <c r="AL363" s="6"/>
      <c r="AM363" s="6"/>
      <c r="AN363" s="6"/>
      <c r="AO363" s="6"/>
      <c r="AP363" s="6"/>
    </row>
    <row r="364" spans="1:43" s="664" customFormat="1" x14ac:dyDescent="0.25">
      <c r="A364" s="664" t="s">
        <v>173</v>
      </c>
      <c r="B364" s="7" t="s">
        <v>407</v>
      </c>
      <c r="C364" s="7" t="s">
        <v>19</v>
      </c>
      <c r="D364" s="7" t="s">
        <v>287</v>
      </c>
      <c r="E364" s="7" t="s">
        <v>118</v>
      </c>
      <c r="F364" s="7" t="s">
        <v>365</v>
      </c>
      <c r="G364" s="7" t="s">
        <v>5</v>
      </c>
      <c r="H364" s="7" t="s">
        <v>52</v>
      </c>
      <c r="I364" s="7" t="s">
        <v>403</v>
      </c>
      <c r="J364" s="7" t="s">
        <v>294</v>
      </c>
      <c r="K364" s="7" t="s">
        <v>9</v>
      </c>
      <c r="L364" s="7" t="s">
        <v>18</v>
      </c>
      <c r="M364" s="7" t="s">
        <v>385</v>
      </c>
      <c r="N364" s="7" t="s">
        <v>386</v>
      </c>
      <c r="O364" s="121" t="s">
        <v>297</v>
      </c>
      <c r="P364" s="7" t="s">
        <v>298</v>
      </c>
      <c r="Q364" s="12" t="s">
        <v>191</v>
      </c>
      <c r="R364" s="7" t="s">
        <v>226</v>
      </c>
      <c r="W364" s="6"/>
      <c r="X364" s="6"/>
      <c r="Y364" s="6"/>
      <c r="Z364" s="6"/>
      <c r="AA364" s="6"/>
      <c r="AB364" s="6"/>
      <c r="AC364" s="6"/>
      <c r="AD364" s="6"/>
      <c r="AE364" s="6"/>
      <c r="AF364" s="6"/>
      <c r="AG364" s="6"/>
      <c r="AH364" s="6"/>
      <c r="AI364" s="6"/>
      <c r="AJ364" s="6"/>
      <c r="AK364" s="6"/>
      <c r="AL364" s="6"/>
      <c r="AM364" s="6"/>
      <c r="AN364" s="6"/>
      <c r="AO364" s="6"/>
      <c r="AP364" s="6"/>
    </row>
    <row r="365" spans="1:43" s="664" customFormat="1" x14ac:dyDescent="0.25">
      <c r="A365" s="664" t="s">
        <v>173</v>
      </c>
      <c r="B365" s="7" t="s">
        <v>400</v>
      </c>
      <c r="C365" s="7" t="s">
        <v>321</v>
      </c>
      <c r="D365" s="7" t="s">
        <v>322</v>
      </c>
      <c r="E365" s="7" t="s">
        <v>322</v>
      </c>
      <c r="F365" s="7" t="s">
        <v>399</v>
      </c>
      <c r="G365" s="7" t="s">
        <v>327</v>
      </c>
      <c r="H365" s="7" t="s">
        <v>328</v>
      </c>
      <c r="I365" s="7" t="s">
        <v>405</v>
      </c>
      <c r="J365" s="7" t="s">
        <v>331</v>
      </c>
      <c r="K365" s="7" t="s">
        <v>332</v>
      </c>
      <c r="L365" s="7" t="s">
        <v>395</v>
      </c>
      <c r="M365" s="7" t="s">
        <v>394</v>
      </c>
      <c r="N365" s="7" t="s">
        <v>393</v>
      </c>
      <c r="O365" s="121" t="s">
        <v>337</v>
      </c>
      <c r="P365" s="92" t="s">
        <v>338</v>
      </c>
      <c r="Q365" s="7" t="s">
        <v>346</v>
      </c>
      <c r="R365" s="7" t="s">
        <v>362</v>
      </c>
      <c r="W365" s="6"/>
      <c r="X365" s="6"/>
      <c r="Y365" s="6"/>
      <c r="Z365" s="6"/>
      <c r="AA365" s="6"/>
      <c r="AB365" s="6"/>
      <c r="AC365" s="6"/>
      <c r="AD365" s="6"/>
      <c r="AE365" s="6"/>
      <c r="AF365" s="6"/>
      <c r="AG365" s="6"/>
      <c r="AH365" s="6"/>
      <c r="AI365" s="6"/>
      <c r="AJ365" s="6"/>
      <c r="AK365" s="6"/>
      <c r="AL365" s="6"/>
      <c r="AM365" s="6"/>
      <c r="AN365" s="6"/>
      <c r="AO365" s="6"/>
      <c r="AP365" s="6"/>
    </row>
    <row r="366" spans="1:43" s="664" customFormat="1" x14ac:dyDescent="0.25">
      <c r="A366" s="664" t="s">
        <v>173</v>
      </c>
      <c r="B366" s="12">
        <f t="shared" ref="B366:H367" si="5">B798</f>
        <v>20180327</v>
      </c>
      <c r="C366" s="12" t="str">
        <f t="shared" si="5"/>
        <v>6001</v>
      </c>
      <c r="D366" s="12" t="str">
        <f t="shared" si="5"/>
        <v>B00101</v>
      </c>
      <c r="E366" s="12" t="str">
        <f t="shared" si="5"/>
        <v>6001</v>
      </c>
      <c r="F366" s="12">
        <f t="shared" si="5"/>
        <v>20180327</v>
      </c>
      <c r="G366" s="12" t="str">
        <f t="shared" si="5"/>
        <v>CZCE</v>
      </c>
      <c r="H366" s="12" t="str">
        <f t="shared" si="5"/>
        <v>SR809</v>
      </c>
      <c r="I366" s="12">
        <f t="shared" ref="I366:M367" si="6">I798</f>
        <v>10</v>
      </c>
      <c r="J366" s="12">
        <f t="shared" si="6"/>
        <v>2</v>
      </c>
      <c r="K366" s="12">
        <f t="shared" si="6"/>
        <v>1</v>
      </c>
      <c r="L366" s="12">
        <f t="shared" si="6"/>
        <v>6</v>
      </c>
      <c r="M366" s="12">
        <f t="shared" si="6"/>
        <v>6135</v>
      </c>
      <c r="N366" s="121">
        <v>1</v>
      </c>
      <c r="O366" s="121">
        <v>0</v>
      </c>
      <c r="P366" s="121">
        <v>0</v>
      </c>
      <c r="Q366" s="92" t="str">
        <f>$F$5</f>
        <v>9999</v>
      </c>
      <c r="R366" s="92" t="str">
        <f>$D$9</f>
        <v>CNY</v>
      </c>
      <c r="W366" s="6"/>
      <c r="X366" s="6"/>
      <c r="Y366" s="6"/>
      <c r="Z366" s="6"/>
      <c r="AA366" s="6"/>
      <c r="AB366" s="6"/>
      <c r="AC366" s="6"/>
      <c r="AD366" s="6"/>
      <c r="AE366" s="6"/>
      <c r="AF366" s="6"/>
      <c r="AG366" s="6"/>
      <c r="AH366" s="6"/>
      <c r="AI366" s="6"/>
      <c r="AJ366" s="6"/>
      <c r="AK366" s="6"/>
      <c r="AL366" s="6"/>
      <c r="AM366" s="6"/>
      <c r="AN366" s="6"/>
      <c r="AO366" s="6"/>
      <c r="AP366" s="6"/>
    </row>
    <row r="367" spans="1:43" s="664" customFormat="1" x14ac:dyDescent="0.25">
      <c r="A367" s="664" t="s">
        <v>173</v>
      </c>
      <c r="B367" s="12">
        <f t="shared" si="5"/>
        <v>20180327</v>
      </c>
      <c r="C367" s="12" t="str">
        <f t="shared" si="5"/>
        <v>6001</v>
      </c>
      <c r="D367" s="12" t="str">
        <f t="shared" si="5"/>
        <v>B00102</v>
      </c>
      <c r="E367" s="12" t="str">
        <f t="shared" si="5"/>
        <v>6001</v>
      </c>
      <c r="F367" s="12">
        <f t="shared" si="5"/>
        <v>20180327</v>
      </c>
      <c r="G367" s="12" t="str">
        <f t="shared" si="5"/>
        <v>CZCE</v>
      </c>
      <c r="H367" s="12" t="str">
        <f t="shared" si="5"/>
        <v>PTA809</v>
      </c>
      <c r="I367" s="12">
        <f t="shared" si="6"/>
        <v>5</v>
      </c>
      <c r="J367" s="12">
        <f t="shared" si="6"/>
        <v>3</v>
      </c>
      <c r="K367" s="12">
        <f t="shared" si="6"/>
        <v>1</v>
      </c>
      <c r="L367" s="12">
        <f t="shared" si="6"/>
        <v>4</v>
      </c>
      <c r="M367" s="12">
        <f t="shared" si="6"/>
        <v>6225</v>
      </c>
      <c r="N367" s="121">
        <v>1</v>
      </c>
      <c r="O367" s="121">
        <v>0</v>
      </c>
      <c r="P367" s="121">
        <v>0</v>
      </c>
      <c r="Q367" s="92" t="str">
        <f t="shared" ref="Q367" si="7">$F$5</f>
        <v>9999</v>
      </c>
      <c r="R367" s="92" t="str">
        <f t="shared" ref="R367" si="8">$D$9</f>
        <v>CNY</v>
      </c>
      <c r="W367" s="6"/>
      <c r="X367" s="6"/>
      <c r="Y367" s="6"/>
      <c r="Z367" s="6"/>
      <c r="AA367" s="6"/>
      <c r="AB367" s="6"/>
      <c r="AC367" s="6"/>
      <c r="AD367" s="6"/>
      <c r="AE367" s="6"/>
      <c r="AF367" s="6"/>
      <c r="AG367" s="6"/>
      <c r="AH367" s="6"/>
      <c r="AI367" s="6"/>
      <c r="AJ367" s="6"/>
      <c r="AK367" s="6"/>
      <c r="AL367" s="6"/>
      <c r="AM367" s="6"/>
      <c r="AN367" s="6"/>
      <c r="AO367" s="6"/>
      <c r="AP367" s="6"/>
    </row>
    <row r="368" spans="1:43" s="664" customFormat="1" x14ac:dyDescent="0.25">
      <c r="A368" s="664" t="s">
        <v>173</v>
      </c>
      <c r="B368" s="92"/>
      <c r="C368" s="34"/>
      <c r="D368" s="34"/>
      <c r="E368" s="34"/>
      <c r="F368" s="101"/>
      <c r="G368" s="107"/>
      <c r="H368" s="3"/>
      <c r="I368" s="107"/>
      <c r="J368" s="107"/>
      <c r="K368" s="107"/>
      <c r="L368" s="107"/>
      <c r="M368" s="122"/>
      <c r="N368" s="128"/>
      <c r="O368" s="128"/>
      <c r="P368" s="128"/>
      <c r="Q368" s="126"/>
      <c r="R368" s="126"/>
      <c r="W368" s="6"/>
      <c r="X368" s="6"/>
      <c r="Y368" s="6"/>
      <c r="Z368" s="6"/>
      <c r="AA368" s="6"/>
      <c r="AB368" s="6"/>
      <c r="AC368" s="6"/>
      <c r="AD368" s="6"/>
      <c r="AE368" s="6"/>
      <c r="AF368" s="6"/>
      <c r="AG368" s="6"/>
      <c r="AH368" s="6"/>
      <c r="AI368" s="6"/>
      <c r="AJ368" s="6"/>
      <c r="AK368" s="6"/>
      <c r="AL368" s="6"/>
      <c r="AM368" s="6"/>
      <c r="AN368" s="6"/>
      <c r="AO368" s="6"/>
      <c r="AP368" s="6"/>
    </row>
    <row r="369" spans="1:42" s="664" customFormat="1" x14ac:dyDescent="0.25">
      <c r="A369" s="664" t="s">
        <v>173</v>
      </c>
      <c r="B369" s="183" t="s">
        <v>970</v>
      </c>
      <c r="C369" s="184" t="s">
        <v>1110</v>
      </c>
      <c r="D369" s="184"/>
      <c r="E369" s="184"/>
      <c r="F369" s="171"/>
      <c r="G369" s="137"/>
      <c r="H369" s="126"/>
      <c r="I369" s="126"/>
      <c r="J369" s="126"/>
      <c r="K369" s="126"/>
      <c r="W369" s="6"/>
      <c r="X369" s="6"/>
      <c r="Y369" s="6"/>
      <c r="Z369" s="6"/>
      <c r="AA369" s="6"/>
      <c r="AB369" s="6"/>
      <c r="AC369" s="6"/>
      <c r="AD369" s="6"/>
      <c r="AE369" s="6"/>
      <c r="AF369" s="6"/>
      <c r="AG369" s="6"/>
      <c r="AH369" s="6"/>
      <c r="AI369" s="6"/>
      <c r="AJ369" s="6"/>
      <c r="AK369" s="6"/>
      <c r="AL369" s="6"/>
      <c r="AM369" s="6"/>
      <c r="AN369" s="6"/>
      <c r="AO369" s="6"/>
      <c r="AP369" s="6"/>
    </row>
    <row r="370" spans="1:42" s="664" customFormat="1" x14ac:dyDescent="0.25">
      <c r="A370" s="664" t="s">
        <v>173</v>
      </c>
      <c r="B370" s="170" t="s">
        <v>1095</v>
      </c>
      <c r="C370" s="704" t="s">
        <v>1573</v>
      </c>
      <c r="D370" s="705"/>
      <c r="E370" s="705"/>
      <c r="F370" s="705"/>
      <c r="G370" s="705"/>
      <c r="H370" s="705"/>
      <c r="I370" s="705"/>
      <c r="J370" s="705"/>
      <c r="K370" s="705"/>
      <c r="L370" s="705"/>
      <c r="M370" s="705"/>
      <c r="N370" s="705"/>
      <c r="O370" s="705"/>
      <c r="P370" s="705"/>
      <c r="Q370" s="705"/>
      <c r="R370" s="708"/>
      <c r="S370" s="695" t="s">
        <v>1126</v>
      </c>
      <c r="T370" s="695" t="s">
        <v>1107</v>
      </c>
      <c r="U370" s="695" t="s">
        <v>1108</v>
      </c>
      <c r="V370" s="695" t="s">
        <v>1127</v>
      </c>
      <c r="W370" s="6"/>
      <c r="X370" s="6"/>
      <c r="Y370" s="6"/>
      <c r="Z370" s="6"/>
      <c r="AA370" s="6"/>
      <c r="AB370" s="6"/>
      <c r="AC370" s="6"/>
      <c r="AD370" s="6"/>
      <c r="AE370" s="6"/>
      <c r="AF370" s="6"/>
      <c r="AG370" s="6"/>
      <c r="AH370" s="6"/>
      <c r="AI370" s="6"/>
      <c r="AJ370" s="6"/>
      <c r="AK370" s="6"/>
      <c r="AL370" s="6"/>
      <c r="AM370" s="6"/>
      <c r="AN370" s="6"/>
      <c r="AO370" s="6"/>
      <c r="AP370" s="6"/>
    </row>
    <row r="371" spans="1:42" s="664" customFormat="1" x14ac:dyDescent="0.25">
      <c r="A371" s="664" t="s">
        <v>173</v>
      </c>
      <c r="B371" s="170"/>
      <c r="C371" s="172" t="s">
        <v>1109</v>
      </c>
      <c r="D371" s="172" t="s">
        <v>1111</v>
      </c>
      <c r="E371" s="172" t="s">
        <v>1113</v>
      </c>
      <c r="F371" s="173" t="s">
        <v>1112</v>
      </c>
      <c r="G371" s="138" t="s">
        <v>1114</v>
      </c>
      <c r="H371" s="172" t="s">
        <v>1115</v>
      </c>
      <c r="I371" s="172" t="s">
        <v>1116</v>
      </c>
      <c r="J371" s="172" t="s">
        <v>1117</v>
      </c>
      <c r="K371" s="172" t="s">
        <v>1118</v>
      </c>
      <c r="L371" s="172" t="s">
        <v>1119</v>
      </c>
      <c r="M371" s="172" t="s">
        <v>1120</v>
      </c>
      <c r="N371" s="172" t="s">
        <v>1121</v>
      </c>
      <c r="O371" s="172" t="s">
        <v>1122</v>
      </c>
      <c r="P371" s="172" t="s">
        <v>1123</v>
      </c>
      <c r="Q371" s="172" t="s">
        <v>1124</v>
      </c>
      <c r="R371" s="172" t="s">
        <v>1125</v>
      </c>
      <c r="S371" s="696"/>
      <c r="T371" s="696"/>
      <c r="U371" s="696"/>
      <c r="V371" s="696"/>
      <c r="W371" s="6"/>
      <c r="X371" s="6"/>
      <c r="Y371" s="6"/>
      <c r="Z371" s="6"/>
      <c r="AA371" s="6"/>
      <c r="AB371" s="6"/>
      <c r="AC371" s="6"/>
      <c r="AD371" s="6"/>
      <c r="AE371" s="6"/>
      <c r="AF371" s="6"/>
      <c r="AG371" s="6"/>
      <c r="AH371" s="6"/>
      <c r="AI371" s="6"/>
      <c r="AJ371" s="6"/>
      <c r="AK371" s="6"/>
      <c r="AL371" s="6"/>
      <c r="AM371" s="6"/>
      <c r="AN371" s="6"/>
      <c r="AO371" s="6"/>
      <c r="AP371" s="6"/>
    </row>
    <row r="372" spans="1:42" s="6" customFormat="1" x14ac:dyDescent="0.25">
      <c r="A372" s="6" t="s">
        <v>173</v>
      </c>
      <c r="B372" s="663"/>
      <c r="C372" s="663" t="str">
        <f>Q366</f>
        <v>9999</v>
      </c>
      <c r="D372" s="663">
        <f>B366</f>
        <v>20180327</v>
      </c>
      <c r="E372" s="663"/>
      <c r="F372" s="517" t="str">
        <f>C366</f>
        <v>6001</v>
      </c>
      <c r="G372" s="517" t="str">
        <f>D366</f>
        <v>B00101</v>
      </c>
      <c r="H372" s="517" t="str">
        <f>E366</f>
        <v>6001</v>
      </c>
      <c r="I372" s="111" t="str">
        <f>R366</f>
        <v>CNY</v>
      </c>
      <c r="J372" s="111" t="str">
        <f>$B$19</f>
        <v>CZCE</v>
      </c>
      <c r="K372" s="248" t="str">
        <f>H366</f>
        <v>SR809</v>
      </c>
      <c r="L372" s="113">
        <f>K366</f>
        <v>1</v>
      </c>
      <c r="M372" s="113">
        <f>J366</f>
        <v>2</v>
      </c>
      <c r="N372" s="113">
        <f>L366</f>
        <v>6</v>
      </c>
      <c r="O372" s="248">
        <f>M366</f>
        <v>6135</v>
      </c>
      <c r="P372" s="111">
        <v>1</v>
      </c>
      <c r="Q372" s="111"/>
      <c r="R372" s="111"/>
      <c r="S372" s="111" t="s">
        <v>1128</v>
      </c>
      <c r="T372" s="111"/>
      <c r="U372" s="111"/>
      <c r="V372" s="111">
        <v>0</v>
      </c>
    </row>
    <row r="373" spans="1:42" s="6" customFormat="1" x14ac:dyDescent="0.25">
      <c r="A373" s="664" t="s">
        <v>173</v>
      </c>
      <c r="C373" s="323"/>
      <c r="D373" s="323"/>
      <c r="E373" s="323"/>
      <c r="F373" s="323"/>
      <c r="G373" s="180"/>
      <c r="H373" s="180"/>
      <c r="I373" s="180"/>
      <c r="J373" s="167"/>
      <c r="K373" s="167"/>
      <c r="L373" s="181"/>
      <c r="M373" s="182"/>
      <c r="N373" s="182"/>
      <c r="O373" s="182"/>
      <c r="P373" s="181"/>
      <c r="Q373" s="167"/>
      <c r="R373" s="167"/>
      <c r="S373" s="167"/>
      <c r="T373" s="167"/>
      <c r="U373" s="167"/>
      <c r="V373" s="167"/>
      <c r="W373" s="167"/>
    </row>
    <row r="374" spans="1:42" s="6" customFormat="1" x14ac:dyDescent="0.25">
      <c r="A374" s="664" t="s">
        <v>173</v>
      </c>
      <c r="B374" s="183" t="s">
        <v>970</v>
      </c>
      <c r="C374" s="184" t="s">
        <v>1110</v>
      </c>
      <c r="D374" s="184"/>
      <c r="E374" s="184"/>
      <c r="F374" s="171"/>
      <c r="G374" s="137"/>
      <c r="H374" s="126"/>
      <c r="I374" s="126"/>
      <c r="J374" s="126"/>
      <c r="K374" s="126"/>
      <c r="L374" s="664"/>
      <c r="M374" s="664"/>
      <c r="N374" s="664"/>
      <c r="O374" s="664"/>
      <c r="P374" s="664"/>
      <c r="Q374" s="664"/>
      <c r="R374" s="664"/>
      <c r="S374" s="664"/>
      <c r="T374" s="664"/>
      <c r="U374" s="664"/>
      <c r="V374" s="664"/>
    </row>
    <row r="375" spans="1:42" s="6" customFormat="1" x14ac:dyDescent="0.25">
      <c r="A375" s="664" t="s">
        <v>173</v>
      </c>
      <c r="B375" s="170" t="s">
        <v>1095</v>
      </c>
      <c r="C375" s="704" t="s">
        <v>1573</v>
      </c>
      <c r="D375" s="705"/>
      <c r="E375" s="705"/>
      <c r="F375" s="705"/>
      <c r="G375" s="705"/>
      <c r="H375" s="705"/>
      <c r="I375" s="705"/>
      <c r="J375" s="705"/>
      <c r="K375" s="705"/>
      <c r="L375" s="705"/>
      <c r="M375" s="705"/>
      <c r="N375" s="705"/>
      <c r="O375" s="705"/>
      <c r="P375" s="705"/>
      <c r="Q375" s="705"/>
      <c r="R375" s="708"/>
      <c r="S375" s="695" t="s">
        <v>1126</v>
      </c>
      <c r="T375" s="695" t="s">
        <v>1107</v>
      </c>
      <c r="U375" s="695" t="s">
        <v>1108</v>
      </c>
      <c r="V375" s="695" t="s">
        <v>1127</v>
      </c>
    </row>
    <row r="376" spans="1:42" s="6" customFormat="1" x14ac:dyDescent="0.25">
      <c r="A376" s="664" t="s">
        <v>173</v>
      </c>
      <c r="B376" s="170"/>
      <c r="C376" s="172" t="s">
        <v>1109</v>
      </c>
      <c r="D376" s="172" t="s">
        <v>1111</v>
      </c>
      <c r="E376" s="172" t="s">
        <v>1113</v>
      </c>
      <c r="F376" s="173" t="s">
        <v>1112</v>
      </c>
      <c r="G376" s="138" t="s">
        <v>1114</v>
      </c>
      <c r="H376" s="172" t="s">
        <v>1115</v>
      </c>
      <c r="I376" s="172" t="s">
        <v>1116</v>
      </c>
      <c r="J376" s="172" t="s">
        <v>1117</v>
      </c>
      <c r="K376" s="172" t="s">
        <v>1118</v>
      </c>
      <c r="L376" s="172" t="s">
        <v>1119</v>
      </c>
      <c r="M376" s="172" t="s">
        <v>1120</v>
      </c>
      <c r="N376" s="172" t="s">
        <v>1121</v>
      </c>
      <c r="O376" s="172" t="s">
        <v>1122</v>
      </c>
      <c r="P376" s="172" t="s">
        <v>1123</v>
      </c>
      <c r="Q376" s="172" t="s">
        <v>1124</v>
      </c>
      <c r="R376" s="172" t="s">
        <v>1125</v>
      </c>
      <c r="S376" s="696"/>
      <c r="T376" s="696"/>
      <c r="U376" s="696"/>
      <c r="V376" s="696"/>
    </row>
    <row r="377" spans="1:42" s="6" customFormat="1" x14ac:dyDescent="0.25">
      <c r="A377" s="6" t="s">
        <v>173</v>
      </c>
      <c r="B377" s="663"/>
      <c r="C377" s="663" t="str">
        <f t="shared" ref="C377:I377" si="9">C372</f>
        <v>9999</v>
      </c>
      <c r="D377" s="663">
        <f t="shared" si="9"/>
        <v>20180327</v>
      </c>
      <c r="E377" s="663">
        <f t="shared" si="9"/>
        <v>0</v>
      </c>
      <c r="F377" s="663" t="str">
        <f t="shared" si="9"/>
        <v>6001</v>
      </c>
      <c r="G377" s="253" t="str">
        <f>D367</f>
        <v>B00102</v>
      </c>
      <c r="H377" s="663" t="str">
        <f t="shared" si="9"/>
        <v>6001</v>
      </c>
      <c r="I377" s="663" t="str">
        <f t="shared" si="9"/>
        <v>CNY</v>
      </c>
      <c r="J377" s="111" t="str">
        <f>$B$19</f>
        <v>CZCE</v>
      </c>
      <c r="K377" s="248" t="str">
        <f>H367</f>
        <v>PTA809</v>
      </c>
      <c r="L377" s="113">
        <f>K367</f>
        <v>1</v>
      </c>
      <c r="M377" s="113">
        <f>J367</f>
        <v>3</v>
      </c>
      <c r="N377" s="113">
        <f>L367</f>
        <v>4</v>
      </c>
      <c r="O377" s="248">
        <f>M367</f>
        <v>6225</v>
      </c>
      <c r="P377" s="111">
        <v>1</v>
      </c>
      <c r="Q377" s="111"/>
      <c r="R377" s="111"/>
      <c r="S377" s="111" t="s">
        <v>1128</v>
      </c>
      <c r="T377" s="111"/>
      <c r="U377" s="111"/>
      <c r="V377" s="111">
        <v>0</v>
      </c>
    </row>
    <row r="378" spans="1:42" s="6" customFormat="1" x14ac:dyDescent="0.25">
      <c r="A378" s="664" t="s">
        <v>173</v>
      </c>
      <c r="C378" s="323"/>
      <c r="D378" s="323"/>
      <c r="E378" s="323"/>
      <c r="F378" s="323"/>
      <c r="G378" s="180"/>
      <c r="H378" s="180"/>
      <c r="I378" s="180"/>
      <c r="J378" s="167"/>
      <c r="K378" s="167"/>
      <c r="L378" s="181"/>
      <c r="M378" s="182"/>
      <c r="N378" s="182"/>
      <c r="O378" s="182"/>
      <c r="P378" s="181"/>
      <c r="Q378" s="167"/>
      <c r="R378" s="167"/>
      <c r="S378" s="167"/>
      <c r="T378" s="167"/>
      <c r="U378" s="167"/>
      <c r="V378" s="167"/>
      <c r="W378" s="167"/>
    </row>
    <row r="379" spans="1:42" s="6" customFormat="1" x14ac:dyDescent="0.25">
      <c r="A379" s="195" t="s">
        <v>1393</v>
      </c>
      <c r="B379" s="195" t="s">
        <v>2113</v>
      </c>
      <c r="C379" s="323"/>
      <c r="D379" s="323"/>
      <c r="E379" s="323"/>
      <c r="F379" s="323"/>
      <c r="G379" s="323"/>
      <c r="H379" s="323"/>
      <c r="I379" s="167"/>
      <c r="J379" s="181"/>
      <c r="K379" s="182"/>
      <c r="L379" s="182"/>
      <c r="M379" s="182"/>
      <c r="N379" s="181"/>
      <c r="O379" s="167"/>
      <c r="P379" s="167"/>
      <c r="Q379" s="167"/>
      <c r="R379" s="167"/>
      <c r="S379" s="167"/>
      <c r="T379" s="167"/>
      <c r="U379" s="167"/>
    </row>
    <row r="380" spans="1:42" s="6" customFormat="1" x14ac:dyDescent="0.25">
      <c r="A380" s="323" t="s">
        <v>1393</v>
      </c>
      <c r="B380" s="189" t="s">
        <v>2114</v>
      </c>
      <c r="C380" s="253"/>
      <c r="D380" s="253"/>
      <c r="E380" s="253"/>
      <c r="F380" s="189"/>
      <c r="G380" s="253"/>
      <c r="H380" s="253"/>
      <c r="I380" s="253"/>
      <c r="J380" s="253"/>
      <c r="K380" s="253"/>
      <c r="L380" s="253"/>
      <c r="M380" s="253"/>
      <c r="N380" s="253"/>
      <c r="O380" s="253"/>
      <c r="P380" s="253"/>
      <c r="Q380" s="253"/>
      <c r="R380" s="253"/>
      <c r="S380" s="253"/>
      <c r="T380" s="253"/>
      <c r="U380" s="253"/>
      <c r="V380" s="253"/>
      <c r="W380" s="253"/>
      <c r="X380" s="253"/>
    </row>
    <row r="381" spans="1:42" s="6" customFormat="1" x14ac:dyDescent="0.25">
      <c r="A381" s="323" t="s">
        <v>1393</v>
      </c>
      <c r="B381" s="253" t="str">
        <f t="shared" ref="B381:Y381" si="10">B804</f>
        <v>#实提记录</v>
      </c>
      <c r="C381" s="253" t="str">
        <f t="shared" si="10"/>
        <v>交割日</v>
      </c>
      <c r="D381" s="253" t="str">
        <f t="shared" si="10"/>
        <v>投资者</v>
      </c>
      <c r="E381" s="253" t="str">
        <f t="shared" si="10"/>
        <v>投资单元</v>
      </c>
      <c r="F381" s="253" t="str">
        <f t="shared" si="10"/>
        <v>资金账号</v>
      </c>
      <c r="G381" s="253" t="str">
        <f t="shared" si="10"/>
        <v>结算日期</v>
      </c>
      <c r="H381" s="253" t="str">
        <f t="shared" si="10"/>
        <v>交易所</v>
      </c>
      <c r="I381" s="253" t="str">
        <f t="shared" si="10"/>
        <v>合约</v>
      </c>
      <c r="J381" s="253" t="str">
        <f t="shared" si="10"/>
        <v>#合约乘数</v>
      </c>
      <c r="K381" s="253" t="str">
        <f t="shared" si="10"/>
        <v>买/卖</v>
      </c>
      <c r="L381" s="253" t="str">
        <f t="shared" si="10"/>
        <v>投机/套保</v>
      </c>
      <c r="M381" s="253" t="str">
        <f t="shared" si="10"/>
        <v>交割数量</v>
      </c>
      <c r="N381" s="253" t="str">
        <f t="shared" si="10"/>
        <v>交割价格</v>
      </c>
      <c r="O381" s="253" t="str">
        <f t="shared" si="10"/>
        <v>交割手续费类型</v>
      </c>
      <c r="P381" s="253" t="str">
        <f t="shared" si="10"/>
        <v>当日收费数量</v>
      </c>
      <c r="Q381" s="253" t="str">
        <f t="shared" si="10"/>
        <v>累计收费数量</v>
      </c>
      <c r="R381" s="253" t="str">
        <f t="shared" si="10"/>
        <v>未收费数量</v>
      </c>
      <c r="S381" s="253" t="str">
        <f t="shared" si="10"/>
        <v>交割手续费率(按金额)</v>
      </c>
      <c r="T381" s="253" t="str">
        <f t="shared" si="10"/>
        <v>交割手续费率(按手数)</v>
      </c>
      <c r="U381" s="253" t="str">
        <f t="shared" si="10"/>
        <v>交割手续费</v>
      </c>
      <c r="V381" s="253" t="str">
        <f t="shared" si="10"/>
        <v>交割类型</v>
      </c>
      <c r="W381" s="253" t="str">
        <f t="shared" si="10"/>
        <v>交割是否完成</v>
      </c>
      <c r="X381" s="253" t="str">
        <f t="shared" si="10"/>
        <v>经纪公司</v>
      </c>
      <c r="Y381" s="253" t="str">
        <f t="shared" si="10"/>
        <v>币种</v>
      </c>
      <c r="Z381" s="252"/>
      <c r="AA381" s="252"/>
      <c r="AB381" s="252"/>
      <c r="AC381" s="252"/>
    </row>
    <row r="382" spans="1:42" s="6" customFormat="1" x14ac:dyDescent="0.25">
      <c r="A382" s="323" t="s">
        <v>1393</v>
      </c>
      <c r="B382" s="253" t="str">
        <f t="shared" ref="B382:B392" si="11">B805</f>
        <v>#实提记录</v>
      </c>
      <c r="C382" s="253" t="str">
        <f t="shared" ref="C382:Y382" si="12">C805</f>
        <v>deliverydate</v>
      </c>
      <c r="D382" s="253" t="str">
        <f t="shared" si="12"/>
        <v>investorid</v>
      </c>
      <c r="E382" s="253" t="str">
        <f t="shared" si="12"/>
        <v>investunitid</v>
      </c>
      <c r="F382" s="253" t="str">
        <f t="shared" si="12"/>
        <v>ACCOUNTID</v>
      </c>
      <c r="G382" s="253" t="str">
        <f t="shared" si="12"/>
        <v>settlementdate</v>
      </c>
      <c r="H382" s="253" t="str">
        <f t="shared" si="12"/>
        <v>exchangeid</v>
      </c>
      <c r="I382" s="253" t="str">
        <f t="shared" si="12"/>
        <v>instrumentid</v>
      </c>
      <c r="J382" s="253" t="str">
        <f t="shared" si="12"/>
        <v>#volumemultiple</v>
      </c>
      <c r="K382" s="253" t="str">
        <f t="shared" si="12"/>
        <v>posidirection</v>
      </c>
      <c r="L382" s="253" t="str">
        <f t="shared" si="12"/>
        <v>hedgeflag</v>
      </c>
      <c r="M382" s="253" t="str">
        <f t="shared" si="12"/>
        <v>volume</v>
      </c>
      <c r="N382" s="253" t="str">
        <f t="shared" si="12"/>
        <v>deliveryprice</v>
      </c>
      <c r="O382" s="253" t="str">
        <f t="shared" si="12"/>
        <v>delivfeeclass</v>
      </c>
      <c r="P382" s="253" t="str">
        <f t="shared" si="12"/>
        <v>currchargevolume</v>
      </c>
      <c r="Q382" s="253" t="str">
        <f t="shared" si="12"/>
        <v>chargevolume</v>
      </c>
      <c r="R382" s="253" t="str">
        <f t="shared" si="12"/>
        <v>unchargevolume</v>
      </c>
      <c r="S382" s="253" t="str">
        <f t="shared" si="12"/>
        <v>commratiobymoney</v>
      </c>
      <c r="T382" s="253" t="str">
        <f t="shared" si="12"/>
        <v>commratiobyvolume</v>
      </c>
      <c r="U382" s="253" t="str">
        <f t="shared" si="12"/>
        <v>delivfee</v>
      </c>
      <c r="V382" s="253" t="str">
        <f t="shared" si="12"/>
        <v>deliverytype</v>
      </c>
      <c r="W382" s="253" t="str">
        <f t="shared" si="12"/>
        <v>deliveryflag</v>
      </c>
      <c r="X382" s="253" t="str">
        <f t="shared" si="12"/>
        <v>brokerid</v>
      </c>
      <c r="Y382" s="253" t="str">
        <f t="shared" si="12"/>
        <v>currencyid</v>
      </c>
    </row>
    <row r="383" spans="1:42" s="6" customFormat="1" x14ac:dyDescent="0.25">
      <c r="A383" s="323" t="s">
        <v>1393</v>
      </c>
      <c r="B383" s="668" t="str">
        <f t="shared" si="11"/>
        <v>20180326B00101SR80731</v>
      </c>
      <c r="C383" s="189">
        <f t="shared" ref="C383:Y383" si="13">C806</f>
        <v>20180326</v>
      </c>
      <c r="D383" s="253" t="str">
        <f t="shared" si="13"/>
        <v>6001</v>
      </c>
      <c r="E383" s="253" t="str">
        <f t="shared" si="13"/>
        <v>B00101</v>
      </c>
      <c r="F383" s="253" t="str">
        <f t="shared" si="13"/>
        <v>6001</v>
      </c>
      <c r="G383" s="189">
        <f t="shared" si="13"/>
        <v>20180326</v>
      </c>
      <c r="H383" s="253" t="str">
        <f t="shared" si="13"/>
        <v>CZCE</v>
      </c>
      <c r="I383" s="253" t="str">
        <f t="shared" si="13"/>
        <v>SR807</v>
      </c>
      <c r="J383" s="253">
        <f t="shared" si="13"/>
        <v>10</v>
      </c>
      <c r="K383" s="253">
        <f t="shared" si="13"/>
        <v>3</v>
      </c>
      <c r="L383" s="253">
        <f t="shared" si="13"/>
        <v>1</v>
      </c>
      <c r="M383" s="253">
        <f t="shared" si="13"/>
        <v>2</v>
      </c>
      <c r="N383" s="253">
        <f t="shared" si="13"/>
        <v>6130</v>
      </c>
      <c r="O383" s="253">
        <f t="shared" si="13"/>
        <v>1</v>
      </c>
      <c r="P383" s="253">
        <f t="shared" si="13"/>
        <v>2</v>
      </c>
      <c r="Q383" s="253">
        <f t="shared" si="13"/>
        <v>2</v>
      </c>
      <c r="R383" s="253">
        <f t="shared" si="13"/>
        <v>0</v>
      </c>
      <c r="S383" s="253">
        <f t="shared" si="13"/>
        <v>2.0000000000000001E-4</v>
      </c>
      <c r="T383" s="253">
        <f t="shared" si="13"/>
        <v>2</v>
      </c>
      <c r="U383" s="253">
        <f t="shared" si="13"/>
        <v>28.52</v>
      </c>
      <c r="V383" s="253">
        <f t="shared" si="13"/>
        <v>1</v>
      </c>
      <c r="W383" s="253">
        <f t="shared" si="13"/>
        <v>2</v>
      </c>
      <c r="X383" s="253" t="str">
        <f t="shared" si="13"/>
        <v>9999</v>
      </c>
      <c r="Y383" s="253" t="str">
        <f t="shared" si="13"/>
        <v>CNY</v>
      </c>
    </row>
    <row r="384" spans="1:42" s="6" customFormat="1" ht="15.6" customHeight="1" x14ac:dyDescent="0.25">
      <c r="A384" s="323" t="s">
        <v>1393</v>
      </c>
      <c r="B384" s="253" t="str">
        <f t="shared" si="11"/>
        <v/>
      </c>
      <c r="C384" s="189">
        <f t="shared" ref="C384:Y384" si="14">C807</f>
        <v>20180326</v>
      </c>
      <c r="D384" s="253" t="str">
        <f t="shared" si="14"/>
        <v>6001</v>
      </c>
      <c r="E384" s="253" t="str">
        <f t="shared" si="14"/>
        <v>B00102</v>
      </c>
      <c r="F384" s="253" t="str">
        <f t="shared" si="14"/>
        <v>6001</v>
      </c>
      <c r="G384" s="189">
        <f t="shared" si="14"/>
        <v>20180326</v>
      </c>
      <c r="H384" s="253" t="str">
        <f t="shared" si="14"/>
        <v>CZCE</v>
      </c>
      <c r="I384" s="253" t="str">
        <f t="shared" si="14"/>
        <v>PTA807</v>
      </c>
      <c r="J384" s="253">
        <f t="shared" si="14"/>
        <v>5</v>
      </c>
      <c r="K384" s="253">
        <f t="shared" si="14"/>
        <v>2</v>
      </c>
      <c r="L384" s="253">
        <f t="shared" si="14"/>
        <v>1</v>
      </c>
      <c r="M384" s="253">
        <f t="shared" si="14"/>
        <v>5</v>
      </c>
      <c r="N384" s="253">
        <f t="shared" si="14"/>
        <v>6120</v>
      </c>
      <c r="O384" s="253">
        <f t="shared" si="14"/>
        <v>1</v>
      </c>
      <c r="P384" s="253">
        <f t="shared" si="14"/>
        <v>0</v>
      </c>
      <c r="Q384" s="253">
        <f t="shared" si="14"/>
        <v>0</v>
      </c>
      <c r="R384" s="253">
        <f t="shared" si="14"/>
        <v>5</v>
      </c>
      <c r="S384" s="253">
        <f t="shared" si="14"/>
        <v>2.0000000000000001E-4</v>
      </c>
      <c r="T384" s="253">
        <f t="shared" si="14"/>
        <v>2</v>
      </c>
      <c r="U384" s="253">
        <f t="shared" si="14"/>
        <v>0</v>
      </c>
      <c r="V384" s="253">
        <f t="shared" si="14"/>
        <v>1</v>
      </c>
      <c r="W384" s="253">
        <f t="shared" si="14"/>
        <v>1</v>
      </c>
      <c r="X384" s="253" t="str">
        <f t="shared" si="14"/>
        <v>9999</v>
      </c>
      <c r="Y384" s="253" t="str">
        <f t="shared" si="14"/>
        <v>CNY</v>
      </c>
    </row>
    <row r="385" spans="1:40" s="6" customFormat="1" x14ac:dyDescent="0.25">
      <c r="A385" s="323" t="s">
        <v>1393</v>
      </c>
      <c r="B385" s="253" t="str">
        <f t="shared" si="11"/>
        <v>20180326B00102PTA80723</v>
      </c>
      <c r="C385" s="189">
        <f t="shared" ref="C385:Y385" si="15">C808</f>
        <v>20180326</v>
      </c>
      <c r="D385" s="253" t="str">
        <f t="shared" si="15"/>
        <v>6001</v>
      </c>
      <c r="E385" s="253" t="str">
        <f t="shared" si="15"/>
        <v>B00102</v>
      </c>
      <c r="F385" s="253" t="str">
        <f t="shared" si="15"/>
        <v>6001</v>
      </c>
      <c r="G385" s="189">
        <f t="shared" si="15"/>
        <v>20180326</v>
      </c>
      <c r="H385" s="253" t="str">
        <f t="shared" si="15"/>
        <v>CZCE</v>
      </c>
      <c r="I385" s="253" t="str">
        <f t="shared" si="15"/>
        <v>PTA807</v>
      </c>
      <c r="J385" s="253">
        <f t="shared" si="15"/>
        <v>5</v>
      </c>
      <c r="K385" s="253">
        <f t="shared" si="15"/>
        <v>2</v>
      </c>
      <c r="L385" s="253">
        <f t="shared" si="15"/>
        <v>3</v>
      </c>
      <c r="M385" s="253">
        <f t="shared" si="15"/>
        <v>4</v>
      </c>
      <c r="N385" s="253">
        <f t="shared" si="15"/>
        <v>6120</v>
      </c>
      <c r="O385" s="253">
        <f t="shared" si="15"/>
        <v>1</v>
      </c>
      <c r="P385" s="253">
        <f t="shared" si="15"/>
        <v>3</v>
      </c>
      <c r="Q385" s="253">
        <f t="shared" si="15"/>
        <v>3</v>
      </c>
      <c r="R385" s="253">
        <f t="shared" si="15"/>
        <v>1</v>
      </c>
      <c r="S385" s="253">
        <f t="shared" si="15"/>
        <v>3.0000000000000003E-4</v>
      </c>
      <c r="T385" s="253">
        <f t="shared" si="15"/>
        <v>3</v>
      </c>
      <c r="U385" s="253">
        <f t="shared" si="15"/>
        <v>36.54</v>
      </c>
      <c r="V385" s="253">
        <f t="shared" si="15"/>
        <v>1</v>
      </c>
      <c r="W385" s="253">
        <f t="shared" si="15"/>
        <v>1</v>
      </c>
      <c r="X385" s="253" t="str">
        <f t="shared" si="15"/>
        <v>9999</v>
      </c>
      <c r="Y385" s="253" t="str">
        <f t="shared" si="15"/>
        <v>CNY</v>
      </c>
    </row>
    <row r="386" spans="1:40" s="6" customFormat="1" x14ac:dyDescent="0.25">
      <c r="A386" s="323" t="s">
        <v>1393</v>
      </c>
      <c r="B386" s="253" t="str">
        <f t="shared" si="11"/>
        <v>20180327B00101SR80921</v>
      </c>
      <c r="C386" s="189">
        <f t="shared" ref="C386:Y386" si="16">C809</f>
        <v>20180327</v>
      </c>
      <c r="D386" s="253" t="str">
        <f t="shared" si="16"/>
        <v>6001</v>
      </c>
      <c r="E386" s="253" t="str">
        <f t="shared" si="16"/>
        <v>B00101</v>
      </c>
      <c r="F386" s="253" t="str">
        <f t="shared" si="16"/>
        <v>6001</v>
      </c>
      <c r="G386" s="189">
        <f t="shared" si="16"/>
        <v>20180327</v>
      </c>
      <c r="H386" s="253" t="str">
        <f t="shared" si="16"/>
        <v>CZCE</v>
      </c>
      <c r="I386" s="253" t="str">
        <f t="shared" si="16"/>
        <v>SR809</v>
      </c>
      <c r="J386" s="253">
        <f t="shared" si="16"/>
        <v>10</v>
      </c>
      <c r="K386" s="253">
        <f t="shared" si="16"/>
        <v>2</v>
      </c>
      <c r="L386" s="253">
        <f t="shared" si="16"/>
        <v>1</v>
      </c>
      <c r="M386" s="253">
        <f t="shared" si="16"/>
        <v>6</v>
      </c>
      <c r="N386" s="253">
        <f t="shared" si="16"/>
        <v>6135</v>
      </c>
      <c r="O386" s="253">
        <f t="shared" si="16"/>
        <v>1</v>
      </c>
      <c r="P386" s="253">
        <f t="shared" si="16"/>
        <v>4</v>
      </c>
      <c r="Q386" s="253">
        <f t="shared" si="16"/>
        <v>4</v>
      </c>
      <c r="R386" s="253">
        <f t="shared" si="16"/>
        <v>2</v>
      </c>
      <c r="S386" s="253">
        <f t="shared" si="16"/>
        <v>2.0000000000000001E-4</v>
      </c>
      <c r="T386" s="253">
        <f t="shared" si="16"/>
        <v>2</v>
      </c>
      <c r="U386" s="253">
        <f t="shared" si="16"/>
        <v>57.08</v>
      </c>
      <c r="V386" s="253">
        <f t="shared" si="16"/>
        <v>1</v>
      </c>
      <c r="W386" s="253">
        <f t="shared" si="16"/>
        <v>1</v>
      </c>
      <c r="X386" s="253" t="str">
        <f t="shared" si="16"/>
        <v>9999</v>
      </c>
      <c r="Y386" s="253" t="str">
        <f t="shared" si="16"/>
        <v>CNY</v>
      </c>
    </row>
    <row r="387" spans="1:40" s="6" customFormat="1" x14ac:dyDescent="0.25">
      <c r="A387" s="323" t="s">
        <v>1393</v>
      </c>
      <c r="B387" s="253" t="str">
        <f t="shared" si="11"/>
        <v/>
      </c>
      <c r="C387" s="189">
        <f t="shared" ref="C387:Y387" si="17">C810</f>
        <v>20180327</v>
      </c>
      <c r="D387" s="253" t="str">
        <f t="shared" si="17"/>
        <v>6001</v>
      </c>
      <c r="E387" s="253" t="str">
        <f t="shared" si="17"/>
        <v>B00101</v>
      </c>
      <c r="F387" s="253" t="str">
        <f t="shared" si="17"/>
        <v>6001</v>
      </c>
      <c r="G387" s="189">
        <f t="shared" si="17"/>
        <v>20180327</v>
      </c>
      <c r="H387" s="253" t="str">
        <f t="shared" si="17"/>
        <v>CZCE</v>
      </c>
      <c r="I387" s="253" t="str">
        <f t="shared" si="17"/>
        <v>SR809</v>
      </c>
      <c r="J387" s="253">
        <f t="shared" si="17"/>
        <v>10</v>
      </c>
      <c r="K387" s="253">
        <f t="shared" si="17"/>
        <v>2</v>
      </c>
      <c r="L387" s="253">
        <f t="shared" si="17"/>
        <v>1</v>
      </c>
      <c r="M387" s="253">
        <f t="shared" si="17"/>
        <v>6</v>
      </c>
      <c r="N387" s="253">
        <f t="shared" si="17"/>
        <v>6135</v>
      </c>
      <c r="O387" s="253">
        <f t="shared" si="17"/>
        <v>2</v>
      </c>
      <c r="P387" s="253">
        <f t="shared" si="17"/>
        <v>0</v>
      </c>
      <c r="Q387" s="253">
        <f t="shared" si="17"/>
        <v>0</v>
      </c>
      <c r="R387" s="253">
        <f t="shared" si="17"/>
        <v>6</v>
      </c>
      <c r="S387" s="253">
        <f t="shared" si="17"/>
        <v>2.9999999999999997E-4</v>
      </c>
      <c r="T387" s="253">
        <f t="shared" si="17"/>
        <v>3</v>
      </c>
      <c r="U387" s="253">
        <f t="shared" si="17"/>
        <v>0</v>
      </c>
      <c r="V387" s="253">
        <f t="shared" si="17"/>
        <v>1</v>
      </c>
      <c r="W387" s="253">
        <f t="shared" si="17"/>
        <v>1</v>
      </c>
      <c r="X387" s="253" t="str">
        <f t="shared" si="17"/>
        <v>9999</v>
      </c>
      <c r="Y387" s="253" t="str">
        <f t="shared" si="17"/>
        <v>CNY</v>
      </c>
    </row>
    <row r="388" spans="1:40" s="6" customFormat="1" x14ac:dyDescent="0.25">
      <c r="A388" s="323" t="s">
        <v>1393</v>
      </c>
      <c r="B388" s="253" t="str">
        <f t="shared" si="11"/>
        <v/>
      </c>
      <c r="C388" s="189">
        <f t="shared" ref="C388:Y388" si="18">C811</f>
        <v>20180327</v>
      </c>
      <c r="D388" s="253" t="str">
        <f t="shared" si="18"/>
        <v>6001</v>
      </c>
      <c r="E388" s="253" t="str">
        <f t="shared" si="18"/>
        <v>B00102</v>
      </c>
      <c r="F388" s="253" t="str">
        <f t="shared" si="18"/>
        <v>6001</v>
      </c>
      <c r="G388" s="189">
        <f t="shared" si="18"/>
        <v>20180327</v>
      </c>
      <c r="H388" s="253" t="str">
        <f t="shared" si="18"/>
        <v>CZCE</v>
      </c>
      <c r="I388" s="253" t="str">
        <f t="shared" si="18"/>
        <v>PTA809</v>
      </c>
      <c r="J388" s="253">
        <f t="shared" si="18"/>
        <v>5</v>
      </c>
      <c r="K388" s="253">
        <f t="shared" si="18"/>
        <v>3</v>
      </c>
      <c r="L388" s="253">
        <f t="shared" si="18"/>
        <v>1</v>
      </c>
      <c r="M388" s="253">
        <f t="shared" si="18"/>
        <v>4</v>
      </c>
      <c r="N388" s="253">
        <f t="shared" si="18"/>
        <v>6225</v>
      </c>
      <c r="O388" s="253">
        <f t="shared" si="18"/>
        <v>1</v>
      </c>
      <c r="P388" s="253">
        <f t="shared" si="18"/>
        <v>0</v>
      </c>
      <c r="Q388" s="253">
        <f t="shared" si="18"/>
        <v>0</v>
      </c>
      <c r="R388" s="253">
        <f t="shared" si="18"/>
        <v>4</v>
      </c>
      <c r="S388" s="253">
        <f t="shared" si="18"/>
        <v>2.0000000000000001E-4</v>
      </c>
      <c r="T388" s="253">
        <f t="shared" si="18"/>
        <v>2</v>
      </c>
      <c r="U388" s="253">
        <f t="shared" si="18"/>
        <v>0</v>
      </c>
      <c r="V388" s="253">
        <f t="shared" si="18"/>
        <v>1</v>
      </c>
      <c r="W388" s="253">
        <f t="shared" si="18"/>
        <v>1</v>
      </c>
      <c r="X388" s="253" t="str">
        <f t="shared" si="18"/>
        <v>9999</v>
      </c>
      <c r="Y388" s="253" t="str">
        <f t="shared" si="18"/>
        <v>CNY</v>
      </c>
    </row>
    <row r="389" spans="1:40" s="6" customFormat="1" x14ac:dyDescent="0.25">
      <c r="A389" s="323" t="s">
        <v>1393</v>
      </c>
      <c r="B389" s="253" t="str">
        <f t="shared" si="11"/>
        <v>20180327B00102PTA80931</v>
      </c>
      <c r="C389" s="189">
        <f t="shared" ref="C389:Y389" si="19">C812</f>
        <v>20180327</v>
      </c>
      <c r="D389" s="253" t="str">
        <f t="shared" si="19"/>
        <v>6001</v>
      </c>
      <c r="E389" s="253" t="str">
        <f t="shared" si="19"/>
        <v>B00102</v>
      </c>
      <c r="F389" s="253" t="str">
        <f t="shared" si="19"/>
        <v>6001</v>
      </c>
      <c r="G389" s="189">
        <f t="shared" si="19"/>
        <v>20180327</v>
      </c>
      <c r="H389" s="253" t="str">
        <f t="shared" si="19"/>
        <v>CZCE</v>
      </c>
      <c r="I389" s="253" t="str">
        <f t="shared" si="19"/>
        <v>PTA809</v>
      </c>
      <c r="J389" s="253">
        <f t="shared" si="19"/>
        <v>5</v>
      </c>
      <c r="K389" s="253">
        <f t="shared" si="19"/>
        <v>3</v>
      </c>
      <c r="L389" s="253">
        <f t="shared" si="19"/>
        <v>1</v>
      </c>
      <c r="M389" s="253">
        <f t="shared" si="19"/>
        <v>4</v>
      </c>
      <c r="N389" s="253">
        <f t="shared" si="19"/>
        <v>6225</v>
      </c>
      <c r="O389" s="253">
        <f t="shared" si="19"/>
        <v>2</v>
      </c>
      <c r="P389" s="253">
        <f t="shared" si="19"/>
        <v>1</v>
      </c>
      <c r="Q389" s="253">
        <f t="shared" si="19"/>
        <v>1</v>
      </c>
      <c r="R389" s="253">
        <f t="shared" si="19"/>
        <v>3</v>
      </c>
      <c r="S389" s="253">
        <f t="shared" si="19"/>
        <v>2.9999999999999997E-4</v>
      </c>
      <c r="T389" s="253">
        <f t="shared" si="19"/>
        <v>3</v>
      </c>
      <c r="U389" s="253">
        <f t="shared" si="19"/>
        <v>12.34</v>
      </c>
      <c r="V389" s="253">
        <f t="shared" si="19"/>
        <v>1</v>
      </c>
      <c r="W389" s="253">
        <f t="shared" si="19"/>
        <v>1</v>
      </c>
      <c r="X389" s="253" t="str">
        <f t="shared" si="19"/>
        <v>9999</v>
      </c>
      <c r="Y389" s="253" t="str">
        <f t="shared" si="19"/>
        <v>CNY</v>
      </c>
    </row>
    <row r="390" spans="1:40" s="6" customFormat="1" x14ac:dyDescent="0.25">
      <c r="A390" s="323" t="s">
        <v>1393</v>
      </c>
      <c r="B390" s="668" t="str">
        <f t="shared" si="11"/>
        <v>20180326B00101SR80731</v>
      </c>
      <c r="C390" s="189">
        <f t="shared" ref="C390:Y390" si="20">C813</f>
        <v>20180326</v>
      </c>
      <c r="D390" s="253" t="str">
        <f t="shared" si="20"/>
        <v>6001</v>
      </c>
      <c r="E390" s="253" t="str">
        <f t="shared" si="20"/>
        <v>B00101</v>
      </c>
      <c r="F390" s="253" t="str">
        <f t="shared" si="20"/>
        <v>6001</v>
      </c>
      <c r="G390" s="189">
        <f t="shared" si="20"/>
        <v>20180326</v>
      </c>
      <c r="H390" s="253" t="str">
        <f t="shared" si="20"/>
        <v>CZCE</v>
      </c>
      <c r="I390" s="253" t="str">
        <f t="shared" si="20"/>
        <v>SR807</v>
      </c>
      <c r="J390" s="253">
        <f t="shared" si="20"/>
        <v>10</v>
      </c>
      <c r="K390" s="253">
        <f t="shared" si="20"/>
        <v>3</v>
      </c>
      <c r="L390" s="253">
        <f t="shared" si="20"/>
        <v>1</v>
      </c>
      <c r="M390" s="253">
        <f t="shared" si="20"/>
        <v>2</v>
      </c>
      <c r="N390" s="253">
        <f t="shared" si="20"/>
        <v>6130</v>
      </c>
      <c r="O390" s="253">
        <f t="shared" si="20"/>
        <v>2</v>
      </c>
      <c r="P390" s="253">
        <f t="shared" si="20"/>
        <v>2</v>
      </c>
      <c r="Q390" s="253">
        <f t="shared" si="20"/>
        <v>2</v>
      </c>
      <c r="R390" s="253">
        <f t="shared" si="20"/>
        <v>0</v>
      </c>
      <c r="S390" s="253">
        <f t="shared" si="20"/>
        <v>2.9999999999999997E-4</v>
      </c>
      <c r="T390" s="253">
        <f t="shared" si="20"/>
        <v>3</v>
      </c>
      <c r="U390" s="253">
        <f t="shared" si="20"/>
        <v>42.78</v>
      </c>
      <c r="V390" s="253">
        <f t="shared" si="20"/>
        <v>1</v>
      </c>
      <c r="W390" s="253">
        <f t="shared" si="20"/>
        <v>2</v>
      </c>
      <c r="X390" s="253" t="str">
        <f t="shared" si="20"/>
        <v>9999</v>
      </c>
      <c r="Y390" s="253" t="str">
        <f t="shared" si="20"/>
        <v>CNY</v>
      </c>
    </row>
    <row r="391" spans="1:40" s="6" customFormat="1" x14ac:dyDescent="0.25">
      <c r="A391" s="323" t="s">
        <v>1393</v>
      </c>
      <c r="B391" s="253" t="str">
        <f t="shared" si="11"/>
        <v/>
      </c>
      <c r="C391" s="189">
        <f t="shared" ref="C391:Y391" si="21">C814</f>
        <v>20180326</v>
      </c>
      <c r="D391" s="253" t="str">
        <f t="shared" si="21"/>
        <v>6001</v>
      </c>
      <c r="E391" s="253" t="str">
        <f t="shared" si="21"/>
        <v>B00102</v>
      </c>
      <c r="F391" s="253" t="str">
        <f t="shared" si="21"/>
        <v>6001</v>
      </c>
      <c r="G391" s="189">
        <f t="shared" si="21"/>
        <v>20180326</v>
      </c>
      <c r="H391" s="253" t="str">
        <f t="shared" si="21"/>
        <v>CZCE</v>
      </c>
      <c r="I391" s="253" t="str">
        <f t="shared" si="21"/>
        <v>PTA807</v>
      </c>
      <c r="J391" s="253">
        <f t="shared" si="21"/>
        <v>5</v>
      </c>
      <c r="K391" s="253">
        <f t="shared" si="21"/>
        <v>2</v>
      </c>
      <c r="L391" s="253">
        <f t="shared" si="21"/>
        <v>1</v>
      </c>
      <c r="M391" s="253">
        <f t="shared" si="21"/>
        <v>5</v>
      </c>
      <c r="N391" s="253">
        <f t="shared" si="21"/>
        <v>6120</v>
      </c>
      <c r="O391" s="253">
        <f t="shared" si="21"/>
        <v>2</v>
      </c>
      <c r="P391" s="253">
        <f t="shared" si="21"/>
        <v>0</v>
      </c>
      <c r="Q391" s="253">
        <f t="shared" si="21"/>
        <v>0</v>
      </c>
      <c r="R391" s="253">
        <f t="shared" si="21"/>
        <v>5</v>
      </c>
      <c r="S391" s="253">
        <f t="shared" si="21"/>
        <v>2.9999999999999997E-4</v>
      </c>
      <c r="T391" s="253">
        <f t="shared" si="21"/>
        <v>3</v>
      </c>
      <c r="U391" s="253">
        <f t="shared" si="21"/>
        <v>0</v>
      </c>
      <c r="V391" s="253">
        <f t="shared" si="21"/>
        <v>1</v>
      </c>
      <c r="W391" s="253">
        <f t="shared" si="21"/>
        <v>1</v>
      </c>
      <c r="X391" s="253" t="str">
        <f t="shared" si="21"/>
        <v>9999</v>
      </c>
      <c r="Y391" s="253" t="str">
        <f t="shared" si="21"/>
        <v>CNY</v>
      </c>
    </row>
    <row r="392" spans="1:40" s="6" customFormat="1" x14ac:dyDescent="0.25">
      <c r="A392" s="323" t="s">
        <v>1393</v>
      </c>
      <c r="B392" s="253" t="str">
        <f t="shared" si="11"/>
        <v>20180326B00102PTA80723</v>
      </c>
      <c r="C392" s="189">
        <f t="shared" ref="C392:Y392" si="22">C815</f>
        <v>20180326</v>
      </c>
      <c r="D392" s="253" t="str">
        <f t="shared" si="22"/>
        <v>6001</v>
      </c>
      <c r="E392" s="253" t="str">
        <f t="shared" si="22"/>
        <v>B00102</v>
      </c>
      <c r="F392" s="253" t="str">
        <f t="shared" si="22"/>
        <v>6001</v>
      </c>
      <c r="G392" s="189">
        <f t="shared" si="22"/>
        <v>20180326</v>
      </c>
      <c r="H392" s="253" t="str">
        <f t="shared" si="22"/>
        <v>CZCE</v>
      </c>
      <c r="I392" s="253" t="str">
        <f t="shared" si="22"/>
        <v>PTA807</v>
      </c>
      <c r="J392" s="253">
        <f t="shared" si="22"/>
        <v>5</v>
      </c>
      <c r="K392" s="253">
        <f t="shared" si="22"/>
        <v>2</v>
      </c>
      <c r="L392" s="253">
        <f t="shared" si="22"/>
        <v>3</v>
      </c>
      <c r="M392" s="253">
        <f t="shared" si="22"/>
        <v>4</v>
      </c>
      <c r="N392" s="253">
        <f t="shared" si="22"/>
        <v>6120</v>
      </c>
      <c r="O392" s="253">
        <f t="shared" si="22"/>
        <v>2</v>
      </c>
      <c r="P392" s="253">
        <f t="shared" si="22"/>
        <v>3</v>
      </c>
      <c r="Q392" s="253">
        <f t="shared" si="22"/>
        <v>3</v>
      </c>
      <c r="R392" s="253">
        <f t="shared" si="22"/>
        <v>1</v>
      </c>
      <c r="S392" s="253">
        <f t="shared" si="22"/>
        <v>2.9999999999999997E-4</v>
      </c>
      <c r="T392" s="253">
        <f t="shared" si="22"/>
        <v>3</v>
      </c>
      <c r="U392" s="253">
        <f t="shared" si="22"/>
        <v>36.54</v>
      </c>
      <c r="V392" s="253">
        <f t="shared" si="22"/>
        <v>1</v>
      </c>
      <c r="W392" s="253">
        <f t="shared" si="22"/>
        <v>1</v>
      </c>
      <c r="X392" s="253" t="str">
        <f t="shared" si="22"/>
        <v>9999</v>
      </c>
      <c r="Y392" s="253" t="str">
        <f t="shared" si="22"/>
        <v>CNY</v>
      </c>
    </row>
    <row r="393" spans="1:40" s="6" customFormat="1" x14ac:dyDescent="0.25">
      <c r="A393" s="323" t="s">
        <v>1418</v>
      </c>
      <c r="B393" s="254" t="s">
        <v>2110</v>
      </c>
      <c r="C393" s="254"/>
      <c r="D393" s="254"/>
      <c r="E393" s="252"/>
      <c r="F393" s="252"/>
      <c r="G393" s="252"/>
      <c r="H393" s="252"/>
      <c r="I393" s="252"/>
      <c r="J393" s="252"/>
      <c r="K393" s="252"/>
      <c r="L393" s="252"/>
      <c r="M393" s="252"/>
      <c r="N393" s="252"/>
      <c r="O393" s="252"/>
      <c r="P393" s="252"/>
      <c r="Q393" s="252"/>
      <c r="R393" s="252"/>
      <c r="S393" s="252"/>
      <c r="T393" s="252"/>
      <c r="U393" s="252"/>
      <c r="V393" s="252"/>
      <c r="W393" s="252"/>
      <c r="X393" s="252"/>
    </row>
    <row r="394" spans="1:40" s="6" customFormat="1" x14ac:dyDescent="0.25">
      <c r="A394" s="323" t="s">
        <v>2112</v>
      </c>
      <c r="B394" s="743" t="s">
        <v>2111</v>
      </c>
      <c r="C394" s="743"/>
      <c r="D394" s="743"/>
      <c r="E394" s="743"/>
      <c r="F394" s="743"/>
      <c r="G394" s="743"/>
      <c r="H394" s="743"/>
      <c r="I394" s="743"/>
      <c r="J394" s="743"/>
      <c r="K394" s="743"/>
      <c r="L394" s="743"/>
      <c r="M394" s="743"/>
      <c r="N394" s="743"/>
      <c r="O394" s="743"/>
      <c r="P394" s="743"/>
      <c r="Q394" s="743"/>
      <c r="R394" s="743"/>
      <c r="S394" s="743"/>
      <c r="T394" s="743"/>
      <c r="U394" s="743"/>
      <c r="V394" s="743"/>
      <c r="W394" s="743"/>
      <c r="X394" s="743"/>
      <c r="Y394" s="743"/>
      <c r="Z394" s="743"/>
      <c r="AA394" s="743"/>
      <c r="AB394" s="743"/>
      <c r="AC394" s="743"/>
      <c r="AD394" s="743"/>
      <c r="AE394" s="743"/>
      <c r="AF394" s="743"/>
      <c r="AG394" s="743"/>
      <c r="AH394" s="743"/>
      <c r="AI394" s="743"/>
      <c r="AJ394" s="744"/>
      <c r="AK394" s="695" t="s">
        <v>1126</v>
      </c>
      <c r="AL394" s="695" t="s">
        <v>1494</v>
      </c>
      <c r="AM394" s="695" t="s">
        <v>1495</v>
      </c>
      <c r="AN394" s="695" t="s">
        <v>1496</v>
      </c>
    </row>
    <row r="395" spans="1:40" s="6" customFormat="1" x14ac:dyDescent="0.25">
      <c r="A395" s="323"/>
      <c r="B395" s="664" t="s">
        <v>1479</v>
      </c>
      <c r="C395" s="664" t="s">
        <v>2079</v>
      </c>
      <c r="D395" s="664" t="s">
        <v>2080</v>
      </c>
      <c r="E395" s="664" t="s">
        <v>2081</v>
      </c>
      <c r="F395" s="664" t="s">
        <v>2082</v>
      </c>
      <c r="G395" s="664" t="s">
        <v>1483</v>
      </c>
      <c r="H395" s="664" t="s">
        <v>2083</v>
      </c>
      <c r="I395" s="664" t="s">
        <v>1480</v>
      </c>
      <c r="J395" s="664" t="s">
        <v>2084</v>
      </c>
      <c r="K395" s="664" t="s">
        <v>2085</v>
      </c>
      <c r="L395" s="664" t="s">
        <v>1486</v>
      </c>
      <c r="M395" s="664" t="s">
        <v>2108</v>
      </c>
      <c r="N395" s="664" t="s">
        <v>2086</v>
      </c>
      <c r="O395" s="664" t="s">
        <v>2087</v>
      </c>
      <c r="P395" s="664" t="s">
        <v>2088</v>
      </c>
      <c r="Q395" s="664" t="s">
        <v>2089</v>
      </c>
      <c r="R395" s="664" t="s">
        <v>2090</v>
      </c>
      <c r="S395" s="664" t="s">
        <v>2091</v>
      </c>
      <c r="T395" s="664" t="s">
        <v>2092</v>
      </c>
      <c r="U395" s="664" t="s">
        <v>2109</v>
      </c>
      <c r="V395" s="664" t="s">
        <v>2093</v>
      </c>
      <c r="W395" s="664" t="s">
        <v>2094</v>
      </c>
      <c r="X395" s="664" t="s">
        <v>2095</v>
      </c>
      <c r="Y395" s="664" t="s">
        <v>2096</v>
      </c>
      <c r="Z395" s="664" t="s">
        <v>2097</v>
      </c>
      <c r="AA395" s="664" t="s">
        <v>2098</v>
      </c>
      <c r="AB395" s="664" t="s">
        <v>2099</v>
      </c>
      <c r="AC395" s="664" t="s">
        <v>2100</v>
      </c>
      <c r="AD395" s="664" t="s">
        <v>2101</v>
      </c>
      <c r="AE395" s="664" t="s">
        <v>2102</v>
      </c>
      <c r="AF395" s="664" t="s">
        <v>2103</v>
      </c>
      <c r="AG395" s="664" t="s">
        <v>2104</v>
      </c>
      <c r="AH395" s="664" t="s">
        <v>2105</v>
      </c>
      <c r="AI395" s="664" t="s">
        <v>2106</v>
      </c>
      <c r="AJ395" s="664" t="s">
        <v>2107</v>
      </c>
      <c r="AK395" s="696"/>
      <c r="AL395" s="696"/>
      <c r="AM395" s="696"/>
      <c r="AN395" s="696"/>
    </row>
    <row r="396" spans="1:40" s="6" customFormat="1" x14ac:dyDescent="0.25">
      <c r="A396" s="323"/>
      <c r="B396" s="253" t="str">
        <f>X383</f>
        <v>9999</v>
      </c>
      <c r="C396" s="189">
        <f>G383</f>
        <v>20180326</v>
      </c>
      <c r="D396" s="189">
        <f>C383</f>
        <v>20180326</v>
      </c>
      <c r="E396" s="253" t="str">
        <f>D383</f>
        <v>6001</v>
      </c>
      <c r="F396" s="253" t="str">
        <f>E383</f>
        <v>B00101</v>
      </c>
      <c r="G396" s="253" t="str">
        <f>F383</f>
        <v>6001</v>
      </c>
      <c r="H396" s="253" t="str">
        <f>Y383</f>
        <v>CNY</v>
      </c>
      <c r="I396" s="248" t="str">
        <f>H383</f>
        <v>CZCE</v>
      </c>
      <c r="J396" s="248" t="str">
        <f>I383</f>
        <v>SR807</v>
      </c>
      <c r="K396" s="113">
        <f>L383</f>
        <v>1</v>
      </c>
      <c r="L396" s="113">
        <f>K383</f>
        <v>3</v>
      </c>
      <c r="M396" s="182">
        <f>M383</f>
        <v>2</v>
      </c>
      <c r="N396" s="181">
        <f>N383</f>
        <v>6130</v>
      </c>
      <c r="O396" s="181">
        <f>J383</f>
        <v>10</v>
      </c>
      <c r="P396" s="167">
        <f>VLOOKUP(J396,$C$19:$F$31,4,FALSE)</f>
        <v>20180328</v>
      </c>
      <c r="Q396" s="181">
        <f>V383</f>
        <v>1</v>
      </c>
      <c r="R396" s="181"/>
      <c r="S396" s="181">
        <f>P383</f>
        <v>2</v>
      </c>
      <c r="T396" s="181">
        <f>P390</f>
        <v>2</v>
      </c>
      <c r="U396" s="181">
        <v>0</v>
      </c>
      <c r="V396" s="181">
        <v>0</v>
      </c>
      <c r="W396" s="181">
        <f>S396</f>
        <v>2</v>
      </c>
      <c r="X396" s="181">
        <f>T396</f>
        <v>2</v>
      </c>
      <c r="Y396" s="181">
        <v>0</v>
      </c>
      <c r="Z396" s="181">
        <v>0</v>
      </c>
      <c r="AA396" s="181">
        <f>S390</f>
        <v>2.9999999999999997E-4</v>
      </c>
      <c r="AB396" s="181">
        <f>S383</f>
        <v>2.0000000000000001E-4</v>
      </c>
      <c r="AC396" s="181">
        <f>T390</f>
        <v>3</v>
      </c>
      <c r="AD396" s="229">
        <f>T383</f>
        <v>2</v>
      </c>
      <c r="AE396" s="229">
        <f>U390</f>
        <v>42.78</v>
      </c>
      <c r="AF396" s="229">
        <f>U383</f>
        <v>28.52</v>
      </c>
      <c r="AG396" s="229">
        <f>U390</f>
        <v>42.78</v>
      </c>
      <c r="AH396" s="229">
        <f>U383</f>
        <v>28.52</v>
      </c>
      <c r="AI396" s="229">
        <f>W390</f>
        <v>2</v>
      </c>
      <c r="AJ396" s="229">
        <f>W383</f>
        <v>2</v>
      </c>
      <c r="AK396" s="111" t="s">
        <v>1421</v>
      </c>
      <c r="AL396" s="111"/>
      <c r="AM396" s="111"/>
      <c r="AN396" s="111"/>
    </row>
    <row r="397" spans="1:40" s="6" customFormat="1" x14ac:dyDescent="0.25">
      <c r="A397" s="323" t="s">
        <v>1418</v>
      </c>
      <c r="B397" s="254" t="s">
        <v>1420</v>
      </c>
      <c r="C397" s="254"/>
      <c r="D397" s="254"/>
      <c r="E397" s="252"/>
      <c r="F397" s="252"/>
      <c r="G397" s="252"/>
      <c r="H397" s="252"/>
      <c r="I397" s="252"/>
      <c r="J397" s="252"/>
      <c r="K397" s="252"/>
      <c r="L397" s="252"/>
      <c r="M397" s="252"/>
      <c r="N397" s="252"/>
      <c r="O397" s="252"/>
      <c r="P397" s="252"/>
      <c r="Q397" s="252"/>
      <c r="R397" s="252"/>
      <c r="S397" s="252"/>
      <c r="T397" s="252"/>
      <c r="U397" s="252"/>
      <c r="V397" s="252"/>
      <c r="W397" s="252"/>
      <c r="X397" s="252"/>
    </row>
    <row r="398" spans="1:40" s="6" customFormat="1" x14ac:dyDescent="0.25">
      <c r="A398" s="323" t="s">
        <v>2112</v>
      </c>
      <c r="B398" s="743" t="s">
        <v>2111</v>
      </c>
      <c r="C398" s="743"/>
      <c r="D398" s="743"/>
      <c r="E398" s="743"/>
      <c r="F398" s="743"/>
      <c r="G398" s="743"/>
      <c r="H398" s="743"/>
      <c r="I398" s="743"/>
      <c r="J398" s="743"/>
      <c r="K398" s="743"/>
      <c r="L398" s="743"/>
      <c r="M398" s="743"/>
      <c r="N398" s="743"/>
      <c r="O398" s="743"/>
      <c r="P398" s="743"/>
      <c r="Q398" s="743"/>
      <c r="R398" s="743"/>
      <c r="S398" s="743"/>
      <c r="T398" s="743"/>
      <c r="U398" s="743"/>
      <c r="V398" s="743"/>
      <c r="W398" s="743"/>
      <c r="X398" s="743"/>
      <c r="Y398" s="743"/>
      <c r="Z398" s="743"/>
      <c r="AA398" s="743"/>
      <c r="AB398" s="743"/>
      <c r="AC398" s="743"/>
      <c r="AD398" s="743"/>
      <c r="AE398" s="743"/>
      <c r="AF398" s="743"/>
      <c r="AG398" s="743"/>
      <c r="AH398" s="743"/>
      <c r="AI398" s="743"/>
      <c r="AJ398" s="744"/>
      <c r="AK398" s="695" t="s">
        <v>1126</v>
      </c>
      <c r="AL398" s="695" t="s">
        <v>1494</v>
      </c>
      <c r="AM398" s="695" t="s">
        <v>1495</v>
      </c>
      <c r="AN398" s="695" t="s">
        <v>1496</v>
      </c>
    </row>
    <row r="399" spans="1:40" s="6" customFormat="1" x14ac:dyDescent="0.25">
      <c r="A399" s="323"/>
      <c r="B399" s="664" t="s">
        <v>1479</v>
      </c>
      <c r="C399" s="664" t="s">
        <v>2079</v>
      </c>
      <c r="D399" s="664" t="s">
        <v>2080</v>
      </c>
      <c r="E399" s="664" t="s">
        <v>2081</v>
      </c>
      <c r="F399" s="664" t="s">
        <v>2082</v>
      </c>
      <c r="G399" s="664" t="s">
        <v>1483</v>
      </c>
      <c r="H399" s="664" t="s">
        <v>2083</v>
      </c>
      <c r="I399" s="664" t="s">
        <v>1480</v>
      </c>
      <c r="J399" s="664" t="s">
        <v>2084</v>
      </c>
      <c r="K399" s="664" t="s">
        <v>2085</v>
      </c>
      <c r="L399" s="664" t="s">
        <v>1486</v>
      </c>
      <c r="M399" s="664" t="s">
        <v>2108</v>
      </c>
      <c r="N399" s="664" t="s">
        <v>2086</v>
      </c>
      <c r="O399" s="664" t="s">
        <v>2087</v>
      </c>
      <c r="P399" s="664" t="s">
        <v>2088</v>
      </c>
      <c r="Q399" s="664" t="s">
        <v>2089</v>
      </c>
      <c r="R399" s="664" t="s">
        <v>2090</v>
      </c>
      <c r="S399" s="664" t="s">
        <v>2091</v>
      </c>
      <c r="T399" s="664" t="s">
        <v>2092</v>
      </c>
      <c r="U399" s="664" t="s">
        <v>2109</v>
      </c>
      <c r="V399" s="664" t="s">
        <v>2093</v>
      </c>
      <c r="W399" s="664" t="s">
        <v>2094</v>
      </c>
      <c r="X399" s="664" t="s">
        <v>2095</v>
      </c>
      <c r="Y399" s="664" t="s">
        <v>2096</v>
      </c>
      <c r="Z399" s="664" t="s">
        <v>2097</v>
      </c>
      <c r="AA399" s="664" t="s">
        <v>2098</v>
      </c>
      <c r="AB399" s="664" t="s">
        <v>2099</v>
      </c>
      <c r="AC399" s="664" t="s">
        <v>2100</v>
      </c>
      <c r="AD399" s="664" t="s">
        <v>2101</v>
      </c>
      <c r="AE399" s="664" t="s">
        <v>2102</v>
      </c>
      <c r="AF399" s="664" t="s">
        <v>2103</v>
      </c>
      <c r="AG399" s="664" t="s">
        <v>2104</v>
      </c>
      <c r="AH399" s="664" t="s">
        <v>2105</v>
      </c>
      <c r="AI399" s="664" t="s">
        <v>2106</v>
      </c>
      <c r="AJ399" s="664" t="s">
        <v>2107</v>
      </c>
      <c r="AK399" s="696"/>
      <c r="AL399" s="696"/>
      <c r="AM399" s="696"/>
      <c r="AN399" s="696"/>
    </row>
    <row r="400" spans="1:40" s="6" customFormat="1" x14ac:dyDescent="0.25">
      <c r="A400" s="323"/>
      <c r="B400" s="253" t="str">
        <f>X391</f>
        <v>9999</v>
      </c>
      <c r="C400" s="189">
        <f>G385</f>
        <v>20180326</v>
      </c>
      <c r="D400" s="189">
        <f>C385</f>
        <v>20180326</v>
      </c>
      <c r="E400" s="253" t="str">
        <f>D391</f>
        <v>6001</v>
      </c>
      <c r="F400" s="253" t="str">
        <f>E385</f>
        <v>B00102</v>
      </c>
      <c r="G400" s="253" t="str">
        <f>F385</f>
        <v>6001</v>
      </c>
      <c r="H400" s="253" t="str">
        <f>Y391</f>
        <v>CNY</v>
      </c>
      <c r="I400" s="248" t="str">
        <f>H391</f>
        <v>CZCE</v>
      </c>
      <c r="J400" s="248" t="str">
        <f>I385</f>
        <v>PTA807</v>
      </c>
      <c r="K400" s="113">
        <f>L385</f>
        <v>3</v>
      </c>
      <c r="L400" s="113">
        <f>K385</f>
        <v>2</v>
      </c>
      <c r="M400" s="182">
        <f>J385</f>
        <v>5</v>
      </c>
      <c r="N400" s="181">
        <f>N385</f>
        <v>6120</v>
      </c>
      <c r="O400" s="181">
        <f>J391</f>
        <v>5</v>
      </c>
      <c r="P400" s="167">
        <f>VLOOKUP(J400,$C$19:$F$31,4,FALSE)</f>
        <v>20180328</v>
      </c>
      <c r="Q400" s="181">
        <f>V385</f>
        <v>1</v>
      </c>
      <c r="R400" s="181"/>
      <c r="S400" s="181">
        <f>P385</f>
        <v>3</v>
      </c>
      <c r="T400" s="181">
        <f>P392</f>
        <v>3</v>
      </c>
      <c r="U400" s="181">
        <v>0</v>
      </c>
      <c r="V400" s="181">
        <v>0</v>
      </c>
      <c r="W400" s="181">
        <f>S400</f>
        <v>3</v>
      </c>
      <c r="X400" s="181">
        <f>T400</f>
        <v>3</v>
      </c>
      <c r="Y400" s="181">
        <f>R392</f>
        <v>1</v>
      </c>
      <c r="Z400" s="181">
        <f>V385</f>
        <v>1</v>
      </c>
      <c r="AA400" s="181">
        <f>S392</f>
        <v>2.9999999999999997E-4</v>
      </c>
      <c r="AB400" s="181">
        <f>S385</f>
        <v>3.0000000000000003E-4</v>
      </c>
      <c r="AC400" s="181">
        <f>Q392</f>
        <v>3</v>
      </c>
      <c r="AD400" s="229">
        <f>T385</f>
        <v>3</v>
      </c>
      <c r="AE400" s="229">
        <f>U392</f>
        <v>36.54</v>
      </c>
      <c r="AF400" s="229">
        <f>U385</f>
        <v>36.54</v>
      </c>
      <c r="AG400" s="229">
        <f>U392</f>
        <v>36.54</v>
      </c>
      <c r="AH400" s="229">
        <f>U385</f>
        <v>36.54</v>
      </c>
      <c r="AI400" s="229">
        <f>W392</f>
        <v>1</v>
      </c>
      <c r="AJ400" s="229">
        <f>W385</f>
        <v>1</v>
      </c>
      <c r="AK400" s="111" t="s">
        <v>1421</v>
      </c>
      <c r="AL400" s="111"/>
      <c r="AM400" s="111"/>
      <c r="AN400" s="111"/>
    </row>
    <row r="401" spans="1:40" s="6" customFormat="1" x14ac:dyDescent="0.25">
      <c r="A401" s="323"/>
      <c r="B401" s="252"/>
      <c r="C401" s="188"/>
      <c r="D401" s="188"/>
      <c r="E401" s="252"/>
      <c r="F401" s="252"/>
      <c r="G401" s="252"/>
      <c r="H401" s="252"/>
      <c r="I401" s="181"/>
      <c r="J401" s="181"/>
      <c r="K401" s="182"/>
      <c r="L401" s="182"/>
      <c r="M401" s="182"/>
      <c r="N401" s="181"/>
      <c r="O401" s="181"/>
      <c r="P401" s="167"/>
      <c r="Q401" s="181"/>
      <c r="R401" s="181"/>
      <c r="S401" s="181"/>
      <c r="T401" s="181"/>
      <c r="U401" s="181"/>
      <c r="V401" s="181"/>
      <c r="W401" s="167"/>
      <c r="X401" s="181"/>
      <c r="Y401" s="181"/>
      <c r="Z401" s="181"/>
      <c r="AA401" s="181"/>
      <c r="AB401" s="181"/>
      <c r="AC401" s="181"/>
      <c r="AD401" s="229"/>
      <c r="AE401" s="229"/>
      <c r="AG401" s="229"/>
      <c r="AH401" s="229"/>
      <c r="AI401" s="229"/>
      <c r="AJ401" s="229"/>
      <c r="AK401" s="167"/>
      <c r="AL401" s="167"/>
      <c r="AM401" s="167"/>
      <c r="AN401" s="167"/>
    </row>
    <row r="402" spans="1:40" s="6" customFormat="1" x14ac:dyDescent="0.25">
      <c r="A402" s="323" t="s">
        <v>1418</v>
      </c>
      <c r="B402" s="254" t="s">
        <v>2110</v>
      </c>
      <c r="C402" s="254"/>
      <c r="D402" s="254"/>
      <c r="E402" s="252"/>
      <c r="F402" s="252"/>
      <c r="G402" s="252"/>
      <c r="H402" s="252"/>
      <c r="I402" s="252"/>
      <c r="J402" s="252"/>
      <c r="K402" s="252"/>
      <c r="L402" s="252"/>
      <c r="M402" s="252"/>
      <c r="N402" s="252"/>
      <c r="O402" s="252"/>
      <c r="P402" s="252"/>
      <c r="Q402" s="252"/>
      <c r="R402" s="252"/>
      <c r="S402" s="252"/>
      <c r="T402" s="252"/>
      <c r="U402" s="252"/>
      <c r="V402" s="252"/>
      <c r="W402" s="252"/>
      <c r="X402" s="252"/>
    </row>
    <row r="403" spans="1:40" s="6" customFormat="1" x14ac:dyDescent="0.25">
      <c r="A403" s="323" t="s">
        <v>2112</v>
      </c>
      <c r="B403" s="743" t="s">
        <v>2111</v>
      </c>
      <c r="C403" s="743"/>
      <c r="D403" s="743"/>
      <c r="E403" s="743"/>
      <c r="F403" s="743"/>
      <c r="G403" s="743"/>
      <c r="H403" s="743"/>
      <c r="I403" s="743"/>
      <c r="J403" s="743"/>
      <c r="K403" s="743"/>
      <c r="L403" s="743"/>
      <c r="M403" s="743"/>
      <c r="N403" s="743"/>
      <c r="O403" s="743"/>
      <c r="P403" s="743"/>
      <c r="Q403" s="743"/>
      <c r="R403" s="743"/>
      <c r="S403" s="743"/>
      <c r="T403" s="743"/>
      <c r="U403" s="743"/>
      <c r="V403" s="743"/>
      <c r="W403" s="743"/>
      <c r="X403" s="743"/>
      <c r="Y403" s="743"/>
      <c r="Z403" s="743"/>
      <c r="AA403" s="743"/>
      <c r="AB403" s="743"/>
      <c r="AC403" s="743"/>
      <c r="AD403" s="743"/>
      <c r="AE403" s="743"/>
      <c r="AF403" s="743"/>
      <c r="AG403" s="743"/>
      <c r="AH403" s="743"/>
      <c r="AI403" s="743"/>
      <c r="AJ403" s="744"/>
      <c r="AK403" s="695" t="s">
        <v>1126</v>
      </c>
      <c r="AL403" s="695" t="s">
        <v>1494</v>
      </c>
      <c r="AM403" s="695" t="s">
        <v>1495</v>
      </c>
      <c r="AN403" s="695" t="s">
        <v>1496</v>
      </c>
    </row>
    <row r="404" spans="1:40" s="6" customFormat="1" x14ac:dyDescent="0.25">
      <c r="A404" s="323"/>
      <c r="B404" s="664" t="s">
        <v>1479</v>
      </c>
      <c r="C404" s="664" t="s">
        <v>2079</v>
      </c>
      <c r="D404" s="664" t="s">
        <v>2080</v>
      </c>
      <c r="E404" s="664" t="s">
        <v>2081</v>
      </c>
      <c r="F404" s="664" t="s">
        <v>2082</v>
      </c>
      <c r="G404" s="664" t="s">
        <v>1483</v>
      </c>
      <c r="H404" s="664" t="s">
        <v>2083</v>
      </c>
      <c r="I404" s="664" t="s">
        <v>1480</v>
      </c>
      <c r="J404" s="664" t="s">
        <v>2084</v>
      </c>
      <c r="K404" s="664" t="s">
        <v>2085</v>
      </c>
      <c r="L404" s="664" t="s">
        <v>1486</v>
      </c>
      <c r="M404" s="664" t="s">
        <v>2108</v>
      </c>
      <c r="N404" s="664" t="s">
        <v>2086</v>
      </c>
      <c r="O404" s="664" t="s">
        <v>2087</v>
      </c>
      <c r="P404" s="664" t="s">
        <v>2088</v>
      </c>
      <c r="Q404" s="664" t="s">
        <v>2089</v>
      </c>
      <c r="R404" s="664" t="s">
        <v>2090</v>
      </c>
      <c r="S404" s="664" t="s">
        <v>2091</v>
      </c>
      <c r="T404" s="664" t="s">
        <v>2092</v>
      </c>
      <c r="U404" s="664" t="s">
        <v>2109</v>
      </c>
      <c r="V404" s="664" t="s">
        <v>2093</v>
      </c>
      <c r="W404" s="664" t="s">
        <v>2094</v>
      </c>
      <c r="X404" s="664" t="s">
        <v>2095</v>
      </c>
      <c r="Y404" s="664" t="s">
        <v>2096</v>
      </c>
      <c r="Z404" s="664" t="s">
        <v>2097</v>
      </c>
      <c r="AA404" s="664" t="s">
        <v>2098</v>
      </c>
      <c r="AB404" s="664" t="s">
        <v>2099</v>
      </c>
      <c r="AC404" s="664" t="s">
        <v>2100</v>
      </c>
      <c r="AD404" s="664" t="s">
        <v>2101</v>
      </c>
      <c r="AE404" s="664" t="s">
        <v>2102</v>
      </c>
      <c r="AF404" s="664" t="s">
        <v>2103</v>
      </c>
      <c r="AG404" s="664" t="s">
        <v>2104</v>
      </c>
      <c r="AH404" s="664" t="s">
        <v>2105</v>
      </c>
      <c r="AI404" s="664" t="s">
        <v>2106</v>
      </c>
      <c r="AJ404" s="664" t="s">
        <v>2107</v>
      </c>
      <c r="AK404" s="696"/>
      <c r="AL404" s="696"/>
      <c r="AM404" s="696"/>
      <c r="AN404" s="696"/>
    </row>
    <row r="405" spans="1:40" s="6" customFormat="1" x14ac:dyDescent="0.25">
      <c r="A405" s="323"/>
      <c r="B405" s="253" t="str">
        <f>X392</f>
        <v>9999</v>
      </c>
      <c r="C405" s="189">
        <f>G386</f>
        <v>20180327</v>
      </c>
      <c r="D405" s="189">
        <f>C386</f>
        <v>20180327</v>
      </c>
      <c r="E405" s="253" t="str">
        <f>D386</f>
        <v>6001</v>
      </c>
      <c r="F405" s="253" t="str">
        <f>E386</f>
        <v>B00101</v>
      </c>
      <c r="G405" s="253" t="str">
        <f>F392</f>
        <v>6001</v>
      </c>
      <c r="H405" s="253" t="str">
        <f>Y392</f>
        <v>CNY</v>
      </c>
      <c r="I405" s="248" t="str">
        <f>H392</f>
        <v>CZCE</v>
      </c>
      <c r="J405" s="248" t="str">
        <f>I386</f>
        <v>SR809</v>
      </c>
      <c r="K405" s="113">
        <f>L386</f>
        <v>1</v>
      </c>
      <c r="L405" s="113">
        <f>K386</f>
        <v>2</v>
      </c>
      <c r="M405" s="182">
        <f>M386</f>
        <v>6</v>
      </c>
      <c r="N405" s="181">
        <f>N386</f>
        <v>6135</v>
      </c>
      <c r="O405" s="181">
        <f>J386</f>
        <v>10</v>
      </c>
      <c r="P405" s="167">
        <f>VLOOKUP(J405,$C$19:$F$31,4,FALSE)</f>
        <v>20180333</v>
      </c>
      <c r="Q405" s="181">
        <f>V386</f>
        <v>1</v>
      </c>
      <c r="R405" s="181"/>
      <c r="S405" s="181">
        <v>0</v>
      </c>
      <c r="T405" s="181">
        <f>P386</f>
        <v>4</v>
      </c>
      <c r="U405" s="181">
        <v>0</v>
      </c>
      <c r="V405" s="181">
        <v>0</v>
      </c>
      <c r="W405" s="167">
        <v>0</v>
      </c>
      <c r="X405" s="181">
        <f>T405</f>
        <v>4</v>
      </c>
      <c r="Y405" s="181">
        <f>R387</f>
        <v>6</v>
      </c>
      <c r="Z405" s="181">
        <f>R386</f>
        <v>2</v>
      </c>
      <c r="AA405" s="181">
        <f>S387</f>
        <v>2.9999999999999997E-4</v>
      </c>
      <c r="AB405" s="181">
        <f>S386</f>
        <v>2.0000000000000001E-4</v>
      </c>
      <c r="AC405" s="181">
        <f>T387</f>
        <v>3</v>
      </c>
      <c r="AD405" s="229">
        <f>T386</f>
        <v>2</v>
      </c>
      <c r="AE405" s="229">
        <v>0</v>
      </c>
      <c r="AF405" s="229">
        <f>U386</f>
        <v>57.08</v>
      </c>
      <c r="AG405" s="229">
        <v>0</v>
      </c>
      <c r="AH405" s="229">
        <f>U386</f>
        <v>57.08</v>
      </c>
      <c r="AI405" s="229">
        <f>W387</f>
        <v>1</v>
      </c>
      <c r="AJ405" s="229">
        <f>W386</f>
        <v>1</v>
      </c>
      <c r="AK405" s="111" t="s">
        <v>1421</v>
      </c>
      <c r="AL405" s="111"/>
      <c r="AM405" s="111"/>
      <c r="AN405" s="111"/>
    </row>
    <row r="406" spans="1:40" s="6" customFormat="1" x14ac:dyDescent="0.25">
      <c r="A406" s="323" t="s">
        <v>1418</v>
      </c>
      <c r="B406" s="254" t="s">
        <v>1420</v>
      </c>
      <c r="C406" s="254"/>
      <c r="D406" s="254"/>
      <c r="E406" s="252"/>
      <c r="F406" s="252"/>
      <c r="G406" s="252"/>
      <c r="H406" s="252"/>
      <c r="I406" s="252"/>
      <c r="J406" s="252"/>
      <c r="K406" s="252"/>
      <c r="L406" s="252"/>
      <c r="M406" s="252"/>
      <c r="N406" s="252"/>
      <c r="O406" s="252"/>
      <c r="P406" s="252"/>
      <c r="Q406" s="252"/>
      <c r="R406" s="252"/>
      <c r="S406" s="252"/>
      <c r="T406" s="252"/>
      <c r="U406" s="252"/>
      <c r="V406" s="252"/>
      <c r="W406" s="252"/>
      <c r="X406" s="252"/>
    </row>
    <row r="407" spans="1:40" s="6" customFormat="1" x14ac:dyDescent="0.25">
      <c r="A407" s="323" t="s">
        <v>2112</v>
      </c>
      <c r="B407" s="743" t="s">
        <v>2111</v>
      </c>
      <c r="C407" s="743"/>
      <c r="D407" s="743"/>
      <c r="E407" s="743"/>
      <c r="F407" s="743"/>
      <c r="G407" s="743"/>
      <c r="H407" s="743"/>
      <c r="I407" s="743"/>
      <c r="J407" s="743"/>
      <c r="K407" s="743"/>
      <c r="L407" s="743"/>
      <c r="M407" s="743"/>
      <c r="N407" s="743"/>
      <c r="O407" s="743"/>
      <c r="P407" s="743"/>
      <c r="Q407" s="743"/>
      <c r="R407" s="743"/>
      <c r="S407" s="743"/>
      <c r="T407" s="743"/>
      <c r="U407" s="743"/>
      <c r="V407" s="743"/>
      <c r="W407" s="743"/>
      <c r="X407" s="743"/>
      <c r="Y407" s="743"/>
      <c r="Z407" s="743"/>
      <c r="AA407" s="743"/>
      <c r="AB407" s="743"/>
      <c r="AC407" s="743"/>
      <c r="AD407" s="743"/>
      <c r="AE407" s="743"/>
      <c r="AF407" s="743"/>
      <c r="AG407" s="743"/>
      <c r="AH407" s="743"/>
      <c r="AI407" s="743"/>
      <c r="AJ407" s="744"/>
      <c r="AK407" s="695" t="s">
        <v>1126</v>
      </c>
      <c r="AL407" s="695" t="s">
        <v>1494</v>
      </c>
      <c r="AM407" s="695" t="s">
        <v>1495</v>
      </c>
      <c r="AN407" s="695" t="s">
        <v>1496</v>
      </c>
    </row>
    <row r="408" spans="1:40" s="6" customFormat="1" x14ac:dyDescent="0.25">
      <c r="A408" s="323"/>
      <c r="B408" s="664" t="s">
        <v>1479</v>
      </c>
      <c r="C408" s="664" t="s">
        <v>2079</v>
      </c>
      <c r="D408" s="664" t="s">
        <v>2080</v>
      </c>
      <c r="E408" s="664" t="s">
        <v>2081</v>
      </c>
      <c r="F408" s="664" t="s">
        <v>2082</v>
      </c>
      <c r="G408" s="664" t="s">
        <v>1483</v>
      </c>
      <c r="H408" s="664" t="s">
        <v>2083</v>
      </c>
      <c r="I408" s="664" t="s">
        <v>1480</v>
      </c>
      <c r="J408" s="664" t="s">
        <v>2084</v>
      </c>
      <c r="K408" s="664" t="s">
        <v>2085</v>
      </c>
      <c r="L408" s="664" t="s">
        <v>1486</v>
      </c>
      <c r="M408" s="664" t="s">
        <v>2108</v>
      </c>
      <c r="N408" s="664" t="s">
        <v>2086</v>
      </c>
      <c r="O408" s="664" t="s">
        <v>2087</v>
      </c>
      <c r="P408" s="664" t="s">
        <v>2088</v>
      </c>
      <c r="Q408" s="664" t="s">
        <v>2089</v>
      </c>
      <c r="R408" s="664" t="s">
        <v>2090</v>
      </c>
      <c r="S408" s="664" t="s">
        <v>2091</v>
      </c>
      <c r="T408" s="664" t="s">
        <v>2092</v>
      </c>
      <c r="U408" s="664" t="s">
        <v>2109</v>
      </c>
      <c r="V408" s="664" t="s">
        <v>2093</v>
      </c>
      <c r="W408" s="664" t="s">
        <v>2094</v>
      </c>
      <c r="X408" s="664" t="s">
        <v>2095</v>
      </c>
      <c r="Y408" s="664" t="s">
        <v>2096</v>
      </c>
      <c r="Z408" s="664" t="s">
        <v>2097</v>
      </c>
      <c r="AA408" s="664" t="s">
        <v>2098</v>
      </c>
      <c r="AB408" s="664" t="s">
        <v>2099</v>
      </c>
      <c r="AC408" s="664" t="s">
        <v>2100</v>
      </c>
      <c r="AD408" s="664" t="s">
        <v>2101</v>
      </c>
      <c r="AE408" s="664" t="s">
        <v>2102</v>
      </c>
      <c r="AF408" s="664" t="s">
        <v>2103</v>
      </c>
      <c r="AG408" s="664" t="s">
        <v>2104</v>
      </c>
      <c r="AH408" s="664" t="s">
        <v>2105</v>
      </c>
      <c r="AI408" s="664" t="s">
        <v>2106</v>
      </c>
      <c r="AJ408" s="664" t="s">
        <v>2107</v>
      </c>
      <c r="AK408" s="696"/>
      <c r="AL408" s="696"/>
      <c r="AM408" s="696"/>
      <c r="AN408" s="696"/>
    </row>
    <row r="409" spans="1:40" s="6" customFormat="1" x14ac:dyDescent="0.25">
      <c r="A409" s="323"/>
      <c r="B409" s="253" t="str">
        <f>B405</f>
        <v>9999</v>
      </c>
      <c r="C409" s="189">
        <f>G389</f>
        <v>20180327</v>
      </c>
      <c r="D409" s="189">
        <f>C389</f>
        <v>20180327</v>
      </c>
      <c r="E409" s="253" t="str">
        <f>D389</f>
        <v>6001</v>
      </c>
      <c r="F409" s="253" t="str">
        <f>E389</f>
        <v>B00102</v>
      </c>
      <c r="G409" s="253" t="str">
        <f>F389</f>
        <v>6001</v>
      </c>
      <c r="H409" s="253" t="str">
        <f>Y392</f>
        <v>CNY</v>
      </c>
      <c r="I409" s="248" t="str">
        <f>H392</f>
        <v>CZCE</v>
      </c>
      <c r="J409" s="248" t="str">
        <f>I389</f>
        <v>PTA809</v>
      </c>
      <c r="K409" s="113">
        <f>L389</f>
        <v>1</v>
      </c>
      <c r="L409" s="113">
        <f>K389</f>
        <v>3</v>
      </c>
      <c r="M409" s="182">
        <f>M389</f>
        <v>4</v>
      </c>
      <c r="N409" s="181">
        <f>N389</f>
        <v>6225</v>
      </c>
      <c r="O409" s="181">
        <f>J389</f>
        <v>5</v>
      </c>
      <c r="P409" s="167">
        <f>VLOOKUP(J409,$C$19:$F$31,4,FALSE)</f>
        <v>20180333</v>
      </c>
      <c r="Q409" s="181">
        <f>V389</f>
        <v>1</v>
      </c>
      <c r="R409" s="181"/>
      <c r="S409" s="181">
        <f>Q389</f>
        <v>1</v>
      </c>
      <c r="T409" s="181">
        <f>O401</f>
        <v>0</v>
      </c>
      <c r="U409" s="181">
        <v>0</v>
      </c>
      <c r="V409" s="181">
        <v>0</v>
      </c>
      <c r="W409" s="181">
        <f>S409</f>
        <v>1</v>
      </c>
      <c r="X409" s="181">
        <v>0</v>
      </c>
      <c r="Y409" s="181">
        <f>R389</f>
        <v>3</v>
      </c>
      <c r="Z409" s="181">
        <f>R388</f>
        <v>4</v>
      </c>
      <c r="AA409" s="181">
        <f>S389</f>
        <v>2.9999999999999997E-4</v>
      </c>
      <c r="AB409" s="181">
        <f>S388</f>
        <v>2.0000000000000001E-4</v>
      </c>
      <c r="AC409" s="181">
        <f>T389</f>
        <v>3</v>
      </c>
      <c r="AD409" s="229">
        <f>T388</f>
        <v>2</v>
      </c>
      <c r="AE409" s="229">
        <f>U389</f>
        <v>12.34</v>
      </c>
      <c r="AF409" s="229">
        <f>U388</f>
        <v>0</v>
      </c>
      <c r="AG409" s="229">
        <f>U389</f>
        <v>12.34</v>
      </c>
      <c r="AH409" s="229">
        <v>0</v>
      </c>
      <c r="AI409" s="229">
        <f>W389</f>
        <v>1</v>
      </c>
      <c r="AJ409" s="229">
        <f>W388</f>
        <v>1</v>
      </c>
      <c r="AK409" s="111" t="s">
        <v>1421</v>
      </c>
      <c r="AL409" s="111"/>
      <c r="AM409" s="111"/>
      <c r="AN409" s="111"/>
    </row>
    <row r="410" spans="1:40" s="6" customFormat="1" x14ac:dyDescent="0.25">
      <c r="A410" s="323"/>
      <c r="B410" s="252"/>
      <c r="C410" s="188"/>
      <c r="D410" s="188"/>
      <c r="E410" s="252"/>
      <c r="F410" s="252"/>
      <c r="G410" s="252"/>
      <c r="H410" s="252"/>
      <c r="I410" s="181"/>
      <c r="J410" s="181"/>
      <c r="K410" s="182"/>
      <c r="L410" s="182"/>
      <c r="M410" s="182"/>
      <c r="N410" s="181"/>
      <c r="O410" s="181"/>
      <c r="P410" s="167"/>
      <c r="Q410" s="181"/>
      <c r="R410" s="181"/>
      <c r="S410" s="181"/>
      <c r="T410" s="181"/>
      <c r="U410" s="181"/>
      <c r="V410" s="181"/>
      <c r="W410" s="167"/>
      <c r="X410" s="181"/>
      <c r="Y410" s="181"/>
      <c r="Z410" s="181"/>
      <c r="AA410" s="181"/>
      <c r="AB410" s="181"/>
      <c r="AC410" s="181"/>
      <c r="AD410" s="229"/>
      <c r="AE410" s="229"/>
      <c r="AG410" s="229"/>
      <c r="AH410" s="229"/>
      <c r="AI410" s="229"/>
      <c r="AJ410" s="229"/>
      <c r="AK410" s="167"/>
      <c r="AL410" s="167"/>
      <c r="AM410" s="167"/>
      <c r="AN410" s="167"/>
    </row>
    <row r="411" spans="1:40" s="6" customFormat="1" x14ac:dyDescent="0.25">
      <c r="A411" s="195" t="s">
        <v>173</v>
      </c>
      <c r="B411" s="195" t="s">
        <v>1426</v>
      </c>
      <c r="C411" s="188"/>
      <c r="D411" s="188"/>
      <c r="E411" s="252"/>
      <c r="F411" s="252"/>
      <c r="G411" s="252"/>
      <c r="H411" s="252"/>
      <c r="I411" s="181"/>
      <c r="J411" s="181"/>
      <c r="K411" s="182"/>
      <c r="L411" s="182"/>
      <c r="M411" s="182"/>
      <c r="N411" s="181"/>
      <c r="O411" s="167"/>
      <c r="P411" s="181"/>
      <c r="Q411" s="167"/>
      <c r="R411" s="181"/>
      <c r="S411" s="181"/>
      <c r="T411" s="181"/>
      <c r="U411" s="181"/>
      <c r="V411" s="181"/>
      <c r="W411" s="167"/>
      <c r="X411" s="181"/>
      <c r="Y411" s="167"/>
      <c r="Z411" s="167"/>
      <c r="AA411" s="167"/>
      <c r="AB411" s="167"/>
      <c r="AC411" s="167"/>
    </row>
    <row r="412" spans="1:40" s="6" customFormat="1" x14ac:dyDescent="0.25">
      <c r="A412" s="323" t="s">
        <v>173</v>
      </c>
      <c r="B412" s="253" t="str">
        <f t="shared" ref="B412:AC412" si="23">B820</f>
        <v>#实提记录</v>
      </c>
      <c r="C412" s="253" t="str">
        <f t="shared" si="23"/>
        <v>经纪公司</v>
      </c>
      <c r="D412" s="253" t="str">
        <f t="shared" si="23"/>
        <v>交割日</v>
      </c>
      <c r="E412" s="253" t="str">
        <f t="shared" si="23"/>
        <v>投资者</v>
      </c>
      <c r="F412" s="253" t="str">
        <f t="shared" si="23"/>
        <v>投资单元</v>
      </c>
      <c r="G412" s="253" t="str">
        <f t="shared" si="23"/>
        <v>资金账号</v>
      </c>
      <c r="H412" s="253" t="str">
        <f t="shared" si="23"/>
        <v>币种</v>
      </c>
      <c r="I412" s="253" t="str">
        <f t="shared" si="23"/>
        <v>交易日</v>
      </c>
      <c r="J412" s="253" t="str">
        <f t="shared" si="23"/>
        <v>交易所</v>
      </c>
      <c r="K412" s="253" t="str">
        <f t="shared" si="23"/>
        <v>合约</v>
      </c>
      <c r="L412" s="253" t="str">
        <f t="shared" si="23"/>
        <v>#合约乘数</v>
      </c>
      <c r="M412" s="253" t="str">
        <f t="shared" si="23"/>
        <v>买/卖</v>
      </c>
      <c r="N412" s="253" t="str">
        <f t="shared" si="23"/>
        <v>投机/套保</v>
      </c>
      <c r="O412" s="253" t="str">
        <f t="shared" si="23"/>
        <v>交割数量</v>
      </c>
      <c r="P412" s="253" t="str">
        <f t="shared" si="23"/>
        <v>交割价格</v>
      </c>
      <c r="Q412" s="253" t="str">
        <f t="shared" si="23"/>
        <v>交割类型</v>
      </c>
      <c r="R412" s="253" t="str">
        <f t="shared" si="23"/>
        <v>当日释放量</v>
      </c>
      <c r="S412" s="253" t="str">
        <f t="shared" si="23"/>
        <v>累计释放量</v>
      </c>
      <c r="T412" s="253" t="str">
        <f t="shared" si="23"/>
        <v>冻结量</v>
      </c>
      <c r="U412" s="253" t="str">
        <f t="shared" si="23"/>
        <v>交割保证金率(按金额交割保证金率(按手数)</v>
      </c>
      <c r="V412" s="253">
        <f t="shared" si="23"/>
        <v>0</v>
      </c>
      <c r="W412" s="253" t="str">
        <f t="shared" si="23"/>
        <v>交易所交割保证金率(按金额)</v>
      </c>
      <c r="X412" s="253" t="str">
        <f t="shared" si="23"/>
        <v>交易所交割保证金率(按手数)</v>
      </c>
      <c r="Y412" s="253" t="str">
        <f t="shared" si="23"/>
        <v>交割保证金(投资者)</v>
      </c>
      <c r="Z412" s="253" t="str">
        <f t="shared" si="23"/>
        <v>交割保证金(交易所)</v>
      </c>
      <c r="AA412" s="253" t="str">
        <f t="shared" si="23"/>
        <v>交割是否完成</v>
      </c>
      <c r="AB412" s="253" t="str">
        <f t="shared" si="23"/>
        <v>交割保证金收取方式</v>
      </c>
      <c r="AC412" s="253" t="str">
        <f t="shared" si="23"/>
        <v>#买卖</v>
      </c>
      <c r="AD412" s="167"/>
    </row>
    <row r="413" spans="1:40" s="6" customFormat="1" x14ac:dyDescent="0.25">
      <c r="A413" s="323" t="s">
        <v>173</v>
      </c>
      <c r="B413" s="253" t="str">
        <f t="shared" ref="B413:B418" si="24">B821</f>
        <v>#实提记录</v>
      </c>
      <c r="C413" s="253" t="str">
        <f t="shared" ref="C413:AC413" si="25">C821</f>
        <v>brokerid</v>
      </c>
      <c r="D413" s="253" t="str">
        <f t="shared" si="25"/>
        <v>deliverydate</v>
      </c>
      <c r="E413" s="253" t="str">
        <f t="shared" si="25"/>
        <v>investorid</v>
      </c>
      <c r="F413" s="253" t="str">
        <f t="shared" si="25"/>
        <v>investunitid</v>
      </c>
      <c r="G413" s="253" t="str">
        <f t="shared" si="25"/>
        <v>accountid</v>
      </c>
      <c r="H413" s="253" t="str">
        <f t="shared" si="25"/>
        <v>CURRENCYID</v>
      </c>
      <c r="I413" s="253" t="str">
        <f t="shared" si="25"/>
        <v>settlementdate</v>
      </c>
      <c r="J413" s="253" t="str">
        <f t="shared" si="25"/>
        <v>exchangeid</v>
      </c>
      <c r="K413" s="253" t="str">
        <f t="shared" si="25"/>
        <v>instrumentid</v>
      </c>
      <c r="L413" s="253" t="str">
        <f t="shared" si="25"/>
        <v>#volumemultiple</v>
      </c>
      <c r="M413" s="253" t="str">
        <f t="shared" si="25"/>
        <v>posidirection</v>
      </c>
      <c r="N413" s="253" t="str">
        <f t="shared" si="25"/>
        <v>hedgeflag</v>
      </c>
      <c r="O413" s="253" t="str">
        <f t="shared" si="25"/>
        <v>volume</v>
      </c>
      <c r="P413" s="253" t="str">
        <f t="shared" si="25"/>
        <v>deliveryprice</v>
      </c>
      <c r="Q413" s="253" t="str">
        <f t="shared" si="25"/>
        <v>#delivfeeclass</v>
      </c>
      <c r="R413" s="253" t="str">
        <f t="shared" si="25"/>
        <v>currreleasevolume</v>
      </c>
      <c r="S413" s="253" t="str">
        <f t="shared" si="25"/>
        <v>releasevolume</v>
      </c>
      <c r="T413" s="253" t="str">
        <f t="shared" si="25"/>
        <v xml:space="preserve">  frozenvolume     </v>
      </c>
      <c r="U413" s="253" t="str">
        <f t="shared" si="25"/>
        <v>marginratiobymoney</v>
      </c>
      <c r="V413" s="253" t="str">
        <f t="shared" si="25"/>
        <v>marginratiobyvolume</v>
      </c>
      <c r="W413" s="253" t="str">
        <f t="shared" si="25"/>
        <v>exchmarginratiobymoney</v>
      </c>
      <c r="X413" s="253" t="str">
        <f t="shared" si="25"/>
        <v>exchmarginratiobyvolume</v>
      </c>
      <c r="Y413" s="253" t="str">
        <f t="shared" si="25"/>
        <v>margin</v>
      </c>
      <c r="Z413" s="253" t="str">
        <f t="shared" si="25"/>
        <v>exchmargin</v>
      </c>
      <c r="AA413" s="253" t="str">
        <f t="shared" si="25"/>
        <v>deliveryflag</v>
      </c>
      <c r="AB413" s="253" t="str">
        <f t="shared" si="25"/>
        <v>delivmargstyle</v>
      </c>
      <c r="AC413" s="253" t="str">
        <f t="shared" si="25"/>
        <v>#买卖</v>
      </c>
      <c r="AD413" s="167"/>
    </row>
    <row r="414" spans="1:40" s="6" customFormat="1" x14ac:dyDescent="0.25">
      <c r="A414" s="323" t="s">
        <v>173</v>
      </c>
      <c r="B414" s="253" t="str">
        <f t="shared" si="24"/>
        <v>20180326B00101SR80713</v>
      </c>
      <c r="C414" s="253" t="str">
        <f t="shared" ref="C414:AC414" si="26">C822</f>
        <v>9999</v>
      </c>
      <c r="D414" s="189">
        <f t="shared" si="26"/>
        <v>20180326</v>
      </c>
      <c r="E414" s="189" t="str">
        <f t="shared" si="26"/>
        <v>6001</v>
      </c>
      <c r="F414" s="189" t="str">
        <f t="shared" si="26"/>
        <v>B00101</v>
      </c>
      <c r="G414" s="189" t="str">
        <f t="shared" si="26"/>
        <v>6001</v>
      </c>
      <c r="H414" s="189" t="str">
        <f t="shared" si="26"/>
        <v>CNY</v>
      </c>
      <c r="I414" s="189">
        <f t="shared" si="26"/>
        <v>20180326</v>
      </c>
      <c r="J414" s="253" t="str">
        <f t="shared" si="26"/>
        <v>CZCE</v>
      </c>
      <c r="K414" s="253" t="str">
        <f t="shared" si="26"/>
        <v>SR807</v>
      </c>
      <c r="L414" s="253">
        <f t="shared" si="26"/>
        <v>10</v>
      </c>
      <c r="M414" s="253">
        <f t="shared" si="26"/>
        <v>3</v>
      </c>
      <c r="N414" s="253">
        <f t="shared" si="26"/>
        <v>1</v>
      </c>
      <c r="O414" s="253">
        <f t="shared" si="26"/>
        <v>2</v>
      </c>
      <c r="P414" s="253">
        <f t="shared" si="26"/>
        <v>6130</v>
      </c>
      <c r="Q414" s="253">
        <f t="shared" si="26"/>
        <v>1</v>
      </c>
      <c r="R414" s="253">
        <f t="shared" si="26"/>
        <v>2</v>
      </c>
      <c r="S414" s="253">
        <f t="shared" si="26"/>
        <v>2</v>
      </c>
      <c r="T414" s="253">
        <f t="shared" si="26"/>
        <v>0</v>
      </c>
      <c r="U414" s="253">
        <f t="shared" si="26"/>
        <v>0</v>
      </c>
      <c r="V414" s="253">
        <f t="shared" si="26"/>
        <v>0</v>
      </c>
      <c r="W414" s="253">
        <f t="shared" si="26"/>
        <v>0</v>
      </c>
      <c r="X414" s="253">
        <f t="shared" si="26"/>
        <v>0</v>
      </c>
      <c r="Y414" s="253">
        <f t="shared" si="26"/>
        <v>0</v>
      </c>
      <c r="Z414" s="253">
        <f t="shared" si="26"/>
        <v>0</v>
      </c>
      <c r="AA414" s="253">
        <f t="shared" si="26"/>
        <v>2</v>
      </c>
      <c r="AB414" s="253">
        <f t="shared" si="26"/>
        <v>1</v>
      </c>
      <c r="AC414" s="253">
        <f t="shared" si="26"/>
        <v>1</v>
      </c>
      <c r="AD414" s="167"/>
    </row>
    <row r="415" spans="1:40" s="6" customFormat="1" x14ac:dyDescent="0.25">
      <c r="A415" s="323" t="s">
        <v>173</v>
      </c>
      <c r="B415" s="253">
        <f t="shared" si="24"/>
        <v>0</v>
      </c>
      <c r="C415" s="253" t="str">
        <f t="shared" ref="C415:AC415" si="27">C823</f>
        <v>9999</v>
      </c>
      <c r="D415" s="189">
        <f t="shared" si="27"/>
        <v>20180326</v>
      </c>
      <c r="E415" s="189" t="str">
        <f t="shared" si="27"/>
        <v>6001</v>
      </c>
      <c r="F415" s="189" t="str">
        <f t="shared" si="27"/>
        <v>B00102</v>
      </c>
      <c r="G415" s="189" t="str">
        <f t="shared" si="27"/>
        <v>6001</v>
      </c>
      <c r="H415" s="189" t="str">
        <f t="shared" si="27"/>
        <v>CNY</v>
      </c>
      <c r="I415" s="189">
        <f t="shared" si="27"/>
        <v>20180326</v>
      </c>
      <c r="J415" s="253" t="str">
        <f t="shared" si="27"/>
        <v>CZCE</v>
      </c>
      <c r="K415" s="253" t="str">
        <f t="shared" si="27"/>
        <v>PTA807</v>
      </c>
      <c r="L415" s="253">
        <f t="shared" si="27"/>
        <v>5</v>
      </c>
      <c r="M415" s="253">
        <f t="shared" si="27"/>
        <v>2</v>
      </c>
      <c r="N415" s="253">
        <f t="shared" si="27"/>
        <v>1</v>
      </c>
      <c r="O415" s="253">
        <f t="shared" si="27"/>
        <v>5</v>
      </c>
      <c r="P415" s="253">
        <f t="shared" si="27"/>
        <v>6120</v>
      </c>
      <c r="Q415" s="253">
        <f t="shared" si="27"/>
        <v>1</v>
      </c>
      <c r="R415" s="253">
        <f t="shared" si="27"/>
        <v>0</v>
      </c>
      <c r="S415" s="253">
        <f t="shared" si="27"/>
        <v>0</v>
      </c>
      <c r="T415" s="253">
        <f t="shared" si="27"/>
        <v>5</v>
      </c>
      <c r="U415" s="253">
        <f t="shared" si="27"/>
        <v>0.05</v>
      </c>
      <c r="V415" s="253">
        <f t="shared" si="27"/>
        <v>5</v>
      </c>
      <c r="W415" s="253">
        <f t="shared" si="27"/>
        <v>0.04</v>
      </c>
      <c r="X415" s="253">
        <f t="shared" si="27"/>
        <v>4</v>
      </c>
      <c r="Y415" s="253">
        <f t="shared" si="27"/>
        <v>7675</v>
      </c>
      <c r="Z415" s="253">
        <f t="shared" si="27"/>
        <v>6140</v>
      </c>
      <c r="AA415" s="253">
        <f t="shared" si="27"/>
        <v>1</v>
      </c>
      <c r="AB415" s="253">
        <f t="shared" si="27"/>
        <v>1</v>
      </c>
      <c r="AC415" s="253">
        <f t="shared" si="27"/>
        <v>0</v>
      </c>
      <c r="AD415" s="167"/>
    </row>
    <row r="416" spans="1:40" s="6" customFormat="1" x14ac:dyDescent="0.25">
      <c r="A416" s="323" t="s">
        <v>173</v>
      </c>
      <c r="B416" s="253" t="str">
        <f t="shared" si="24"/>
        <v>20180327B00101SR80912</v>
      </c>
      <c r="C416" s="253" t="str">
        <f t="shared" ref="C416:AC416" si="28">C824</f>
        <v>9999</v>
      </c>
      <c r="D416" s="189">
        <f t="shared" si="28"/>
        <v>20180327</v>
      </c>
      <c r="E416" s="189" t="str">
        <f t="shared" si="28"/>
        <v>6001</v>
      </c>
      <c r="F416" s="189" t="str">
        <f t="shared" si="28"/>
        <v>B00101</v>
      </c>
      <c r="G416" s="189" t="str">
        <f t="shared" si="28"/>
        <v>6001</v>
      </c>
      <c r="H416" s="189" t="str">
        <f t="shared" si="28"/>
        <v>CNY</v>
      </c>
      <c r="I416" s="189">
        <f t="shared" si="28"/>
        <v>20180327</v>
      </c>
      <c r="J416" s="253" t="str">
        <f t="shared" si="28"/>
        <v>CZCE</v>
      </c>
      <c r="K416" s="253" t="str">
        <f t="shared" si="28"/>
        <v>SR809</v>
      </c>
      <c r="L416" s="253">
        <f t="shared" si="28"/>
        <v>10</v>
      </c>
      <c r="M416" s="253">
        <f t="shared" si="28"/>
        <v>2</v>
      </c>
      <c r="N416" s="253">
        <f t="shared" si="28"/>
        <v>1</v>
      </c>
      <c r="O416" s="253">
        <f t="shared" si="28"/>
        <v>6</v>
      </c>
      <c r="P416" s="253">
        <f t="shared" si="28"/>
        <v>6135</v>
      </c>
      <c r="Q416" s="253">
        <f t="shared" si="28"/>
        <v>1</v>
      </c>
      <c r="R416" s="253">
        <f t="shared" si="28"/>
        <v>4</v>
      </c>
      <c r="S416" s="253">
        <f t="shared" si="28"/>
        <v>4</v>
      </c>
      <c r="T416" s="253">
        <f t="shared" si="28"/>
        <v>2</v>
      </c>
      <c r="U416" s="253">
        <f t="shared" si="28"/>
        <v>0.05</v>
      </c>
      <c r="V416" s="253">
        <f t="shared" si="28"/>
        <v>5</v>
      </c>
      <c r="W416" s="253">
        <f t="shared" si="28"/>
        <v>0.04</v>
      </c>
      <c r="X416" s="253">
        <f t="shared" si="28"/>
        <v>4</v>
      </c>
      <c r="Y416" s="253">
        <f t="shared" si="28"/>
        <v>6145</v>
      </c>
      <c r="Z416" s="253">
        <f t="shared" si="28"/>
        <v>4916</v>
      </c>
      <c r="AA416" s="253">
        <f t="shared" si="28"/>
        <v>1</v>
      </c>
      <c r="AB416" s="253">
        <f t="shared" si="28"/>
        <v>1</v>
      </c>
      <c r="AC416" s="253">
        <f t="shared" si="28"/>
        <v>0</v>
      </c>
      <c r="AD416" s="167"/>
    </row>
    <row r="417" spans="1:32" s="6" customFormat="1" x14ac:dyDescent="0.25">
      <c r="A417" s="323" t="s">
        <v>173</v>
      </c>
      <c r="B417" s="253">
        <f t="shared" si="24"/>
        <v>0</v>
      </c>
      <c r="C417" s="253" t="str">
        <f t="shared" ref="C417:AC417" si="29">C825</f>
        <v>9999</v>
      </c>
      <c r="D417" s="189">
        <f t="shared" si="29"/>
        <v>20180327</v>
      </c>
      <c r="E417" s="189" t="str">
        <f t="shared" si="29"/>
        <v>6001</v>
      </c>
      <c r="F417" s="189" t="str">
        <f t="shared" si="29"/>
        <v>B00102</v>
      </c>
      <c r="G417" s="189" t="str">
        <f t="shared" si="29"/>
        <v>6001</v>
      </c>
      <c r="H417" s="189" t="str">
        <f t="shared" si="29"/>
        <v>CNY</v>
      </c>
      <c r="I417" s="189">
        <f t="shared" si="29"/>
        <v>20180327</v>
      </c>
      <c r="J417" s="253" t="str">
        <f t="shared" si="29"/>
        <v>CZCE</v>
      </c>
      <c r="K417" s="253" t="str">
        <f t="shared" si="29"/>
        <v>PTA809</v>
      </c>
      <c r="L417" s="253">
        <f t="shared" si="29"/>
        <v>5</v>
      </c>
      <c r="M417" s="253">
        <f t="shared" si="29"/>
        <v>3</v>
      </c>
      <c r="N417" s="253">
        <f t="shared" si="29"/>
        <v>1</v>
      </c>
      <c r="O417" s="253">
        <f t="shared" si="29"/>
        <v>4</v>
      </c>
      <c r="P417" s="253">
        <f t="shared" si="29"/>
        <v>6225</v>
      </c>
      <c r="Q417" s="253">
        <f t="shared" si="29"/>
        <v>1</v>
      </c>
      <c r="R417" s="253">
        <f t="shared" si="29"/>
        <v>0</v>
      </c>
      <c r="S417" s="253">
        <f t="shared" si="29"/>
        <v>0</v>
      </c>
      <c r="T417" s="253">
        <f t="shared" si="29"/>
        <v>4</v>
      </c>
      <c r="U417" s="253">
        <f t="shared" si="29"/>
        <v>0</v>
      </c>
      <c r="V417" s="253">
        <f t="shared" si="29"/>
        <v>0</v>
      </c>
      <c r="W417" s="253">
        <f t="shared" si="29"/>
        <v>0</v>
      </c>
      <c r="X417" s="253">
        <f t="shared" si="29"/>
        <v>0</v>
      </c>
      <c r="Y417" s="253">
        <f t="shared" si="29"/>
        <v>0</v>
      </c>
      <c r="Z417" s="253">
        <f t="shared" si="29"/>
        <v>0</v>
      </c>
      <c r="AA417" s="253">
        <f t="shared" si="29"/>
        <v>1</v>
      </c>
      <c r="AB417" s="253">
        <f t="shared" si="29"/>
        <v>1</v>
      </c>
      <c r="AC417" s="253">
        <f t="shared" si="29"/>
        <v>1</v>
      </c>
      <c r="AD417" s="167"/>
    </row>
    <row r="418" spans="1:32" s="6" customFormat="1" x14ac:dyDescent="0.25">
      <c r="A418" s="323" t="s">
        <v>1458</v>
      </c>
      <c r="B418" s="253" t="str">
        <f t="shared" si="24"/>
        <v>20180326B00102PTA80732</v>
      </c>
      <c r="C418" s="253" t="str">
        <f t="shared" ref="C418:AC418" si="30">C826</f>
        <v>9999</v>
      </c>
      <c r="D418" s="189">
        <f t="shared" si="30"/>
        <v>20180326</v>
      </c>
      <c r="E418" s="189" t="str">
        <f t="shared" si="30"/>
        <v>6001</v>
      </c>
      <c r="F418" s="189" t="str">
        <f t="shared" si="30"/>
        <v>B00102</v>
      </c>
      <c r="G418" s="189" t="str">
        <f t="shared" si="30"/>
        <v>6001</v>
      </c>
      <c r="H418" s="189" t="str">
        <f t="shared" si="30"/>
        <v>CNY</v>
      </c>
      <c r="I418" s="189">
        <f t="shared" si="30"/>
        <v>20180326</v>
      </c>
      <c r="J418" s="253" t="str">
        <f t="shared" si="30"/>
        <v>CZCE</v>
      </c>
      <c r="K418" s="253" t="str">
        <f t="shared" si="30"/>
        <v>PTA807</v>
      </c>
      <c r="L418" s="253">
        <f t="shared" si="30"/>
        <v>5</v>
      </c>
      <c r="M418" s="253">
        <f t="shared" si="30"/>
        <v>2</v>
      </c>
      <c r="N418" s="253">
        <f t="shared" si="30"/>
        <v>3</v>
      </c>
      <c r="O418" s="253">
        <f t="shared" si="30"/>
        <v>4</v>
      </c>
      <c r="P418" s="253">
        <f t="shared" si="30"/>
        <v>6120</v>
      </c>
      <c r="Q418" s="253">
        <f t="shared" si="30"/>
        <v>1</v>
      </c>
      <c r="R418" s="253">
        <f t="shared" si="30"/>
        <v>3</v>
      </c>
      <c r="S418" s="253">
        <f t="shared" si="30"/>
        <v>3</v>
      </c>
      <c r="T418" s="253">
        <f t="shared" si="30"/>
        <v>1</v>
      </c>
      <c r="U418" s="253">
        <f t="shared" si="30"/>
        <v>5.1999999999999998E-2</v>
      </c>
      <c r="V418" s="253">
        <f t="shared" si="30"/>
        <v>5.2</v>
      </c>
      <c r="W418" s="253">
        <f t="shared" si="30"/>
        <v>4.2000000000000003E-2</v>
      </c>
      <c r="X418" s="253">
        <f t="shared" si="30"/>
        <v>4.2</v>
      </c>
      <c r="Y418" s="253">
        <f t="shared" si="30"/>
        <v>1596.4</v>
      </c>
      <c r="Z418" s="253">
        <f t="shared" si="30"/>
        <v>1289.4000000000001</v>
      </c>
      <c r="AA418" s="253">
        <f t="shared" si="30"/>
        <v>1</v>
      </c>
      <c r="AB418" s="253">
        <f t="shared" si="30"/>
        <v>1</v>
      </c>
      <c r="AC418" s="253">
        <f t="shared" si="30"/>
        <v>0</v>
      </c>
      <c r="AD418" s="167"/>
    </row>
    <row r="419" spans="1:32" s="6" customFormat="1" x14ac:dyDescent="0.25">
      <c r="A419" s="323" t="s">
        <v>1459</v>
      </c>
      <c r="B419" s="252" t="s">
        <v>1460</v>
      </c>
      <c r="C419" s="188"/>
      <c r="D419" s="188"/>
      <c r="E419" s="188"/>
      <c r="F419" s="188"/>
      <c r="G419" s="188"/>
      <c r="H419" s="188"/>
      <c r="I419" s="252"/>
      <c r="J419" s="252"/>
      <c r="K419" s="252"/>
      <c r="L419" s="252"/>
      <c r="M419" s="252"/>
      <c r="N419" s="252"/>
      <c r="O419" s="252"/>
      <c r="P419" s="252"/>
      <c r="Q419" s="252"/>
      <c r="R419" s="252"/>
      <c r="S419" s="252"/>
      <c r="T419" s="252"/>
      <c r="U419" s="252"/>
      <c r="V419" s="252"/>
      <c r="W419" s="252"/>
      <c r="X419" s="252"/>
      <c r="Y419" s="252"/>
      <c r="Z419" s="252"/>
      <c r="AA419" s="252"/>
      <c r="AB419" s="252"/>
      <c r="AC419" s="167"/>
    </row>
    <row r="420" spans="1:32" s="6" customFormat="1" x14ac:dyDescent="0.25">
      <c r="A420" s="195" t="s">
        <v>1427</v>
      </c>
      <c r="B420" s="254" t="s">
        <v>1428</v>
      </c>
      <c r="C420" s="254"/>
      <c r="D420" s="254"/>
      <c r="E420" s="252"/>
      <c r="F420" s="252"/>
      <c r="G420" s="252"/>
      <c r="H420" s="252"/>
      <c r="I420" s="252"/>
      <c r="J420" s="252"/>
      <c r="K420" s="252"/>
      <c r="L420" s="252"/>
      <c r="M420" s="252"/>
      <c r="N420" s="252"/>
      <c r="O420" s="252"/>
      <c r="P420" s="252"/>
      <c r="Q420" s="252"/>
      <c r="R420" s="252"/>
      <c r="S420" s="252"/>
      <c r="T420" s="252"/>
      <c r="U420" s="252"/>
      <c r="V420" s="252"/>
      <c r="W420" s="252"/>
      <c r="X420" s="252"/>
      <c r="Y420" s="252"/>
      <c r="Z420" s="167"/>
      <c r="AA420" s="167"/>
      <c r="AB420" s="167"/>
      <c r="AC420" s="167"/>
    </row>
    <row r="421" spans="1:32" s="6" customFormat="1" x14ac:dyDescent="0.25">
      <c r="A421" s="323" t="s">
        <v>1429</v>
      </c>
      <c r="B421" s="704" t="s">
        <v>1571</v>
      </c>
      <c r="C421" s="705"/>
      <c r="D421" s="705"/>
      <c r="E421" s="705"/>
      <c r="F421" s="705"/>
      <c r="G421" s="705"/>
      <c r="H421" s="705"/>
      <c r="I421" s="705"/>
      <c r="J421" s="705"/>
      <c r="K421" s="705"/>
      <c r="L421" s="705"/>
      <c r="M421" s="705"/>
      <c r="N421" s="705"/>
      <c r="O421" s="705"/>
      <c r="P421" s="705"/>
      <c r="Q421" s="705"/>
      <c r="R421" s="705"/>
      <c r="S421" s="705"/>
      <c r="T421" s="705"/>
      <c r="U421" s="705"/>
      <c r="V421" s="705"/>
      <c r="W421" s="705"/>
      <c r="X421" s="705"/>
      <c r="Y421" s="705"/>
      <c r="Z421" s="705"/>
      <c r="AA421" s="705"/>
      <c r="AB421" s="708"/>
      <c r="AC421" s="695" t="s">
        <v>1126</v>
      </c>
      <c r="AD421" s="695" t="s">
        <v>1107</v>
      </c>
      <c r="AE421" s="695" t="s">
        <v>1108</v>
      </c>
      <c r="AF421" s="695" t="s">
        <v>1127</v>
      </c>
    </row>
    <row r="422" spans="1:32" s="6" customFormat="1" x14ac:dyDescent="0.25">
      <c r="A422" s="323"/>
      <c r="B422" s="92" t="s">
        <v>1438</v>
      </c>
      <c r="C422" s="92" t="s">
        <v>1439</v>
      </c>
      <c r="D422" s="92" t="s">
        <v>1437</v>
      </c>
      <c r="E422" s="92" t="s">
        <v>1436</v>
      </c>
      <c r="F422" s="92" t="s">
        <v>1435</v>
      </c>
      <c r="G422" s="92" t="s">
        <v>1434</v>
      </c>
      <c r="H422" s="92" t="s">
        <v>1433</v>
      </c>
      <c r="I422" s="92" t="s">
        <v>1432</v>
      </c>
      <c r="J422" s="92" t="s">
        <v>1431</v>
      </c>
      <c r="K422" s="92" t="s">
        <v>1440</v>
      </c>
      <c r="L422" s="92" t="s">
        <v>1441</v>
      </c>
      <c r="M422" s="92" t="s">
        <v>1442</v>
      </c>
      <c r="N422" s="92" t="s">
        <v>1443</v>
      </c>
      <c r="O422" s="92" t="s">
        <v>1444</v>
      </c>
      <c r="P422" s="92" t="s">
        <v>1445</v>
      </c>
      <c r="Q422" s="92" t="s">
        <v>1446</v>
      </c>
      <c r="R422" s="92" t="s">
        <v>1447</v>
      </c>
      <c r="S422" s="92" t="s">
        <v>1448</v>
      </c>
      <c r="T422" s="92" t="s">
        <v>1449</v>
      </c>
      <c r="U422" s="92" t="s">
        <v>1450</v>
      </c>
      <c r="V422" s="92" t="s">
        <v>1451</v>
      </c>
      <c r="W422" s="92" t="s">
        <v>1452</v>
      </c>
      <c r="X422" s="92" t="s">
        <v>1453</v>
      </c>
      <c r="Y422" s="92" t="s">
        <v>1454</v>
      </c>
      <c r="Z422" s="92" t="s">
        <v>1455</v>
      </c>
      <c r="AA422" s="92" t="s">
        <v>1456</v>
      </c>
      <c r="AB422" s="92" t="s">
        <v>1457</v>
      </c>
      <c r="AC422" s="696"/>
      <c r="AD422" s="696"/>
      <c r="AE422" s="696"/>
      <c r="AF422" s="696"/>
    </row>
    <row r="423" spans="1:32" s="6" customFormat="1" x14ac:dyDescent="0.25">
      <c r="A423" s="323"/>
      <c r="B423" s="253" t="str">
        <f>C414</f>
        <v>9999</v>
      </c>
      <c r="C423" s="189">
        <f>D414</f>
        <v>20180326</v>
      </c>
      <c r="D423" s="189">
        <f>D414</f>
        <v>20180326</v>
      </c>
      <c r="E423" s="253" t="str">
        <f>E414</f>
        <v>6001</v>
      </c>
      <c r="F423" s="253" t="str">
        <f>F414</f>
        <v>B00101</v>
      </c>
      <c r="G423" s="253" t="str">
        <f>G414</f>
        <v>6001</v>
      </c>
      <c r="H423" s="253" t="str">
        <f>H414</f>
        <v>CNY</v>
      </c>
      <c r="I423" s="248" t="str">
        <f>J414</f>
        <v>CZCE</v>
      </c>
      <c r="J423" s="248" t="str">
        <f>K414</f>
        <v>SR807</v>
      </c>
      <c r="K423" s="113">
        <f>N414</f>
        <v>1</v>
      </c>
      <c r="L423" s="113">
        <f>M414</f>
        <v>3</v>
      </c>
      <c r="M423" s="113">
        <f>O414</f>
        <v>2</v>
      </c>
      <c r="N423" s="113">
        <v>0</v>
      </c>
      <c r="O423" s="113">
        <f>R414</f>
        <v>2</v>
      </c>
      <c r="P423" s="113">
        <f>T414</f>
        <v>0</v>
      </c>
      <c r="Q423" s="113">
        <f>P414</f>
        <v>6130</v>
      </c>
      <c r="R423" s="113">
        <f>L414</f>
        <v>10</v>
      </c>
      <c r="S423" s="248">
        <f>Y414</f>
        <v>0</v>
      </c>
      <c r="T423" s="248">
        <f>Z414</f>
        <v>0</v>
      </c>
      <c r="U423" s="248">
        <f>U414</f>
        <v>0</v>
      </c>
      <c r="V423" s="248">
        <f>V414</f>
        <v>0</v>
      </c>
      <c r="W423" s="248">
        <f>W414</f>
        <v>0</v>
      </c>
      <c r="X423" s="248">
        <f>X414</f>
        <v>0</v>
      </c>
      <c r="Y423" s="113">
        <f xml:space="preserve"> $B$2+1</f>
        <v>20180328</v>
      </c>
      <c r="Z423" s="113">
        <f>Q414</f>
        <v>1</v>
      </c>
      <c r="AA423" s="113">
        <f>AA414</f>
        <v>2</v>
      </c>
      <c r="AB423" s="113">
        <f>AB414</f>
        <v>1</v>
      </c>
      <c r="AC423" s="111" t="s">
        <v>1128</v>
      </c>
      <c r="AD423" s="111"/>
      <c r="AE423" s="111"/>
      <c r="AF423" s="111"/>
    </row>
    <row r="424" spans="1:32" s="6" customFormat="1" x14ac:dyDescent="0.25">
      <c r="A424" s="323" t="s">
        <v>1459</v>
      </c>
      <c r="B424" s="252" t="s">
        <v>1461</v>
      </c>
      <c r="C424" s="188"/>
      <c r="D424" s="188"/>
      <c r="E424" s="252"/>
      <c r="F424" s="252"/>
      <c r="G424" s="252"/>
      <c r="H424" s="252"/>
      <c r="I424" s="181"/>
      <c r="J424" s="181"/>
      <c r="K424" s="182"/>
      <c r="L424" s="182"/>
      <c r="M424" s="182"/>
      <c r="N424" s="181"/>
      <c r="O424" s="167"/>
      <c r="P424" s="181"/>
      <c r="Q424" s="167"/>
      <c r="R424" s="181"/>
      <c r="S424" s="181"/>
      <c r="T424" s="181"/>
      <c r="U424" s="181"/>
      <c r="V424" s="181"/>
      <c r="W424" s="167"/>
      <c r="X424" s="181"/>
      <c r="Y424" s="167"/>
      <c r="Z424" s="167"/>
      <c r="AA424" s="167"/>
      <c r="AB424" s="167"/>
      <c r="AC424" s="167"/>
    </row>
    <row r="425" spans="1:32" s="6" customFormat="1" x14ac:dyDescent="0.25">
      <c r="A425" s="195" t="s">
        <v>1427</v>
      </c>
      <c r="B425" s="254" t="s">
        <v>1428</v>
      </c>
      <c r="C425" s="254"/>
      <c r="D425" s="254"/>
      <c r="E425" s="252"/>
      <c r="F425" s="252"/>
      <c r="G425" s="252"/>
      <c r="H425" s="252"/>
      <c r="I425" s="252"/>
      <c r="J425" s="252"/>
      <c r="K425" s="252"/>
      <c r="L425" s="252"/>
      <c r="M425" s="252"/>
      <c r="N425" s="252"/>
      <c r="O425" s="252"/>
      <c r="P425" s="252"/>
      <c r="Q425" s="252"/>
      <c r="R425" s="252"/>
      <c r="S425" s="252"/>
      <c r="T425" s="252"/>
      <c r="U425" s="252"/>
      <c r="V425" s="252"/>
      <c r="W425" s="252"/>
      <c r="X425" s="252"/>
      <c r="Y425" s="252"/>
      <c r="Z425" s="167"/>
      <c r="AA425" s="167"/>
      <c r="AB425" s="167"/>
      <c r="AC425" s="167"/>
    </row>
    <row r="426" spans="1:32" s="6" customFormat="1" x14ac:dyDescent="0.25">
      <c r="A426" s="323" t="s">
        <v>1429</v>
      </c>
      <c r="B426" s="704" t="s">
        <v>1571</v>
      </c>
      <c r="C426" s="705"/>
      <c r="D426" s="705"/>
      <c r="E426" s="705"/>
      <c r="F426" s="705"/>
      <c r="G426" s="705"/>
      <c r="H426" s="705"/>
      <c r="I426" s="705"/>
      <c r="J426" s="705"/>
      <c r="K426" s="705"/>
      <c r="L426" s="705"/>
      <c r="M426" s="705"/>
      <c r="N426" s="705"/>
      <c r="O426" s="705"/>
      <c r="P426" s="705"/>
      <c r="Q426" s="705"/>
      <c r="R426" s="705"/>
      <c r="S426" s="705"/>
      <c r="T426" s="705"/>
      <c r="U426" s="705"/>
      <c r="V426" s="705"/>
      <c r="W426" s="705"/>
      <c r="X426" s="705"/>
      <c r="Y426" s="705"/>
      <c r="Z426" s="705"/>
      <c r="AA426" s="705"/>
      <c r="AB426" s="708"/>
      <c r="AC426" s="695" t="s">
        <v>1126</v>
      </c>
      <c r="AD426" s="695" t="s">
        <v>1107</v>
      </c>
      <c r="AE426" s="695" t="s">
        <v>1108</v>
      </c>
      <c r="AF426" s="695" t="s">
        <v>1127</v>
      </c>
    </row>
    <row r="427" spans="1:32" s="6" customFormat="1" x14ac:dyDescent="0.25">
      <c r="A427" s="323"/>
      <c r="B427" s="92" t="s">
        <v>1438</v>
      </c>
      <c r="C427" s="92" t="s">
        <v>1439</v>
      </c>
      <c r="D427" s="92" t="s">
        <v>1437</v>
      </c>
      <c r="E427" s="92" t="s">
        <v>1436</v>
      </c>
      <c r="F427" s="92" t="s">
        <v>1435</v>
      </c>
      <c r="G427" s="92" t="s">
        <v>1434</v>
      </c>
      <c r="H427" s="92" t="s">
        <v>1433</v>
      </c>
      <c r="I427" s="92" t="s">
        <v>1432</v>
      </c>
      <c r="J427" s="92" t="s">
        <v>1431</v>
      </c>
      <c r="K427" s="92" t="s">
        <v>1440</v>
      </c>
      <c r="L427" s="92" t="s">
        <v>1441</v>
      </c>
      <c r="M427" s="92" t="s">
        <v>1442</v>
      </c>
      <c r="N427" s="92" t="s">
        <v>1443</v>
      </c>
      <c r="O427" s="92" t="s">
        <v>1444</v>
      </c>
      <c r="P427" s="92" t="s">
        <v>1445</v>
      </c>
      <c r="Q427" s="92" t="s">
        <v>1446</v>
      </c>
      <c r="R427" s="92" t="s">
        <v>1447</v>
      </c>
      <c r="S427" s="92" t="s">
        <v>1448</v>
      </c>
      <c r="T427" s="92" t="s">
        <v>1449</v>
      </c>
      <c r="U427" s="92" t="s">
        <v>1450</v>
      </c>
      <c r="V427" s="92" t="s">
        <v>1451</v>
      </c>
      <c r="W427" s="92" t="s">
        <v>1452</v>
      </c>
      <c r="X427" s="92" t="s">
        <v>1453</v>
      </c>
      <c r="Y427" s="92" t="s">
        <v>1454</v>
      </c>
      <c r="Z427" s="92" t="s">
        <v>1455</v>
      </c>
      <c r="AA427" s="92" t="s">
        <v>1456</v>
      </c>
      <c r="AB427" s="92" t="s">
        <v>1457</v>
      </c>
      <c r="AC427" s="696"/>
      <c r="AD427" s="696"/>
      <c r="AE427" s="696"/>
      <c r="AF427" s="696"/>
    </row>
    <row r="428" spans="1:32" s="6" customFormat="1" x14ac:dyDescent="0.25">
      <c r="A428" s="323"/>
      <c r="B428" s="253" t="str">
        <f>B423</f>
        <v>9999</v>
      </c>
      <c r="C428" s="189">
        <f t="shared" ref="C428:I428" si="31">C423</f>
        <v>20180326</v>
      </c>
      <c r="D428" s="189">
        <f t="shared" si="31"/>
        <v>20180326</v>
      </c>
      <c r="E428" s="253" t="str">
        <f t="shared" si="31"/>
        <v>6001</v>
      </c>
      <c r="F428" s="253" t="str">
        <f>F418</f>
        <v>B00102</v>
      </c>
      <c r="G428" s="253" t="str">
        <f t="shared" si="31"/>
        <v>6001</v>
      </c>
      <c r="H428" s="253" t="str">
        <f t="shared" si="31"/>
        <v>CNY</v>
      </c>
      <c r="I428" s="253" t="str">
        <f t="shared" si="31"/>
        <v>CZCE</v>
      </c>
      <c r="J428" s="248" t="str">
        <f>K418</f>
        <v>PTA807</v>
      </c>
      <c r="K428" s="113">
        <f>N418</f>
        <v>3</v>
      </c>
      <c r="L428" s="113">
        <f>M418</f>
        <v>2</v>
      </c>
      <c r="M428" s="113">
        <f>O418</f>
        <v>4</v>
      </c>
      <c r="N428" s="113">
        <v>0</v>
      </c>
      <c r="O428" s="113">
        <f>R418</f>
        <v>3</v>
      </c>
      <c r="P428" s="113">
        <f>T418</f>
        <v>1</v>
      </c>
      <c r="Q428" s="113">
        <f>P418</f>
        <v>6120</v>
      </c>
      <c r="R428" s="113">
        <f>L418</f>
        <v>5</v>
      </c>
      <c r="S428" s="248">
        <f>Y418</f>
        <v>1596.4</v>
      </c>
      <c r="T428" s="248">
        <f>Z418</f>
        <v>1289.4000000000001</v>
      </c>
      <c r="U428" s="248">
        <f>U418</f>
        <v>5.1999999999999998E-2</v>
      </c>
      <c r="V428" s="248">
        <f>V418</f>
        <v>5.2</v>
      </c>
      <c r="W428" s="248">
        <f>W418</f>
        <v>4.2000000000000003E-2</v>
      </c>
      <c r="X428" s="248">
        <f>X418</f>
        <v>4.2</v>
      </c>
      <c r="Y428" s="113">
        <f xml:space="preserve"> $B$2+1</f>
        <v>20180328</v>
      </c>
      <c r="Z428" s="113">
        <f>Q418</f>
        <v>1</v>
      </c>
      <c r="AA428" s="113">
        <f>AA418</f>
        <v>1</v>
      </c>
      <c r="AB428" s="113">
        <f>AB418</f>
        <v>1</v>
      </c>
      <c r="AC428" s="111" t="s">
        <v>1128</v>
      </c>
      <c r="AD428" s="111"/>
      <c r="AE428" s="111"/>
      <c r="AF428" s="111"/>
    </row>
    <row r="429" spans="1:32" s="6" customFormat="1" x14ac:dyDescent="0.25">
      <c r="A429" s="323" t="s">
        <v>1459</v>
      </c>
      <c r="B429" s="252" t="s">
        <v>2115</v>
      </c>
      <c r="C429" s="188"/>
      <c r="D429" s="188"/>
      <c r="E429" s="252"/>
      <c r="F429" s="252"/>
      <c r="G429" s="252"/>
      <c r="H429" s="252"/>
      <c r="I429" s="181"/>
      <c r="J429" s="181"/>
      <c r="K429" s="182"/>
      <c r="L429" s="182"/>
      <c r="M429" s="182"/>
      <c r="N429" s="181"/>
      <c r="O429" s="167"/>
      <c r="P429" s="181"/>
      <c r="Q429" s="167"/>
      <c r="R429" s="181"/>
      <c r="S429" s="181"/>
      <c r="T429" s="181"/>
      <c r="U429" s="181"/>
      <c r="V429" s="181"/>
      <c r="W429" s="167"/>
      <c r="X429" s="181"/>
      <c r="Y429" s="167"/>
      <c r="Z429" s="167"/>
      <c r="AA429" s="167"/>
      <c r="AB429" s="167"/>
      <c r="AC429" s="167"/>
    </row>
    <row r="430" spans="1:32" s="6" customFormat="1" x14ac:dyDescent="0.25">
      <c r="A430" s="195" t="s">
        <v>1346</v>
      </c>
      <c r="B430" s="254" t="s">
        <v>1428</v>
      </c>
      <c r="C430" s="254"/>
      <c r="D430" s="254"/>
      <c r="E430" s="252"/>
      <c r="F430" s="252"/>
      <c r="G430" s="252"/>
      <c r="H430" s="252"/>
      <c r="I430" s="252"/>
      <c r="J430" s="252"/>
      <c r="K430" s="252"/>
      <c r="L430" s="252"/>
      <c r="M430" s="252"/>
      <c r="N430" s="252"/>
      <c r="O430" s="252"/>
      <c r="P430" s="252"/>
      <c r="Q430" s="252"/>
      <c r="R430" s="252"/>
      <c r="S430" s="252"/>
      <c r="T430" s="252"/>
      <c r="U430" s="252"/>
      <c r="V430" s="252"/>
      <c r="W430" s="252"/>
      <c r="X430" s="252"/>
      <c r="Y430" s="252"/>
      <c r="Z430" s="167"/>
      <c r="AA430" s="167"/>
      <c r="AB430" s="167"/>
      <c r="AC430" s="167"/>
    </row>
    <row r="431" spans="1:32" s="6" customFormat="1" x14ac:dyDescent="0.25">
      <c r="A431" s="323" t="s">
        <v>1429</v>
      </c>
      <c r="B431" s="704" t="s">
        <v>1571</v>
      </c>
      <c r="C431" s="705"/>
      <c r="D431" s="705"/>
      <c r="E431" s="705"/>
      <c r="F431" s="705"/>
      <c r="G431" s="705"/>
      <c r="H431" s="705"/>
      <c r="I431" s="705"/>
      <c r="J431" s="705"/>
      <c r="K431" s="705"/>
      <c r="L431" s="705"/>
      <c r="M431" s="705"/>
      <c r="N431" s="705"/>
      <c r="O431" s="705"/>
      <c r="P431" s="705"/>
      <c r="Q431" s="705"/>
      <c r="R431" s="705"/>
      <c r="S431" s="705"/>
      <c r="T431" s="705"/>
      <c r="U431" s="705"/>
      <c r="V431" s="705"/>
      <c r="W431" s="705"/>
      <c r="X431" s="705"/>
      <c r="Y431" s="705"/>
      <c r="Z431" s="705"/>
      <c r="AA431" s="705"/>
      <c r="AB431" s="708"/>
      <c r="AC431" s="695" t="s">
        <v>1126</v>
      </c>
      <c r="AD431" s="695" t="s">
        <v>1107</v>
      </c>
      <c r="AE431" s="695" t="s">
        <v>1108</v>
      </c>
      <c r="AF431" s="695" t="s">
        <v>1127</v>
      </c>
    </row>
    <row r="432" spans="1:32" s="6" customFormat="1" x14ac:dyDescent="0.25">
      <c r="A432" s="323"/>
      <c r="B432" s="92" t="s">
        <v>1438</v>
      </c>
      <c r="C432" s="92" t="s">
        <v>1439</v>
      </c>
      <c r="D432" s="92" t="s">
        <v>1437</v>
      </c>
      <c r="E432" s="92" t="s">
        <v>1436</v>
      </c>
      <c r="F432" s="92" t="s">
        <v>1435</v>
      </c>
      <c r="G432" s="92" t="s">
        <v>1434</v>
      </c>
      <c r="H432" s="92" t="s">
        <v>1433</v>
      </c>
      <c r="I432" s="92" t="s">
        <v>1432</v>
      </c>
      <c r="J432" s="92" t="s">
        <v>1431</v>
      </c>
      <c r="K432" s="92" t="s">
        <v>1440</v>
      </c>
      <c r="L432" s="92" t="s">
        <v>1441</v>
      </c>
      <c r="M432" s="92" t="s">
        <v>1442</v>
      </c>
      <c r="N432" s="92" t="s">
        <v>1443</v>
      </c>
      <c r="O432" s="92" t="s">
        <v>1444</v>
      </c>
      <c r="P432" s="92" t="s">
        <v>1445</v>
      </c>
      <c r="Q432" s="92" t="s">
        <v>1446</v>
      </c>
      <c r="R432" s="92" t="s">
        <v>1447</v>
      </c>
      <c r="S432" s="92" t="s">
        <v>1448</v>
      </c>
      <c r="T432" s="92" t="s">
        <v>1449</v>
      </c>
      <c r="U432" s="92" t="s">
        <v>1450</v>
      </c>
      <c r="V432" s="92" t="s">
        <v>1451</v>
      </c>
      <c r="W432" s="92" t="s">
        <v>1452</v>
      </c>
      <c r="X432" s="92" t="s">
        <v>1453</v>
      </c>
      <c r="Y432" s="92" t="s">
        <v>1454</v>
      </c>
      <c r="Z432" s="92" t="s">
        <v>1455</v>
      </c>
      <c r="AA432" s="92" t="s">
        <v>1456</v>
      </c>
      <c r="AB432" s="92" t="s">
        <v>1457</v>
      </c>
      <c r="AC432" s="696"/>
      <c r="AD432" s="696"/>
      <c r="AE432" s="696"/>
      <c r="AF432" s="696"/>
    </row>
    <row r="433" spans="1:42" s="6" customFormat="1" x14ac:dyDescent="0.25">
      <c r="A433" s="323"/>
      <c r="B433" s="253" t="str">
        <f>B428</f>
        <v>9999</v>
      </c>
      <c r="C433" s="189">
        <f>D416</f>
        <v>20180327</v>
      </c>
      <c r="D433" s="189">
        <f>D416</f>
        <v>20180327</v>
      </c>
      <c r="E433" s="253" t="str">
        <f>E416</f>
        <v>6001</v>
      </c>
      <c r="F433" s="253" t="str">
        <f>F416</f>
        <v>B00101</v>
      </c>
      <c r="G433" s="253" t="str">
        <f>G416</f>
        <v>6001</v>
      </c>
      <c r="H433" s="253" t="str">
        <f t="shared" ref="H433:I433" si="32">H428</f>
        <v>CNY</v>
      </c>
      <c r="I433" s="253" t="str">
        <f t="shared" si="32"/>
        <v>CZCE</v>
      </c>
      <c r="J433" s="248" t="str">
        <f>K416</f>
        <v>SR809</v>
      </c>
      <c r="K433" s="113">
        <f>N416</f>
        <v>1</v>
      </c>
      <c r="L433" s="113">
        <f>M416</f>
        <v>2</v>
      </c>
      <c r="M433" s="113">
        <f>O416</f>
        <v>6</v>
      </c>
      <c r="N433" s="113">
        <v>0</v>
      </c>
      <c r="O433" s="113">
        <f>R416</f>
        <v>4</v>
      </c>
      <c r="P433" s="113">
        <f>T416</f>
        <v>2</v>
      </c>
      <c r="Q433" s="113">
        <f>P416</f>
        <v>6135</v>
      </c>
      <c r="R433" s="113">
        <f>L416</f>
        <v>10</v>
      </c>
      <c r="S433" s="248">
        <f>Y416</f>
        <v>6145</v>
      </c>
      <c r="T433" s="248">
        <f>Z416</f>
        <v>4916</v>
      </c>
      <c r="U433" s="248">
        <f>U416</f>
        <v>0.05</v>
      </c>
      <c r="V433" s="248">
        <f>V416</f>
        <v>5</v>
      </c>
      <c r="W433" s="248">
        <f>W416</f>
        <v>0.04</v>
      </c>
      <c r="X433" s="248">
        <f>X416</f>
        <v>4</v>
      </c>
      <c r="Y433" s="113">
        <f xml:space="preserve"> $B$2+1</f>
        <v>20180328</v>
      </c>
      <c r="Z433" s="113">
        <f>Q416</f>
        <v>1</v>
      </c>
      <c r="AA433" s="113">
        <f>AA416</f>
        <v>1</v>
      </c>
      <c r="AB433" s="113">
        <f>AB416</f>
        <v>1</v>
      </c>
      <c r="AC433" s="111" t="s">
        <v>1128</v>
      </c>
      <c r="AD433" s="111"/>
      <c r="AE433" s="111"/>
      <c r="AF433" s="111"/>
    </row>
    <row r="434" spans="1:42" s="664" customFormat="1" x14ac:dyDescent="0.25">
      <c r="A434" s="664" t="s">
        <v>173</v>
      </c>
      <c r="B434" s="2" t="s">
        <v>1131</v>
      </c>
      <c r="C434" s="137"/>
      <c r="D434" s="2"/>
      <c r="E434" s="2"/>
      <c r="F434" s="2"/>
      <c r="G434" s="137"/>
      <c r="H434" s="126"/>
      <c r="I434" s="126"/>
      <c r="J434" s="126"/>
      <c r="K434" s="126"/>
      <c r="W434" s="6"/>
      <c r="X434" s="6"/>
      <c r="Y434" s="6"/>
      <c r="Z434" s="6"/>
      <c r="AA434" s="6"/>
      <c r="AB434" s="6"/>
      <c r="AC434" s="6"/>
      <c r="AD434" s="6"/>
      <c r="AE434" s="6"/>
      <c r="AF434" s="6"/>
      <c r="AG434" s="6"/>
      <c r="AH434" s="6"/>
      <c r="AI434" s="6"/>
      <c r="AJ434" s="6"/>
      <c r="AK434" s="6"/>
      <c r="AL434" s="6"/>
      <c r="AM434" s="6"/>
      <c r="AN434" s="6"/>
      <c r="AO434" s="6"/>
      <c r="AP434" s="6"/>
    </row>
    <row r="435" spans="1:42" s="664" customFormat="1" x14ac:dyDescent="0.25">
      <c r="A435" s="664" t="s">
        <v>173</v>
      </c>
      <c r="B435" s="144" t="s">
        <v>365</v>
      </c>
      <c r="C435" s="7" t="s">
        <v>191</v>
      </c>
      <c r="D435" s="7" t="s">
        <v>5</v>
      </c>
      <c r="E435" s="7" t="s">
        <v>286</v>
      </c>
      <c r="F435" s="7" t="s">
        <v>287</v>
      </c>
      <c r="G435" s="7" t="s">
        <v>120</v>
      </c>
      <c r="H435" s="144" t="s">
        <v>591</v>
      </c>
      <c r="I435" s="144" t="s">
        <v>52</v>
      </c>
      <c r="J435" s="144" t="s">
        <v>294</v>
      </c>
      <c r="K435" s="144" t="s">
        <v>9</v>
      </c>
      <c r="L435" s="144" t="s">
        <v>592</v>
      </c>
      <c r="W435" s="6"/>
      <c r="X435" s="6"/>
      <c r="Y435" s="6"/>
      <c r="Z435" s="6"/>
      <c r="AA435" s="6"/>
      <c r="AB435" s="6"/>
      <c r="AC435" s="6"/>
      <c r="AD435" s="6"/>
      <c r="AE435" s="6"/>
      <c r="AF435" s="6"/>
      <c r="AG435" s="6"/>
      <c r="AH435" s="6"/>
      <c r="AI435" s="6"/>
      <c r="AJ435" s="6"/>
      <c r="AK435" s="6"/>
      <c r="AL435" s="6"/>
      <c r="AM435" s="6"/>
      <c r="AN435" s="6"/>
      <c r="AO435" s="6"/>
      <c r="AP435" s="6"/>
    </row>
    <row r="436" spans="1:42" s="664" customFormat="1" ht="24" x14ac:dyDescent="0.25">
      <c r="A436" s="664" t="s">
        <v>173</v>
      </c>
      <c r="B436" s="144" t="s">
        <v>325</v>
      </c>
      <c r="C436" s="7" t="s">
        <v>346</v>
      </c>
      <c r="D436" s="7" t="s">
        <v>327</v>
      </c>
      <c r="E436" s="7" t="s">
        <v>321</v>
      </c>
      <c r="F436" s="144" t="s">
        <v>322</v>
      </c>
      <c r="G436" s="7" t="s">
        <v>323</v>
      </c>
      <c r="H436" s="37" t="s">
        <v>1010</v>
      </c>
      <c r="I436" s="144" t="s">
        <v>328</v>
      </c>
      <c r="J436" s="144" t="s">
        <v>331</v>
      </c>
      <c r="K436" s="144" t="s">
        <v>332</v>
      </c>
      <c r="L436" s="144" t="s">
        <v>333</v>
      </c>
      <c r="W436" s="6"/>
      <c r="X436" s="6"/>
      <c r="Y436" s="6"/>
      <c r="Z436" s="6"/>
      <c r="AA436" s="6"/>
      <c r="AB436" s="6"/>
      <c r="AC436" s="6"/>
      <c r="AD436" s="6"/>
      <c r="AE436" s="6"/>
      <c r="AF436" s="6"/>
      <c r="AG436" s="6"/>
      <c r="AH436" s="6"/>
      <c r="AI436" s="6"/>
      <c r="AJ436" s="6"/>
      <c r="AK436" s="6"/>
      <c r="AL436" s="6"/>
      <c r="AM436" s="6"/>
      <c r="AN436" s="6"/>
      <c r="AO436" s="6"/>
      <c r="AP436" s="6"/>
    </row>
    <row r="437" spans="1:42" s="664" customFormat="1" x14ac:dyDescent="0.25">
      <c r="A437" s="664" t="s">
        <v>173</v>
      </c>
      <c r="B437" s="145">
        <f>$B$2</f>
        <v>20180327</v>
      </c>
      <c r="C437" s="12" t="str">
        <f>$F$5</f>
        <v>9999</v>
      </c>
      <c r="D437" s="12" t="str">
        <f>$B$19</f>
        <v>CZCE</v>
      </c>
      <c r="E437" s="12" t="str">
        <f>E1009</f>
        <v>6001</v>
      </c>
      <c r="F437" s="12" t="str">
        <f t="shared" ref="F437:L438" si="33">F1009</f>
        <v>B00101</v>
      </c>
      <c r="G437" s="12" t="str">
        <f t="shared" si="33"/>
        <v>6001</v>
      </c>
      <c r="H437" s="12" t="str">
        <f t="shared" si="33"/>
        <v>CNY</v>
      </c>
      <c r="I437" s="12" t="str">
        <f t="shared" si="33"/>
        <v>SR807</v>
      </c>
      <c r="J437" s="12">
        <f t="shared" si="33"/>
        <v>3</v>
      </c>
      <c r="K437" s="12">
        <f t="shared" si="33"/>
        <v>1</v>
      </c>
      <c r="L437" s="12">
        <f t="shared" si="33"/>
        <v>2</v>
      </c>
      <c r="W437" s="6"/>
      <c r="X437" s="6"/>
      <c r="Y437" s="6"/>
      <c r="Z437" s="6"/>
      <c r="AA437" s="6"/>
      <c r="AB437" s="6"/>
      <c r="AC437" s="6"/>
      <c r="AD437" s="6"/>
      <c r="AE437" s="6"/>
      <c r="AF437" s="6"/>
      <c r="AG437" s="6"/>
      <c r="AH437" s="6"/>
      <c r="AI437" s="6"/>
      <c r="AJ437" s="6"/>
      <c r="AK437" s="6"/>
      <c r="AL437" s="6"/>
      <c r="AM437" s="6"/>
      <c r="AN437" s="6"/>
      <c r="AO437" s="6"/>
      <c r="AP437" s="6"/>
    </row>
    <row r="438" spans="1:42" s="664" customFormat="1" x14ac:dyDescent="0.25">
      <c r="A438" s="664" t="s">
        <v>173</v>
      </c>
      <c r="B438" s="145">
        <f>$B$2</f>
        <v>20180327</v>
      </c>
      <c r="C438" s="12" t="str">
        <f>$F$5</f>
        <v>9999</v>
      </c>
      <c r="D438" s="12" t="str">
        <f>$B$19</f>
        <v>CZCE</v>
      </c>
      <c r="E438" s="12" t="str">
        <f>E1010</f>
        <v>6001</v>
      </c>
      <c r="F438" s="12" t="str">
        <f t="shared" si="33"/>
        <v>B00101</v>
      </c>
      <c r="G438" s="12" t="str">
        <f t="shared" si="33"/>
        <v>6001</v>
      </c>
      <c r="H438" s="12" t="str">
        <f t="shared" si="33"/>
        <v>CNY</v>
      </c>
      <c r="I438" s="12" t="str">
        <f t="shared" si="33"/>
        <v>SR807</v>
      </c>
      <c r="J438" s="12">
        <f t="shared" si="33"/>
        <v>3</v>
      </c>
      <c r="K438" s="12">
        <f t="shared" si="33"/>
        <v>3</v>
      </c>
      <c r="L438" s="12">
        <f t="shared" si="33"/>
        <v>3</v>
      </c>
      <c r="W438" s="6"/>
      <c r="X438" s="6"/>
      <c r="Y438" s="6"/>
      <c r="Z438" s="6"/>
      <c r="AA438" s="6"/>
      <c r="AB438" s="6"/>
      <c r="AC438" s="6"/>
      <c r="AD438" s="6"/>
      <c r="AE438" s="6"/>
      <c r="AF438" s="6"/>
      <c r="AG438" s="6"/>
      <c r="AH438" s="6"/>
      <c r="AI438" s="6"/>
      <c r="AJ438" s="6"/>
      <c r="AK438" s="6"/>
      <c r="AL438" s="6"/>
      <c r="AM438" s="6"/>
      <c r="AN438" s="6"/>
      <c r="AO438" s="6"/>
      <c r="AP438" s="6"/>
    </row>
    <row r="439" spans="1:42" s="664" customFormat="1" x14ac:dyDescent="0.25">
      <c r="A439" s="664" t="s">
        <v>173</v>
      </c>
      <c r="B439" s="161"/>
      <c r="C439" s="3"/>
      <c r="D439" s="3"/>
      <c r="E439" s="3"/>
      <c r="F439" s="3"/>
      <c r="G439" s="3"/>
      <c r="H439" s="3"/>
      <c r="I439" s="3"/>
      <c r="J439" s="3"/>
      <c r="K439" s="3"/>
      <c r="L439" s="3"/>
      <c r="W439" s="6"/>
      <c r="X439" s="6"/>
      <c r="Y439" s="6"/>
      <c r="Z439" s="6"/>
      <c r="AA439" s="6"/>
      <c r="AB439" s="6"/>
      <c r="AC439" s="6"/>
      <c r="AD439" s="6"/>
      <c r="AE439" s="6"/>
      <c r="AF439" s="6"/>
      <c r="AG439" s="6"/>
      <c r="AH439" s="6"/>
      <c r="AI439" s="6"/>
      <c r="AJ439" s="6"/>
      <c r="AK439" s="6"/>
      <c r="AL439" s="6"/>
      <c r="AM439" s="6"/>
      <c r="AN439" s="6"/>
      <c r="AO439" s="6"/>
      <c r="AP439" s="6"/>
    </row>
    <row r="440" spans="1:42" s="664" customFormat="1" x14ac:dyDescent="0.25">
      <c r="A440" s="664" t="s">
        <v>173</v>
      </c>
      <c r="B440" s="183" t="s">
        <v>124</v>
      </c>
      <c r="C440" s="184" t="s">
        <v>1135</v>
      </c>
      <c r="D440" s="184"/>
      <c r="E440" s="184"/>
      <c r="F440" s="171"/>
      <c r="G440" s="137"/>
      <c r="H440" s="126"/>
      <c r="I440" s="126"/>
      <c r="J440" s="126"/>
      <c r="K440" s="126"/>
      <c r="W440" s="6"/>
      <c r="X440" s="6"/>
      <c r="Y440" s="6"/>
      <c r="Z440" s="6"/>
      <c r="AA440" s="6"/>
      <c r="AB440" s="6"/>
      <c r="AC440" s="6"/>
      <c r="AD440" s="6"/>
      <c r="AE440" s="6"/>
      <c r="AF440" s="6"/>
      <c r="AG440" s="6"/>
      <c r="AH440" s="6"/>
      <c r="AI440" s="6"/>
      <c r="AJ440" s="6"/>
      <c r="AK440" s="6"/>
      <c r="AL440" s="6"/>
      <c r="AM440" s="6"/>
      <c r="AN440" s="6"/>
      <c r="AO440" s="6"/>
      <c r="AP440" s="6"/>
    </row>
    <row r="441" spans="1:42" x14ac:dyDescent="0.25">
      <c r="A441" s="554" t="s">
        <v>173</v>
      </c>
      <c r="B441" s="170" t="s">
        <v>1095</v>
      </c>
      <c r="C441" s="704" t="s">
        <v>1569</v>
      </c>
      <c r="D441" s="705"/>
      <c r="E441" s="705"/>
      <c r="F441" s="705"/>
      <c r="G441" s="705"/>
      <c r="H441" s="705"/>
      <c r="I441" s="705"/>
      <c r="J441" s="705"/>
      <c r="K441" s="705"/>
      <c r="L441" s="705"/>
      <c r="M441" s="708"/>
      <c r="N441" s="92" t="s">
        <v>1126</v>
      </c>
      <c r="O441" s="172" t="s">
        <v>1107</v>
      </c>
      <c r="P441" s="172" t="s">
        <v>1108</v>
      </c>
      <c r="Q441" s="92" t="s">
        <v>1127</v>
      </c>
      <c r="R441" s="232"/>
      <c r="W441" s="6"/>
      <c r="X441" s="6"/>
      <c r="Y441" s="6"/>
      <c r="Z441" s="6"/>
      <c r="AA441" s="6"/>
      <c r="AB441" s="6"/>
      <c r="AC441" s="6"/>
      <c r="AD441" s="6"/>
      <c r="AE441" s="6"/>
      <c r="AF441" s="6"/>
      <c r="AG441" s="6"/>
      <c r="AH441" s="6"/>
      <c r="AI441" s="6"/>
      <c r="AJ441" s="6"/>
      <c r="AK441" s="6"/>
      <c r="AL441" s="6"/>
      <c r="AM441" s="6"/>
      <c r="AN441" s="6"/>
      <c r="AO441" s="6"/>
      <c r="AP441" s="6"/>
    </row>
    <row r="442" spans="1:42" x14ac:dyDescent="0.25">
      <c r="A442" s="554" t="s">
        <v>173</v>
      </c>
      <c r="B442" s="170"/>
      <c r="C442" s="172" t="s">
        <v>1133</v>
      </c>
      <c r="D442" s="172" t="s">
        <v>1134</v>
      </c>
      <c r="E442" s="172" t="s">
        <v>1117</v>
      </c>
      <c r="F442" s="173" t="s">
        <v>1112</v>
      </c>
      <c r="G442" s="138" t="s">
        <v>1114</v>
      </c>
      <c r="H442" s="172" t="s">
        <v>1115</v>
      </c>
      <c r="I442" s="172" t="s">
        <v>1116</v>
      </c>
      <c r="J442" s="172" t="s">
        <v>1118</v>
      </c>
      <c r="K442" s="172" t="s">
        <v>1120</v>
      </c>
      <c r="L442" s="172" t="s">
        <v>1119</v>
      </c>
      <c r="M442" s="172" t="s">
        <v>1136</v>
      </c>
      <c r="N442" s="172"/>
      <c r="O442" s="92"/>
      <c r="P442" s="92"/>
      <c r="Q442" s="92"/>
      <c r="R442" s="187"/>
      <c r="W442" s="6"/>
      <c r="X442" s="6"/>
      <c r="Y442" s="6"/>
      <c r="Z442" s="6"/>
      <c r="AA442" s="6"/>
      <c r="AB442" s="6"/>
      <c r="AC442" s="6"/>
      <c r="AD442" s="6"/>
      <c r="AE442" s="6"/>
      <c r="AF442" s="6"/>
      <c r="AG442" s="6"/>
      <c r="AH442" s="6"/>
      <c r="AI442" s="6"/>
      <c r="AJ442" s="6"/>
      <c r="AK442" s="6"/>
      <c r="AL442" s="6"/>
      <c r="AM442" s="6"/>
      <c r="AN442" s="6"/>
      <c r="AO442" s="6"/>
      <c r="AP442" s="6"/>
    </row>
    <row r="443" spans="1:42" x14ac:dyDescent="0.25">
      <c r="A443" s="554" t="s">
        <v>173</v>
      </c>
      <c r="B443" s="170"/>
      <c r="C443" s="186">
        <f t="shared" ref="C443:M443" si="34">B437</f>
        <v>20180327</v>
      </c>
      <c r="D443" s="186" t="str">
        <f t="shared" si="34"/>
        <v>9999</v>
      </c>
      <c r="E443" s="186" t="str">
        <f t="shared" si="34"/>
        <v>CZCE</v>
      </c>
      <c r="F443" s="186" t="str">
        <f t="shared" si="34"/>
        <v>6001</v>
      </c>
      <c r="G443" s="186" t="str">
        <f t="shared" si="34"/>
        <v>B00101</v>
      </c>
      <c r="H443" s="186" t="str">
        <f t="shared" si="34"/>
        <v>6001</v>
      </c>
      <c r="I443" s="186" t="str">
        <f t="shared" si="34"/>
        <v>CNY</v>
      </c>
      <c r="J443" s="186" t="str">
        <f t="shared" si="34"/>
        <v>SR807</v>
      </c>
      <c r="K443" s="186">
        <f t="shared" si="34"/>
        <v>3</v>
      </c>
      <c r="L443" s="186">
        <f t="shared" si="34"/>
        <v>1</v>
      </c>
      <c r="M443" s="186">
        <f t="shared" si="34"/>
        <v>2</v>
      </c>
      <c r="N443" s="176" t="s">
        <v>1128</v>
      </c>
      <c r="O443" s="176"/>
      <c r="P443" s="176"/>
      <c r="Q443" s="176">
        <v>0</v>
      </c>
      <c r="R443" s="111"/>
      <c r="W443" s="6"/>
      <c r="X443" s="6"/>
      <c r="Y443" s="6"/>
      <c r="Z443" s="6"/>
      <c r="AA443" s="6"/>
      <c r="AB443" s="6"/>
      <c r="AC443" s="6"/>
      <c r="AD443" s="6"/>
      <c r="AE443" s="6"/>
      <c r="AF443" s="6"/>
      <c r="AG443" s="6"/>
      <c r="AH443" s="6"/>
      <c r="AI443" s="6"/>
      <c r="AJ443" s="6"/>
      <c r="AK443" s="6"/>
      <c r="AL443" s="6"/>
      <c r="AM443" s="6"/>
      <c r="AN443" s="6"/>
      <c r="AO443" s="6"/>
      <c r="AP443" s="6"/>
    </row>
    <row r="444" spans="1:42" x14ac:dyDescent="0.25">
      <c r="A444" s="554" t="s">
        <v>173</v>
      </c>
      <c r="B444" s="2"/>
      <c r="C444" s="137"/>
      <c r="D444" s="2"/>
      <c r="E444" s="2"/>
      <c r="F444" s="2"/>
      <c r="G444" s="137"/>
      <c r="H444" s="126"/>
      <c r="I444" s="126"/>
      <c r="J444" s="126"/>
      <c r="K444" s="126"/>
      <c r="W444" s="6"/>
      <c r="X444" s="6"/>
      <c r="Y444" s="6"/>
      <c r="Z444" s="6"/>
      <c r="AA444" s="6"/>
      <c r="AB444" s="6"/>
      <c r="AC444" s="6"/>
      <c r="AD444" s="6"/>
      <c r="AE444" s="6"/>
      <c r="AF444" s="6"/>
      <c r="AG444" s="6"/>
      <c r="AH444" s="6"/>
      <c r="AI444" s="6"/>
      <c r="AJ444" s="6"/>
      <c r="AK444" s="6"/>
      <c r="AL444" s="6"/>
      <c r="AM444" s="6"/>
      <c r="AN444" s="6"/>
      <c r="AO444" s="6"/>
      <c r="AP444" s="6"/>
    </row>
    <row r="445" spans="1:42" x14ac:dyDescent="0.25">
      <c r="A445" s="554" t="s">
        <v>173</v>
      </c>
      <c r="B445" s="183" t="s">
        <v>124</v>
      </c>
      <c r="C445" s="184" t="s">
        <v>1135</v>
      </c>
      <c r="D445" s="184"/>
      <c r="E445" s="184"/>
      <c r="F445" s="171"/>
      <c r="G445" s="137"/>
      <c r="H445" s="126"/>
      <c r="I445" s="126"/>
      <c r="J445" s="126"/>
      <c r="K445" s="126"/>
      <c r="W445" s="6"/>
      <c r="X445" s="6"/>
      <c r="Y445" s="6"/>
      <c r="Z445" s="6"/>
      <c r="AA445" s="6"/>
      <c r="AB445" s="6"/>
      <c r="AC445" s="6"/>
      <c r="AD445" s="6"/>
      <c r="AE445" s="6"/>
      <c r="AF445" s="6"/>
      <c r="AG445" s="6"/>
      <c r="AH445" s="6"/>
      <c r="AI445" s="6"/>
      <c r="AJ445" s="6"/>
      <c r="AK445" s="6"/>
      <c r="AL445" s="6"/>
      <c r="AM445" s="6"/>
      <c r="AN445" s="6"/>
      <c r="AO445" s="6"/>
      <c r="AP445" s="6"/>
    </row>
    <row r="446" spans="1:42" x14ac:dyDescent="0.25">
      <c r="A446" s="554" t="s">
        <v>173</v>
      </c>
      <c r="B446" s="170" t="s">
        <v>306</v>
      </c>
      <c r="C446" s="704" t="s">
        <v>1569</v>
      </c>
      <c r="D446" s="705"/>
      <c r="E446" s="705"/>
      <c r="F446" s="705"/>
      <c r="G446" s="705"/>
      <c r="H446" s="705"/>
      <c r="I446" s="705"/>
      <c r="J446" s="705"/>
      <c r="K446" s="705"/>
      <c r="L446" s="705"/>
      <c r="M446" s="708"/>
      <c r="N446" s="92" t="s">
        <v>1126</v>
      </c>
      <c r="O446" s="172" t="s">
        <v>1107</v>
      </c>
      <c r="P446" s="172" t="s">
        <v>1108</v>
      </c>
      <c r="Q446" s="92" t="s">
        <v>1127</v>
      </c>
      <c r="W446" s="6"/>
      <c r="X446" s="6"/>
      <c r="Y446" s="6"/>
      <c r="Z446" s="6"/>
      <c r="AA446" s="6"/>
      <c r="AB446" s="6"/>
      <c r="AC446" s="6"/>
      <c r="AD446" s="6"/>
      <c r="AE446" s="6"/>
      <c r="AF446" s="6"/>
      <c r="AG446" s="6"/>
      <c r="AH446" s="6"/>
      <c r="AI446" s="6"/>
      <c r="AJ446" s="6"/>
      <c r="AK446" s="6"/>
      <c r="AL446" s="6"/>
      <c r="AM446" s="6"/>
      <c r="AN446" s="6"/>
      <c r="AO446" s="6"/>
      <c r="AP446" s="6"/>
    </row>
    <row r="447" spans="1:42" x14ac:dyDescent="0.25">
      <c r="A447" s="554" t="s">
        <v>173</v>
      </c>
      <c r="B447" s="170"/>
      <c r="C447" s="172" t="s">
        <v>1133</v>
      </c>
      <c r="D447" s="172" t="s">
        <v>1134</v>
      </c>
      <c r="E447" s="172" t="s">
        <v>1117</v>
      </c>
      <c r="F447" s="173" t="s">
        <v>1112</v>
      </c>
      <c r="G447" s="138" t="s">
        <v>1114</v>
      </c>
      <c r="H447" s="172" t="s">
        <v>1115</v>
      </c>
      <c r="I447" s="172" t="s">
        <v>1116</v>
      </c>
      <c r="J447" s="172" t="s">
        <v>1118</v>
      </c>
      <c r="K447" s="172" t="s">
        <v>1120</v>
      </c>
      <c r="L447" s="172" t="s">
        <v>1119</v>
      </c>
      <c r="M447" s="172" t="s">
        <v>1136</v>
      </c>
      <c r="N447" s="172"/>
      <c r="O447" s="92"/>
      <c r="P447" s="92"/>
      <c r="Q447" s="92"/>
      <c r="W447" s="6"/>
      <c r="X447" s="6"/>
      <c r="Y447" s="6"/>
      <c r="Z447" s="6"/>
      <c r="AA447" s="6"/>
      <c r="AB447" s="6"/>
      <c r="AC447" s="6"/>
      <c r="AD447" s="6"/>
      <c r="AE447" s="6"/>
      <c r="AF447" s="6"/>
      <c r="AG447" s="6"/>
      <c r="AH447" s="6"/>
      <c r="AI447" s="6"/>
      <c r="AJ447" s="6"/>
      <c r="AK447" s="6"/>
      <c r="AL447" s="6"/>
      <c r="AM447" s="6"/>
      <c r="AN447" s="6"/>
      <c r="AO447" s="6"/>
      <c r="AP447" s="6"/>
    </row>
    <row r="448" spans="1:42" x14ac:dyDescent="0.25">
      <c r="A448" s="554" t="s">
        <v>173</v>
      </c>
      <c r="B448" s="170"/>
      <c r="C448" s="186">
        <f t="shared" ref="C448:M448" si="35">B438</f>
        <v>20180327</v>
      </c>
      <c r="D448" s="186" t="str">
        <f t="shared" si="35"/>
        <v>9999</v>
      </c>
      <c r="E448" s="186" t="str">
        <f t="shared" si="35"/>
        <v>CZCE</v>
      </c>
      <c r="F448" s="186" t="str">
        <f t="shared" si="35"/>
        <v>6001</v>
      </c>
      <c r="G448" s="186" t="str">
        <f t="shared" si="35"/>
        <v>B00101</v>
      </c>
      <c r="H448" s="186" t="str">
        <f t="shared" si="35"/>
        <v>6001</v>
      </c>
      <c r="I448" s="186" t="str">
        <f t="shared" si="35"/>
        <v>CNY</v>
      </c>
      <c r="J448" s="186" t="str">
        <f t="shared" si="35"/>
        <v>SR807</v>
      </c>
      <c r="K448" s="186">
        <f t="shared" si="35"/>
        <v>3</v>
      </c>
      <c r="L448" s="186">
        <f t="shared" si="35"/>
        <v>3</v>
      </c>
      <c r="M448" s="186">
        <f t="shared" si="35"/>
        <v>3</v>
      </c>
      <c r="N448" s="176" t="s">
        <v>1128</v>
      </c>
      <c r="O448" s="176"/>
      <c r="P448" s="176"/>
      <c r="Q448" s="176">
        <v>0</v>
      </c>
      <c r="W448" s="6"/>
      <c r="X448" s="6"/>
      <c r="Y448" s="6"/>
      <c r="Z448" s="6"/>
      <c r="AA448" s="6"/>
      <c r="AB448" s="6"/>
      <c r="AC448" s="6"/>
      <c r="AD448" s="6"/>
      <c r="AE448" s="6"/>
      <c r="AF448" s="6"/>
      <c r="AG448" s="6"/>
      <c r="AH448" s="6"/>
      <c r="AI448" s="6"/>
      <c r="AJ448" s="6"/>
      <c r="AK448" s="6"/>
      <c r="AL448" s="6"/>
      <c r="AM448" s="6"/>
      <c r="AN448" s="6"/>
      <c r="AO448" s="6"/>
      <c r="AP448" s="6"/>
    </row>
    <row r="449" spans="1:35" s="6" customFormat="1" x14ac:dyDescent="0.25">
      <c r="A449" t="s">
        <v>173</v>
      </c>
      <c r="B449" s="231" t="s">
        <v>1141</v>
      </c>
      <c r="C449" s="188"/>
      <c r="D449" s="188"/>
      <c r="E449" s="188"/>
      <c r="F449" s="188"/>
      <c r="G449" s="188"/>
      <c r="H449" s="188"/>
      <c r="I449" s="188"/>
      <c r="J449" s="188"/>
      <c r="K449" s="188"/>
      <c r="L449" s="188"/>
      <c r="M449" s="188"/>
      <c r="N449" s="167"/>
      <c r="O449" s="167"/>
      <c r="P449" s="167"/>
      <c r="Q449" s="167"/>
    </row>
    <row r="450" spans="1:35" s="6" customFormat="1" x14ac:dyDescent="0.25">
      <c r="A450" t="s">
        <v>173</v>
      </c>
      <c r="B450" s="233" t="s">
        <v>19</v>
      </c>
      <c r="C450" s="189" t="s">
        <v>1138</v>
      </c>
      <c r="D450" s="189" t="s">
        <v>226</v>
      </c>
      <c r="E450" s="189" t="s">
        <v>1140</v>
      </c>
      <c r="F450" s="189" t="s">
        <v>1463</v>
      </c>
      <c r="G450" s="189" t="s">
        <v>191</v>
      </c>
      <c r="H450" s="188"/>
      <c r="I450" s="188"/>
      <c r="J450" s="188"/>
      <c r="K450" s="188"/>
      <c r="L450" s="188"/>
      <c r="M450" s="188"/>
      <c r="N450" s="167"/>
      <c r="O450" s="167"/>
      <c r="P450" s="167"/>
      <c r="Q450" s="167"/>
    </row>
    <row r="451" spans="1:35" s="6" customFormat="1" x14ac:dyDescent="0.25">
      <c r="A451" t="s">
        <v>173</v>
      </c>
      <c r="B451" s="233" t="str">
        <f t="shared" ref="B451:D453" si="36">B9</f>
        <v>6001</v>
      </c>
      <c r="C451" s="233" t="str">
        <f t="shared" si="36"/>
        <v>6001</v>
      </c>
      <c r="D451" s="233" t="str">
        <f t="shared" si="36"/>
        <v>CNY</v>
      </c>
      <c r="E451" s="236">
        <v>5000.37</v>
      </c>
      <c r="F451" s="189">
        <v>0</v>
      </c>
      <c r="G451" s="189" t="str">
        <f>$F$5</f>
        <v>9999</v>
      </c>
      <c r="H451" s="188"/>
      <c r="I451" s="188"/>
      <c r="J451" s="188"/>
      <c r="K451" s="188"/>
      <c r="L451" s="188"/>
      <c r="M451" s="188"/>
      <c r="N451" s="167"/>
      <c r="O451" s="167"/>
      <c r="P451" s="167"/>
      <c r="Q451" s="167"/>
    </row>
    <row r="452" spans="1:35" s="6" customFormat="1" x14ac:dyDescent="0.25">
      <c r="A452" t="s">
        <v>173</v>
      </c>
      <c r="B452" s="421" t="str">
        <f t="shared" si="36"/>
        <v>6001</v>
      </c>
      <c r="C452" s="421" t="str">
        <f t="shared" si="36"/>
        <v>6001</v>
      </c>
      <c r="D452" s="421" t="str">
        <f t="shared" si="36"/>
        <v>HKD</v>
      </c>
      <c r="E452" s="236">
        <v>6000.78</v>
      </c>
      <c r="F452" s="189">
        <v>0</v>
      </c>
      <c r="G452" s="189" t="str">
        <f>$F$5</f>
        <v>9999</v>
      </c>
      <c r="H452" s="188"/>
      <c r="I452" s="188"/>
      <c r="J452" s="188"/>
      <c r="K452" s="188"/>
      <c r="L452" s="188"/>
      <c r="M452" s="188"/>
      <c r="N452" s="167"/>
      <c r="O452" s="167"/>
      <c r="P452" s="167"/>
      <c r="Q452" s="167"/>
    </row>
    <row r="453" spans="1:35" s="6" customFormat="1" x14ac:dyDescent="0.25">
      <c r="A453" t="s">
        <v>173</v>
      </c>
      <c r="B453" s="233" t="str">
        <f t="shared" si="36"/>
        <v>6001</v>
      </c>
      <c r="C453" s="233" t="str">
        <f t="shared" si="36"/>
        <v>6001</v>
      </c>
      <c r="D453" s="233" t="str">
        <f t="shared" si="36"/>
        <v>USD</v>
      </c>
      <c r="E453" s="236">
        <v>7000.78</v>
      </c>
      <c r="F453" s="189">
        <v>0</v>
      </c>
      <c r="G453" s="189" t="str">
        <f t="shared" ref="G453:G456" si="37">$F$5</f>
        <v>9999</v>
      </c>
      <c r="H453" s="188"/>
      <c r="I453" s="188"/>
      <c r="J453" s="188"/>
      <c r="K453" s="188"/>
      <c r="L453" s="188"/>
      <c r="M453" s="188"/>
      <c r="N453" s="167"/>
      <c r="O453" s="167"/>
      <c r="P453" s="167"/>
      <c r="Q453" s="167"/>
    </row>
    <row r="454" spans="1:35" s="6" customFormat="1" x14ac:dyDescent="0.25">
      <c r="A454" t="s">
        <v>173</v>
      </c>
      <c r="B454" s="233" t="str">
        <f t="shared" ref="B454:D455" si="38">B451</f>
        <v>6001</v>
      </c>
      <c r="C454" s="233" t="str">
        <f t="shared" si="38"/>
        <v>6001</v>
      </c>
      <c r="D454" s="233" t="str">
        <f t="shared" si="38"/>
        <v>CNY</v>
      </c>
      <c r="E454" s="236">
        <v>4000</v>
      </c>
      <c r="F454" s="189">
        <v>1</v>
      </c>
      <c r="G454" s="189" t="str">
        <f t="shared" si="37"/>
        <v>9999</v>
      </c>
      <c r="H454" s="188"/>
      <c r="I454" s="188"/>
      <c r="J454" s="188"/>
      <c r="K454" s="188"/>
      <c r="L454" s="188"/>
      <c r="M454" s="188"/>
      <c r="N454" s="167"/>
      <c r="O454" s="167"/>
      <c r="P454" s="167"/>
      <c r="Q454" s="167"/>
    </row>
    <row r="455" spans="1:35" s="6" customFormat="1" x14ac:dyDescent="0.25">
      <c r="A455" t="s">
        <v>173</v>
      </c>
      <c r="B455" s="421" t="str">
        <f t="shared" si="38"/>
        <v>6001</v>
      </c>
      <c r="C455" s="421" t="str">
        <f t="shared" si="38"/>
        <v>6001</v>
      </c>
      <c r="D455" s="421" t="str">
        <f t="shared" si="38"/>
        <v>HKD</v>
      </c>
      <c r="E455" s="236">
        <v>5000</v>
      </c>
      <c r="F455" s="189">
        <v>1</v>
      </c>
      <c r="G455" s="189" t="str">
        <f t="shared" si="37"/>
        <v>9999</v>
      </c>
      <c r="H455" s="188"/>
      <c r="I455" s="188"/>
      <c r="J455" s="188"/>
      <c r="K455" s="188"/>
      <c r="L455" s="188"/>
      <c r="M455" s="188"/>
      <c r="N455" s="167"/>
      <c r="O455" s="167"/>
      <c r="P455" s="167"/>
      <c r="Q455" s="167"/>
    </row>
    <row r="456" spans="1:35" s="6" customFormat="1" x14ac:dyDescent="0.25">
      <c r="A456" t="s">
        <v>173</v>
      </c>
      <c r="B456" s="233" t="str">
        <f>B453</f>
        <v>6001</v>
      </c>
      <c r="C456" s="233" t="str">
        <f t="shared" ref="C456:D456" si="39">C453</f>
        <v>6001</v>
      </c>
      <c r="D456" s="233" t="str">
        <f t="shared" si="39"/>
        <v>USD</v>
      </c>
      <c r="E456" s="236">
        <v>6000</v>
      </c>
      <c r="F456" s="189">
        <v>1</v>
      </c>
      <c r="G456" s="189" t="str">
        <f t="shared" si="37"/>
        <v>9999</v>
      </c>
      <c r="H456" s="188"/>
      <c r="I456" s="188"/>
      <c r="J456" s="188"/>
      <c r="K456" s="188"/>
      <c r="L456" s="188"/>
      <c r="M456" s="188"/>
      <c r="N456" s="167"/>
      <c r="O456" s="167"/>
      <c r="P456" s="167"/>
      <c r="Q456" s="167"/>
    </row>
    <row r="457" spans="1:35" s="6" customFormat="1" x14ac:dyDescent="0.25">
      <c r="A457" t="s">
        <v>173</v>
      </c>
      <c r="B457" s="231" t="s">
        <v>1182</v>
      </c>
      <c r="C457" s="231"/>
      <c r="D457" s="231"/>
      <c r="E457" s="231"/>
      <c r="F457" s="188"/>
      <c r="G457" s="188"/>
      <c r="H457" s="188"/>
      <c r="I457" s="188"/>
      <c r="J457" s="188"/>
      <c r="K457" s="188"/>
      <c r="L457" s="188"/>
      <c r="M457" s="188"/>
      <c r="N457" s="167"/>
      <c r="O457" s="167"/>
      <c r="P457" s="167"/>
      <c r="Q457" s="167"/>
    </row>
    <row r="458" spans="1:35" s="6" customFormat="1" x14ac:dyDescent="0.25">
      <c r="A458" s="183" t="s">
        <v>124</v>
      </c>
      <c r="B458" s="204" t="s">
        <v>1142</v>
      </c>
      <c r="C458" s="204"/>
      <c r="D458" s="204"/>
      <c r="E458" s="235"/>
      <c r="F458" s="188"/>
      <c r="G458" s="188"/>
      <c r="H458" s="188"/>
      <c r="I458" s="188"/>
      <c r="J458" s="188"/>
      <c r="K458" s="188"/>
      <c r="L458" s="188"/>
      <c r="M458" s="167"/>
      <c r="N458" s="167"/>
      <c r="O458" s="167"/>
      <c r="P458" s="167"/>
    </row>
    <row r="459" spans="1:35" s="6" customFormat="1" x14ac:dyDescent="0.25">
      <c r="A459" s="231" t="s">
        <v>306</v>
      </c>
      <c r="B459" s="704" t="s">
        <v>1566</v>
      </c>
      <c r="C459" s="705"/>
      <c r="D459" s="705"/>
      <c r="E459" s="705"/>
      <c r="F459" s="705"/>
      <c r="G459" s="705"/>
      <c r="H459" s="705"/>
      <c r="I459" s="705"/>
      <c r="J459" s="705"/>
      <c r="K459" s="705"/>
      <c r="L459" s="705"/>
      <c r="M459" s="705"/>
      <c r="N459" s="705"/>
      <c r="O459" s="705"/>
      <c r="P459" s="705"/>
      <c r="Q459" s="705"/>
      <c r="R459" s="705"/>
      <c r="S459" s="705"/>
      <c r="T459" s="705"/>
      <c r="U459" s="705"/>
      <c r="V459" s="705"/>
      <c r="W459" s="705"/>
      <c r="X459" s="705"/>
      <c r="Y459" s="705"/>
      <c r="Z459" s="705"/>
      <c r="AA459" s="705"/>
      <c r="AB459" s="705"/>
      <c r="AC459" s="705"/>
      <c r="AD459" s="705"/>
      <c r="AE459" s="708"/>
      <c r="AF459" s="695" t="s">
        <v>1126</v>
      </c>
      <c r="AG459" s="695" t="s">
        <v>1107</v>
      </c>
      <c r="AH459" s="695" t="s">
        <v>1108</v>
      </c>
      <c r="AI459" s="695" t="s">
        <v>1127</v>
      </c>
    </row>
    <row r="460" spans="1:35" s="6" customFormat="1" x14ac:dyDescent="0.25">
      <c r="A460" s="233"/>
      <c r="B460" s="233" t="s">
        <v>1145</v>
      </c>
      <c r="C460" s="233" t="s">
        <v>1146</v>
      </c>
      <c r="D460" s="233" t="s">
        <v>1147</v>
      </c>
      <c r="E460" s="189" t="s">
        <v>1148</v>
      </c>
      <c r="F460" s="189" t="s">
        <v>1149</v>
      </c>
      <c r="G460" s="189" t="s">
        <v>1150</v>
      </c>
      <c r="H460" s="189" t="s">
        <v>1151</v>
      </c>
      <c r="I460" s="189" t="s">
        <v>1152</v>
      </c>
      <c r="J460" s="189" t="s">
        <v>1153</v>
      </c>
      <c r="K460" s="189" t="s">
        <v>1154</v>
      </c>
      <c r="L460" s="189" t="s">
        <v>1134</v>
      </c>
      <c r="M460" s="189" t="s">
        <v>1155</v>
      </c>
      <c r="N460" s="189" t="s">
        <v>1112</v>
      </c>
      <c r="O460" s="189" t="s">
        <v>1115</v>
      </c>
      <c r="P460" s="189" t="s">
        <v>1156</v>
      </c>
      <c r="Q460" s="189" t="s">
        <v>1157</v>
      </c>
      <c r="R460" s="189" t="s">
        <v>1158</v>
      </c>
      <c r="S460" s="189" t="s">
        <v>1159</v>
      </c>
      <c r="T460" s="189" t="s">
        <v>1160</v>
      </c>
      <c r="U460" s="189" t="s">
        <v>1161</v>
      </c>
      <c r="V460" s="189" t="s">
        <v>1162</v>
      </c>
      <c r="W460" s="189" t="s">
        <v>1164</v>
      </c>
      <c r="X460" s="189" t="s">
        <v>1165</v>
      </c>
      <c r="Y460" s="189" t="s">
        <v>1166</v>
      </c>
      <c r="Z460" s="189" t="s">
        <v>1117</v>
      </c>
      <c r="AA460" s="189" t="s">
        <v>1116</v>
      </c>
      <c r="AB460" s="189" t="s">
        <v>1167</v>
      </c>
      <c r="AC460" s="189" t="s">
        <v>1168</v>
      </c>
      <c r="AD460" s="189" t="s">
        <v>1169</v>
      </c>
      <c r="AE460" s="189" t="s">
        <v>1170</v>
      </c>
      <c r="AF460" s="696"/>
      <c r="AG460" s="696"/>
      <c r="AH460" s="696"/>
      <c r="AI460" s="696"/>
    </row>
    <row r="461" spans="1:35" s="6" customFormat="1" x14ac:dyDescent="0.25">
      <c r="A461" s="233"/>
      <c r="B461" s="233"/>
      <c r="C461" s="233"/>
      <c r="D461" s="233"/>
      <c r="E461" s="189"/>
      <c r="F461" s="189"/>
      <c r="G461" s="189"/>
      <c r="H461" s="189"/>
      <c r="I461" s="189"/>
      <c r="J461" s="189"/>
      <c r="K461" s="189"/>
      <c r="L461" s="189" t="str">
        <f>G451</f>
        <v>9999</v>
      </c>
      <c r="M461" s="111"/>
      <c r="N461" s="111" t="str">
        <f>B451</f>
        <v>6001</v>
      </c>
      <c r="O461" s="111" t="str">
        <f>C451</f>
        <v>6001</v>
      </c>
      <c r="P461" s="111"/>
      <c r="Q461" s="111"/>
      <c r="R461" s="111">
        <v>3</v>
      </c>
      <c r="S461" s="111">
        <v>1</v>
      </c>
      <c r="T461" s="111">
        <v>1</v>
      </c>
      <c r="U461" s="113">
        <f>E451</f>
        <v>5000.37</v>
      </c>
      <c r="V461" s="111" t="s">
        <v>2034</v>
      </c>
      <c r="W461" s="111"/>
      <c r="X461" s="111"/>
      <c r="Y461" s="111"/>
      <c r="Z461" s="111"/>
      <c r="AA461" s="111" t="str">
        <f>D451</f>
        <v>CNY</v>
      </c>
      <c r="AB461" s="111"/>
      <c r="AC461" s="111"/>
      <c r="AD461" s="111"/>
      <c r="AE461" s="111">
        <v>1</v>
      </c>
      <c r="AF461" s="176" t="s">
        <v>1128</v>
      </c>
      <c r="AG461" s="176"/>
      <c r="AH461" s="176"/>
      <c r="AI461" s="176">
        <v>0</v>
      </c>
    </row>
    <row r="462" spans="1:35" s="6" customFormat="1" x14ac:dyDescent="0.25">
      <c r="A462" t="s">
        <v>173</v>
      </c>
      <c r="B462" s="231" t="s">
        <v>1183</v>
      </c>
      <c r="C462" s="231"/>
      <c r="D462" s="231"/>
      <c r="E462" s="188"/>
      <c r="F462" s="188"/>
      <c r="G462" s="188"/>
      <c r="H462" s="188"/>
      <c r="I462" s="188"/>
      <c r="J462" s="188"/>
      <c r="K462" s="188"/>
      <c r="L462" s="188"/>
      <c r="M462" s="188"/>
      <c r="N462" s="167"/>
      <c r="O462" s="167"/>
      <c r="P462" s="167"/>
      <c r="Q462" s="167"/>
    </row>
    <row r="463" spans="1:35" s="6" customFormat="1" x14ac:dyDescent="0.25">
      <c r="A463" s="183" t="s">
        <v>124</v>
      </c>
      <c r="B463" s="184" t="s">
        <v>1172</v>
      </c>
      <c r="C463" s="184"/>
      <c r="D463" s="184"/>
      <c r="E463" s="171"/>
      <c r="F463" s="188"/>
      <c r="G463" s="188"/>
      <c r="H463" s="188"/>
      <c r="I463" s="188"/>
      <c r="J463" s="188"/>
      <c r="K463" s="188"/>
      <c r="L463" s="188"/>
      <c r="M463" s="167"/>
      <c r="N463" s="167"/>
      <c r="O463" s="167"/>
      <c r="P463" s="167"/>
    </row>
    <row r="464" spans="1:35" s="6" customFormat="1" x14ac:dyDescent="0.25">
      <c r="A464" s="231" t="s">
        <v>306</v>
      </c>
      <c r="B464" s="704" t="s">
        <v>1566</v>
      </c>
      <c r="C464" s="705"/>
      <c r="D464" s="705"/>
      <c r="E464" s="705"/>
      <c r="F464" s="705"/>
      <c r="G464" s="705"/>
      <c r="H464" s="705"/>
      <c r="I464" s="705"/>
      <c r="J464" s="705"/>
      <c r="K464" s="705"/>
      <c r="L464" s="705"/>
      <c r="M464" s="705"/>
      <c r="N464" s="705"/>
      <c r="O464" s="705"/>
      <c r="P464" s="705"/>
      <c r="Q464" s="705"/>
      <c r="R464" s="705"/>
      <c r="S464" s="705"/>
      <c r="T464" s="705"/>
      <c r="U464" s="705"/>
      <c r="V464" s="705"/>
      <c r="W464" s="705"/>
      <c r="X464" s="705"/>
      <c r="Y464" s="705"/>
      <c r="Z464" s="705"/>
      <c r="AA464" s="705"/>
      <c r="AB464" s="705"/>
      <c r="AC464" s="705"/>
      <c r="AD464" s="705"/>
      <c r="AE464" s="708"/>
      <c r="AF464" s="695" t="s">
        <v>1126</v>
      </c>
      <c r="AG464" s="695" t="s">
        <v>1107</v>
      </c>
      <c r="AH464" s="695" t="s">
        <v>1108</v>
      </c>
      <c r="AI464" s="695" t="s">
        <v>1127</v>
      </c>
    </row>
    <row r="465" spans="1:42" s="6" customFormat="1" x14ac:dyDescent="0.25">
      <c r="A465" s="233"/>
      <c r="B465" s="190" t="s">
        <v>1145</v>
      </c>
      <c r="C465" s="233" t="s">
        <v>1146</v>
      </c>
      <c r="D465" s="233" t="s">
        <v>1147</v>
      </c>
      <c r="E465" s="189" t="s">
        <v>1148</v>
      </c>
      <c r="F465" s="189" t="s">
        <v>1149</v>
      </c>
      <c r="G465" s="189" t="s">
        <v>1150</v>
      </c>
      <c r="H465" s="189" t="s">
        <v>1151</v>
      </c>
      <c r="I465" s="189" t="s">
        <v>1152</v>
      </c>
      <c r="J465" s="189" t="s">
        <v>1153</v>
      </c>
      <c r="K465" s="189" t="s">
        <v>1154</v>
      </c>
      <c r="L465" s="189" t="s">
        <v>1134</v>
      </c>
      <c r="M465" s="189" t="s">
        <v>1155</v>
      </c>
      <c r="N465" s="189" t="s">
        <v>1112</v>
      </c>
      <c r="O465" s="189" t="s">
        <v>1115</v>
      </c>
      <c r="P465" s="189" t="s">
        <v>1156</v>
      </c>
      <c r="Q465" s="189" t="s">
        <v>1157</v>
      </c>
      <c r="R465" s="189" t="s">
        <v>1158</v>
      </c>
      <c r="S465" s="189" t="s">
        <v>1159</v>
      </c>
      <c r="T465" s="189" t="s">
        <v>1160</v>
      </c>
      <c r="U465" s="189" t="s">
        <v>1161</v>
      </c>
      <c r="V465" s="189" t="s">
        <v>1162</v>
      </c>
      <c r="W465" s="189" t="s">
        <v>1164</v>
      </c>
      <c r="X465" s="189" t="s">
        <v>1165</v>
      </c>
      <c r="Y465" s="189" t="s">
        <v>1166</v>
      </c>
      <c r="Z465" s="189" t="s">
        <v>1117</v>
      </c>
      <c r="AA465" s="189" t="s">
        <v>1116</v>
      </c>
      <c r="AB465" s="189" t="s">
        <v>1167</v>
      </c>
      <c r="AC465" s="189" t="s">
        <v>1168</v>
      </c>
      <c r="AD465" s="189" t="s">
        <v>1169</v>
      </c>
      <c r="AE465" s="189" t="s">
        <v>1170</v>
      </c>
      <c r="AF465" s="696"/>
      <c r="AG465" s="696"/>
      <c r="AH465" s="696"/>
      <c r="AI465" s="696"/>
    </row>
    <row r="466" spans="1:42" x14ac:dyDescent="0.25">
      <c r="A466" s="233"/>
      <c r="B466" s="190">
        <f>F2</f>
        <v>2</v>
      </c>
      <c r="C466" s="233">
        <v>1</v>
      </c>
      <c r="D466" s="233" t="s">
        <v>1173</v>
      </c>
      <c r="E466" s="189">
        <v>20190328</v>
      </c>
      <c r="F466" s="191">
        <v>0.57240740740740736</v>
      </c>
      <c r="G466" s="189"/>
      <c r="H466" s="189"/>
      <c r="I466" s="189"/>
      <c r="J466" s="189" t="s">
        <v>1179</v>
      </c>
      <c r="K466" s="189">
        <v>1</v>
      </c>
      <c r="L466" s="189" t="str">
        <f>G451</f>
        <v>9999</v>
      </c>
      <c r="M466" s="111"/>
      <c r="N466" s="111" t="str">
        <f>B451</f>
        <v>6001</v>
      </c>
      <c r="O466" s="111" t="str">
        <f>C451</f>
        <v>6001</v>
      </c>
      <c r="P466" s="111"/>
      <c r="Q466" s="111">
        <v>1</v>
      </c>
      <c r="R466" s="111">
        <v>3</v>
      </c>
      <c r="S466" s="111">
        <v>1</v>
      </c>
      <c r="T466" s="111">
        <v>1</v>
      </c>
      <c r="U466" s="113">
        <f>U461</f>
        <v>5000.37</v>
      </c>
      <c r="V466" s="111" t="s">
        <v>2034</v>
      </c>
      <c r="W466" s="111">
        <v>1</v>
      </c>
      <c r="X466" s="111"/>
      <c r="Y466" s="111"/>
      <c r="Z466" s="111"/>
      <c r="AA466" s="111" t="str">
        <f>AA461</f>
        <v>CNY</v>
      </c>
      <c r="AB466" s="111">
        <v>1</v>
      </c>
      <c r="AC466" s="111">
        <v>1</v>
      </c>
      <c r="AD466" s="111"/>
      <c r="AE466" s="111">
        <v>1</v>
      </c>
      <c r="AF466" s="111" t="s">
        <v>1128</v>
      </c>
      <c r="AG466" s="111"/>
      <c r="AH466" s="111"/>
      <c r="AI466" s="111">
        <v>0</v>
      </c>
      <c r="AJ466" s="6"/>
      <c r="AK466" s="6"/>
      <c r="AL466" s="6"/>
      <c r="AM466" s="6"/>
      <c r="AN466" s="6"/>
      <c r="AO466" s="6"/>
    </row>
    <row r="467" spans="1:42" s="6" customFormat="1" x14ac:dyDescent="0.25">
      <c r="A467" t="s">
        <v>173</v>
      </c>
      <c r="B467" s="323" t="s">
        <v>1892</v>
      </c>
      <c r="C467" s="323"/>
      <c r="D467" s="323"/>
      <c r="E467" s="323"/>
      <c r="F467" s="188"/>
      <c r="G467" s="188"/>
      <c r="H467" s="188"/>
      <c r="I467" s="188"/>
      <c r="J467" s="188"/>
      <c r="K467" s="188"/>
      <c r="L467" s="188"/>
      <c r="M467" s="188"/>
      <c r="N467" s="167"/>
      <c r="O467" s="167"/>
      <c r="P467" s="167"/>
      <c r="Q467" s="167"/>
    </row>
    <row r="468" spans="1:42" s="6" customFormat="1" x14ac:dyDescent="0.25">
      <c r="A468" s="183" t="s">
        <v>124</v>
      </c>
      <c r="B468" s="204" t="s">
        <v>1142</v>
      </c>
      <c r="C468" s="204"/>
      <c r="D468" s="204"/>
      <c r="E468" s="235"/>
      <c r="F468" s="188"/>
      <c r="G468" s="188"/>
      <c r="H468" s="188"/>
      <c r="I468" s="188"/>
      <c r="J468" s="188"/>
      <c r="K468" s="188"/>
      <c r="L468" s="188"/>
      <c r="M468" s="167"/>
      <c r="N468" s="167"/>
      <c r="O468" s="167"/>
      <c r="P468" s="167"/>
    </row>
    <row r="469" spans="1:42" s="6" customFormat="1" x14ac:dyDescent="0.25">
      <c r="A469" s="323" t="s">
        <v>306</v>
      </c>
      <c r="B469" s="704" t="s">
        <v>1566</v>
      </c>
      <c r="C469" s="705"/>
      <c r="D469" s="705"/>
      <c r="E469" s="705"/>
      <c r="F469" s="705"/>
      <c r="G469" s="705"/>
      <c r="H469" s="705"/>
      <c r="I469" s="705"/>
      <c r="J469" s="705"/>
      <c r="K469" s="705"/>
      <c r="L469" s="705"/>
      <c r="M469" s="705"/>
      <c r="N469" s="705"/>
      <c r="O469" s="705"/>
      <c r="P469" s="705"/>
      <c r="Q469" s="705"/>
      <c r="R469" s="705"/>
      <c r="S469" s="705"/>
      <c r="T469" s="705"/>
      <c r="U469" s="705"/>
      <c r="V469" s="705"/>
      <c r="W469" s="705"/>
      <c r="X469" s="705"/>
      <c r="Y469" s="705"/>
      <c r="Z469" s="705"/>
      <c r="AA469" s="705"/>
      <c r="AB469" s="705"/>
      <c r="AC469" s="705"/>
      <c r="AD469" s="705"/>
      <c r="AE469" s="708"/>
      <c r="AF469" s="695" t="s">
        <v>1126</v>
      </c>
      <c r="AG469" s="695" t="s">
        <v>1107</v>
      </c>
      <c r="AH469" s="695" t="s">
        <v>1108</v>
      </c>
      <c r="AI469" s="695" t="s">
        <v>1127</v>
      </c>
    </row>
    <row r="470" spans="1:42" s="6" customFormat="1" x14ac:dyDescent="0.25">
      <c r="A470" s="421"/>
      <c r="B470" s="421" t="s">
        <v>1145</v>
      </c>
      <c r="C470" s="421" t="s">
        <v>1146</v>
      </c>
      <c r="D470" s="421" t="s">
        <v>1147</v>
      </c>
      <c r="E470" s="189" t="s">
        <v>1148</v>
      </c>
      <c r="F470" s="189" t="s">
        <v>1149</v>
      </c>
      <c r="G470" s="189" t="s">
        <v>1150</v>
      </c>
      <c r="H470" s="189" t="s">
        <v>1151</v>
      </c>
      <c r="I470" s="189" t="s">
        <v>1152</v>
      </c>
      <c r="J470" s="189" t="s">
        <v>1153</v>
      </c>
      <c r="K470" s="189" t="s">
        <v>1154</v>
      </c>
      <c r="L470" s="189" t="s">
        <v>1134</v>
      </c>
      <c r="M470" s="189" t="s">
        <v>1155</v>
      </c>
      <c r="N470" s="189" t="s">
        <v>1112</v>
      </c>
      <c r="O470" s="189" t="s">
        <v>1115</v>
      </c>
      <c r="P470" s="189" t="s">
        <v>1156</v>
      </c>
      <c r="Q470" s="189" t="s">
        <v>1157</v>
      </c>
      <c r="R470" s="189" t="s">
        <v>1158</v>
      </c>
      <c r="S470" s="189" t="s">
        <v>1159</v>
      </c>
      <c r="T470" s="189" t="s">
        <v>1160</v>
      </c>
      <c r="U470" s="189" t="s">
        <v>1161</v>
      </c>
      <c r="V470" s="189" t="s">
        <v>1162</v>
      </c>
      <c r="W470" s="189" t="s">
        <v>1164</v>
      </c>
      <c r="X470" s="189" t="s">
        <v>1165</v>
      </c>
      <c r="Y470" s="189" t="s">
        <v>1166</v>
      </c>
      <c r="Z470" s="189" t="s">
        <v>1117</v>
      </c>
      <c r="AA470" s="189" t="s">
        <v>1116</v>
      </c>
      <c r="AB470" s="189" t="s">
        <v>1167</v>
      </c>
      <c r="AC470" s="189" t="s">
        <v>1168</v>
      </c>
      <c r="AD470" s="189" t="s">
        <v>1169</v>
      </c>
      <c r="AE470" s="189" t="s">
        <v>1170</v>
      </c>
      <c r="AF470" s="696"/>
      <c r="AG470" s="696"/>
      <c r="AH470" s="696"/>
      <c r="AI470" s="696"/>
    </row>
    <row r="471" spans="1:42" s="6" customFormat="1" x14ac:dyDescent="0.25">
      <c r="A471" s="421"/>
      <c r="B471" s="421"/>
      <c r="C471" s="421"/>
      <c r="D471" s="421"/>
      <c r="E471" s="189"/>
      <c r="F471" s="189"/>
      <c r="G471" s="189"/>
      <c r="H471" s="189"/>
      <c r="I471" s="189"/>
      <c r="J471" s="189"/>
      <c r="K471" s="189"/>
      <c r="L471" s="189" t="str">
        <f>G452</f>
        <v>9999</v>
      </c>
      <c r="M471" s="111"/>
      <c r="N471" s="111" t="str">
        <f>B452</f>
        <v>6001</v>
      </c>
      <c r="O471" s="111" t="str">
        <f>C452</f>
        <v>6001</v>
      </c>
      <c r="P471" s="111"/>
      <c r="Q471" s="111"/>
      <c r="R471" s="111">
        <v>3</v>
      </c>
      <c r="S471" s="111">
        <v>1</v>
      </c>
      <c r="T471" s="111">
        <v>1</v>
      </c>
      <c r="U471" s="113">
        <f>E452</f>
        <v>6000.78</v>
      </c>
      <c r="V471" s="111" t="s">
        <v>2036</v>
      </c>
      <c r="W471" s="111"/>
      <c r="X471" s="111"/>
      <c r="Y471" s="111"/>
      <c r="Z471" s="111"/>
      <c r="AA471" s="111" t="str">
        <f>D452</f>
        <v>HKD</v>
      </c>
      <c r="AB471" s="111"/>
      <c r="AC471" s="111"/>
      <c r="AD471" s="111"/>
      <c r="AE471" s="111">
        <v>1</v>
      </c>
      <c r="AF471" s="176" t="s">
        <v>1128</v>
      </c>
      <c r="AG471" s="176"/>
      <c r="AH471" s="176"/>
      <c r="AI471" s="176">
        <v>0</v>
      </c>
    </row>
    <row r="472" spans="1:42" s="6" customFormat="1" x14ac:dyDescent="0.25">
      <c r="A472" t="s">
        <v>173</v>
      </c>
      <c r="B472" s="323" t="s">
        <v>1893</v>
      </c>
      <c r="C472" s="323"/>
      <c r="D472" s="323"/>
      <c r="E472" s="188"/>
      <c r="F472" s="188"/>
      <c r="G472" s="188"/>
      <c r="H472" s="188"/>
      <c r="I472" s="188"/>
      <c r="J472" s="188"/>
      <c r="K472" s="188"/>
      <c r="L472" s="188"/>
      <c r="M472" s="188"/>
      <c r="N472" s="167"/>
      <c r="O472" s="167"/>
      <c r="P472" s="167"/>
      <c r="Q472" s="167"/>
    </row>
    <row r="473" spans="1:42" s="6" customFormat="1" x14ac:dyDescent="0.25">
      <c r="A473" s="183" t="s">
        <v>124</v>
      </c>
      <c r="B473" s="184" t="s">
        <v>1172</v>
      </c>
      <c r="C473" s="184"/>
      <c r="D473" s="184"/>
      <c r="E473" s="171"/>
      <c r="F473" s="188"/>
      <c r="G473" s="188"/>
      <c r="H473" s="188"/>
      <c r="I473" s="188"/>
      <c r="J473" s="188"/>
      <c r="K473" s="188"/>
      <c r="L473" s="188"/>
      <c r="M473" s="167"/>
      <c r="N473" s="167"/>
      <c r="O473" s="167"/>
      <c r="P473" s="167"/>
    </row>
    <row r="474" spans="1:42" s="6" customFormat="1" x14ac:dyDescent="0.25">
      <c r="A474" s="323" t="s">
        <v>306</v>
      </c>
      <c r="B474" s="704" t="s">
        <v>1566</v>
      </c>
      <c r="C474" s="705"/>
      <c r="D474" s="705"/>
      <c r="E474" s="705"/>
      <c r="F474" s="705"/>
      <c r="G474" s="705"/>
      <c r="H474" s="705"/>
      <c r="I474" s="705"/>
      <c r="J474" s="705"/>
      <c r="K474" s="705"/>
      <c r="L474" s="705"/>
      <c r="M474" s="705"/>
      <c r="N474" s="705"/>
      <c r="O474" s="705"/>
      <c r="P474" s="705"/>
      <c r="Q474" s="705"/>
      <c r="R474" s="705"/>
      <c r="S474" s="705"/>
      <c r="T474" s="705"/>
      <c r="U474" s="705"/>
      <c r="V474" s="705"/>
      <c r="W474" s="705"/>
      <c r="X474" s="705"/>
      <c r="Y474" s="705"/>
      <c r="Z474" s="705"/>
      <c r="AA474" s="705"/>
      <c r="AB474" s="705"/>
      <c r="AC474" s="705"/>
      <c r="AD474" s="705"/>
      <c r="AE474" s="708"/>
      <c r="AF474" s="695" t="s">
        <v>1126</v>
      </c>
      <c r="AG474" s="695" t="s">
        <v>1107</v>
      </c>
      <c r="AH474" s="695" t="s">
        <v>1108</v>
      </c>
      <c r="AI474" s="695" t="s">
        <v>1127</v>
      </c>
    </row>
    <row r="475" spans="1:42" s="6" customFormat="1" x14ac:dyDescent="0.25">
      <c r="A475" s="421"/>
      <c r="B475" s="190" t="s">
        <v>1145</v>
      </c>
      <c r="C475" s="421" t="s">
        <v>1146</v>
      </c>
      <c r="D475" s="421" t="s">
        <v>1147</v>
      </c>
      <c r="E475" s="189" t="s">
        <v>1148</v>
      </c>
      <c r="F475" s="189" t="s">
        <v>1149</v>
      </c>
      <c r="G475" s="189" t="s">
        <v>1150</v>
      </c>
      <c r="H475" s="189" t="s">
        <v>1151</v>
      </c>
      <c r="I475" s="189" t="s">
        <v>1152</v>
      </c>
      <c r="J475" s="189" t="s">
        <v>1153</v>
      </c>
      <c r="K475" s="189" t="s">
        <v>1154</v>
      </c>
      <c r="L475" s="189" t="s">
        <v>1134</v>
      </c>
      <c r="M475" s="189" t="s">
        <v>1155</v>
      </c>
      <c r="N475" s="189" t="s">
        <v>1112</v>
      </c>
      <c r="O475" s="189" t="s">
        <v>1115</v>
      </c>
      <c r="P475" s="189" t="s">
        <v>1156</v>
      </c>
      <c r="Q475" s="189" t="s">
        <v>1157</v>
      </c>
      <c r="R475" s="189" t="s">
        <v>1158</v>
      </c>
      <c r="S475" s="189" t="s">
        <v>1159</v>
      </c>
      <c r="T475" s="189" t="s">
        <v>1160</v>
      </c>
      <c r="U475" s="189" t="s">
        <v>1161</v>
      </c>
      <c r="V475" s="189" t="s">
        <v>1162</v>
      </c>
      <c r="W475" s="189" t="s">
        <v>1164</v>
      </c>
      <c r="X475" s="189" t="s">
        <v>1165</v>
      </c>
      <c r="Y475" s="189" t="s">
        <v>1166</v>
      </c>
      <c r="Z475" s="189" t="s">
        <v>1117</v>
      </c>
      <c r="AA475" s="189" t="s">
        <v>1116</v>
      </c>
      <c r="AB475" s="189" t="s">
        <v>1167</v>
      </c>
      <c r="AC475" s="189" t="s">
        <v>1168</v>
      </c>
      <c r="AD475" s="189" t="s">
        <v>1169</v>
      </c>
      <c r="AE475" s="189" t="s">
        <v>1170</v>
      </c>
      <c r="AF475" s="696"/>
      <c r="AG475" s="696"/>
      <c r="AH475" s="696"/>
      <c r="AI475" s="696"/>
    </row>
    <row r="476" spans="1:42" x14ac:dyDescent="0.25">
      <c r="A476" s="421"/>
      <c r="B476" s="190">
        <f>B466+1</f>
        <v>3</v>
      </c>
      <c r="C476" s="421">
        <v>1</v>
      </c>
      <c r="D476" s="421" t="s">
        <v>1173</v>
      </c>
      <c r="E476" s="189">
        <v>20190328</v>
      </c>
      <c r="F476" s="191">
        <v>0.57240740740740736</v>
      </c>
      <c r="G476" s="189"/>
      <c r="H476" s="189"/>
      <c r="I476" s="189"/>
      <c r="J476" s="189" t="s">
        <v>1876</v>
      </c>
      <c r="K476" s="189">
        <v>1</v>
      </c>
      <c r="L476" s="189" t="str">
        <f>L471</f>
        <v>9999</v>
      </c>
      <c r="M476" s="111"/>
      <c r="N476" s="111" t="str">
        <f>N471</f>
        <v>6001</v>
      </c>
      <c r="O476" s="111" t="str">
        <f>O471</f>
        <v>6001</v>
      </c>
      <c r="P476" s="111"/>
      <c r="Q476" s="111">
        <v>1</v>
      </c>
      <c r="R476" s="111">
        <v>3</v>
      </c>
      <c r="S476" s="111">
        <v>1</v>
      </c>
      <c r="T476" s="111">
        <v>1</v>
      </c>
      <c r="U476" s="113">
        <f>U471</f>
        <v>6000.78</v>
      </c>
      <c r="V476" s="111" t="s">
        <v>2036</v>
      </c>
      <c r="W476" s="111">
        <v>1</v>
      </c>
      <c r="X476" s="111"/>
      <c r="Y476" s="111"/>
      <c r="Z476" s="111"/>
      <c r="AA476" s="111" t="str">
        <f>AA471</f>
        <v>HKD</v>
      </c>
      <c r="AB476" s="111">
        <v>1</v>
      </c>
      <c r="AC476" s="111">
        <v>1</v>
      </c>
      <c r="AD476" s="111"/>
      <c r="AE476" s="111">
        <v>1</v>
      </c>
      <c r="AF476" s="111" t="s">
        <v>1128</v>
      </c>
      <c r="AG476" s="111"/>
      <c r="AH476" s="111"/>
      <c r="AI476" s="111">
        <v>0</v>
      </c>
      <c r="AJ476" s="6"/>
      <c r="AK476" s="6"/>
      <c r="AL476" s="6"/>
      <c r="AM476" s="6"/>
      <c r="AN476" s="6"/>
      <c r="AO476" s="6"/>
    </row>
    <row r="477" spans="1:42" x14ac:dyDescent="0.25">
      <c r="A477" t="s">
        <v>173</v>
      </c>
      <c r="B477" s="231" t="s">
        <v>1184</v>
      </c>
      <c r="C477" s="231"/>
      <c r="D477" s="231"/>
      <c r="E477" s="231"/>
      <c r="F477" s="188"/>
      <c r="G477" s="188"/>
      <c r="H477" s="188"/>
      <c r="I477" s="188"/>
      <c r="J477" s="188"/>
      <c r="K477" s="188"/>
      <c r="L477" s="188"/>
      <c r="M477" s="188"/>
      <c r="N477" s="167"/>
      <c r="O477" s="167"/>
      <c r="P477" s="167"/>
      <c r="Q477" s="167"/>
      <c r="R477" s="167"/>
      <c r="S477" s="167"/>
      <c r="T477" s="167"/>
      <c r="U477" s="167"/>
      <c r="V477" s="182"/>
      <c r="W477" s="167"/>
      <c r="X477" s="167"/>
      <c r="Y477" s="167"/>
      <c r="Z477" s="167"/>
      <c r="AA477" s="167"/>
      <c r="AB477" s="167"/>
      <c r="AC477" s="167"/>
      <c r="AD477" s="167"/>
      <c r="AE477" s="167"/>
      <c r="AF477" s="167"/>
      <c r="AG477" s="167"/>
      <c r="AH477" s="167"/>
      <c r="AI477" s="167"/>
      <c r="AJ477" s="167"/>
      <c r="AK477" s="6"/>
      <c r="AL477" s="6"/>
      <c r="AM477" s="6"/>
      <c r="AN477" s="6"/>
      <c r="AO477" s="6"/>
      <c r="AP477" s="6"/>
    </row>
    <row r="478" spans="1:42" s="6" customFormat="1" x14ac:dyDescent="0.25">
      <c r="A478" s="183" t="s">
        <v>124</v>
      </c>
      <c r="B478" s="184" t="s">
        <v>1142</v>
      </c>
      <c r="C478" s="184"/>
      <c r="D478" s="184"/>
      <c r="E478" s="171"/>
      <c r="F478" s="188"/>
      <c r="G478" s="188"/>
      <c r="H478" s="188"/>
      <c r="I478" s="188"/>
      <c r="J478" s="188"/>
      <c r="K478" s="188"/>
      <c r="L478" s="188"/>
      <c r="M478" s="167"/>
      <c r="N478" s="167"/>
      <c r="O478" s="167"/>
      <c r="P478" s="167"/>
    </row>
    <row r="479" spans="1:42" s="6" customFormat="1" x14ac:dyDescent="0.25">
      <c r="A479" s="231" t="s">
        <v>306</v>
      </c>
      <c r="B479" s="704" t="s">
        <v>1566</v>
      </c>
      <c r="C479" s="705"/>
      <c r="D479" s="705"/>
      <c r="E479" s="705"/>
      <c r="F479" s="705"/>
      <c r="G479" s="705"/>
      <c r="H479" s="705"/>
      <c r="I479" s="705"/>
      <c r="J479" s="705"/>
      <c r="K479" s="705"/>
      <c r="L479" s="705"/>
      <c r="M479" s="705"/>
      <c r="N479" s="705"/>
      <c r="O479" s="705"/>
      <c r="P479" s="705"/>
      <c r="Q479" s="705"/>
      <c r="R479" s="705"/>
      <c r="S479" s="705"/>
      <c r="T479" s="705"/>
      <c r="U479" s="705"/>
      <c r="V479" s="705"/>
      <c r="W479" s="705"/>
      <c r="X479" s="705"/>
      <c r="Y479" s="705"/>
      <c r="Z479" s="705"/>
      <c r="AA479" s="705"/>
      <c r="AB479" s="705"/>
      <c r="AC479" s="705"/>
      <c r="AD479" s="705"/>
      <c r="AE479" s="708"/>
      <c r="AF479" s="695" t="s">
        <v>1126</v>
      </c>
      <c r="AG479" s="695" t="s">
        <v>1107</v>
      </c>
      <c r="AH479" s="695" t="s">
        <v>1108</v>
      </c>
      <c r="AI479" s="695" t="s">
        <v>1127</v>
      </c>
    </row>
    <row r="480" spans="1:42" s="6" customFormat="1" x14ac:dyDescent="0.25">
      <c r="A480" s="233"/>
      <c r="B480" s="233" t="s">
        <v>1145</v>
      </c>
      <c r="C480" s="233" t="s">
        <v>1146</v>
      </c>
      <c r="D480" s="233" t="s">
        <v>1147</v>
      </c>
      <c r="E480" s="189" t="s">
        <v>1148</v>
      </c>
      <c r="F480" s="189" t="s">
        <v>1149</v>
      </c>
      <c r="G480" s="189" t="s">
        <v>1150</v>
      </c>
      <c r="H480" s="189" t="s">
        <v>1151</v>
      </c>
      <c r="I480" s="189" t="s">
        <v>1152</v>
      </c>
      <c r="J480" s="189" t="s">
        <v>1153</v>
      </c>
      <c r="K480" s="189" t="s">
        <v>1154</v>
      </c>
      <c r="L480" s="189" t="s">
        <v>1134</v>
      </c>
      <c r="M480" s="189" t="s">
        <v>1155</v>
      </c>
      <c r="N480" s="189" t="s">
        <v>1112</v>
      </c>
      <c r="O480" s="189" t="s">
        <v>1115</v>
      </c>
      <c r="P480" s="189" t="s">
        <v>1156</v>
      </c>
      <c r="Q480" s="189" t="s">
        <v>1157</v>
      </c>
      <c r="R480" s="189" t="s">
        <v>1158</v>
      </c>
      <c r="S480" s="189" t="s">
        <v>1159</v>
      </c>
      <c r="T480" s="189" t="s">
        <v>1160</v>
      </c>
      <c r="U480" s="189" t="s">
        <v>1161</v>
      </c>
      <c r="V480" s="189" t="s">
        <v>1162</v>
      </c>
      <c r="W480" s="189" t="s">
        <v>1164</v>
      </c>
      <c r="X480" s="189" t="s">
        <v>1165</v>
      </c>
      <c r="Y480" s="189" t="s">
        <v>1166</v>
      </c>
      <c r="Z480" s="189" t="s">
        <v>1117</v>
      </c>
      <c r="AA480" s="189" t="s">
        <v>1116</v>
      </c>
      <c r="AB480" s="189" t="s">
        <v>1167</v>
      </c>
      <c r="AC480" s="189" t="s">
        <v>1168</v>
      </c>
      <c r="AD480" s="189" t="s">
        <v>1169</v>
      </c>
      <c r="AE480" s="189" t="s">
        <v>1170</v>
      </c>
      <c r="AF480" s="696"/>
      <c r="AG480" s="696"/>
      <c r="AH480" s="696"/>
      <c r="AI480" s="696"/>
    </row>
    <row r="481" spans="1:41" s="6" customFormat="1" x14ac:dyDescent="0.25">
      <c r="A481" s="233"/>
      <c r="B481" s="233"/>
      <c r="C481" s="233"/>
      <c r="D481" s="233"/>
      <c r="E481" s="189"/>
      <c r="F481" s="189"/>
      <c r="G481" s="189"/>
      <c r="H481" s="189"/>
      <c r="I481" s="189"/>
      <c r="J481" s="189"/>
      <c r="K481" s="189"/>
      <c r="L481" s="189" t="str">
        <f>$F$5</f>
        <v>9999</v>
      </c>
      <c r="M481" s="111"/>
      <c r="N481" s="111" t="str">
        <f>B453</f>
        <v>6001</v>
      </c>
      <c r="O481" s="111" t="str">
        <f>C453</f>
        <v>6001</v>
      </c>
      <c r="P481" s="111"/>
      <c r="Q481" s="111"/>
      <c r="R481" s="111">
        <v>3</v>
      </c>
      <c r="S481" s="111">
        <v>1</v>
      </c>
      <c r="T481" s="111">
        <v>1</v>
      </c>
      <c r="U481" s="113">
        <f>E453</f>
        <v>7000.78</v>
      </c>
      <c r="V481" s="111" t="s">
        <v>2037</v>
      </c>
      <c r="W481" s="111"/>
      <c r="X481" s="111"/>
      <c r="Y481" s="111"/>
      <c r="Z481" s="111"/>
      <c r="AA481" s="111" t="str">
        <f>D453</f>
        <v>USD</v>
      </c>
      <c r="AB481" s="111"/>
      <c r="AC481" s="111"/>
      <c r="AD481" s="111"/>
      <c r="AE481" s="111">
        <v>1</v>
      </c>
      <c r="AF481" s="176" t="s">
        <v>1128</v>
      </c>
      <c r="AG481" s="176"/>
      <c r="AH481" s="176"/>
      <c r="AI481" s="176">
        <v>0</v>
      </c>
    </row>
    <row r="482" spans="1:41" s="6" customFormat="1" x14ac:dyDescent="0.25">
      <c r="A482" t="s">
        <v>173</v>
      </c>
      <c r="B482" s="231" t="s">
        <v>1185</v>
      </c>
      <c r="C482" s="231"/>
      <c r="D482" s="231"/>
      <c r="E482" s="188"/>
      <c r="F482" s="188"/>
      <c r="G482" s="188"/>
      <c r="H482" s="188"/>
      <c r="I482" s="188"/>
      <c r="J482" s="188"/>
      <c r="K482" s="188"/>
      <c r="L482" s="188"/>
      <c r="M482" s="188"/>
      <c r="N482" s="167"/>
      <c r="O482" s="167"/>
      <c r="P482" s="167"/>
      <c r="Q482" s="167"/>
    </row>
    <row r="483" spans="1:41" s="6" customFormat="1" x14ac:dyDescent="0.25">
      <c r="A483" s="183" t="s">
        <v>124</v>
      </c>
      <c r="B483" s="184" t="s">
        <v>1172</v>
      </c>
      <c r="C483" s="184"/>
      <c r="D483" s="184"/>
      <c r="E483" s="171"/>
      <c r="F483" s="188"/>
      <c r="G483" s="188"/>
      <c r="H483" s="188"/>
      <c r="I483" s="188"/>
      <c r="J483" s="188"/>
      <c r="K483" s="188"/>
      <c r="L483" s="188"/>
      <c r="M483" s="167"/>
      <c r="N483" s="167"/>
      <c r="O483" s="167"/>
      <c r="P483" s="167"/>
    </row>
    <row r="484" spans="1:41" s="6" customFormat="1" x14ac:dyDescent="0.25">
      <c r="A484" s="231" t="s">
        <v>306</v>
      </c>
      <c r="B484" s="704" t="s">
        <v>1566</v>
      </c>
      <c r="C484" s="705"/>
      <c r="D484" s="705"/>
      <c r="E484" s="705"/>
      <c r="F484" s="705"/>
      <c r="G484" s="705"/>
      <c r="H484" s="705"/>
      <c r="I484" s="705"/>
      <c r="J484" s="705"/>
      <c r="K484" s="705"/>
      <c r="L484" s="705"/>
      <c r="M484" s="705"/>
      <c r="N484" s="705"/>
      <c r="O484" s="705"/>
      <c r="P484" s="705"/>
      <c r="Q484" s="705"/>
      <c r="R484" s="705"/>
      <c r="S484" s="705"/>
      <c r="T484" s="705"/>
      <c r="U484" s="705"/>
      <c r="V484" s="705"/>
      <c r="W484" s="705"/>
      <c r="X484" s="705"/>
      <c r="Y484" s="705"/>
      <c r="Z484" s="705"/>
      <c r="AA484" s="705"/>
      <c r="AB484" s="705"/>
      <c r="AC484" s="705"/>
      <c r="AD484" s="705"/>
      <c r="AE484" s="708"/>
      <c r="AF484" s="695" t="s">
        <v>1126</v>
      </c>
      <c r="AG484" s="695" t="s">
        <v>1107</v>
      </c>
      <c r="AH484" s="695" t="s">
        <v>1108</v>
      </c>
      <c r="AI484" s="695" t="s">
        <v>1127</v>
      </c>
    </row>
    <row r="485" spans="1:41" s="6" customFormat="1" x14ac:dyDescent="0.25">
      <c r="A485" s="233"/>
      <c r="B485" s="190" t="s">
        <v>1145</v>
      </c>
      <c r="C485" s="233" t="s">
        <v>1146</v>
      </c>
      <c r="D485" s="233" t="s">
        <v>1147</v>
      </c>
      <c r="E485" s="189" t="s">
        <v>1148</v>
      </c>
      <c r="F485" s="189" t="s">
        <v>1149</v>
      </c>
      <c r="G485" s="189" t="s">
        <v>1150</v>
      </c>
      <c r="H485" s="189" t="s">
        <v>1151</v>
      </c>
      <c r="I485" s="189" t="s">
        <v>1152</v>
      </c>
      <c r="J485" s="189" t="s">
        <v>1153</v>
      </c>
      <c r="K485" s="189" t="s">
        <v>1154</v>
      </c>
      <c r="L485" s="189" t="s">
        <v>1134</v>
      </c>
      <c r="M485" s="189" t="s">
        <v>1155</v>
      </c>
      <c r="N485" s="189" t="s">
        <v>1112</v>
      </c>
      <c r="O485" s="189" t="s">
        <v>1115</v>
      </c>
      <c r="P485" s="189" t="s">
        <v>1156</v>
      </c>
      <c r="Q485" s="189" t="s">
        <v>1157</v>
      </c>
      <c r="R485" s="189" t="s">
        <v>1158</v>
      </c>
      <c r="S485" s="189" t="s">
        <v>1159</v>
      </c>
      <c r="T485" s="189" t="s">
        <v>1160</v>
      </c>
      <c r="U485" s="189" t="s">
        <v>1161</v>
      </c>
      <c r="V485" s="189" t="s">
        <v>1162</v>
      </c>
      <c r="W485" s="189" t="s">
        <v>1164</v>
      </c>
      <c r="X485" s="189" t="s">
        <v>1165</v>
      </c>
      <c r="Y485" s="189" t="s">
        <v>1166</v>
      </c>
      <c r="Z485" s="189" t="s">
        <v>1117</v>
      </c>
      <c r="AA485" s="189" t="s">
        <v>1116</v>
      </c>
      <c r="AB485" s="189" t="s">
        <v>1167</v>
      </c>
      <c r="AC485" s="189" t="s">
        <v>1168</v>
      </c>
      <c r="AD485" s="189" t="s">
        <v>1169</v>
      </c>
      <c r="AE485" s="189" t="s">
        <v>1170</v>
      </c>
      <c r="AF485" s="696"/>
      <c r="AG485" s="696"/>
      <c r="AH485" s="696"/>
      <c r="AI485" s="696"/>
    </row>
    <row r="486" spans="1:41" x14ac:dyDescent="0.25">
      <c r="A486" s="233"/>
      <c r="B486" s="190">
        <f>B476+1</f>
        <v>4</v>
      </c>
      <c r="C486" s="233">
        <v>1</v>
      </c>
      <c r="D486" s="233" t="s">
        <v>1173</v>
      </c>
      <c r="E486" s="189">
        <v>20190328</v>
      </c>
      <c r="F486" s="191">
        <v>0.57240740740740736</v>
      </c>
      <c r="G486" s="189"/>
      <c r="H486" s="189"/>
      <c r="I486" s="189"/>
      <c r="J486" s="189" t="s">
        <v>1180</v>
      </c>
      <c r="K486" s="189">
        <v>1</v>
      </c>
      <c r="L486" s="189" t="str">
        <f>$F$5</f>
        <v>9999</v>
      </c>
      <c r="M486" s="111"/>
      <c r="N486" s="111" t="str">
        <f>B453</f>
        <v>6001</v>
      </c>
      <c r="O486" s="111" t="str">
        <f>C453</f>
        <v>6001</v>
      </c>
      <c r="P486" s="111"/>
      <c r="Q486" s="111">
        <v>1</v>
      </c>
      <c r="R486" s="111">
        <v>3</v>
      </c>
      <c r="S486" s="111">
        <v>1</v>
      </c>
      <c r="T486" s="111">
        <v>1</v>
      </c>
      <c r="U486" s="113">
        <f>U481</f>
        <v>7000.78</v>
      </c>
      <c r="V486" s="111" t="s">
        <v>2037</v>
      </c>
      <c r="W486" s="111">
        <v>1</v>
      </c>
      <c r="X486" s="111"/>
      <c r="Y486" s="111"/>
      <c r="Z486" s="111"/>
      <c r="AA486" s="111" t="str">
        <f>AA481</f>
        <v>USD</v>
      </c>
      <c r="AB486" s="111">
        <v>1</v>
      </c>
      <c r="AC486" s="111">
        <v>1</v>
      </c>
      <c r="AD486" s="111"/>
      <c r="AE486" s="111">
        <v>1</v>
      </c>
      <c r="AF486" s="111" t="s">
        <v>1128</v>
      </c>
      <c r="AG486" s="111"/>
      <c r="AH486" s="111"/>
      <c r="AI486" s="111">
        <v>0</v>
      </c>
      <c r="AJ486" s="6"/>
      <c r="AK486" s="6"/>
      <c r="AL486" s="6"/>
      <c r="AM486" s="6"/>
      <c r="AN486" s="6"/>
      <c r="AO486" s="6"/>
    </row>
    <row r="487" spans="1:41" s="4" customFormat="1" x14ac:dyDescent="0.25">
      <c r="A487" s="4" t="s">
        <v>173</v>
      </c>
      <c r="B487" s="195" t="s">
        <v>1186</v>
      </c>
      <c r="C487" s="195"/>
      <c r="D487" s="195"/>
      <c r="E487" s="195"/>
      <c r="F487" s="196"/>
      <c r="G487" s="196"/>
      <c r="H487" s="196"/>
      <c r="I487" s="196"/>
      <c r="J487" s="196"/>
      <c r="K487" s="196"/>
      <c r="L487" s="196"/>
      <c r="M487" s="196"/>
      <c r="N487" s="197"/>
      <c r="O487" s="197"/>
      <c r="P487" s="197"/>
      <c r="Q487" s="197"/>
      <c r="R487" s="197"/>
      <c r="S487" s="197"/>
      <c r="T487" s="197"/>
      <c r="U487" s="197"/>
      <c r="V487" s="198"/>
      <c r="W487" s="197"/>
      <c r="X487" s="197"/>
      <c r="Y487" s="197"/>
      <c r="Z487" s="197"/>
      <c r="AA487" s="197"/>
      <c r="AB487" s="197"/>
      <c r="AC487" s="197"/>
      <c r="AD487" s="197"/>
      <c r="AE487" s="197"/>
      <c r="AF487" s="197"/>
      <c r="AG487" s="197"/>
      <c r="AH487" s="197"/>
      <c r="AI487" s="197"/>
      <c r="AJ487" s="197"/>
    </row>
    <row r="488" spans="1:41" s="6" customFormat="1" x14ac:dyDescent="0.25">
      <c r="A488" s="183" t="s">
        <v>124</v>
      </c>
      <c r="B488" s="184" t="s">
        <v>1142</v>
      </c>
      <c r="C488" s="184"/>
      <c r="D488" s="184"/>
      <c r="E488" s="171"/>
      <c r="F488" s="188"/>
      <c r="G488" s="188"/>
      <c r="H488" s="188"/>
      <c r="I488" s="188"/>
      <c r="J488" s="188"/>
      <c r="K488" s="188"/>
      <c r="L488" s="188"/>
      <c r="M488" s="167"/>
      <c r="N488" s="167"/>
      <c r="O488" s="167"/>
      <c r="P488" s="167"/>
    </row>
    <row r="489" spans="1:41" s="6" customFormat="1" x14ac:dyDescent="0.25">
      <c r="A489" s="231" t="s">
        <v>306</v>
      </c>
      <c r="B489" s="704" t="s">
        <v>1566</v>
      </c>
      <c r="C489" s="705"/>
      <c r="D489" s="705"/>
      <c r="E489" s="705"/>
      <c r="F489" s="705"/>
      <c r="G489" s="705"/>
      <c r="H489" s="705"/>
      <c r="I489" s="705"/>
      <c r="J489" s="705"/>
      <c r="K489" s="705"/>
      <c r="L489" s="705"/>
      <c r="M489" s="705"/>
      <c r="N489" s="705"/>
      <c r="O489" s="705"/>
      <c r="P489" s="705"/>
      <c r="Q489" s="705"/>
      <c r="R489" s="705"/>
      <c r="S489" s="705"/>
      <c r="T489" s="705"/>
      <c r="U489" s="705"/>
      <c r="V489" s="705"/>
      <c r="W489" s="705"/>
      <c r="X489" s="705"/>
      <c r="Y489" s="705"/>
      <c r="Z489" s="705"/>
      <c r="AA489" s="705"/>
      <c r="AB489" s="705"/>
      <c r="AC489" s="705"/>
      <c r="AD489" s="705"/>
      <c r="AE489" s="708"/>
      <c r="AF489" s="695" t="s">
        <v>1126</v>
      </c>
      <c r="AG489" s="695" t="s">
        <v>1107</v>
      </c>
      <c r="AH489" s="695" t="s">
        <v>1108</v>
      </c>
      <c r="AI489" s="695" t="s">
        <v>1127</v>
      </c>
    </row>
    <row r="490" spans="1:41" s="6" customFormat="1" x14ac:dyDescent="0.25">
      <c r="A490" s="233"/>
      <c r="B490" s="233" t="s">
        <v>1145</v>
      </c>
      <c r="C490" s="233" t="s">
        <v>1146</v>
      </c>
      <c r="D490" s="233" t="s">
        <v>1147</v>
      </c>
      <c r="E490" s="189" t="s">
        <v>1148</v>
      </c>
      <c r="F490" s="189" t="s">
        <v>1149</v>
      </c>
      <c r="G490" s="189" t="s">
        <v>1150</v>
      </c>
      <c r="H490" s="189" t="s">
        <v>1151</v>
      </c>
      <c r="I490" s="189" t="s">
        <v>1152</v>
      </c>
      <c r="J490" s="189" t="s">
        <v>1153</v>
      </c>
      <c r="K490" s="189" t="s">
        <v>1154</v>
      </c>
      <c r="L490" s="189" t="s">
        <v>1134</v>
      </c>
      <c r="M490" s="189" t="s">
        <v>1155</v>
      </c>
      <c r="N490" s="189" t="s">
        <v>1112</v>
      </c>
      <c r="O490" s="189" t="s">
        <v>1115</v>
      </c>
      <c r="P490" s="189" t="s">
        <v>1156</v>
      </c>
      <c r="Q490" s="189" t="s">
        <v>1157</v>
      </c>
      <c r="R490" s="189" t="s">
        <v>1158</v>
      </c>
      <c r="S490" s="189" t="s">
        <v>1159</v>
      </c>
      <c r="T490" s="189" t="s">
        <v>1160</v>
      </c>
      <c r="U490" s="189" t="s">
        <v>1161</v>
      </c>
      <c r="V490" s="189" t="s">
        <v>1162</v>
      </c>
      <c r="W490" s="189" t="s">
        <v>1164</v>
      </c>
      <c r="X490" s="189" t="s">
        <v>1165</v>
      </c>
      <c r="Y490" s="189" t="s">
        <v>1166</v>
      </c>
      <c r="Z490" s="189" t="s">
        <v>1117</v>
      </c>
      <c r="AA490" s="189" t="s">
        <v>1116</v>
      </c>
      <c r="AB490" s="189" t="s">
        <v>1167</v>
      </c>
      <c r="AC490" s="189" t="s">
        <v>1168</v>
      </c>
      <c r="AD490" s="189" t="s">
        <v>1169</v>
      </c>
      <c r="AE490" s="189" t="s">
        <v>1170</v>
      </c>
      <c r="AF490" s="696"/>
      <c r="AG490" s="696"/>
      <c r="AH490" s="696"/>
      <c r="AI490" s="696"/>
    </row>
    <row r="491" spans="1:41" s="6" customFormat="1" x14ac:dyDescent="0.25">
      <c r="A491" s="233"/>
      <c r="B491" s="233"/>
      <c r="C491" s="233"/>
      <c r="D491" s="233"/>
      <c r="E491" s="189"/>
      <c r="F491" s="189"/>
      <c r="G491" s="189"/>
      <c r="H491" s="189"/>
      <c r="I491" s="189"/>
      <c r="J491" s="189"/>
      <c r="K491" s="189"/>
      <c r="L491" s="189" t="str">
        <f>$F$5</f>
        <v>9999</v>
      </c>
      <c r="M491" s="111"/>
      <c r="N491" s="111" t="str">
        <f>B454</f>
        <v>6001</v>
      </c>
      <c r="O491" s="111" t="str">
        <f>C454</f>
        <v>6001</v>
      </c>
      <c r="P491" s="111"/>
      <c r="Q491" s="111"/>
      <c r="R491" s="111">
        <v>3</v>
      </c>
      <c r="S491" s="111">
        <v>2</v>
      </c>
      <c r="T491" s="111">
        <v>1</v>
      </c>
      <c r="U491" s="113">
        <f>E454</f>
        <v>4000</v>
      </c>
      <c r="V491" s="111" t="s">
        <v>2038</v>
      </c>
      <c r="W491" s="111"/>
      <c r="X491" s="111"/>
      <c r="Y491" s="111"/>
      <c r="Z491" s="111"/>
      <c r="AA491" s="111" t="str">
        <f>D454</f>
        <v>CNY</v>
      </c>
      <c r="AB491" s="111"/>
      <c r="AC491" s="111"/>
      <c r="AD491" s="111"/>
      <c r="AE491" s="111">
        <v>1</v>
      </c>
      <c r="AF491" s="176" t="s">
        <v>1128</v>
      </c>
      <c r="AG491" s="176"/>
      <c r="AH491" s="176"/>
      <c r="AI491" s="176">
        <v>0</v>
      </c>
    </row>
    <row r="492" spans="1:41" s="6" customFormat="1" x14ac:dyDescent="0.25">
      <c r="A492" t="s">
        <v>173</v>
      </c>
      <c r="B492" s="231" t="s">
        <v>1187</v>
      </c>
      <c r="C492" s="231"/>
      <c r="D492" s="231"/>
      <c r="E492" s="188"/>
      <c r="F492" s="188"/>
      <c r="G492" s="188"/>
      <c r="H492" s="188"/>
      <c r="I492" s="188"/>
      <c r="J492" s="188"/>
      <c r="K492" s="188"/>
      <c r="L492" s="188"/>
      <c r="M492" s="188"/>
      <c r="N492" s="167"/>
      <c r="O492" s="167"/>
      <c r="P492" s="167"/>
      <c r="Q492" s="167"/>
    </row>
    <row r="493" spans="1:41" s="6" customFormat="1" x14ac:dyDescent="0.25">
      <c r="A493" s="183" t="s">
        <v>124</v>
      </c>
      <c r="B493" s="184" t="s">
        <v>1172</v>
      </c>
      <c r="C493" s="184"/>
      <c r="D493" s="184"/>
      <c r="E493" s="171"/>
      <c r="F493" s="188"/>
      <c r="G493" s="188"/>
      <c r="H493" s="188"/>
      <c r="I493" s="188"/>
      <c r="J493" s="188"/>
      <c r="K493" s="188"/>
      <c r="L493" s="188"/>
      <c r="M493" s="167"/>
      <c r="N493" s="167"/>
      <c r="O493" s="167"/>
      <c r="P493" s="167"/>
    </row>
    <row r="494" spans="1:41" s="6" customFormat="1" x14ac:dyDescent="0.25">
      <c r="A494" s="231" t="s">
        <v>306</v>
      </c>
      <c r="B494" s="704" t="s">
        <v>1566</v>
      </c>
      <c r="C494" s="705"/>
      <c r="D494" s="705"/>
      <c r="E494" s="705"/>
      <c r="F494" s="705"/>
      <c r="G494" s="705"/>
      <c r="H494" s="705"/>
      <c r="I494" s="705"/>
      <c r="J494" s="705"/>
      <c r="K494" s="705"/>
      <c r="L494" s="705"/>
      <c r="M494" s="705"/>
      <c r="N494" s="705"/>
      <c r="O494" s="705"/>
      <c r="P494" s="705"/>
      <c r="Q494" s="705"/>
      <c r="R494" s="705"/>
      <c r="S494" s="705"/>
      <c r="T494" s="705"/>
      <c r="U494" s="705"/>
      <c r="V494" s="705"/>
      <c r="W494" s="705"/>
      <c r="X494" s="705"/>
      <c r="Y494" s="705"/>
      <c r="Z494" s="705"/>
      <c r="AA494" s="705"/>
      <c r="AB494" s="705"/>
      <c r="AC494" s="705"/>
      <c r="AD494" s="705"/>
      <c r="AE494" s="708"/>
      <c r="AF494" s="695" t="s">
        <v>1126</v>
      </c>
      <c r="AG494" s="695" t="s">
        <v>1107</v>
      </c>
      <c r="AH494" s="695" t="s">
        <v>1108</v>
      </c>
      <c r="AI494" s="695" t="s">
        <v>1127</v>
      </c>
    </row>
    <row r="495" spans="1:41" s="6" customFormat="1" x14ac:dyDescent="0.25">
      <c r="A495" s="233"/>
      <c r="B495" s="190" t="s">
        <v>1145</v>
      </c>
      <c r="C495" s="233" t="s">
        <v>1146</v>
      </c>
      <c r="D495" s="233" t="s">
        <v>1147</v>
      </c>
      <c r="E495" s="189" t="s">
        <v>1148</v>
      </c>
      <c r="F495" s="189" t="s">
        <v>1149</v>
      </c>
      <c r="G495" s="189" t="s">
        <v>1150</v>
      </c>
      <c r="H495" s="189" t="s">
        <v>1151</v>
      </c>
      <c r="I495" s="189" t="s">
        <v>1152</v>
      </c>
      <c r="J495" s="189" t="s">
        <v>1153</v>
      </c>
      <c r="K495" s="189" t="s">
        <v>1154</v>
      </c>
      <c r="L495" s="189" t="s">
        <v>1134</v>
      </c>
      <c r="M495" s="189" t="s">
        <v>1155</v>
      </c>
      <c r="N495" s="189" t="s">
        <v>1112</v>
      </c>
      <c r="O495" s="189" t="s">
        <v>1115</v>
      </c>
      <c r="P495" s="189" t="s">
        <v>1156</v>
      </c>
      <c r="Q495" s="189" t="s">
        <v>1157</v>
      </c>
      <c r="R495" s="189" t="s">
        <v>1158</v>
      </c>
      <c r="S495" s="189" t="s">
        <v>1159</v>
      </c>
      <c r="T495" s="189" t="s">
        <v>1160</v>
      </c>
      <c r="U495" s="189" t="s">
        <v>1161</v>
      </c>
      <c r="V495" s="189" t="s">
        <v>1162</v>
      </c>
      <c r="W495" s="189" t="s">
        <v>1164</v>
      </c>
      <c r="X495" s="189" t="s">
        <v>1165</v>
      </c>
      <c r="Y495" s="189" t="s">
        <v>1166</v>
      </c>
      <c r="Z495" s="189" t="s">
        <v>1117</v>
      </c>
      <c r="AA495" s="189" t="s">
        <v>1116</v>
      </c>
      <c r="AB495" s="189" t="s">
        <v>1167</v>
      </c>
      <c r="AC495" s="189" t="s">
        <v>1168</v>
      </c>
      <c r="AD495" s="189" t="s">
        <v>1169</v>
      </c>
      <c r="AE495" s="189" t="s">
        <v>1170</v>
      </c>
      <c r="AF495" s="696"/>
      <c r="AG495" s="696"/>
      <c r="AH495" s="696"/>
      <c r="AI495" s="696"/>
    </row>
    <row r="496" spans="1:41" x14ac:dyDescent="0.25">
      <c r="A496" s="233"/>
      <c r="B496" s="190">
        <f>B486+1</f>
        <v>5</v>
      </c>
      <c r="C496" s="233">
        <v>1</v>
      </c>
      <c r="D496" s="233" t="s">
        <v>1173</v>
      </c>
      <c r="E496" s="189">
        <v>20190328</v>
      </c>
      <c r="F496" s="191">
        <v>0.57240740740740736</v>
      </c>
      <c r="G496" s="189"/>
      <c r="H496" s="189"/>
      <c r="I496" s="189"/>
      <c r="J496" s="189" t="s">
        <v>1191</v>
      </c>
      <c r="K496" s="189">
        <v>1</v>
      </c>
      <c r="L496" s="189" t="str">
        <f>$F$5</f>
        <v>9999</v>
      </c>
      <c r="M496" s="111"/>
      <c r="N496" s="111" t="str">
        <f>B454</f>
        <v>6001</v>
      </c>
      <c r="O496" s="111" t="str">
        <f>C454</f>
        <v>6001</v>
      </c>
      <c r="P496" s="111"/>
      <c r="Q496" s="111">
        <v>1</v>
      </c>
      <c r="R496" s="111">
        <v>3</v>
      </c>
      <c r="S496" s="111">
        <v>2</v>
      </c>
      <c r="T496" s="111">
        <v>1</v>
      </c>
      <c r="U496" s="113">
        <f>U491</f>
        <v>4000</v>
      </c>
      <c r="V496" s="111" t="s">
        <v>2038</v>
      </c>
      <c r="W496" s="111">
        <v>1</v>
      </c>
      <c r="X496" s="111"/>
      <c r="Y496" s="111"/>
      <c r="Z496" s="111"/>
      <c r="AA496" s="111" t="str">
        <f>AA491</f>
        <v>CNY</v>
      </c>
      <c r="AB496" s="111">
        <v>1</v>
      </c>
      <c r="AC496" s="111">
        <v>1</v>
      </c>
      <c r="AD496" s="111"/>
      <c r="AE496" s="111">
        <v>1</v>
      </c>
      <c r="AF496" s="111" t="s">
        <v>1128</v>
      </c>
      <c r="AG496" s="111"/>
      <c r="AH496" s="111"/>
      <c r="AI496" s="111">
        <v>0</v>
      </c>
      <c r="AJ496" s="6"/>
      <c r="AK496" s="6"/>
      <c r="AL496" s="6"/>
      <c r="AM496" s="6"/>
      <c r="AN496" s="6"/>
      <c r="AO496" s="6"/>
    </row>
    <row r="497" spans="1:42" s="4" customFormat="1" x14ac:dyDescent="0.25">
      <c r="A497" s="4" t="s">
        <v>173</v>
      </c>
      <c r="B497" s="195" t="s">
        <v>1877</v>
      </c>
      <c r="C497" s="195"/>
      <c r="D497" s="195"/>
      <c r="E497" s="195"/>
      <c r="F497" s="196"/>
      <c r="G497" s="196"/>
      <c r="H497" s="196"/>
      <c r="I497" s="196"/>
      <c r="J497" s="196"/>
      <c r="K497" s="196"/>
      <c r="L497" s="196"/>
      <c r="M497" s="196"/>
      <c r="N497" s="197"/>
      <c r="O497" s="197"/>
      <c r="P497" s="197"/>
      <c r="Q497" s="197"/>
      <c r="R497" s="197"/>
      <c r="S497" s="197"/>
      <c r="T497" s="197"/>
      <c r="U497" s="197"/>
      <c r="V497" s="198"/>
      <c r="W497" s="197"/>
      <c r="X497" s="197"/>
      <c r="Y497" s="197"/>
      <c r="Z497" s="197"/>
      <c r="AA497" s="197"/>
      <c r="AB497" s="197"/>
      <c r="AC497" s="197"/>
      <c r="AD497" s="197"/>
      <c r="AE497" s="197"/>
      <c r="AF497" s="197"/>
      <c r="AG497" s="197"/>
      <c r="AH497" s="197"/>
      <c r="AI497" s="197"/>
      <c r="AJ497" s="197"/>
    </row>
    <row r="498" spans="1:42" s="6" customFormat="1" x14ac:dyDescent="0.25">
      <c r="A498" s="183" t="s">
        <v>124</v>
      </c>
      <c r="B498" s="184" t="s">
        <v>1142</v>
      </c>
      <c r="C498" s="184"/>
      <c r="D498" s="184"/>
      <c r="E498" s="171"/>
      <c r="F498" s="188"/>
      <c r="G498" s="188"/>
      <c r="H498" s="188"/>
      <c r="I498" s="188"/>
      <c r="J498" s="188"/>
      <c r="K498" s="188"/>
      <c r="L498" s="188"/>
      <c r="M498" s="167"/>
      <c r="N498" s="167"/>
      <c r="O498" s="167"/>
      <c r="P498" s="167"/>
    </row>
    <row r="499" spans="1:42" s="6" customFormat="1" x14ac:dyDescent="0.25">
      <c r="A499" s="323" t="s">
        <v>306</v>
      </c>
      <c r="B499" s="704" t="s">
        <v>1566</v>
      </c>
      <c r="C499" s="705"/>
      <c r="D499" s="705"/>
      <c r="E499" s="705"/>
      <c r="F499" s="705"/>
      <c r="G499" s="705"/>
      <c r="H499" s="705"/>
      <c r="I499" s="705"/>
      <c r="J499" s="705"/>
      <c r="K499" s="705"/>
      <c r="L499" s="705"/>
      <c r="M499" s="705"/>
      <c r="N499" s="705"/>
      <c r="O499" s="705"/>
      <c r="P499" s="705"/>
      <c r="Q499" s="705"/>
      <c r="R499" s="705"/>
      <c r="S499" s="705"/>
      <c r="T499" s="705"/>
      <c r="U499" s="705"/>
      <c r="V499" s="705"/>
      <c r="W499" s="705"/>
      <c r="X499" s="705"/>
      <c r="Y499" s="705"/>
      <c r="Z499" s="705"/>
      <c r="AA499" s="705"/>
      <c r="AB499" s="705"/>
      <c r="AC499" s="705"/>
      <c r="AD499" s="705"/>
      <c r="AE499" s="708"/>
      <c r="AF499" s="695" t="s">
        <v>1126</v>
      </c>
      <c r="AG499" s="695" t="s">
        <v>1107</v>
      </c>
      <c r="AH499" s="695" t="s">
        <v>1108</v>
      </c>
      <c r="AI499" s="695" t="s">
        <v>1127</v>
      </c>
    </row>
    <row r="500" spans="1:42" s="6" customFormat="1" x14ac:dyDescent="0.25">
      <c r="A500" s="421"/>
      <c r="B500" s="421" t="s">
        <v>1145</v>
      </c>
      <c r="C500" s="421" t="s">
        <v>1146</v>
      </c>
      <c r="D500" s="421" t="s">
        <v>1147</v>
      </c>
      <c r="E500" s="189" t="s">
        <v>1148</v>
      </c>
      <c r="F500" s="189" t="s">
        <v>1149</v>
      </c>
      <c r="G500" s="189" t="s">
        <v>1150</v>
      </c>
      <c r="H500" s="189" t="s">
        <v>1151</v>
      </c>
      <c r="I500" s="189" t="s">
        <v>1152</v>
      </c>
      <c r="J500" s="189" t="s">
        <v>1153</v>
      </c>
      <c r="K500" s="189" t="s">
        <v>1154</v>
      </c>
      <c r="L500" s="189" t="s">
        <v>1134</v>
      </c>
      <c r="M500" s="189" t="s">
        <v>1155</v>
      </c>
      <c r="N500" s="189" t="s">
        <v>1112</v>
      </c>
      <c r="O500" s="189" t="s">
        <v>1115</v>
      </c>
      <c r="P500" s="189" t="s">
        <v>1156</v>
      </c>
      <c r="Q500" s="189" t="s">
        <v>1157</v>
      </c>
      <c r="R500" s="189" t="s">
        <v>1158</v>
      </c>
      <c r="S500" s="189" t="s">
        <v>1159</v>
      </c>
      <c r="T500" s="189" t="s">
        <v>1160</v>
      </c>
      <c r="U500" s="189" t="s">
        <v>1161</v>
      </c>
      <c r="V500" s="189" t="s">
        <v>1162</v>
      </c>
      <c r="W500" s="189" t="s">
        <v>1164</v>
      </c>
      <c r="X500" s="189" t="s">
        <v>1165</v>
      </c>
      <c r="Y500" s="189" t="s">
        <v>1166</v>
      </c>
      <c r="Z500" s="189" t="s">
        <v>1117</v>
      </c>
      <c r="AA500" s="189" t="s">
        <v>1116</v>
      </c>
      <c r="AB500" s="189" t="s">
        <v>1167</v>
      </c>
      <c r="AC500" s="189" t="s">
        <v>1168</v>
      </c>
      <c r="AD500" s="189" t="s">
        <v>1169</v>
      </c>
      <c r="AE500" s="189" t="s">
        <v>1170</v>
      </c>
      <c r="AF500" s="696"/>
      <c r="AG500" s="696"/>
      <c r="AH500" s="696"/>
      <c r="AI500" s="696"/>
    </row>
    <row r="501" spans="1:42" s="6" customFormat="1" x14ac:dyDescent="0.25">
      <c r="A501" s="421"/>
      <c r="B501" s="421"/>
      <c r="C501" s="421"/>
      <c r="D501" s="421"/>
      <c r="E501" s="189"/>
      <c r="F501" s="189"/>
      <c r="G501" s="189"/>
      <c r="H501" s="189"/>
      <c r="I501" s="189"/>
      <c r="J501" s="189"/>
      <c r="K501" s="189"/>
      <c r="L501" s="189" t="str">
        <f>$F$5</f>
        <v>9999</v>
      </c>
      <c r="M501" s="111"/>
      <c r="N501" s="111" t="str">
        <f>B455</f>
        <v>6001</v>
      </c>
      <c r="O501" s="111" t="str">
        <f>C455</f>
        <v>6001</v>
      </c>
      <c r="P501" s="111"/>
      <c r="Q501" s="111"/>
      <c r="R501" s="111">
        <v>3</v>
      </c>
      <c r="S501" s="111">
        <v>2</v>
      </c>
      <c r="T501" s="111">
        <v>1</v>
      </c>
      <c r="U501" s="113">
        <f>E455</f>
        <v>5000</v>
      </c>
      <c r="V501" s="111" t="s">
        <v>2039</v>
      </c>
      <c r="W501" s="111"/>
      <c r="X501" s="111"/>
      <c r="Y501" s="111"/>
      <c r="Z501" s="111"/>
      <c r="AA501" s="111" t="str">
        <f>D455</f>
        <v>HKD</v>
      </c>
      <c r="AB501" s="111"/>
      <c r="AC501" s="111"/>
      <c r="AD501" s="111"/>
      <c r="AE501" s="111">
        <v>1</v>
      </c>
      <c r="AF501" s="176" t="s">
        <v>1128</v>
      </c>
      <c r="AG501" s="176"/>
      <c r="AH501" s="176"/>
      <c r="AI501" s="176">
        <v>0</v>
      </c>
    </row>
    <row r="502" spans="1:42" s="6" customFormat="1" x14ac:dyDescent="0.25">
      <c r="A502" t="s">
        <v>173</v>
      </c>
      <c r="B502" s="323" t="s">
        <v>1894</v>
      </c>
      <c r="C502" s="323"/>
      <c r="D502" s="323"/>
      <c r="E502" s="188"/>
      <c r="F502" s="188"/>
      <c r="G502" s="188"/>
      <c r="H502" s="188"/>
      <c r="I502" s="188"/>
      <c r="J502" s="188"/>
      <c r="K502" s="188"/>
      <c r="L502" s="188"/>
      <c r="M502" s="188"/>
      <c r="N502" s="167"/>
      <c r="O502" s="167"/>
      <c r="P502" s="167"/>
      <c r="Q502" s="167"/>
    </row>
    <row r="503" spans="1:42" s="6" customFormat="1" x14ac:dyDescent="0.25">
      <c r="A503" s="183" t="s">
        <v>124</v>
      </c>
      <c r="B503" s="184" t="s">
        <v>1172</v>
      </c>
      <c r="C503" s="184"/>
      <c r="D503" s="184"/>
      <c r="E503" s="171"/>
      <c r="F503" s="188"/>
      <c r="G503" s="188"/>
      <c r="H503" s="188"/>
      <c r="I503" s="188"/>
      <c r="J503" s="188"/>
      <c r="K503" s="188"/>
      <c r="L503" s="188"/>
      <c r="M503" s="167"/>
      <c r="N503" s="167"/>
      <c r="O503" s="167"/>
      <c r="P503" s="167"/>
    </row>
    <row r="504" spans="1:42" s="6" customFormat="1" x14ac:dyDescent="0.25">
      <c r="A504" s="323" t="s">
        <v>306</v>
      </c>
      <c r="B504" s="704" t="s">
        <v>1566</v>
      </c>
      <c r="C504" s="705"/>
      <c r="D504" s="705"/>
      <c r="E504" s="705"/>
      <c r="F504" s="705"/>
      <c r="G504" s="705"/>
      <c r="H504" s="705"/>
      <c r="I504" s="705"/>
      <c r="J504" s="705"/>
      <c r="K504" s="705"/>
      <c r="L504" s="705"/>
      <c r="M504" s="705"/>
      <c r="N504" s="705"/>
      <c r="O504" s="705"/>
      <c r="P504" s="705"/>
      <c r="Q504" s="705"/>
      <c r="R504" s="705"/>
      <c r="S504" s="705"/>
      <c r="T504" s="705"/>
      <c r="U504" s="705"/>
      <c r="V504" s="705"/>
      <c r="W504" s="705"/>
      <c r="X504" s="705"/>
      <c r="Y504" s="705"/>
      <c r="Z504" s="705"/>
      <c r="AA504" s="705"/>
      <c r="AB504" s="705"/>
      <c r="AC504" s="705"/>
      <c r="AD504" s="705"/>
      <c r="AE504" s="708"/>
      <c r="AF504" s="695" t="s">
        <v>1126</v>
      </c>
      <c r="AG504" s="695" t="s">
        <v>1107</v>
      </c>
      <c r="AH504" s="695" t="s">
        <v>1108</v>
      </c>
      <c r="AI504" s="695" t="s">
        <v>1127</v>
      </c>
    </row>
    <row r="505" spans="1:42" s="6" customFormat="1" x14ac:dyDescent="0.25">
      <c r="A505" s="421"/>
      <c r="B505" s="190" t="s">
        <v>1145</v>
      </c>
      <c r="C505" s="421" t="s">
        <v>1146</v>
      </c>
      <c r="D505" s="421" t="s">
        <v>1147</v>
      </c>
      <c r="E505" s="189" t="s">
        <v>1148</v>
      </c>
      <c r="F505" s="189" t="s">
        <v>1149</v>
      </c>
      <c r="G505" s="189" t="s">
        <v>1150</v>
      </c>
      <c r="H505" s="189" t="s">
        <v>1151</v>
      </c>
      <c r="I505" s="189" t="s">
        <v>1152</v>
      </c>
      <c r="J505" s="189" t="s">
        <v>1153</v>
      </c>
      <c r="K505" s="189" t="s">
        <v>1154</v>
      </c>
      <c r="L505" s="189" t="s">
        <v>1134</v>
      </c>
      <c r="M505" s="189" t="s">
        <v>1155</v>
      </c>
      <c r="N505" s="189" t="s">
        <v>1112</v>
      </c>
      <c r="O505" s="189" t="s">
        <v>1115</v>
      </c>
      <c r="P505" s="189" t="s">
        <v>1156</v>
      </c>
      <c r="Q505" s="189" t="s">
        <v>1157</v>
      </c>
      <c r="R505" s="189" t="s">
        <v>1158</v>
      </c>
      <c r="S505" s="189" t="s">
        <v>1159</v>
      </c>
      <c r="T505" s="189" t="s">
        <v>1160</v>
      </c>
      <c r="U505" s="189" t="s">
        <v>1161</v>
      </c>
      <c r="V505" s="189" t="s">
        <v>1162</v>
      </c>
      <c r="W505" s="189" t="s">
        <v>1164</v>
      </c>
      <c r="X505" s="189" t="s">
        <v>1165</v>
      </c>
      <c r="Y505" s="189" t="s">
        <v>1166</v>
      </c>
      <c r="Z505" s="189" t="s">
        <v>1117</v>
      </c>
      <c r="AA505" s="189" t="s">
        <v>1116</v>
      </c>
      <c r="AB505" s="189" t="s">
        <v>1167</v>
      </c>
      <c r="AC505" s="189" t="s">
        <v>1168</v>
      </c>
      <c r="AD505" s="189" t="s">
        <v>1169</v>
      </c>
      <c r="AE505" s="189" t="s">
        <v>1170</v>
      </c>
      <c r="AF505" s="696"/>
      <c r="AG505" s="696"/>
      <c r="AH505" s="696"/>
      <c r="AI505" s="696"/>
    </row>
    <row r="506" spans="1:42" x14ac:dyDescent="0.25">
      <c r="A506" s="421"/>
      <c r="B506" s="190">
        <f>B496+1</f>
        <v>6</v>
      </c>
      <c r="C506" s="421">
        <v>1</v>
      </c>
      <c r="D506" s="421" t="s">
        <v>1173</v>
      </c>
      <c r="E506" s="189">
        <v>20190328</v>
      </c>
      <c r="F506" s="191">
        <v>0.57240740740740736</v>
      </c>
      <c r="G506" s="189"/>
      <c r="H506" s="189"/>
      <c r="I506" s="189"/>
      <c r="J506" s="189" t="s">
        <v>1880</v>
      </c>
      <c r="K506" s="189">
        <v>1</v>
      </c>
      <c r="L506" s="189" t="str">
        <f>$F$5</f>
        <v>9999</v>
      </c>
      <c r="M506" s="111"/>
      <c r="N506" s="111" t="str">
        <f>N501</f>
        <v>6001</v>
      </c>
      <c r="O506" s="111" t="str">
        <f>O501</f>
        <v>6001</v>
      </c>
      <c r="P506" s="111"/>
      <c r="Q506" s="111">
        <v>1</v>
      </c>
      <c r="R506" s="111">
        <v>3</v>
      </c>
      <c r="S506" s="111">
        <v>2</v>
      </c>
      <c r="T506" s="111">
        <v>1</v>
      </c>
      <c r="U506" s="113">
        <f>U501</f>
        <v>5000</v>
      </c>
      <c r="V506" s="111" t="s">
        <v>2039</v>
      </c>
      <c r="W506" s="111">
        <v>1</v>
      </c>
      <c r="X506" s="111"/>
      <c r="Y506" s="111"/>
      <c r="Z506" s="111"/>
      <c r="AA506" s="111" t="str">
        <f>AA501</f>
        <v>HKD</v>
      </c>
      <c r="AB506" s="111">
        <v>1</v>
      </c>
      <c r="AC506" s="111">
        <v>1</v>
      </c>
      <c r="AD506" s="111"/>
      <c r="AE506" s="111">
        <v>1</v>
      </c>
      <c r="AF506" s="111" t="s">
        <v>1128</v>
      </c>
      <c r="AG506" s="111"/>
      <c r="AH506" s="111"/>
      <c r="AI506" s="111">
        <v>0</v>
      </c>
      <c r="AJ506" s="6"/>
      <c r="AK506" s="6"/>
      <c r="AL506" s="6"/>
      <c r="AM506" s="6"/>
      <c r="AN506" s="6"/>
      <c r="AO506" s="6"/>
    </row>
    <row r="507" spans="1:42" x14ac:dyDescent="0.25">
      <c r="A507" t="s">
        <v>359</v>
      </c>
      <c r="B507" s="231" t="s">
        <v>1188</v>
      </c>
      <c r="C507" s="231"/>
      <c r="D507" s="231"/>
      <c r="E507" s="231"/>
      <c r="F507" s="188"/>
      <c r="G507" s="188"/>
      <c r="H507" s="188"/>
      <c r="I507" s="188"/>
      <c r="J507" s="188"/>
      <c r="K507" s="188"/>
      <c r="L507" s="188"/>
      <c r="M507" s="188"/>
      <c r="N507" s="167"/>
      <c r="O507" s="167"/>
      <c r="P507" s="167"/>
      <c r="Q507" s="167"/>
      <c r="R507" s="167"/>
      <c r="S507" s="167"/>
      <c r="T507" s="167"/>
      <c r="U507" s="167"/>
      <c r="V507" s="182"/>
      <c r="W507" s="167"/>
      <c r="X507" s="167"/>
      <c r="Y507" s="167"/>
      <c r="Z507" s="167"/>
      <c r="AA507" s="167"/>
      <c r="AB507" s="167"/>
      <c r="AC507" s="167"/>
      <c r="AD507" s="167"/>
      <c r="AE507" s="167"/>
      <c r="AF507" s="167"/>
      <c r="AG507" s="167"/>
      <c r="AH507" s="167"/>
      <c r="AI507" s="167"/>
      <c r="AJ507" s="167"/>
      <c r="AK507" s="6"/>
      <c r="AL507" s="6"/>
      <c r="AM507" s="6"/>
      <c r="AN507" s="6"/>
      <c r="AO507" s="6"/>
      <c r="AP507" s="6"/>
    </row>
    <row r="508" spans="1:42" s="6" customFormat="1" x14ac:dyDescent="0.25">
      <c r="A508" s="183" t="s">
        <v>124</v>
      </c>
      <c r="B508" s="184" t="s">
        <v>1142</v>
      </c>
      <c r="C508" s="184"/>
      <c r="D508" s="184"/>
      <c r="E508" s="171"/>
      <c r="F508" s="188"/>
      <c r="G508" s="188"/>
      <c r="H508" s="188"/>
      <c r="I508" s="188"/>
      <c r="J508" s="188"/>
      <c r="K508" s="188"/>
      <c r="L508" s="188"/>
      <c r="M508" s="167"/>
      <c r="N508" s="167"/>
      <c r="O508" s="167"/>
      <c r="P508" s="167"/>
    </row>
    <row r="509" spans="1:42" s="6" customFormat="1" x14ac:dyDescent="0.25">
      <c r="A509" s="231" t="s">
        <v>306</v>
      </c>
      <c r="B509" s="704" t="s">
        <v>1566</v>
      </c>
      <c r="C509" s="705"/>
      <c r="D509" s="705"/>
      <c r="E509" s="705"/>
      <c r="F509" s="705"/>
      <c r="G509" s="705"/>
      <c r="H509" s="705"/>
      <c r="I509" s="705"/>
      <c r="J509" s="705"/>
      <c r="K509" s="705"/>
      <c r="L509" s="705"/>
      <c r="M509" s="705"/>
      <c r="N509" s="705"/>
      <c r="O509" s="705"/>
      <c r="P509" s="705"/>
      <c r="Q509" s="705"/>
      <c r="R509" s="705"/>
      <c r="S509" s="705"/>
      <c r="T509" s="705"/>
      <c r="U509" s="705"/>
      <c r="V509" s="705"/>
      <c r="W509" s="705"/>
      <c r="X509" s="705"/>
      <c r="Y509" s="705"/>
      <c r="Z509" s="705"/>
      <c r="AA509" s="705"/>
      <c r="AB509" s="705"/>
      <c r="AC509" s="705"/>
      <c r="AD509" s="705"/>
      <c r="AE509" s="708"/>
      <c r="AF509" s="695" t="s">
        <v>1126</v>
      </c>
      <c r="AG509" s="695" t="s">
        <v>1107</v>
      </c>
      <c r="AH509" s="695" t="s">
        <v>1108</v>
      </c>
      <c r="AI509" s="695" t="s">
        <v>1127</v>
      </c>
    </row>
    <row r="510" spans="1:42" s="6" customFormat="1" x14ac:dyDescent="0.25">
      <c r="A510" s="233"/>
      <c r="B510" s="233" t="s">
        <v>1145</v>
      </c>
      <c r="C510" s="233" t="s">
        <v>1146</v>
      </c>
      <c r="D510" s="233" t="s">
        <v>1147</v>
      </c>
      <c r="E510" s="189" t="s">
        <v>1148</v>
      </c>
      <c r="F510" s="189" t="s">
        <v>1149</v>
      </c>
      <c r="G510" s="189" t="s">
        <v>1150</v>
      </c>
      <c r="H510" s="189" t="s">
        <v>1151</v>
      </c>
      <c r="I510" s="189" t="s">
        <v>1152</v>
      </c>
      <c r="J510" s="189" t="s">
        <v>1153</v>
      </c>
      <c r="K510" s="189" t="s">
        <v>1154</v>
      </c>
      <c r="L510" s="189" t="s">
        <v>1134</v>
      </c>
      <c r="M510" s="189" t="s">
        <v>1155</v>
      </c>
      <c r="N510" s="189" t="s">
        <v>1112</v>
      </c>
      <c r="O510" s="189" t="s">
        <v>1115</v>
      </c>
      <c r="P510" s="189" t="s">
        <v>1156</v>
      </c>
      <c r="Q510" s="189" t="s">
        <v>1157</v>
      </c>
      <c r="R510" s="189" t="s">
        <v>1158</v>
      </c>
      <c r="S510" s="189" t="s">
        <v>1159</v>
      </c>
      <c r="T510" s="189" t="s">
        <v>1160</v>
      </c>
      <c r="U510" s="189" t="s">
        <v>1161</v>
      </c>
      <c r="V510" s="189" t="s">
        <v>1162</v>
      </c>
      <c r="W510" s="189" t="s">
        <v>1164</v>
      </c>
      <c r="X510" s="189" t="s">
        <v>1165</v>
      </c>
      <c r="Y510" s="189" t="s">
        <v>1166</v>
      </c>
      <c r="Z510" s="189" t="s">
        <v>1117</v>
      </c>
      <c r="AA510" s="189" t="s">
        <v>1116</v>
      </c>
      <c r="AB510" s="189" t="s">
        <v>1167</v>
      </c>
      <c r="AC510" s="189" t="s">
        <v>1168</v>
      </c>
      <c r="AD510" s="189" t="s">
        <v>1169</v>
      </c>
      <c r="AE510" s="189" t="s">
        <v>1170</v>
      </c>
      <c r="AF510" s="696"/>
      <c r="AG510" s="696"/>
      <c r="AH510" s="696"/>
      <c r="AI510" s="696"/>
    </row>
    <row r="511" spans="1:42" s="6" customFormat="1" x14ac:dyDescent="0.25">
      <c r="A511" s="233"/>
      <c r="B511" s="233"/>
      <c r="C511" s="233"/>
      <c r="D511" s="233"/>
      <c r="E511" s="189"/>
      <c r="F511" s="189"/>
      <c r="G511" s="189"/>
      <c r="H511" s="189"/>
      <c r="I511" s="189"/>
      <c r="J511" s="189"/>
      <c r="K511" s="189"/>
      <c r="L511" s="189" t="str">
        <f>$F$5</f>
        <v>9999</v>
      </c>
      <c r="M511" s="111"/>
      <c r="N511" s="111" t="str">
        <f>B456</f>
        <v>6001</v>
      </c>
      <c r="O511" s="111" t="str">
        <f>C456</f>
        <v>6001</v>
      </c>
      <c r="P511" s="111"/>
      <c r="Q511" s="111"/>
      <c r="R511" s="111">
        <v>3</v>
      </c>
      <c r="S511" s="111">
        <v>2</v>
      </c>
      <c r="T511" s="111">
        <v>1</v>
      </c>
      <c r="U511" s="113">
        <f>E456</f>
        <v>6000</v>
      </c>
      <c r="V511" s="111" t="s">
        <v>2041</v>
      </c>
      <c r="W511" s="111"/>
      <c r="X511" s="111"/>
      <c r="Y511" s="111"/>
      <c r="Z511" s="111"/>
      <c r="AA511" s="111" t="str">
        <f>D456</f>
        <v>USD</v>
      </c>
      <c r="AB511" s="111"/>
      <c r="AC511" s="111"/>
      <c r="AD511" s="111"/>
      <c r="AE511" s="111">
        <v>1</v>
      </c>
      <c r="AF511" s="176" t="s">
        <v>1128</v>
      </c>
      <c r="AG511" s="176"/>
      <c r="AH511" s="176"/>
      <c r="AI511" s="176">
        <v>0</v>
      </c>
    </row>
    <row r="512" spans="1:42" s="6" customFormat="1" x14ac:dyDescent="0.25">
      <c r="A512" t="s">
        <v>173</v>
      </c>
      <c r="B512" s="231" t="s">
        <v>1196</v>
      </c>
      <c r="C512" s="231"/>
      <c r="D512" s="231"/>
      <c r="E512" s="188"/>
      <c r="F512" s="188"/>
      <c r="G512" s="188"/>
      <c r="H512" s="188"/>
      <c r="I512" s="188"/>
      <c r="J512" s="188"/>
      <c r="K512" s="188"/>
      <c r="L512" s="188"/>
      <c r="M512" s="188"/>
      <c r="N512" s="167"/>
      <c r="O512" s="167"/>
      <c r="P512" s="167"/>
      <c r="Q512" s="167"/>
    </row>
    <row r="513" spans="1:42" s="6" customFormat="1" x14ac:dyDescent="0.25">
      <c r="A513" s="183" t="s">
        <v>124</v>
      </c>
      <c r="B513" s="184" t="s">
        <v>1172</v>
      </c>
      <c r="C513" s="184"/>
      <c r="D513" s="184"/>
      <c r="E513" s="171"/>
      <c r="F513" s="188"/>
      <c r="G513" s="188"/>
      <c r="H513" s="188"/>
      <c r="I513" s="188"/>
      <c r="J513" s="188"/>
      <c r="K513" s="188"/>
      <c r="L513" s="188"/>
      <c r="M513" s="167"/>
      <c r="N513" s="167"/>
      <c r="O513" s="167"/>
      <c r="P513" s="167"/>
    </row>
    <row r="514" spans="1:42" s="6" customFormat="1" x14ac:dyDescent="0.25">
      <c r="A514" s="231" t="s">
        <v>306</v>
      </c>
      <c r="B514" s="704" t="s">
        <v>1566</v>
      </c>
      <c r="C514" s="705"/>
      <c r="D514" s="705"/>
      <c r="E514" s="705"/>
      <c r="F514" s="705"/>
      <c r="G514" s="705"/>
      <c r="H514" s="705"/>
      <c r="I514" s="705"/>
      <c r="J514" s="705"/>
      <c r="K514" s="705"/>
      <c r="L514" s="705"/>
      <c r="M514" s="705"/>
      <c r="N514" s="705"/>
      <c r="O514" s="705"/>
      <c r="P514" s="705"/>
      <c r="Q514" s="705"/>
      <c r="R514" s="705"/>
      <c r="S514" s="705"/>
      <c r="T514" s="705"/>
      <c r="U514" s="705"/>
      <c r="V514" s="705"/>
      <c r="W514" s="705"/>
      <c r="X514" s="705"/>
      <c r="Y514" s="705"/>
      <c r="Z514" s="705"/>
      <c r="AA514" s="705"/>
      <c r="AB514" s="705"/>
      <c r="AC514" s="705"/>
      <c r="AD514" s="705"/>
      <c r="AE514" s="708"/>
      <c r="AF514" s="695" t="s">
        <v>1126</v>
      </c>
      <c r="AG514" s="695" t="s">
        <v>1107</v>
      </c>
      <c r="AH514" s="695" t="s">
        <v>1108</v>
      </c>
      <c r="AI514" s="695" t="s">
        <v>1127</v>
      </c>
    </row>
    <row r="515" spans="1:42" s="6" customFormat="1" x14ac:dyDescent="0.25">
      <c r="A515" s="233"/>
      <c r="B515" s="190" t="s">
        <v>1145</v>
      </c>
      <c r="C515" s="233" t="s">
        <v>1146</v>
      </c>
      <c r="D515" s="233" t="s">
        <v>1147</v>
      </c>
      <c r="E515" s="189" t="s">
        <v>1148</v>
      </c>
      <c r="F515" s="189" t="s">
        <v>1149</v>
      </c>
      <c r="G515" s="189" t="s">
        <v>1150</v>
      </c>
      <c r="H515" s="189" t="s">
        <v>1151</v>
      </c>
      <c r="I515" s="189" t="s">
        <v>1152</v>
      </c>
      <c r="J515" s="189" t="s">
        <v>1153</v>
      </c>
      <c r="K515" s="189" t="s">
        <v>1154</v>
      </c>
      <c r="L515" s="189" t="s">
        <v>1134</v>
      </c>
      <c r="M515" s="189" t="s">
        <v>1155</v>
      </c>
      <c r="N515" s="189" t="s">
        <v>1112</v>
      </c>
      <c r="O515" s="189" t="s">
        <v>1115</v>
      </c>
      <c r="P515" s="189" t="s">
        <v>1156</v>
      </c>
      <c r="Q515" s="189" t="s">
        <v>1157</v>
      </c>
      <c r="R515" s="189" t="s">
        <v>1158</v>
      </c>
      <c r="S515" s="189" t="s">
        <v>1159</v>
      </c>
      <c r="T515" s="189" t="s">
        <v>1160</v>
      </c>
      <c r="U515" s="189" t="s">
        <v>1161</v>
      </c>
      <c r="V515" s="189" t="s">
        <v>1162</v>
      </c>
      <c r="W515" s="189" t="s">
        <v>1164</v>
      </c>
      <c r="X515" s="189" t="s">
        <v>1165</v>
      </c>
      <c r="Y515" s="189" t="s">
        <v>1166</v>
      </c>
      <c r="Z515" s="189" t="s">
        <v>1117</v>
      </c>
      <c r="AA515" s="189" t="s">
        <v>1116</v>
      </c>
      <c r="AB515" s="189" t="s">
        <v>1167</v>
      </c>
      <c r="AC515" s="189" t="s">
        <v>1168</v>
      </c>
      <c r="AD515" s="189" t="s">
        <v>1169</v>
      </c>
      <c r="AE515" s="189" t="s">
        <v>1170</v>
      </c>
      <c r="AF515" s="696"/>
      <c r="AG515" s="696"/>
      <c r="AH515" s="696"/>
      <c r="AI515" s="696"/>
    </row>
    <row r="516" spans="1:42" x14ac:dyDescent="0.25">
      <c r="A516" s="233"/>
      <c r="B516" s="190">
        <f>B506+1</f>
        <v>7</v>
      </c>
      <c r="C516" s="233">
        <v>1</v>
      </c>
      <c r="D516" s="233" t="s">
        <v>1173</v>
      </c>
      <c r="E516" s="189">
        <v>20190328</v>
      </c>
      <c r="F516" s="191">
        <v>0.57240740740740736</v>
      </c>
      <c r="G516" s="189"/>
      <c r="H516" s="189"/>
      <c r="I516" s="189"/>
      <c r="J516" s="189" t="s">
        <v>1192</v>
      </c>
      <c r="K516" s="189">
        <v>1</v>
      </c>
      <c r="L516" s="189" t="str">
        <f>$F$5</f>
        <v>9999</v>
      </c>
      <c r="M516" s="111"/>
      <c r="N516" s="111" t="str">
        <f>N511</f>
        <v>6001</v>
      </c>
      <c r="O516" s="111" t="str">
        <f>O511</f>
        <v>6001</v>
      </c>
      <c r="P516" s="111"/>
      <c r="Q516" s="111">
        <v>1</v>
      </c>
      <c r="R516" s="111">
        <v>3</v>
      </c>
      <c r="S516" s="111">
        <v>2</v>
      </c>
      <c r="T516" s="111">
        <v>1</v>
      </c>
      <c r="U516" s="113">
        <f>U511</f>
        <v>6000</v>
      </c>
      <c r="V516" s="111" t="s">
        <v>2041</v>
      </c>
      <c r="W516" s="111">
        <v>1</v>
      </c>
      <c r="X516" s="111"/>
      <c r="Y516" s="111"/>
      <c r="Z516" s="111"/>
      <c r="AA516" s="111" t="str">
        <f>AA511</f>
        <v>USD</v>
      </c>
      <c r="AB516" s="111">
        <v>1</v>
      </c>
      <c r="AC516" s="111">
        <v>1</v>
      </c>
      <c r="AD516" s="111"/>
      <c r="AE516" s="111">
        <v>1</v>
      </c>
      <c r="AF516" s="111" t="s">
        <v>1128</v>
      </c>
      <c r="AG516" s="111"/>
      <c r="AH516" s="111"/>
      <c r="AI516" s="111">
        <v>0</v>
      </c>
      <c r="AJ516" s="6"/>
      <c r="AK516" s="6"/>
      <c r="AL516" s="6"/>
      <c r="AM516" s="6"/>
      <c r="AN516" s="6"/>
      <c r="AO516" s="6"/>
    </row>
    <row r="517" spans="1:42" x14ac:dyDescent="0.25">
      <c r="B517" s="231"/>
      <c r="C517" s="193"/>
      <c r="D517" s="231"/>
      <c r="E517" s="231"/>
      <c r="F517" s="188"/>
      <c r="G517" s="194"/>
      <c r="H517" s="188"/>
      <c r="I517" s="188"/>
      <c r="J517" s="188"/>
      <c r="K517" s="188"/>
      <c r="L517" s="188"/>
      <c r="M517" s="188"/>
      <c r="N517" s="167"/>
      <c r="O517" s="167"/>
      <c r="P517" s="167"/>
      <c r="Q517" s="167"/>
      <c r="R517" s="167"/>
      <c r="S517" s="167"/>
      <c r="T517" s="167"/>
      <c r="U517" s="167"/>
      <c r="V517" s="182"/>
      <c r="W517" s="167"/>
      <c r="X517" s="167"/>
      <c r="Y517" s="167"/>
      <c r="Z517" s="167"/>
      <c r="AA517" s="167"/>
      <c r="AB517" s="167"/>
      <c r="AC517" s="167"/>
      <c r="AD517" s="167"/>
      <c r="AE517" s="167"/>
      <c r="AF517" s="167"/>
      <c r="AG517" s="167"/>
      <c r="AH517" s="167"/>
      <c r="AI517" s="167"/>
      <c r="AJ517" s="167"/>
      <c r="AK517" s="6"/>
      <c r="AL517" s="6"/>
      <c r="AM517" s="6"/>
      <c r="AN517" s="6"/>
      <c r="AO517" s="6"/>
      <c r="AP517" s="6"/>
    </row>
    <row r="518" spans="1:42" x14ac:dyDescent="0.25">
      <c r="A518" t="s">
        <v>359</v>
      </c>
      <c r="B518" s="231" t="s">
        <v>1237</v>
      </c>
      <c r="C518" s="193"/>
      <c r="D518" s="231"/>
      <c r="E518" s="231"/>
      <c r="F518" s="188"/>
      <c r="G518" s="194"/>
      <c r="H518" s="188"/>
      <c r="I518" s="188"/>
      <c r="J518" s="188"/>
      <c r="K518" s="188"/>
      <c r="L518" s="188"/>
      <c r="M518" s="188"/>
      <c r="N518" s="167"/>
      <c r="O518" s="167"/>
      <c r="P518" s="167"/>
      <c r="Q518" s="167"/>
      <c r="R518" s="167"/>
      <c r="S518" s="167"/>
      <c r="T518" s="167"/>
      <c r="U518" s="167"/>
      <c r="V518" s="182"/>
      <c r="W518" s="167"/>
      <c r="X518" s="167"/>
      <c r="Y518" s="167"/>
      <c r="Z518" s="167"/>
      <c r="AA518" s="167"/>
      <c r="AB518" s="167"/>
      <c r="AC518" s="167"/>
      <c r="AD518" s="167"/>
      <c r="AE518" s="167"/>
      <c r="AF518" s="167"/>
      <c r="AG518" s="167"/>
      <c r="AH518" s="167"/>
      <c r="AI518" s="167"/>
      <c r="AJ518" s="167"/>
      <c r="AK518" s="6"/>
      <c r="AL518" s="6"/>
      <c r="AM518" s="6"/>
      <c r="AN518" s="6"/>
      <c r="AO518" s="6"/>
      <c r="AP518" s="6"/>
    </row>
    <row r="519" spans="1:42" x14ac:dyDescent="0.25">
      <c r="A519" t="s">
        <v>359</v>
      </c>
      <c r="B519" s="233" t="str">
        <f t="shared" ref="B519:D522" si="40">B13</f>
        <v>交易所代码</v>
      </c>
      <c r="C519" s="233" t="str">
        <f t="shared" si="40"/>
        <v>交易所账号</v>
      </c>
      <c r="D519" s="233" t="str">
        <f t="shared" si="40"/>
        <v>币种代码</v>
      </c>
      <c r="E519" s="189" t="s">
        <v>1140</v>
      </c>
      <c r="F519" s="189" t="s">
        <v>1463</v>
      </c>
      <c r="G519" s="189" t="s">
        <v>191</v>
      </c>
      <c r="H519" s="188"/>
      <c r="I519" s="188"/>
      <c r="J519" s="188"/>
      <c r="K519" s="188"/>
      <c r="L519" s="188"/>
      <c r="M519" s="188"/>
      <c r="N519" s="167"/>
      <c r="O519" s="167"/>
      <c r="P519" s="167"/>
      <c r="Q519" s="167"/>
      <c r="R519" s="167"/>
      <c r="S519" s="167"/>
      <c r="T519" s="167"/>
      <c r="U519" s="167"/>
      <c r="V519" s="182"/>
      <c r="W519" s="167"/>
      <c r="X519" s="167"/>
      <c r="Y519" s="167"/>
      <c r="Z519" s="167"/>
      <c r="AA519" s="167"/>
      <c r="AB519" s="167"/>
      <c r="AC519" s="167"/>
      <c r="AD519" s="167"/>
      <c r="AE519" s="167"/>
      <c r="AF519" s="167"/>
      <c r="AG519" s="167"/>
      <c r="AH519" s="167"/>
      <c r="AI519" s="167"/>
      <c r="AJ519" s="167"/>
      <c r="AK519" s="6"/>
      <c r="AL519" s="6"/>
      <c r="AM519" s="6"/>
      <c r="AN519" s="6"/>
      <c r="AO519" s="6"/>
      <c r="AP519" s="6"/>
    </row>
    <row r="520" spans="1:42" x14ac:dyDescent="0.25">
      <c r="A520" t="s">
        <v>359</v>
      </c>
      <c r="B520" s="233" t="str">
        <f t="shared" si="40"/>
        <v>CZCE</v>
      </c>
      <c r="C520" s="233">
        <f t="shared" si="40"/>
        <v>99990201</v>
      </c>
      <c r="D520" s="233" t="str">
        <f t="shared" si="40"/>
        <v>CNY</v>
      </c>
      <c r="E520" s="518">
        <v>3000.12</v>
      </c>
      <c r="F520" s="189">
        <v>0</v>
      </c>
      <c r="G520" s="189" t="str">
        <f>$F$5</f>
        <v>9999</v>
      </c>
      <c r="H520" s="188"/>
      <c r="I520" s="188"/>
      <c r="J520" s="188"/>
      <c r="K520" s="188"/>
      <c r="L520" s="188"/>
      <c r="M520" s="188"/>
      <c r="N520" s="167"/>
      <c r="O520" s="167"/>
      <c r="P520" s="167"/>
      <c r="Q520" s="167"/>
      <c r="R520" s="167"/>
      <c r="S520" s="167"/>
      <c r="T520" s="167"/>
      <c r="U520" s="167"/>
      <c r="V520" s="182"/>
      <c r="W520" s="167"/>
      <c r="X520" s="167"/>
      <c r="Y520" s="167"/>
      <c r="Z520" s="167"/>
      <c r="AA520" s="167"/>
      <c r="AB520" s="167"/>
      <c r="AC520" s="167"/>
      <c r="AD520" s="167"/>
      <c r="AE520" s="167"/>
      <c r="AF520" s="167"/>
      <c r="AG520" s="167"/>
      <c r="AH520" s="167"/>
      <c r="AI520" s="167"/>
      <c r="AJ520" s="167"/>
      <c r="AK520" s="6"/>
      <c r="AL520" s="6"/>
      <c r="AM520" s="6"/>
      <c r="AN520" s="6"/>
      <c r="AO520" s="6"/>
      <c r="AP520" s="6"/>
    </row>
    <row r="521" spans="1:42" x14ac:dyDescent="0.25">
      <c r="A521" t="s">
        <v>359</v>
      </c>
      <c r="B521" s="421" t="str">
        <f t="shared" si="40"/>
        <v>CZCE</v>
      </c>
      <c r="C521" s="421">
        <f t="shared" si="40"/>
        <v>99990203</v>
      </c>
      <c r="D521" s="421" t="str">
        <f t="shared" si="40"/>
        <v>HKD</v>
      </c>
      <c r="E521" s="518">
        <v>4000.89</v>
      </c>
      <c r="F521" s="189">
        <v>0</v>
      </c>
      <c r="G521" s="189" t="str">
        <f>$F$5</f>
        <v>9999</v>
      </c>
      <c r="H521" s="188"/>
      <c r="I521" s="188"/>
      <c r="J521" s="188"/>
      <c r="K521" s="188"/>
      <c r="L521" s="188"/>
      <c r="M521" s="188"/>
      <c r="N521" s="167"/>
      <c r="O521" s="167"/>
      <c r="P521" s="167"/>
      <c r="Q521" s="167"/>
      <c r="R521" s="167"/>
      <c r="S521" s="167"/>
      <c r="T521" s="167"/>
      <c r="U521" s="167"/>
      <c r="V521" s="182"/>
      <c r="W521" s="167"/>
      <c r="X521" s="167"/>
      <c r="Y521" s="167"/>
      <c r="Z521" s="167"/>
      <c r="AA521" s="167"/>
      <c r="AB521" s="167"/>
      <c r="AC521" s="167"/>
      <c r="AD521" s="167"/>
      <c r="AE521" s="167"/>
      <c r="AF521" s="167"/>
      <c r="AG521" s="167"/>
      <c r="AH521" s="167"/>
      <c r="AI521" s="167"/>
      <c r="AJ521" s="167"/>
      <c r="AK521" s="6"/>
      <c r="AL521" s="6"/>
      <c r="AM521" s="6"/>
      <c r="AN521" s="6"/>
      <c r="AO521" s="6"/>
      <c r="AP521" s="6"/>
    </row>
    <row r="522" spans="1:42" x14ac:dyDescent="0.25">
      <c r="A522" t="s">
        <v>359</v>
      </c>
      <c r="B522" s="233" t="str">
        <f t="shared" si="40"/>
        <v>CZCE</v>
      </c>
      <c r="C522" s="233">
        <f t="shared" si="40"/>
        <v>99990202</v>
      </c>
      <c r="D522" s="233" t="str">
        <f t="shared" si="40"/>
        <v>USD</v>
      </c>
      <c r="E522" s="518">
        <v>5000.8900000000003</v>
      </c>
      <c r="F522" s="189">
        <v>0</v>
      </c>
      <c r="G522" s="189" t="str">
        <f t="shared" ref="G522:G525" si="41">$F$5</f>
        <v>9999</v>
      </c>
      <c r="H522" s="188"/>
      <c r="I522" s="188"/>
      <c r="J522" s="188"/>
      <c r="K522" s="188"/>
      <c r="L522" s="188"/>
      <c r="M522" s="188"/>
      <c r="N522" s="167"/>
      <c r="O522" s="167"/>
      <c r="P522" s="167"/>
      <c r="Q522" s="167"/>
      <c r="R522" s="167"/>
      <c r="S522" s="167"/>
      <c r="T522" s="167"/>
      <c r="U522" s="167"/>
      <c r="V522" s="182"/>
      <c r="W522" s="167"/>
      <c r="X522" s="167"/>
      <c r="Y522" s="167"/>
      <c r="Z522" s="167"/>
      <c r="AA522" s="167"/>
      <c r="AB522" s="167"/>
      <c r="AC522" s="167"/>
      <c r="AD522" s="167"/>
      <c r="AE522" s="167"/>
      <c r="AF522" s="167"/>
      <c r="AG522" s="167"/>
      <c r="AH522" s="167"/>
      <c r="AI522" s="167"/>
      <c r="AJ522" s="167"/>
      <c r="AK522" s="6"/>
      <c r="AL522" s="6"/>
      <c r="AM522" s="6"/>
      <c r="AN522" s="6"/>
      <c r="AO522" s="6"/>
      <c r="AP522" s="6"/>
    </row>
    <row r="523" spans="1:42" x14ac:dyDescent="0.25">
      <c r="A523" t="s">
        <v>359</v>
      </c>
      <c r="B523" s="233" t="str">
        <f t="shared" ref="B523:D525" si="42">B520</f>
        <v>CZCE</v>
      </c>
      <c r="C523" s="233">
        <f t="shared" si="42"/>
        <v>99990201</v>
      </c>
      <c r="D523" s="233" t="str">
        <f t="shared" si="42"/>
        <v>CNY</v>
      </c>
      <c r="E523" s="518">
        <v>1000</v>
      </c>
      <c r="F523" s="189">
        <v>1</v>
      </c>
      <c r="G523" s="189" t="str">
        <f t="shared" si="41"/>
        <v>9999</v>
      </c>
      <c r="H523" s="188"/>
      <c r="I523" s="188"/>
      <c r="J523" s="188"/>
      <c r="K523" s="188"/>
      <c r="L523" s="188"/>
      <c r="M523" s="188"/>
      <c r="N523" s="167"/>
      <c r="O523" s="167"/>
      <c r="P523" s="167"/>
      <c r="Q523" s="167"/>
      <c r="R523" s="167"/>
      <c r="S523" s="167"/>
      <c r="T523" s="167"/>
      <c r="U523" s="167"/>
      <c r="V523" s="182"/>
      <c r="W523" s="167"/>
      <c r="X523" s="167"/>
      <c r="Y523" s="167"/>
      <c r="Z523" s="167"/>
      <c r="AA523" s="167"/>
      <c r="AB523" s="167"/>
      <c r="AC523" s="167"/>
      <c r="AD523" s="167"/>
      <c r="AE523" s="167"/>
      <c r="AF523" s="167"/>
      <c r="AG523" s="167"/>
      <c r="AH523" s="167"/>
      <c r="AI523" s="167"/>
      <c r="AJ523" s="167"/>
      <c r="AK523" s="6"/>
      <c r="AL523" s="6"/>
      <c r="AM523" s="6"/>
      <c r="AN523" s="6"/>
      <c r="AO523" s="6"/>
      <c r="AP523" s="6"/>
    </row>
    <row r="524" spans="1:42" x14ac:dyDescent="0.25">
      <c r="A524" t="s">
        <v>359</v>
      </c>
      <c r="B524" s="421" t="str">
        <f t="shared" si="42"/>
        <v>CZCE</v>
      </c>
      <c r="C524" s="421">
        <f t="shared" si="42"/>
        <v>99990203</v>
      </c>
      <c r="D524" s="421" t="str">
        <f t="shared" si="42"/>
        <v>HKD</v>
      </c>
      <c r="E524" s="518">
        <v>2000</v>
      </c>
      <c r="F524" s="189">
        <v>1</v>
      </c>
      <c r="G524" s="189" t="str">
        <f t="shared" si="41"/>
        <v>9999</v>
      </c>
      <c r="H524" s="188"/>
      <c r="I524" s="188"/>
      <c r="J524" s="188"/>
      <c r="K524" s="188"/>
      <c r="L524" s="188"/>
      <c r="M524" s="188"/>
      <c r="N524" s="167"/>
      <c r="O524" s="167"/>
      <c r="P524" s="167"/>
      <c r="Q524" s="167"/>
      <c r="R524" s="167"/>
      <c r="S524" s="167"/>
      <c r="T524" s="167"/>
      <c r="U524" s="167"/>
      <c r="V524" s="182"/>
      <c r="W524" s="167"/>
      <c r="X524" s="167"/>
      <c r="Y524" s="167"/>
      <c r="Z524" s="167"/>
      <c r="AA524" s="167"/>
      <c r="AB524" s="167"/>
      <c r="AC524" s="167"/>
      <c r="AD524" s="167"/>
      <c r="AE524" s="167"/>
      <c r="AF524" s="167"/>
      <c r="AG524" s="167"/>
      <c r="AH524" s="167"/>
      <c r="AI524" s="167"/>
      <c r="AJ524" s="167"/>
      <c r="AK524" s="6"/>
      <c r="AL524" s="6"/>
      <c r="AM524" s="6"/>
      <c r="AN524" s="6"/>
      <c r="AO524" s="6"/>
      <c r="AP524" s="6"/>
    </row>
    <row r="525" spans="1:42" x14ac:dyDescent="0.25">
      <c r="A525" t="s">
        <v>359</v>
      </c>
      <c r="B525" s="233" t="str">
        <f t="shared" si="42"/>
        <v>CZCE</v>
      </c>
      <c r="C525" s="233">
        <f t="shared" si="42"/>
        <v>99990202</v>
      </c>
      <c r="D525" s="233" t="str">
        <f t="shared" si="42"/>
        <v>USD</v>
      </c>
      <c r="E525" s="518">
        <v>3000</v>
      </c>
      <c r="F525" s="189">
        <v>1</v>
      </c>
      <c r="G525" s="189" t="str">
        <f t="shared" si="41"/>
        <v>9999</v>
      </c>
      <c r="H525" s="188"/>
      <c r="I525" s="188"/>
      <c r="J525" s="188"/>
      <c r="K525" s="188"/>
      <c r="L525" s="188"/>
      <c r="M525" s="188"/>
      <c r="N525" s="167"/>
      <c r="O525" s="167"/>
      <c r="P525" s="167"/>
      <c r="Q525" s="167"/>
      <c r="R525" s="167"/>
      <c r="S525" s="167"/>
      <c r="T525" s="167"/>
      <c r="U525" s="167"/>
      <c r="V525" s="182"/>
      <c r="W525" s="167"/>
      <c r="X525" s="167"/>
      <c r="Y525" s="167"/>
      <c r="Z525" s="167"/>
      <c r="AA525" s="167"/>
      <c r="AB525" s="167"/>
      <c r="AC525" s="167"/>
      <c r="AD525" s="167"/>
      <c r="AE525" s="167"/>
      <c r="AF525" s="167"/>
      <c r="AG525" s="167"/>
      <c r="AH525" s="167"/>
      <c r="AI525" s="167"/>
      <c r="AJ525" s="167"/>
      <c r="AK525" s="6"/>
      <c r="AL525" s="6"/>
      <c r="AM525" s="6"/>
      <c r="AN525" s="6"/>
      <c r="AO525" s="6"/>
      <c r="AP525" s="6"/>
    </row>
    <row r="526" spans="1:42" x14ac:dyDescent="0.25">
      <c r="A526" t="s">
        <v>173</v>
      </c>
      <c r="B526" s="231" t="s">
        <v>1182</v>
      </c>
      <c r="C526" s="193"/>
      <c r="D526" s="231"/>
      <c r="E526" s="231"/>
      <c r="F526" s="188"/>
      <c r="G526" s="194"/>
      <c r="H526" s="188"/>
      <c r="I526" s="188"/>
      <c r="J526" s="188"/>
      <c r="K526" s="188"/>
      <c r="L526" s="188"/>
      <c r="M526" s="188"/>
      <c r="N526" s="167"/>
      <c r="O526" s="167"/>
      <c r="P526" s="167"/>
      <c r="Q526" s="167"/>
      <c r="R526" s="167"/>
      <c r="S526" s="167"/>
      <c r="T526" s="167"/>
      <c r="U526" s="167"/>
      <c r="V526" s="182"/>
      <c r="W526" s="167"/>
      <c r="X526" s="167"/>
      <c r="Y526" s="167"/>
      <c r="Z526" s="167"/>
      <c r="AA526" s="167"/>
      <c r="AB526" s="167"/>
      <c r="AC526" s="167"/>
      <c r="AD526" s="167"/>
      <c r="AE526" s="167"/>
      <c r="AF526" s="167"/>
      <c r="AG526" s="167"/>
      <c r="AH526" s="167"/>
      <c r="AI526" s="167"/>
      <c r="AJ526" s="167"/>
      <c r="AK526" s="6"/>
      <c r="AL526" s="6"/>
      <c r="AM526" s="6"/>
      <c r="AN526" s="6"/>
      <c r="AO526" s="6"/>
      <c r="AP526" s="6"/>
    </row>
    <row r="527" spans="1:42" x14ac:dyDescent="0.25">
      <c r="A527" s="195" t="s">
        <v>124</v>
      </c>
      <c r="B527" s="230" t="s">
        <v>1239</v>
      </c>
      <c r="C527" s="230"/>
      <c r="D527" s="230"/>
      <c r="E527" s="209"/>
      <c r="F527" s="210"/>
      <c r="G527" s="209"/>
      <c r="H527" s="209"/>
      <c r="I527" s="209"/>
      <c r="J527" s="209"/>
      <c r="K527" s="209"/>
      <c r="L527" s="209"/>
      <c r="M527" s="211"/>
      <c r="N527" s="211"/>
      <c r="O527" s="211"/>
      <c r="P527" s="211"/>
      <c r="Q527" s="211"/>
      <c r="R527" s="211"/>
      <c r="S527" s="211"/>
      <c r="T527" s="211"/>
      <c r="U527" s="212"/>
      <c r="V527" s="211"/>
      <c r="W527" s="211"/>
      <c r="X527" s="211"/>
      <c r="Y527" s="211"/>
      <c r="Z527" s="211"/>
      <c r="AA527" s="211"/>
      <c r="AB527" s="211"/>
      <c r="AG527" s="167"/>
      <c r="AH527" s="167"/>
      <c r="AI527" s="167"/>
      <c r="AJ527" s="6"/>
      <c r="AK527" s="6"/>
      <c r="AL527" s="6"/>
      <c r="AM527" s="6"/>
      <c r="AN527" s="6"/>
      <c r="AO527" s="6"/>
    </row>
    <row r="528" spans="1:42" x14ac:dyDescent="0.25">
      <c r="A528" s="195" t="s">
        <v>306</v>
      </c>
      <c r="B528" s="745" t="s">
        <v>1568</v>
      </c>
      <c r="C528" s="746"/>
      <c r="D528" s="746"/>
      <c r="E528" s="746"/>
      <c r="F528" s="746"/>
      <c r="G528" s="746"/>
      <c r="H528" s="746"/>
      <c r="I528" s="746"/>
      <c r="J528" s="746"/>
      <c r="K528" s="746"/>
      <c r="L528" s="746"/>
      <c r="M528" s="746"/>
      <c r="N528" s="746"/>
      <c r="O528" s="746"/>
      <c r="P528" s="746"/>
      <c r="Q528" s="746"/>
      <c r="R528" s="746"/>
      <c r="S528" s="746"/>
      <c r="T528" s="746"/>
      <c r="U528" s="746"/>
      <c r="V528" s="746"/>
      <c r="W528" s="746"/>
      <c r="X528" s="746"/>
      <c r="Y528" s="746"/>
      <c r="Z528" s="746"/>
      <c r="AA528" s="746"/>
      <c r="AB528" s="747"/>
      <c r="AC528" s="695" t="s">
        <v>1126</v>
      </c>
      <c r="AD528" s="695" t="s">
        <v>1107</v>
      </c>
      <c r="AE528" s="695" t="s">
        <v>1108</v>
      </c>
      <c r="AF528" s="695" t="s">
        <v>1127</v>
      </c>
      <c r="AG528" s="167"/>
      <c r="AH528" s="167"/>
      <c r="AI528" s="167"/>
      <c r="AJ528" s="6"/>
      <c r="AK528" s="6"/>
      <c r="AL528" s="6"/>
      <c r="AM528" s="6"/>
      <c r="AN528" s="6"/>
      <c r="AO528" s="6"/>
    </row>
    <row r="529" spans="1:42" x14ac:dyDescent="0.25">
      <c r="B529" s="213" t="s">
        <v>1145</v>
      </c>
      <c r="C529" s="213" t="s">
        <v>1146</v>
      </c>
      <c r="D529" s="213" t="s">
        <v>1147</v>
      </c>
      <c r="E529" s="214" t="s">
        <v>1148</v>
      </c>
      <c r="F529" s="214" t="s">
        <v>1149</v>
      </c>
      <c r="G529" s="214" t="s">
        <v>1150</v>
      </c>
      <c r="H529" s="214" t="s">
        <v>1151</v>
      </c>
      <c r="I529" s="214" t="s">
        <v>1152</v>
      </c>
      <c r="J529" s="214" t="s">
        <v>1153</v>
      </c>
      <c r="K529" s="214" t="s">
        <v>1154</v>
      </c>
      <c r="L529" s="214" t="s">
        <v>1133</v>
      </c>
      <c r="M529" s="214" t="s">
        <v>1134</v>
      </c>
      <c r="N529" s="214" t="s">
        <v>1115</v>
      </c>
      <c r="O529" s="214" t="s">
        <v>1240</v>
      </c>
      <c r="P529" s="214" t="s">
        <v>1117</v>
      </c>
      <c r="Q529" s="214" t="s">
        <v>1156</v>
      </c>
      <c r="R529" s="214" t="s">
        <v>1157</v>
      </c>
      <c r="S529" s="214" t="s">
        <v>1158</v>
      </c>
      <c r="T529" s="214" t="s">
        <v>1159</v>
      </c>
      <c r="U529" s="214" t="s">
        <v>1160</v>
      </c>
      <c r="V529" s="214" t="s">
        <v>1161</v>
      </c>
      <c r="W529" s="214" t="s">
        <v>1162</v>
      </c>
      <c r="X529" s="214" t="s">
        <v>1164</v>
      </c>
      <c r="Y529" s="214" t="s">
        <v>1166</v>
      </c>
      <c r="Z529" s="214" t="s">
        <v>1116</v>
      </c>
      <c r="AA529" s="214" t="s">
        <v>1167</v>
      </c>
      <c r="AB529" s="214" t="s">
        <v>1168</v>
      </c>
      <c r="AC529" s="696"/>
      <c r="AD529" s="696"/>
      <c r="AE529" s="696"/>
      <c r="AF529" s="696"/>
      <c r="AG529" s="167"/>
      <c r="AH529" s="167"/>
      <c r="AI529" s="167"/>
      <c r="AJ529" s="6"/>
      <c r="AK529" s="6"/>
      <c r="AL529" s="6"/>
      <c r="AM529" s="6"/>
      <c r="AN529" s="6"/>
      <c r="AO529" s="6"/>
    </row>
    <row r="530" spans="1:42" x14ac:dyDescent="0.25">
      <c r="A530" s="231"/>
      <c r="B530" s="190"/>
      <c r="C530" s="233"/>
      <c r="D530" s="233"/>
      <c r="E530" s="189"/>
      <c r="F530" s="191"/>
      <c r="G530" s="189"/>
      <c r="H530" s="189"/>
      <c r="I530" s="189"/>
      <c r="J530" s="189"/>
      <c r="K530" s="189"/>
      <c r="L530" s="189">
        <f>$B$2</f>
        <v>20180327</v>
      </c>
      <c r="M530" s="113" t="str">
        <f>G520</f>
        <v>9999</v>
      </c>
      <c r="N530" s="111">
        <f>C520</f>
        <v>99990201</v>
      </c>
      <c r="O530" s="111"/>
      <c r="P530" s="111" t="str">
        <f>B520</f>
        <v>CZCE</v>
      </c>
      <c r="Q530" s="111"/>
      <c r="R530" s="111"/>
      <c r="S530" s="111">
        <v>1</v>
      </c>
      <c r="T530" s="111">
        <v>1</v>
      </c>
      <c r="U530" s="113">
        <v>1</v>
      </c>
      <c r="V530" s="113">
        <f>E520</f>
        <v>3000.12</v>
      </c>
      <c r="W530" s="111" t="s">
        <v>1163</v>
      </c>
      <c r="X530" s="111"/>
      <c r="Y530" s="111">
        <v>0</v>
      </c>
      <c r="Z530" s="111" t="str">
        <f>D520</f>
        <v>CNY</v>
      </c>
      <c r="AA530" s="111"/>
      <c r="AB530" s="111"/>
      <c r="AC530" s="189" t="s">
        <v>1128</v>
      </c>
      <c r="AD530" s="111"/>
      <c r="AE530" s="111"/>
      <c r="AF530" s="111">
        <v>0</v>
      </c>
      <c r="AG530" s="167"/>
      <c r="AH530" s="167"/>
      <c r="AI530" s="167"/>
      <c r="AJ530" s="6"/>
      <c r="AK530" s="6"/>
      <c r="AL530" s="6"/>
      <c r="AM530" s="6"/>
      <c r="AN530" s="6"/>
      <c r="AO530" s="6"/>
    </row>
    <row r="531" spans="1:42" x14ac:dyDescent="0.25">
      <c r="A531" t="s">
        <v>173</v>
      </c>
      <c r="B531" s="231" t="s">
        <v>1183</v>
      </c>
      <c r="C531" s="193"/>
      <c r="D531" s="231"/>
      <c r="E531" s="231"/>
      <c r="F531" s="188"/>
      <c r="G531" s="194"/>
      <c r="H531" s="188"/>
      <c r="I531" s="188"/>
      <c r="J531" s="188"/>
      <c r="K531" s="188"/>
      <c r="L531" s="188"/>
      <c r="M531" s="188"/>
      <c r="N531" s="167"/>
      <c r="O531" s="167"/>
      <c r="P531" s="167"/>
      <c r="Q531" s="167"/>
      <c r="R531" s="167"/>
      <c r="S531" s="167"/>
      <c r="T531" s="167"/>
      <c r="U531" s="167"/>
      <c r="V531" s="182"/>
      <c r="W531" s="167"/>
      <c r="X531" s="167"/>
      <c r="Y531" s="167"/>
      <c r="Z531" s="167"/>
      <c r="AA531" s="167"/>
      <c r="AB531" s="167"/>
      <c r="AC531" s="167"/>
      <c r="AD531" s="167"/>
      <c r="AE531" s="167"/>
      <c r="AF531" s="167"/>
      <c r="AG531" s="167"/>
      <c r="AH531" s="167"/>
      <c r="AI531" s="167"/>
      <c r="AJ531" s="167"/>
      <c r="AK531" s="6"/>
      <c r="AL531" s="6"/>
      <c r="AM531" s="6"/>
      <c r="AN531" s="6"/>
      <c r="AO531" s="6"/>
      <c r="AP531" s="6"/>
    </row>
    <row r="532" spans="1:42" x14ac:dyDescent="0.25">
      <c r="A532" s="195" t="s">
        <v>124</v>
      </c>
      <c r="B532" s="218" t="s">
        <v>1242</v>
      </c>
      <c r="C532" s="218"/>
      <c r="D532" s="218"/>
      <c r="E532" s="219"/>
      <c r="F532" s="210"/>
      <c r="G532" s="209"/>
      <c r="H532" s="209"/>
      <c r="I532" s="209"/>
      <c r="J532" s="209"/>
      <c r="K532" s="209"/>
      <c r="L532" s="209"/>
      <c r="M532" s="211"/>
      <c r="N532" s="211"/>
      <c r="O532" s="211"/>
      <c r="P532" s="211"/>
      <c r="Q532" s="211"/>
      <c r="R532" s="211"/>
      <c r="S532" s="211"/>
      <c r="T532" s="211"/>
      <c r="U532" s="212"/>
      <c r="V532" s="211"/>
      <c r="W532" s="211"/>
      <c r="X532" s="211"/>
      <c r="Y532" s="211"/>
      <c r="Z532" s="211"/>
      <c r="AA532" s="211"/>
      <c r="AB532" s="211"/>
      <c r="AC532" s="211"/>
      <c r="AD532" s="167"/>
      <c r="AE532" s="167"/>
      <c r="AF532" s="167"/>
      <c r="AG532" s="167"/>
      <c r="AH532" s="167"/>
      <c r="AI532" s="167"/>
      <c r="AJ532" s="6"/>
      <c r="AK532" s="6"/>
      <c r="AL532" s="6"/>
      <c r="AM532" s="6"/>
      <c r="AN532" s="6"/>
      <c r="AO532" s="6"/>
    </row>
    <row r="533" spans="1:42" x14ac:dyDescent="0.25">
      <c r="A533" s="195" t="s">
        <v>306</v>
      </c>
      <c r="B533" s="745" t="s">
        <v>1568</v>
      </c>
      <c r="C533" s="746"/>
      <c r="D533" s="746"/>
      <c r="E533" s="746"/>
      <c r="F533" s="746"/>
      <c r="G533" s="746"/>
      <c r="H533" s="746"/>
      <c r="I533" s="746"/>
      <c r="J533" s="746"/>
      <c r="K533" s="746"/>
      <c r="L533" s="746"/>
      <c r="M533" s="746"/>
      <c r="N533" s="746"/>
      <c r="O533" s="746"/>
      <c r="P533" s="746"/>
      <c r="Q533" s="746"/>
      <c r="R533" s="746"/>
      <c r="S533" s="746"/>
      <c r="T533" s="746"/>
      <c r="U533" s="746"/>
      <c r="V533" s="746"/>
      <c r="W533" s="746"/>
      <c r="X533" s="746"/>
      <c r="Y533" s="746"/>
      <c r="Z533" s="746"/>
      <c r="AA533" s="746"/>
      <c r="AB533" s="747"/>
      <c r="AC533" s="695" t="s">
        <v>1126</v>
      </c>
      <c r="AD533" s="695" t="s">
        <v>1107</v>
      </c>
      <c r="AE533" s="695" t="s">
        <v>1108</v>
      </c>
      <c r="AF533" s="695" t="s">
        <v>1127</v>
      </c>
      <c r="AG533" s="167"/>
      <c r="AH533" s="167"/>
      <c r="AI533" s="167"/>
      <c r="AJ533" s="6"/>
      <c r="AK533" s="6"/>
      <c r="AL533" s="6"/>
      <c r="AM533" s="6"/>
      <c r="AN533" s="6"/>
      <c r="AO533" s="6"/>
    </row>
    <row r="534" spans="1:42" x14ac:dyDescent="0.25">
      <c r="B534" s="213" t="s">
        <v>1145</v>
      </c>
      <c r="C534" s="213" t="s">
        <v>1146</v>
      </c>
      <c r="D534" s="213" t="s">
        <v>1147</v>
      </c>
      <c r="E534" s="214" t="s">
        <v>1148</v>
      </c>
      <c r="F534" s="214" t="s">
        <v>1149</v>
      </c>
      <c r="G534" s="214" t="s">
        <v>1150</v>
      </c>
      <c r="H534" s="214" t="s">
        <v>1151</v>
      </c>
      <c r="I534" s="214" t="s">
        <v>1152</v>
      </c>
      <c r="J534" s="214" t="s">
        <v>1153</v>
      </c>
      <c r="K534" s="214" t="s">
        <v>1154</v>
      </c>
      <c r="L534" s="214" t="s">
        <v>1133</v>
      </c>
      <c r="M534" s="214" t="s">
        <v>1134</v>
      </c>
      <c r="N534" s="214" t="s">
        <v>1115</v>
      </c>
      <c r="O534" s="214" t="s">
        <v>1240</v>
      </c>
      <c r="P534" s="214" t="s">
        <v>1117</v>
      </c>
      <c r="Q534" s="214" t="s">
        <v>1156</v>
      </c>
      <c r="R534" s="214" t="s">
        <v>1157</v>
      </c>
      <c r="S534" s="214" t="s">
        <v>1158</v>
      </c>
      <c r="T534" s="214" t="s">
        <v>1159</v>
      </c>
      <c r="U534" s="214" t="s">
        <v>1160</v>
      </c>
      <c r="V534" s="214" t="s">
        <v>1161</v>
      </c>
      <c r="W534" s="214" t="s">
        <v>1162</v>
      </c>
      <c r="X534" s="214" t="s">
        <v>1164</v>
      </c>
      <c r="Y534" s="214" t="s">
        <v>1166</v>
      </c>
      <c r="Z534" s="214" t="s">
        <v>1116</v>
      </c>
      <c r="AA534" s="214" t="s">
        <v>1167</v>
      </c>
      <c r="AB534" s="214" t="s">
        <v>1168</v>
      </c>
      <c r="AC534" s="696"/>
      <c r="AD534" s="696"/>
      <c r="AE534" s="696"/>
      <c r="AF534" s="696"/>
      <c r="AG534" s="167"/>
      <c r="AH534" s="167"/>
      <c r="AI534" s="167"/>
      <c r="AJ534" s="6"/>
      <c r="AK534" s="6"/>
      <c r="AL534" s="6"/>
      <c r="AM534" s="6"/>
      <c r="AN534" s="6"/>
      <c r="AO534" s="6"/>
    </row>
    <row r="535" spans="1:42" x14ac:dyDescent="0.25">
      <c r="A535" s="231"/>
      <c r="B535" s="213">
        <f>G2</f>
        <v>2</v>
      </c>
      <c r="C535" s="213">
        <v>1</v>
      </c>
      <c r="D535" s="213" t="s">
        <v>1173</v>
      </c>
      <c r="E535" s="214">
        <f>$B$2</f>
        <v>20180327</v>
      </c>
      <c r="F535" s="215">
        <v>0.7289930555555556</v>
      </c>
      <c r="G535" s="214"/>
      <c r="H535" s="214"/>
      <c r="I535" s="214"/>
      <c r="J535" s="214" t="s">
        <v>1243</v>
      </c>
      <c r="K535" s="214">
        <v>1</v>
      </c>
      <c r="L535" s="214">
        <f>$B$2</f>
        <v>20180327</v>
      </c>
      <c r="M535" s="216" t="str">
        <f>M530</f>
        <v>9999</v>
      </c>
      <c r="N535" s="217">
        <f>N530</f>
        <v>99990201</v>
      </c>
      <c r="O535" s="217"/>
      <c r="P535" s="217" t="str">
        <f>P530</f>
        <v>CZCE</v>
      </c>
      <c r="Q535" s="217"/>
      <c r="R535" s="217">
        <v>1</v>
      </c>
      <c r="S535" s="217">
        <v>1</v>
      </c>
      <c r="T535" s="217">
        <v>1</v>
      </c>
      <c r="U535" s="216">
        <v>1</v>
      </c>
      <c r="V535" s="216">
        <f>V530</f>
        <v>3000.12</v>
      </c>
      <c r="W535" s="217" t="s">
        <v>1163</v>
      </c>
      <c r="X535" s="217">
        <v>1</v>
      </c>
      <c r="Y535" s="217">
        <v>0</v>
      </c>
      <c r="Z535" s="217" t="str">
        <f>Z530</f>
        <v>CNY</v>
      </c>
      <c r="AA535" s="217"/>
      <c r="AB535" s="217"/>
      <c r="AC535" s="214" t="s">
        <v>1128</v>
      </c>
      <c r="AD535" s="111"/>
      <c r="AE535" s="111"/>
      <c r="AF535" s="111">
        <v>0</v>
      </c>
      <c r="AG535" s="167"/>
      <c r="AH535" s="167"/>
      <c r="AI535" s="167"/>
      <c r="AJ535" s="6"/>
      <c r="AK535" s="6"/>
      <c r="AL535" s="6"/>
      <c r="AM535" s="6"/>
      <c r="AN535" s="6"/>
      <c r="AO535" s="6"/>
    </row>
    <row r="536" spans="1:42" x14ac:dyDescent="0.25">
      <c r="A536" t="s">
        <v>173</v>
      </c>
      <c r="B536" s="323" t="s">
        <v>1895</v>
      </c>
      <c r="C536" s="193"/>
      <c r="D536" s="323"/>
      <c r="E536" s="323"/>
      <c r="F536" s="188"/>
      <c r="G536" s="194"/>
      <c r="H536" s="188"/>
      <c r="I536" s="188"/>
      <c r="J536" s="188"/>
      <c r="K536" s="188"/>
      <c r="L536" s="188"/>
      <c r="M536" s="188"/>
      <c r="N536" s="167"/>
      <c r="O536" s="167"/>
      <c r="P536" s="167"/>
      <c r="Q536" s="167"/>
      <c r="R536" s="167"/>
      <c r="S536" s="167"/>
      <c r="T536" s="167"/>
      <c r="U536" s="167"/>
      <c r="V536" s="182"/>
      <c r="W536" s="167"/>
      <c r="X536" s="167"/>
      <c r="Y536" s="167"/>
      <c r="Z536" s="167"/>
      <c r="AA536" s="167"/>
      <c r="AB536" s="167"/>
      <c r="AC536" s="167"/>
      <c r="AD536" s="167"/>
      <c r="AE536" s="167"/>
      <c r="AF536" s="167"/>
      <c r="AG536" s="167"/>
      <c r="AH536" s="167"/>
      <c r="AI536" s="167"/>
      <c r="AJ536" s="167"/>
      <c r="AK536" s="6"/>
      <c r="AL536" s="6"/>
      <c r="AM536" s="6"/>
      <c r="AN536" s="6"/>
      <c r="AO536" s="6"/>
      <c r="AP536" s="6"/>
    </row>
    <row r="537" spans="1:42" x14ac:dyDescent="0.25">
      <c r="A537" s="195" t="s">
        <v>124</v>
      </c>
      <c r="B537" s="263" t="s">
        <v>1239</v>
      </c>
      <c r="C537" s="263"/>
      <c r="D537" s="263"/>
      <c r="E537" s="209"/>
      <c r="F537" s="210"/>
      <c r="G537" s="209"/>
      <c r="H537" s="209"/>
      <c r="I537" s="209"/>
      <c r="J537" s="209"/>
      <c r="K537" s="209"/>
      <c r="L537" s="209"/>
      <c r="M537" s="211"/>
      <c r="N537" s="211"/>
      <c r="O537" s="211"/>
      <c r="P537" s="211"/>
      <c r="Q537" s="211"/>
      <c r="R537" s="211"/>
      <c r="S537" s="211"/>
      <c r="T537" s="211"/>
      <c r="U537" s="212"/>
      <c r="V537" s="211"/>
      <c r="W537" s="211"/>
      <c r="X537" s="211"/>
      <c r="Y537" s="211"/>
      <c r="Z537" s="211"/>
      <c r="AA537" s="211"/>
      <c r="AB537" s="211"/>
      <c r="AG537" s="167"/>
      <c r="AH537" s="167"/>
      <c r="AI537" s="167"/>
      <c r="AJ537" s="6"/>
      <c r="AK537" s="6"/>
      <c r="AL537" s="6"/>
      <c r="AM537" s="6"/>
      <c r="AN537" s="6"/>
      <c r="AO537" s="6"/>
    </row>
    <row r="538" spans="1:42" x14ac:dyDescent="0.25">
      <c r="A538" s="195" t="s">
        <v>306</v>
      </c>
      <c r="B538" s="745" t="s">
        <v>1568</v>
      </c>
      <c r="C538" s="746"/>
      <c r="D538" s="746"/>
      <c r="E538" s="746"/>
      <c r="F538" s="746"/>
      <c r="G538" s="746"/>
      <c r="H538" s="746"/>
      <c r="I538" s="746"/>
      <c r="J538" s="746"/>
      <c r="K538" s="746"/>
      <c r="L538" s="746"/>
      <c r="M538" s="746"/>
      <c r="N538" s="746"/>
      <c r="O538" s="746"/>
      <c r="P538" s="746"/>
      <c r="Q538" s="746"/>
      <c r="R538" s="746"/>
      <c r="S538" s="746"/>
      <c r="T538" s="746"/>
      <c r="U538" s="746"/>
      <c r="V538" s="746"/>
      <c r="W538" s="746"/>
      <c r="X538" s="746"/>
      <c r="Y538" s="746"/>
      <c r="Z538" s="746"/>
      <c r="AA538" s="746"/>
      <c r="AB538" s="747"/>
      <c r="AC538" s="695" t="s">
        <v>1126</v>
      </c>
      <c r="AD538" s="695" t="s">
        <v>1107</v>
      </c>
      <c r="AE538" s="695" t="s">
        <v>1108</v>
      </c>
      <c r="AF538" s="695" t="s">
        <v>1127</v>
      </c>
      <c r="AG538" s="167"/>
      <c r="AH538" s="167"/>
      <c r="AI538" s="167"/>
      <c r="AJ538" s="6"/>
      <c r="AK538" s="6"/>
      <c r="AL538" s="6"/>
      <c r="AM538" s="6"/>
      <c r="AN538" s="6"/>
      <c r="AO538" s="6"/>
    </row>
    <row r="539" spans="1:42" x14ac:dyDescent="0.25">
      <c r="B539" s="213" t="s">
        <v>1145</v>
      </c>
      <c r="C539" s="213" t="s">
        <v>1146</v>
      </c>
      <c r="D539" s="213" t="s">
        <v>1147</v>
      </c>
      <c r="E539" s="214" t="s">
        <v>1148</v>
      </c>
      <c r="F539" s="214" t="s">
        <v>1149</v>
      </c>
      <c r="G539" s="214" t="s">
        <v>1150</v>
      </c>
      <c r="H539" s="214" t="s">
        <v>1151</v>
      </c>
      <c r="I539" s="214" t="s">
        <v>1152</v>
      </c>
      <c r="J539" s="214" t="s">
        <v>1153</v>
      </c>
      <c r="K539" s="214" t="s">
        <v>1154</v>
      </c>
      <c r="L539" s="214" t="s">
        <v>1133</v>
      </c>
      <c r="M539" s="214" t="s">
        <v>1134</v>
      </c>
      <c r="N539" s="214" t="s">
        <v>1115</v>
      </c>
      <c r="O539" s="214" t="s">
        <v>1240</v>
      </c>
      <c r="P539" s="214" t="s">
        <v>1117</v>
      </c>
      <c r="Q539" s="214" t="s">
        <v>1156</v>
      </c>
      <c r="R539" s="214" t="s">
        <v>1157</v>
      </c>
      <c r="S539" s="214" t="s">
        <v>1158</v>
      </c>
      <c r="T539" s="214" t="s">
        <v>1159</v>
      </c>
      <c r="U539" s="214" t="s">
        <v>1160</v>
      </c>
      <c r="V539" s="214" t="s">
        <v>1161</v>
      </c>
      <c r="W539" s="214" t="s">
        <v>1162</v>
      </c>
      <c r="X539" s="214" t="s">
        <v>1164</v>
      </c>
      <c r="Y539" s="214" t="s">
        <v>1166</v>
      </c>
      <c r="Z539" s="214" t="s">
        <v>1116</v>
      </c>
      <c r="AA539" s="214" t="s">
        <v>1167</v>
      </c>
      <c r="AB539" s="214" t="s">
        <v>1168</v>
      </c>
      <c r="AC539" s="696"/>
      <c r="AD539" s="696"/>
      <c r="AE539" s="696"/>
      <c r="AF539" s="696"/>
      <c r="AG539" s="167"/>
      <c r="AH539" s="167"/>
      <c r="AI539" s="167"/>
      <c r="AJ539" s="6"/>
      <c r="AK539" s="6"/>
      <c r="AL539" s="6"/>
      <c r="AM539" s="6"/>
      <c r="AN539" s="6"/>
      <c r="AO539" s="6"/>
    </row>
    <row r="540" spans="1:42" x14ac:dyDescent="0.25">
      <c r="A540" s="323"/>
      <c r="B540" s="190"/>
      <c r="C540" s="421"/>
      <c r="D540" s="421"/>
      <c r="E540" s="189"/>
      <c r="F540" s="191"/>
      <c r="G540" s="189"/>
      <c r="H540" s="189"/>
      <c r="I540" s="189"/>
      <c r="J540" s="189"/>
      <c r="K540" s="189"/>
      <c r="L540" s="189">
        <f>$B$2</f>
        <v>20180327</v>
      </c>
      <c r="M540" s="113" t="str">
        <f>G521</f>
        <v>9999</v>
      </c>
      <c r="N540" s="111">
        <f>C521</f>
        <v>99990203</v>
      </c>
      <c r="O540" s="111"/>
      <c r="P540" s="111" t="str">
        <f>B521</f>
        <v>CZCE</v>
      </c>
      <c r="Q540" s="111"/>
      <c r="R540" s="111"/>
      <c r="S540" s="111">
        <v>1</v>
      </c>
      <c r="T540" s="111">
        <v>1</v>
      </c>
      <c r="U540" s="113">
        <v>1</v>
      </c>
      <c r="V540" s="113">
        <f>E521</f>
        <v>4000.89</v>
      </c>
      <c r="W540" s="111" t="s">
        <v>1874</v>
      </c>
      <c r="X540" s="111"/>
      <c r="Y540" s="111">
        <v>0</v>
      </c>
      <c r="Z540" s="111" t="str">
        <f>D521</f>
        <v>HKD</v>
      </c>
      <c r="AA540" s="111"/>
      <c r="AB540" s="111"/>
      <c r="AC540" s="189" t="s">
        <v>1128</v>
      </c>
      <c r="AD540" s="111"/>
      <c r="AE540" s="111"/>
      <c r="AF540" s="111">
        <v>0</v>
      </c>
      <c r="AG540" s="167"/>
      <c r="AH540" s="167"/>
      <c r="AI540" s="167"/>
      <c r="AJ540" s="6"/>
      <c r="AK540" s="6"/>
      <c r="AL540" s="6"/>
      <c r="AM540" s="6"/>
      <c r="AN540" s="6"/>
      <c r="AO540" s="6"/>
    </row>
    <row r="541" spans="1:42" x14ac:dyDescent="0.25">
      <c r="A541" t="s">
        <v>173</v>
      </c>
      <c r="B541" s="323" t="s">
        <v>1893</v>
      </c>
      <c r="C541" s="193"/>
      <c r="D541" s="323"/>
      <c r="E541" s="323"/>
      <c r="F541" s="188"/>
      <c r="G541" s="194"/>
      <c r="H541" s="188"/>
      <c r="I541" s="188"/>
      <c r="J541" s="188"/>
      <c r="K541" s="188"/>
      <c r="L541" s="188"/>
      <c r="M541" s="188"/>
      <c r="N541" s="167"/>
      <c r="O541" s="167"/>
      <c r="P541" s="167"/>
      <c r="Q541" s="167"/>
      <c r="R541" s="167"/>
      <c r="S541" s="167"/>
      <c r="T541" s="167"/>
      <c r="U541" s="167"/>
      <c r="V541" s="182"/>
      <c r="W541" s="167"/>
      <c r="X541" s="167"/>
      <c r="Y541" s="167"/>
      <c r="Z541" s="167"/>
      <c r="AA541" s="167"/>
      <c r="AB541" s="167"/>
      <c r="AC541" s="167"/>
      <c r="AD541" s="167"/>
      <c r="AE541" s="167"/>
      <c r="AF541" s="167"/>
      <c r="AG541" s="167"/>
      <c r="AH541" s="167"/>
      <c r="AI541" s="167"/>
      <c r="AJ541" s="167"/>
      <c r="AK541" s="6"/>
      <c r="AL541" s="6"/>
      <c r="AM541" s="6"/>
      <c r="AN541" s="6"/>
      <c r="AO541" s="6"/>
      <c r="AP541" s="6"/>
    </row>
    <row r="542" spans="1:42" x14ac:dyDescent="0.25">
      <c r="A542" s="195" t="s">
        <v>124</v>
      </c>
      <c r="B542" s="218" t="s">
        <v>1242</v>
      </c>
      <c r="C542" s="218"/>
      <c r="D542" s="218"/>
      <c r="E542" s="219"/>
      <c r="F542" s="210"/>
      <c r="G542" s="209"/>
      <c r="H542" s="209"/>
      <c r="I542" s="209"/>
      <c r="J542" s="209"/>
      <c r="K542" s="209"/>
      <c r="L542" s="209"/>
      <c r="M542" s="211"/>
      <c r="N542" s="211"/>
      <c r="O542" s="211"/>
      <c r="P542" s="211"/>
      <c r="Q542" s="211"/>
      <c r="R542" s="211"/>
      <c r="S542" s="211"/>
      <c r="T542" s="211"/>
      <c r="U542" s="212"/>
      <c r="V542" s="211"/>
      <c r="W542" s="211"/>
      <c r="X542" s="211"/>
      <c r="Y542" s="211"/>
      <c r="Z542" s="211"/>
      <c r="AA542" s="211"/>
      <c r="AB542" s="211"/>
      <c r="AC542" s="211"/>
      <c r="AD542" s="167"/>
      <c r="AE542" s="167"/>
      <c r="AF542" s="167"/>
      <c r="AG542" s="167"/>
      <c r="AH542" s="167"/>
      <c r="AI542" s="167"/>
      <c r="AJ542" s="6"/>
      <c r="AK542" s="6"/>
      <c r="AL542" s="6"/>
      <c r="AM542" s="6"/>
      <c r="AN542" s="6"/>
      <c r="AO542" s="6"/>
    </row>
    <row r="543" spans="1:42" x14ac:dyDescent="0.25">
      <c r="A543" s="195" t="s">
        <v>306</v>
      </c>
      <c r="B543" s="745" t="s">
        <v>1568</v>
      </c>
      <c r="C543" s="746"/>
      <c r="D543" s="746"/>
      <c r="E543" s="746"/>
      <c r="F543" s="746"/>
      <c r="G543" s="746"/>
      <c r="H543" s="746"/>
      <c r="I543" s="746"/>
      <c r="J543" s="746"/>
      <c r="K543" s="746"/>
      <c r="L543" s="746"/>
      <c r="M543" s="746"/>
      <c r="N543" s="746"/>
      <c r="O543" s="746"/>
      <c r="P543" s="746"/>
      <c r="Q543" s="746"/>
      <c r="R543" s="746"/>
      <c r="S543" s="746"/>
      <c r="T543" s="746"/>
      <c r="U543" s="746"/>
      <c r="V543" s="746"/>
      <c r="W543" s="746"/>
      <c r="X543" s="746"/>
      <c r="Y543" s="746"/>
      <c r="Z543" s="746"/>
      <c r="AA543" s="746"/>
      <c r="AB543" s="747"/>
      <c r="AC543" s="695" t="s">
        <v>1126</v>
      </c>
      <c r="AD543" s="695" t="s">
        <v>1107</v>
      </c>
      <c r="AE543" s="695" t="s">
        <v>1108</v>
      </c>
      <c r="AF543" s="695" t="s">
        <v>1127</v>
      </c>
      <c r="AG543" s="167"/>
      <c r="AH543" s="167"/>
      <c r="AI543" s="167"/>
      <c r="AJ543" s="6"/>
      <c r="AK543" s="6"/>
      <c r="AL543" s="6"/>
      <c r="AM543" s="6"/>
      <c r="AN543" s="6"/>
      <c r="AO543" s="6"/>
    </row>
    <row r="544" spans="1:42" x14ac:dyDescent="0.25">
      <c r="B544" s="213" t="s">
        <v>1145</v>
      </c>
      <c r="C544" s="213" t="s">
        <v>1146</v>
      </c>
      <c r="D544" s="213" t="s">
        <v>1147</v>
      </c>
      <c r="E544" s="214" t="s">
        <v>1148</v>
      </c>
      <c r="F544" s="214" t="s">
        <v>1149</v>
      </c>
      <c r="G544" s="214" t="s">
        <v>1150</v>
      </c>
      <c r="H544" s="214" t="s">
        <v>1151</v>
      </c>
      <c r="I544" s="214" t="s">
        <v>1152</v>
      </c>
      <c r="J544" s="214" t="s">
        <v>1153</v>
      </c>
      <c r="K544" s="214" t="s">
        <v>1154</v>
      </c>
      <c r="L544" s="214" t="s">
        <v>1133</v>
      </c>
      <c r="M544" s="214" t="s">
        <v>1134</v>
      </c>
      <c r="N544" s="214" t="s">
        <v>1115</v>
      </c>
      <c r="O544" s="214" t="s">
        <v>1240</v>
      </c>
      <c r="P544" s="214" t="s">
        <v>1117</v>
      </c>
      <c r="Q544" s="214" t="s">
        <v>1156</v>
      </c>
      <c r="R544" s="214" t="s">
        <v>1157</v>
      </c>
      <c r="S544" s="214" t="s">
        <v>1158</v>
      </c>
      <c r="T544" s="214" t="s">
        <v>1159</v>
      </c>
      <c r="U544" s="214" t="s">
        <v>1160</v>
      </c>
      <c r="V544" s="214" t="s">
        <v>1161</v>
      </c>
      <c r="W544" s="214" t="s">
        <v>1162</v>
      </c>
      <c r="X544" s="214" t="s">
        <v>1164</v>
      </c>
      <c r="Y544" s="214" t="s">
        <v>1166</v>
      </c>
      <c r="Z544" s="214" t="s">
        <v>1116</v>
      </c>
      <c r="AA544" s="214" t="s">
        <v>1167</v>
      </c>
      <c r="AB544" s="214" t="s">
        <v>1168</v>
      </c>
      <c r="AC544" s="696"/>
      <c r="AD544" s="696"/>
      <c r="AE544" s="696"/>
      <c r="AF544" s="696"/>
      <c r="AG544" s="167"/>
      <c r="AH544" s="167"/>
      <c r="AI544" s="167"/>
      <c r="AJ544" s="6"/>
      <c r="AK544" s="6"/>
      <c r="AL544" s="6"/>
      <c r="AM544" s="6"/>
      <c r="AN544" s="6"/>
      <c r="AO544" s="6"/>
    </row>
    <row r="545" spans="1:42" x14ac:dyDescent="0.25">
      <c r="A545" s="323"/>
      <c r="B545" s="213">
        <f>B535+1</f>
        <v>3</v>
      </c>
      <c r="C545" s="213">
        <v>1</v>
      </c>
      <c r="D545" s="213" t="s">
        <v>1173</v>
      </c>
      <c r="E545" s="214">
        <f>$B$2</f>
        <v>20180327</v>
      </c>
      <c r="F545" s="215">
        <v>0.7289930555555556</v>
      </c>
      <c r="G545" s="214"/>
      <c r="H545" s="214"/>
      <c r="I545" s="214"/>
      <c r="J545" s="214" t="s">
        <v>1243</v>
      </c>
      <c r="K545" s="214">
        <v>1</v>
      </c>
      <c r="L545" s="214">
        <f>$B$2</f>
        <v>20180327</v>
      </c>
      <c r="M545" s="216" t="str">
        <f>M540</f>
        <v>9999</v>
      </c>
      <c r="N545" s="217">
        <f>N540</f>
        <v>99990203</v>
      </c>
      <c r="O545" s="217"/>
      <c r="P545" s="217" t="str">
        <f>P540</f>
        <v>CZCE</v>
      </c>
      <c r="Q545" s="217"/>
      <c r="R545" s="217">
        <v>1</v>
      </c>
      <c r="S545" s="217">
        <v>1</v>
      </c>
      <c r="T545" s="217">
        <v>1</v>
      </c>
      <c r="U545" s="216">
        <v>1</v>
      </c>
      <c r="V545" s="216">
        <f>V540</f>
        <v>4000.89</v>
      </c>
      <c r="W545" s="217" t="s">
        <v>1874</v>
      </c>
      <c r="X545" s="217">
        <v>1</v>
      </c>
      <c r="Y545" s="217">
        <v>0</v>
      </c>
      <c r="Z545" s="217" t="str">
        <f>Z540</f>
        <v>HKD</v>
      </c>
      <c r="AA545" s="217"/>
      <c r="AB545" s="217"/>
      <c r="AC545" s="214" t="s">
        <v>1128</v>
      </c>
      <c r="AD545" s="111"/>
      <c r="AE545" s="111"/>
      <c r="AF545" s="111">
        <v>0</v>
      </c>
      <c r="AG545" s="167"/>
      <c r="AH545" s="167"/>
      <c r="AI545" s="167"/>
      <c r="AJ545" s="6"/>
      <c r="AK545" s="6"/>
      <c r="AL545" s="6"/>
      <c r="AM545" s="6"/>
      <c r="AN545" s="6"/>
      <c r="AO545" s="6"/>
    </row>
    <row r="546" spans="1:42" x14ac:dyDescent="0.25">
      <c r="A546" t="s">
        <v>173</v>
      </c>
      <c r="B546" s="230" t="s">
        <v>1244</v>
      </c>
      <c r="C546" s="230"/>
      <c r="D546" s="230"/>
      <c r="E546" s="230"/>
      <c r="F546" s="209"/>
      <c r="G546" s="210"/>
      <c r="H546" s="209"/>
      <c r="I546" s="209"/>
      <c r="J546" s="209"/>
      <c r="K546" s="209"/>
      <c r="L546" s="209"/>
      <c r="M546" s="209"/>
      <c r="N546" s="211"/>
      <c r="O546" s="211"/>
      <c r="P546" s="211"/>
      <c r="Q546" s="211"/>
      <c r="R546" s="211"/>
      <c r="S546" s="211"/>
      <c r="T546" s="211"/>
      <c r="U546" s="211"/>
      <c r="V546" s="212"/>
      <c r="W546" s="211"/>
      <c r="X546" s="211"/>
      <c r="Y546" s="211"/>
      <c r="Z546" s="211"/>
      <c r="AA546" s="211"/>
      <c r="AB546" s="211"/>
      <c r="AC546" s="211"/>
      <c r="AD546" s="167"/>
      <c r="AE546" s="167"/>
      <c r="AF546" s="167"/>
      <c r="AG546" s="167"/>
      <c r="AH546" s="167"/>
      <c r="AI546" s="167"/>
      <c r="AJ546" s="167"/>
      <c r="AK546" s="6"/>
      <c r="AL546" s="6"/>
      <c r="AM546" s="6"/>
      <c r="AN546" s="6"/>
      <c r="AO546" s="6"/>
      <c r="AP546" s="6"/>
    </row>
    <row r="547" spans="1:42" x14ac:dyDescent="0.25">
      <c r="A547" s="195" t="s">
        <v>124</v>
      </c>
      <c r="B547" s="218" t="s">
        <v>1239</v>
      </c>
      <c r="C547" s="218"/>
      <c r="D547" s="218"/>
      <c r="E547" s="219"/>
      <c r="F547" s="210"/>
      <c r="G547" s="209"/>
      <c r="H547" s="209"/>
      <c r="I547" s="209"/>
      <c r="J547" s="209"/>
      <c r="K547" s="209"/>
      <c r="L547" s="209"/>
      <c r="M547" s="211"/>
      <c r="N547" s="211"/>
      <c r="O547" s="211"/>
      <c r="P547" s="211"/>
      <c r="Q547" s="211"/>
      <c r="R547" s="211"/>
      <c r="S547" s="211"/>
      <c r="T547" s="211"/>
      <c r="U547" s="212"/>
      <c r="V547" s="211"/>
      <c r="W547" s="211"/>
      <c r="X547" s="211"/>
      <c r="Y547" s="211"/>
      <c r="Z547" s="211"/>
      <c r="AA547" s="211"/>
      <c r="AB547" s="211"/>
      <c r="AC547" s="43"/>
      <c r="AG547" s="167"/>
      <c r="AH547" s="167"/>
      <c r="AI547" s="167"/>
      <c r="AJ547" s="6"/>
      <c r="AK547" s="6"/>
      <c r="AL547" s="6"/>
      <c r="AM547" s="6"/>
      <c r="AN547" s="6"/>
      <c r="AO547" s="6"/>
    </row>
    <row r="548" spans="1:42" x14ac:dyDescent="0.25">
      <c r="A548" s="195" t="s">
        <v>306</v>
      </c>
      <c r="B548" s="745" t="s">
        <v>1568</v>
      </c>
      <c r="C548" s="746"/>
      <c r="D548" s="746"/>
      <c r="E548" s="746"/>
      <c r="F548" s="746"/>
      <c r="G548" s="746"/>
      <c r="H548" s="746"/>
      <c r="I548" s="746"/>
      <c r="J548" s="746"/>
      <c r="K548" s="746"/>
      <c r="L548" s="746"/>
      <c r="M548" s="746"/>
      <c r="N548" s="746"/>
      <c r="O548" s="746"/>
      <c r="P548" s="746"/>
      <c r="Q548" s="746"/>
      <c r="R548" s="746"/>
      <c r="S548" s="746"/>
      <c r="T548" s="746"/>
      <c r="U548" s="746"/>
      <c r="V548" s="746"/>
      <c r="W548" s="746"/>
      <c r="X548" s="746"/>
      <c r="Y548" s="746"/>
      <c r="Z548" s="746"/>
      <c r="AA548" s="746"/>
      <c r="AB548" s="747"/>
      <c r="AC548" s="695" t="s">
        <v>1126</v>
      </c>
      <c r="AD548" s="695" t="s">
        <v>1107</v>
      </c>
      <c r="AE548" s="695" t="s">
        <v>1108</v>
      </c>
      <c r="AF548" s="695" t="s">
        <v>1127</v>
      </c>
      <c r="AG548" s="167"/>
      <c r="AH548" s="167"/>
      <c r="AI548" s="167"/>
      <c r="AJ548" s="6"/>
      <c r="AK548" s="6"/>
      <c r="AL548" s="6"/>
      <c r="AM548" s="6"/>
      <c r="AN548" s="6"/>
      <c r="AO548" s="6"/>
    </row>
    <row r="549" spans="1:42" x14ac:dyDescent="0.25">
      <c r="B549" s="213" t="s">
        <v>1145</v>
      </c>
      <c r="C549" s="213" t="s">
        <v>1146</v>
      </c>
      <c r="D549" s="213" t="s">
        <v>1147</v>
      </c>
      <c r="E549" s="214" t="s">
        <v>1148</v>
      </c>
      <c r="F549" s="214" t="s">
        <v>1149</v>
      </c>
      <c r="G549" s="214" t="s">
        <v>1150</v>
      </c>
      <c r="H549" s="214" t="s">
        <v>1151</v>
      </c>
      <c r="I549" s="214" t="s">
        <v>1152</v>
      </c>
      <c r="J549" s="214" t="s">
        <v>1153</v>
      </c>
      <c r="K549" s="214" t="s">
        <v>1154</v>
      </c>
      <c r="L549" s="214" t="s">
        <v>1133</v>
      </c>
      <c r="M549" s="214" t="s">
        <v>1134</v>
      </c>
      <c r="N549" s="214" t="s">
        <v>1115</v>
      </c>
      <c r="O549" s="214" t="s">
        <v>1240</v>
      </c>
      <c r="P549" s="214" t="s">
        <v>1117</v>
      </c>
      <c r="Q549" s="214" t="s">
        <v>1156</v>
      </c>
      <c r="R549" s="214" t="s">
        <v>1157</v>
      </c>
      <c r="S549" s="214" t="s">
        <v>1158</v>
      </c>
      <c r="T549" s="214" t="s">
        <v>1159</v>
      </c>
      <c r="U549" s="214" t="s">
        <v>1160</v>
      </c>
      <c r="V549" s="214" t="s">
        <v>1161</v>
      </c>
      <c r="W549" s="214" t="s">
        <v>1162</v>
      </c>
      <c r="X549" s="214" t="s">
        <v>1164</v>
      </c>
      <c r="Y549" s="214" t="s">
        <v>1166</v>
      </c>
      <c r="Z549" s="214" t="s">
        <v>1116</v>
      </c>
      <c r="AA549" s="214" t="s">
        <v>1167</v>
      </c>
      <c r="AB549" s="214" t="s">
        <v>1168</v>
      </c>
      <c r="AC549" s="696"/>
      <c r="AD549" s="696"/>
      <c r="AE549" s="696"/>
      <c r="AF549" s="696"/>
      <c r="AG549" s="167"/>
      <c r="AH549" s="167"/>
      <c r="AI549" s="167"/>
      <c r="AJ549" s="6"/>
      <c r="AK549" s="6"/>
      <c r="AL549" s="6"/>
      <c r="AM549" s="6"/>
      <c r="AN549" s="6"/>
      <c r="AO549" s="6"/>
    </row>
    <row r="550" spans="1:42" x14ac:dyDescent="0.25">
      <c r="A550" s="231"/>
      <c r="B550" s="213"/>
      <c r="C550" s="213"/>
      <c r="D550" s="213"/>
      <c r="E550" s="214"/>
      <c r="F550" s="215"/>
      <c r="G550" s="214"/>
      <c r="H550" s="214"/>
      <c r="I550" s="214"/>
      <c r="J550" s="214"/>
      <c r="K550" s="214"/>
      <c r="L550" s="214">
        <f>$B$2</f>
        <v>20180327</v>
      </c>
      <c r="M550" s="216" t="str">
        <f>M530</f>
        <v>9999</v>
      </c>
      <c r="N550" s="217">
        <f>C522</f>
        <v>99990202</v>
      </c>
      <c r="O550" s="217"/>
      <c r="P550" s="217" t="str">
        <f>P530</f>
        <v>CZCE</v>
      </c>
      <c r="Q550" s="217"/>
      <c r="R550" s="217"/>
      <c r="S550" s="217">
        <v>1</v>
      </c>
      <c r="T550" s="217">
        <v>1</v>
      </c>
      <c r="U550" s="216">
        <v>1</v>
      </c>
      <c r="V550" s="216">
        <f>E522</f>
        <v>5000.8900000000003</v>
      </c>
      <c r="W550" s="217" t="s">
        <v>1189</v>
      </c>
      <c r="X550" s="217"/>
      <c r="Y550" s="217">
        <v>0</v>
      </c>
      <c r="Z550" s="217" t="str">
        <f>D522</f>
        <v>USD</v>
      </c>
      <c r="AA550" s="217"/>
      <c r="AB550" s="217"/>
      <c r="AC550" s="214" t="s">
        <v>1128</v>
      </c>
      <c r="AD550" s="111"/>
      <c r="AE550" s="111"/>
      <c r="AF550" s="111">
        <v>0</v>
      </c>
      <c r="AG550" s="167"/>
      <c r="AH550" s="167"/>
      <c r="AI550" s="167"/>
      <c r="AJ550" s="6"/>
      <c r="AK550" s="6"/>
      <c r="AL550" s="6"/>
      <c r="AM550" s="6"/>
      <c r="AN550" s="6"/>
      <c r="AO550" s="6"/>
    </row>
    <row r="551" spans="1:42" x14ac:dyDescent="0.25">
      <c r="A551" t="s">
        <v>173</v>
      </c>
      <c r="B551" s="230" t="s">
        <v>1185</v>
      </c>
      <c r="C551" s="230"/>
      <c r="D551" s="230"/>
      <c r="E551" s="230"/>
      <c r="F551" s="209"/>
      <c r="G551" s="210"/>
      <c r="H551" s="209"/>
      <c r="I551" s="209"/>
      <c r="J551" s="209"/>
      <c r="K551" s="209"/>
      <c r="L551" s="209"/>
      <c r="M551" s="209"/>
      <c r="N551" s="211"/>
      <c r="O551" s="211"/>
      <c r="P551" s="211"/>
      <c r="Q551" s="211"/>
      <c r="R551" s="211"/>
      <c r="S551" s="211"/>
      <c r="T551" s="211"/>
      <c r="U551" s="211"/>
      <c r="V551" s="212"/>
      <c r="W551" s="211"/>
      <c r="X551" s="211"/>
      <c r="Y551" s="211"/>
      <c r="Z551" s="211"/>
      <c r="AA551" s="211"/>
      <c r="AB551" s="211"/>
      <c r="AC551" s="211"/>
      <c r="AD551" s="167"/>
      <c r="AE551" s="167"/>
      <c r="AF551" s="167"/>
      <c r="AG551" s="167"/>
      <c r="AH551" s="167"/>
      <c r="AI551" s="167"/>
      <c r="AJ551" s="167"/>
      <c r="AK551" s="6"/>
      <c r="AL551" s="6"/>
      <c r="AM551" s="6"/>
      <c r="AN551" s="6"/>
      <c r="AO551" s="6"/>
      <c r="AP551" s="6"/>
    </row>
    <row r="552" spans="1:42" x14ac:dyDescent="0.25">
      <c r="A552" s="195" t="s">
        <v>124</v>
      </c>
      <c r="B552" s="218" t="s">
        <v>1242</v>
      </c>
      <c r="C552" s="218"/>
      <c r="D552" s="218"/>
      <c r="E552" s="219"/>
      <c r="F552" s="210"/>
      <c r="G552" s="209"/>
      <c r="H552" s="209"/>
      <c r="I552" s="209"/>
      <c r="J552" s="209"/>
      <c r="K552" s="209"/>
      <c r="L552" s="209"/>
      <c r="M552" s="211"/>
      <c r="N552" s="211"/>
      <c r="O552" s="211"/>
      <c r="P552" s="211"/>
      <c r="Q552" s="211"/>
      <c r="R552" s="211"/>
      <c r="S552" s="211"/>
      <c r="T552" s="211"/>
      <c r="U552" s="212"/>
      <c r="V552" s="211"/>
      <c r="W552" s="211"/>
      <c r="X552" s="211"/>
      <c r="Y552" s="211"/>
      <c r="Z552" s="211"/>
      <c r="AA552" s="211"/>
      <c r="AB552" s="211"/>
      <c r="AC552" s="211"/>
      <c r="AD552" s="167"/>
      <c r="AE552" s="167"/>
      <c r="AF552" s="167"/>
      <c r="AG552" s="167"/>
      <c r="AH552" s="167"/>
      <c r="AI552" s="167"/>
      <c r="AJ552" s="6"/>
      <c r="AK552" s="6"/>
      <c r="AL552" s="6"/>
      <c r="AM552" s="6"/>
      <c r="AN552" s="6"/>
      <c r="AO552" s="6"/>
    </row>
    <row r="553" spans="1:42" x14ac:dyDescent="0.25">
      <c r="A553" s="195" t="s">
        <v>306</v>
      </c>
      <c r="B553" s="745" t="s">
        <v>1568</v>
      </c>
      <c r="C553" s="746"/>
      <c r="D553" s="746"/>
      <c r="E553" s="746"/>
      <c r="F553" s="746"/>
      <c r="G553" s="746"/>
      <c r="H553" s="746"/>
      <c r="I553" s="746"/>
      <c r="J553" s="746"/>
      <c r="K553" s="746"/>
      <c r="L553" s="746"/>
      <c r="M553" s="746"/>
      <c r="N553" s="746"/>
      <c r="O553" s="746"/>
      <c r="P553" s="746"/>
      <c r="Q553" s="746"/>
      <c r="R553" s="746"/>
      <c r="S553" s="746"/>
      <c r="T553" s="746"/>
      <c r="U553" s="746"/>
      <c r="V553" s="746"/>
      <c r="W553" s="746"/>
      <c r="X553" s="746"/>
      <c r="Y553" s="746"/>
      <c r="Z553" s="746"/>
      <c r="AA553" s="746"/>
      <c r="AB553" s="747"/>
      <c r="AC553" s="695" t="s">
        <v>1126</v>
      </c>
      <c r="AD553" s="695" t="s">
        <v>1107</v>
      </c>
      <c r="AE553" s="695" t="s">
        <v>1108</v>
      </c>
      <c r="AF553" s="695" t="s">
        <v>1127</v>
      </c>
      <c r="AG553" s="167"/>
      <c r="AH553" s="167"/>
      <c r="AI553" s="167"/>
      <c r="AJ553" s="6"/>
      <c r="AK553" s="6"/>
      <c r="AL553" s="6"/>
      <c r="AM553" s="6"/>
      <c r="AN553" s="6"/>
      <c r="AO553" s="6"/>
    </row>
    <row r="554" spans="1:42" x14ac:dyDescent="0.25">
      <c r="B554" s="213" t="s">
        <v>1145</v>
      </c>
      <c r="C554" s="213" t="s">
        <v>1146</v>
      </c>
      <c r="D554" s="213" t="s">
        <v>1147</v>
      </c>
      <c r="E554" s="214" t="s">
        <v>1148</v>
      </c>
      <c r="F554" s="214" t="s">
        <v>1149</v>
      </c>
      <c r="G554" s="214" t="s">
        <v>1150</v>
      </c>
      <c r="H554" s="214" t="s">
        <v>1151</v>
      </c>
      <c r="I554" s="214" t="s">
        <v>1152</v>
      </c>
      <c r="J554" s="214" t="s">
        <v>1153</v>
      </c>
      <c r="K554" s="214" t="s">
        <v>1154</v>
      </c>
      <c r="L554" s="214" t="s">
        <v>1133</v>
      </c>
      <c r="M554" s="214" t="s">
        <v>1134</v>
      </c>
      <c r="N554" s="214" t="s">
        <v>1115</v>
      </c>
      <c r="O554" s="214" t="s">
        <v>1240</v>
      </c>
      <c r="P554" s="214" t="s">
        <v>1117</v>
      </c>
      <c r="Q554" s="214" t="s">
        <v>1156</v>
      </c>
      <c r="R554" s="214" t="s">
        <v>1157</v>
      </c>
      <c r="S554" s="214" t="s">
        <v>1158</v>
      </c>
      <c r="T554" s="214" t="s">
        <v>1159</v>
      </c>
      <c r="U554" s="214" t="s">
        <v>1160</v>
      </c>
      <c r="V554" s="214" t="s">
        <v>1161</v>
      </c>
      <c r="W554" s="214" t="s">
        <v>1162</v>
      </c>
      <c r="X554" s="214" t="s">
        <v>1164</v>
      </c>
      <c r="Y554" s="214" t="s">
        <v>1166</v>
      </c>
      <c r="Z554" s="214" t="s">
        <v>1116</v>
      </c>
      <c r="AA554" s="214" t="s">
        <v>1167</v>
      </c>
      <c r="AB554" s="214" t="s">
        <v>1168</v>
      </c>
      <c r="AC554" s="696"/>
      <c r="AD554" s="696"/>
      <c r="AE554" s="696"/>
      <c r="AF554" s="696"/>
      <c r="AG554" s="167"/>
      <c r="AH554" s="167"/>
      <c r="AI554" s="167"/>
      <c r="AJ554" s="6"/>
      <c r="AK554" s="6"/>
      <c r="AL554" s="6"/>
      <c r="AM554" s="6"/>
      <c r="AN554" s="6"/>
      <c r="AO554" s="6"/>
    </row>
    <row r="555" spans="1:42" x14ac:dyDescent="0.25">
      <c r="A555" s="231"/>
      <c r="B555" s="213">
        <f>B545+1</f>
        <v>4</v>
      </c>
      <c r="C555" s="213">
        <v>1</v>
      </c>
      <c r="D555" s="213" t="s">
        <v>1173</v>
      </c>
      <c r="E555" s="214">
        <f>$B$2</f>
        <v>20180327</v>
      </c>
      <c r="F555" s="215">
        <v>0.7289930555555556</v>
      </c>
      <c r="G555" s="214"/>
      <c r="H555" s="214"/>
      <c r="I555" s="214"/>
      <c r="J555" s="214" t="s">
        <v>1247</v>
      </c>
      <c r="K555" s="214">
        <v>1</v>
      </c>
      <c r="L555" s="214">
        <f>$B$2</f>
        <v>20180327</v>
      </c>
      <c r="M555" s="216" t="str">
        <f>M550</f>
        <v>9999</v>
      </c>
      <c r="N555" s="217">
        <f>N550</f>
        <v>99990202</v>
      </c>
      <c r="O555" s="217"/>
      <c r="P555" s="217" t="str">
        <f>P550</f>
        <v>CZCE</v>
      </c>
      <c r="Q555" s="217"/>
      <c r="R555" s="217">
        <v>1</v>
      </c>
      <c r="S555" s="217">
        <v>1</v>
      </c>
      <c r="T555" s="217">
        <v>1</v>
      </c>
      <c r="U555" s="216">
        <v>1</v>
      </c>
      <c r="V555" s="216">
        <f>V550</f>
        <v>5000.8900000000003</v>
      </c>
      <c r="W555" s="217" t="s">
        <v>1189</v>
      </c>
      <c r="X555" s="217">
        <v>1</v>
      </c>
      <c r="Y555" s="217">
        <v>0</v>
      </c>
      <c r="Z555" s="217" t="str">
        <f>Z550</f>
        <v>USD</v>
      </c>
      <c r="AA555" s="217"/>
      <c r="AB555" s="217"/>
      <c r="AC555" s="214" t="s">
        <v>1128</v>
      </c>
      <c r="AD555" s="111"/>
      <c r="AE555" s="111"/>
      <c r="AF555" s="111">
        <v>0</v>
      </c>
      <c r="AG555" s="167"/>
      <c r="AH555" s="167"/>
      <c r="AI555" s="167"/>
      <c r="AJ555" s="6"/>
      <c r="AK555" s="6"/>
      <c r="AL555" s="6"/>
      <c r="AM555" s="6"/>
      <c r="AN555" s="6"/>
      <c r="AO555" s="6"/>
    </row>
    <row r="556" spans="1:42" s="6" customFormat="1" x14ac:dyDescent="0.25">
      <c r="A556" s="6" t="s">
        <v>173</v>
      </c>
      <c r="B556" s="230" t="s">
        <v>1186</v>
      </c>
      <c r="C556" s="230"/>
      <c r="D556" s="230"/>
      <c r="E556" s="230"/>
      <c r="F556" s="209"/>
      <c r="G556" s="210"/>
      <c r="H556" s="209"/>
      <c r="I556" s="209"/>
      <c r="J556" s="209"/>
      <c r="K556" s="209"/>
      <c r="L556" s="209"/>
      <c r="M556" s="209"/>
      <c r="N556" s="211"/>
      <c r="O556" s="211"/>
      <c r="P556" s="211"/>
      <c r="Q556" s="211"/>
      <c r="R556" s="211"/>
      <c r="S556" s="211"/>
      <c r="T556" s="211"/>
      <c r="U556" s="211"/>
      <c r="V556" s="212"/>
      <c r="W556" s="211"/>
      <c r="X556" s="211"/>
      <c r="Y556" s="211"/>
      <c r="Z556" s="211"/>
      <c r="AA556" s="211"/>
      <c r="AB556" s="211"/>
      <c r="AC556" s="211"/>
      <c r="AD556" s="167"/>
      <c r="AE556" s="167"/>
      <c r="AF556" s="167"/>
      <c r="AG556" s="167"/>
      <c r="AH556" s="167"/>
      <c r="AI556" s="167"/>
      <c r="AJ556" s="167"/>
    </row>
    <row r="557" spans="1:42" x14ac:dyDescent="0.25">
      <c r="A557" s="218" t="s">
        <v>124</v>
      </c>
      <c r="B557" s="218" t="s">
        <v>1239</v>
      </c>
      <c r="C557" s="218"/>
      <c r="D557" s="218"/>
      <c r="E557" s="219"/>
      <c r="F557" s="210"/>
      <c r="G557" s="209"/>
      <c r="H557" s="209"/>
      <c r="I557" s="209"/>
      <c r="J557" s="209"/>
      <c r="K557" s="209"/>
      <c r="L557" s="209"/>
      <c r="M557" s="211"/>
      <c r="N557" s="211"/>
      <c r="O557" s="211"/>
      <c r="P557" s="211"/>
      <c r="Q557" s="211"/>
      <c r="R557" s="211"/>
      <c r="S557" s="211"/>
      <c r="T557" s="211"/>
      <c r="U557" s="212"/>
      <c r="V557" s="211"/>
      <c r="W557" s="211"/>
      <c r="X557" s="211"/>
      <c r="Y557" s="211"/>
      <c r="Z557" s="211"/>
      <c r="AA557" s="211"/>
      <c r="AB557" s="211"/>
      <c r="AG557" s="167"/>
      <c r="AH557" s="167"/>
      <c r="AI557" s="167"/>
      <c r="AJ557" s="6"/>
      <c r="AK557" s="6"/>
      <c r="AL557" s="6"/>
      <c r="AM557" s="6"/>
      <c r="AN557" s="6"/>
      <c r="AO557" s="6"/>
    </row>
    <row r="558" spans="1:42" x14ac:dyDescent="0.25">
      <c r="A558" s="218" t="s">
        <v>306</v>
      </c>
      <c r="B558" s="745" t="s">
        <v>1568</v>
      </c>
      <c r="C558" s="746"/>
      <c r="D558" s="746"/>
      <c r="E558" s="746"/>
      <c r="F558" s="746"/>
      <c r="G558" s="746"/>
      <c r="H558" s="746"/>
      <c r="I558" s="746"/>
      <c r="J558" s="746"/>
      <c r="K558" s="746"/>
      <c r="L558" s="746"/>
      <c r="M558" s="746"/>
      <c r="N558" s="746"/>
      <c r="O558" s="746"/>
      <c r="P558" s="746"/>
      <c r="Q558" s="746"/>
      <c r="R558" s="746"/>
      <c r="S558" s="746"/>
      <c r="T558" s="746"/>
      <c r="U558" s="746"/>
      <c r="V558" s="746"/>
      <c r="W558" s="746"/>
      <c r="X558" s="746"/>
      <c r="Y558" s="746"/>
      <c r="Z558" s="746"/>
      <c r="AA558" s="746"/>
      <c r="AB558" s="747"/>
      <c r="AC558" s="695" t="s">
        <v>1126</v>
      </c>
      <c r="AD558" s="695" t="s">
        <v>1107</v>
      </c>
      <c r="AE558" s="695" t="s">
        <v>1108</v>
      </c>
      <c r="AF558" s="695" t="s">
        <v>1127</v>
      </c>
      <c r="AG558" s="167"/>
      <c r="AH558" s="167"/>
      <c r="AI558" s="167"/>
      <c r="AJ558" s="6"/>
      <c r="AK558" s="6"/>
      <c r="AL558" s="6"/>
      <c r="AM558" s="6"/>
      <c r="AN558" s="6"/>
      <c r="AO558" s="6"/>
    </row>
    <row r="559" spans="1:42" x14ac:dyDescent="0.25">
      <c r="A559" s="43"/>
      <c r="B559" s="213" t="s">
        <v>1145</v>
      </c>
      <c r="C559" s="213" t="s">
        <v>1146</v>
      </c>
      <c r="D559" s="213" t="s">
        <v>1147</v>
      </c>
      <c r="E559" s="214" t="s">
        <v>1148</v>
      </c>
      <c r="F559" s="214" t="s">
        <v>1149</v>
      </c>
      <c r="G559" s="214" t="s">
        <v>1150</v>
      </c>
      <c r="H559" s="214" t="s">
        <v>1151</v>
      </c>
      <c r="I559" s="214" t="s">
        <v>1152</v>
      </c>
      <c r="J559" s="214" t="s">
        <v>1153</v>
      </c>
      <c r="K559" s="214" t="s">
        <v>1154</v>
      </c>
      <c r="L559" s="214" t="s">
        <v>1133</v>
      </c>
      <c r="M559" s="214" t="s">
        <v>1134</v>
      </c>
      <c r="N559" s="214" t="s">
        <v>1115</v>
      </c>
      <c r="O559" s="214" t="s">
        <v>1240</v>
      </c>
      <c r="P559" s="214" t="s">
        <v>1117</v>
      </c>
      <c r="Q559" s="214" t="s">
        <v>1156</v>
      </c>
      <c r="R559" s="214" t="s">
        <v>1157</v>
      </c>
      <c r="S559" s="214" t="s">
        <v>1158</v>
      </c>
      <c r="T559" s="214" t="s">
        <v>1159</v>
      </c>
      <c r="U559" s="214" t="s">
        <v>1160</v>
      </c>
      <c r="V559" s="214" t="s">
        <v>1161</v>
      </c>
      <c r="W559" s="214" t="s">
        <v>1162</v>
      </c>
      <c r="X559" s="214" t="s">
        <v>1164</v>
      </c>
      <c r="Y559" s="214" t="s">
        <v>1166</v>
      </c>
      <c r="Z559" s="214" t="s">
        <v>1116</v>
      </c>
      <c r="AA559" s="214" t="s">
        <v>1167</v>
      </c>
      <c r="AB559" s="214" t="s">
        <v>1168</v>
      </c>
      <c r="AC559" s="696"/>
      <c r="AD559" s="696"/>
      <c r="AE559" s="696"/>
      <c r="AF559" s="696"/>
      <c r="AG559" s="167"/>
      <c r="AH559" s="167"/>
      <c r="AI559" s="167"/>
      <c r="AJ559" s="6"/>
      <c r="AK559" s="6"/>
      <c r="AL559" s="6"/>
      <c r="AM559" s="6"/>
      <c r="AN559" s="6"/>
      <c r="AO559" s="6"/>
    </row>
    <row r="560" spans="1:42" x14ac:dyDescent="0.25">
      <c r="A560" s="230"/>
      <c r="B560" s="213"/>
      <c r="C560" s="213"/>
      <c r="D560" s="213"/>
      <c r="E560" s="214"/>
      <c r="F560" s="215"/>
      <c r="G560" s="214"/>
      <c r="H560" s="214"/>
      <c r="I560" s="214"/>
      <c r="J560" s="214"/>
      <c r="K560" s="214"/>
      <c r="L560" s="214">
        <f>$B$2</f>
        <v>20180327</v>
      </c>
      <c r="M560" s="216" t="str">
        <f>M555</f>
        <v>9999</v>
      </c>
      <c r="N560" s="217">
        <f>C520</f>
        <v>99990201</v>
      </c>
      <c r="O560" s="217"/>
      <c r="P560" s="217" t="str">
        <f>P555</f>
        <v>CZCE</v>
      </c>
      <c r="Q560" s="217"/>
      <c r="R560" s="217"/>
      <c r="S560" s="217">
        <v>1</v>
      </c>
      <c r="T560" s="217">
        <v>2</v>
      </c>
      <c r="U560" s="216">
        <v>1</v>
      </c>
      <c r="V560" s="216">
        <f>E523</f>
        <v>1000</v>
      </c>
      <c r="W560" s="217" t="s">
        <v>1193</v>
      </c>
      <c r="X560" s="217"/>
      <c r="Y560" s="217">
        <v>0</v>
      </c>
      <c r="Z560" s="217" t="str">
        <f>D523</f>
        <v>CNY</v>
      </c>
      <c r="AA560" s="217"/>
      <c r="AB560" s="217"/>
      <c r="AC560" s="189" t="s">
        <v>1128</v>
      </c>
      <c r="AD560" s="111"/>
      <c r="AE560" s="111"/>
      <c r="AF560" s="111">
        <v>0</v>
      </c>
      <c r="AG560" s="167"/>
      <c r="AH560" s="167"/>
      <c r="AI560" s="167"/>
      <c r="AJ560" s="6"/>
      <c r="AK560" s="6"/>
      <c r="AL560" s="6"/>
      <c r="AM560" s="6"/>
      <c r="AN560" s="6"/>
      <c r="AO560" s="6"/>
    </row>
    <row r="561" spans="1:42" x14ac:dyDescent="0.25">
      <c r="A561" t="s">
        <v>173</v>
      </c>
      <c r="B561" s="230" t="s">
        <v>1245</v>
      </c>
      <c r="C561" s="230"/>
      <c r="D561" s="230"/>
      <c r="E561" s="230"/>
      <c r="F561" s="209"/>
      <c r="G561" s="210"/>
      <c r="H561" s="209"/>
      <c r="I561" s="209"/>
      <c r="J561" s="209"/>
      <c r="K561" s="209"/>
      <c r="L561" s="209"/>
      <c r="M561" s="209"/>
      <c r="N561" s="211"/>
      <c r="O561" s="211"/>
      <c r="P561" s="211"/>
      <c r="Q561" s="211"/>
      <c r="R561" s="211"/>
      <c r="S561" s="211"/>
      <c r="T561" s="211"/>
      <c r="U561" s="211"/>
      <c r="V561" s="212"/>
      <c r="W561" s="211"/>
      <c r="X561" s="211"/>
      <c r="Y561" s="211"/>
      <c r="Z561" s="211"/>
      <c r="AA561" s="211"/>
      <c r="AB561" s="211"/>
      <c r="AC561" s="211"/>
      <c r="AD561" s="167"/>
      <c r="AE561" s="167"/>
      <c r="AF561" s="167"/>
      <c r="AG561" s="167"/>
      <c r="AH561" s="167"/>
      <c r="AI561" s="167"/>
      <c r="AJ561" s="167"/>
      <c r="AK561" s="6"/>
      <c r="AL561" s="6"/>
      <c r="AM561" s="6"/>
      <c r="AN561" s="6"/>
      <c r="AO561" s="6"/>
      <c r="AP561" s="6"/>
    </row>
    <row r="562" spans="1:42" x14ac:dyDescent="0.25">
      <c r="A562" s="218" t="s">
        <v>124</v>
      </c>
      <c r="B562" s="218" t="s">
        <v>1242</v>
      </c>
      <c r="C562" s="218"/>
      <c r="D562" s="218"/>
      <c r="E562" s="219"/>
      <c r="F562" s="210"/>
      <c r="G562" s="209"/>
      <c r="H562" s="209"/>
      <c r="I562" s="209"/>
      <c r="J562" s="209"/>
      <c r="K562" s="209"/>
      <c r="L562" s="209"/>
      <c r="M562" s="211"/>
      <c r="N562" s="211"/>
      <c r="O562" s="211"/>
      <c r="P562" s="211"/>
      <c r="Q562" s="211"/>
      <c r="R562" s="211"/>
      <c r="S562" s="211"/>
      <c r="T562" s="211"/>
      <c r="U562" s="212"/>
      <c r="V562" s="211"/>
      <c r="W562" s="211"/>
      <c r="X562" s="211"/>
      <c r="Y562" s="211"/>
      <c r="Z562" s="211"/>
      <c r="AA562" s="211"/>
      <c r="AB562" s="211"/>
      <c r="AC562" s="167"/>
      <c r="AD562" s="167"/>
      <c r="AE562" s="167"/>
      <c r="AF562" s="167"/>
      <c r="AG562" s="167"/>
      <c r="AH562" s="167"/>
      <c r="AI562" s="167"/>
      <c r="AJ562" s="6"/>
      <c r="AK562" s="6"/>
      <c r="AL562" s="6"/>
      <c r="AM562" s="6"/>
      <c r="AN562" s="6"/>
      <c r="AO562" s="6"/>
    </row>
    <row r="563" spans="1:42" x14ac:dyDescent="0.25">
      <c r="A563" s="218" t="s">
        <v>306</v>
      </c>
      <c r="B563" s="745" t="s">
        <v>1568</v>
      </c>
      <c r="C563" s="746"/>
      <c r="D563" s="746"/>
      <c r="E563" s="746"/>
      <c r="F563" s="746"/>
      <c r="G563" s="746"/>
      <c r="H563" s="746"/>
      <c r="I563" s="746"/>
      <c r="J563" s="746"/>
      <c r="K563" s="746"/>
      <c r="L563" s="746"/>
      <c r="M563" s="746"/>
      <c r="N563" s="746"/>
      <c r="O563" s="746"/>
      <c r="P563" s="746"/>
      <c r="Q563" s="746"/>
      <c r="R563" s="746"/>
      <c r="S563" s="746"/>
      <c r="T563" s="746"/>
      <c r="U563" s="746"/>
      <c r="V563" s="746"/>
      <c r="W563" s="746"/>
      <c r="X563" s="746"/>
      <c r="Y563" s="746"/>
      <c r="Z563" s="746"/>
      <c r="AA563" s="746"/>
      <c r="AB563" s="747"/>
      <c r="AC563" s="695" t="s">
        <v>1126</v>
      </c>
      <c r="AD563" s="695" t="s">
        <v>1107</v>
      </c>
      <c r="AE563" s="695" t="s">
        <v>1108</v>
      </c>
      <c r="AF563" s="695" t="s">
        <v>1127</v>
      </c>
      <c r="AG563" s="167"/>
      <c r="AH563" s="167"/>
      <c r="AI563" s="167"/>
      <c r="AJ563" s="6"/>
      <c r="AK563" s="6"/>
      <c r="AL563" s="6"/>
      <c r="AM563" s="6"/>
      <c r="AN563" s="6"/>
      <c r="AO563" s="6"/>
    </row>
    <row r="564" spans="1:42" x14ac:dyDescent="0.25">
      <c r="A564" s="43"/>
      <c r="B564" s="213" t="s">
        <v>1145</v>
      </c>
      <c r="C564" s="213" t="s">
        <v>1146</v>
      </c>
      <c r="D564" s="213" t="s">
        <v>1147</v>
      </c>
      <c r="E564" s="214" t="s">
        <v>1148</v>
      </c>
      <c r="F564" s="214" t="s">
        <v>1149</v>
      </c>
      <c r="G564" s="214" t="s">
        <v>1150</v>
      </c>
      <c r="H564" s="214" t="s">
        <v>1151</v>
      </c>
      <c r="I564" s="214" t="s">
        <v>1152</v>
      </c>
      <c r="J564" s="214" t="s">
        <v>1153</v>
      </c>
      <c r="K564" s="214" t="s">
        <v>1154</v>
      </c>
      <c r="L564" s="214" t="s">
        <v>1133</v>
      </c>
      <c r="M564" s="214" t="s">
        <v>1134</v>
      </c>
      <c r="N564" s="214" t="s">
        <v>1115</v>
      </c>
      <c r="O564" s="214" t="s">
        <v>1240</v>
      </c>
      <c r="P564" s="214" t="s">
        <v>1117</v>
      </c>
      <c r="Q564" s="214" t="s">
        <v>1156</v>
      </c>
      <c r="R564" s="214" t="s">
        <v>1157</v>
      </c>
      <c r="S564" s="214" t="s">
        <v>1158</v>
      </c>
      <c r="T564" s="214" t="s">
        <v>1159</v>
      </c>
      <c r="U564" s="214" t="s">
        <v>1160</v>
      </c>
      <c r="V564" s="214" t="s">
        <v>1161</v>
      </c>
      <c r="W564" s="214" t="s">
        <v>1162</v>
      </c>
      <c r="X564" s="214" t="s">
        <v>1164</v>
      </c>
      <c r="Y564" s="214" t="s">
        <v>1166</v>
      </c>
      <c r="Z564" s="214" t="s">
        <v>1116</v>
      </c>
      <c r="AA564" s="214" t="s">
        <v>1167</v>
      </c>
      <c r="AB564" s="214" t="s">
        <v>1168</v>
      </c>
      <c r="AC564" s="696"/>
      <c r="AD564" s="696"/>
      <c r="AE564" s="696"/>
      <c r="AF564" s="696"/>
      <c r="AG564" s="167"/>
      <c r="AH564" s="167"/>
      <c r="AI564" s="167"/>
      <c r="AJ564" s="6"/>
      <c r="AK564" s="6"/>
      <c r="AL564" s="6"/>
      <c r="AM564" s="6"/>
      <c r="AN564" s="6"/>
      <c r="AO564" s="6"/>
    </row>
    <row r="565" spans="1:42" x14ac:dyDescent="0.25">
      <c r="A565" s="230"/>
      <c r="B565" s="213">
        <f>B555+1</f>
        <v>5</v>
      </c>
      <c r="C565" s="213">
        <v>1</v>
      </c>
      <c r="D565" s="213" t="s">
        <v>1173</v>
      </c>
      <c r="E565" s="214">
        <f>$B$2</f>
        <v>20180327</v>
      </c>
      <c r="F565" s="215">
        <v>0.7289930555555556</v>
      </c>
      <c r="G565" s="214"/>
      <c r="H565" s="214"/>
      <c r="I565" s="214"/>
      <c r="J565" s="214" t="s">
        <v>1247</v>
      </c>
      <c r="K565" s="214">
        <v>1</v>
      </c>
      <c r="L565" s="214">
        <f>$B$2</f>
        <v>20180327</v>
      </c>
      <c r="M565" s="216" t="str">
        <f>M560</f>
        <v>9999</v>
      </c>
      <c r="N565" s="217">
        <f>N560</f>
        <v>99990201</v>
      </c>
      <c r="O565" s="217"/>
      <c r="P565" s="217" t="str">
        <f>P560</f>
        <v>CZCE</v>
      </c>
      <c r="Q565" s="217"/>
      <c r="R565" s="217">
        <v>1</v>
      </c>
      <c r="S565" s="217">
        <v>1</v>
      </c>
      <c r="T565" s="217">
        <v>2</v>
      </c>
      <c r="U565" s="216">
        <v>1</v>
      </c>
      <c r="V565" s="216">
        <f>V560</f>
        <v>1000</v>
      </c>
      <c r="W565" s="217" t="s">
        <v>1193</v>
      </c>
      <c r="X565" s="217">
        <v>1</v>
      </c>
      <c r="Y565" s="217">
        <v>0</v>
      </c>
      <c r="Z565" s="217" t="str">
        <f>Z560</f>
        <v>CNY</v>
      </c>
      <c r="AA565" s="217"/>
      <c r="AB565" s="217"/>
      <c r="AC565" s="189" t="s">
        <v>1128</v>
      </c>
      <c r="AD565" s="111"/>
      <c r="AE565" s="111"/>
      <c r="AF565" s="111">
        <v>0</v>
      </c>
      <c r="AG565" s="167"/>
      <c r="AH565" s="167"/>
      <c r="AI565" s="167"/>
      <c r="AJ565" s="6"/>
      <c r="AK565" s="6"/>
      <c r="AL565" s="6"/>
      <c r="AM565" s="6"/>
      <c r="AN565" s="6"/>
      <c r="AO565" s="6"/>
    </row>
    <row r="566" spans="1:42" s="6" customFormat="1" x14ac:dyDescent="0.25">
      <c r="A566" s="6" t="s">
        <v>173</v>
      </c>
      <c r="B566" s="263" t="s">
        <v>1896</v>
      </c>
      <c r="C566" s="263"/>
      <c r="D566" s="263"/>
      <c r="E566" s="263"/>
      <c r="F566" s="209"/>
      <c r="G566" s="210"/>
      <c r="H566" s="209"/>
      <c r="I566" s="209"/>
      <c r="J566" s="209"/>
      <c r="K566" s="209"/>
      <c r="L566" s="209"/>
      <c r="M566" s="209"/>
      <c r="N566" s="211"/>
      <c r="O566" s="211"/>
      <c r="P566" s="211"/>
      <c r="Q566" s="211"/>
      <c r="R566" s="211"/>
      <c r="S566" s="211"/>
      <c r="T566" s="211"/>
      <c r="U566" s="211"/>
      <c r="V566" s="212"/>
      <c r="W566" s="211"/>
      <c r="X566" s="211"/>
      <c r="Y566" s="211"/>
      <c r="Z566" s="211"/>
      <c r="AA566" s="211"/>
      <c r="AB566" s="211"/>
      <c r="AC566" s="211"/>
      <c r="AD566" s="167"/>
      <c r="AE566" s="167"/>
      <c r="AF566" s="167"/>
      <c r="AG566" s="167"/>
      <c r="AH566" s="167"/>
      <c r="AI566" s="167"/>
      <c r="AJ566" s="167"/>
    </row>
    <row r="567" spans="1:42" x14ac:dyDescent="0.25">
      <c r="A567" s="218" t="s">
        <v>124</v>
      </c>
      <c r="B567" s="218" t="s">
        <v>1239</v>
      </c>
      <c r="C567" s="218"/>
      <c r="D567" s="218"/>
      <c r="E567" s="219"/>
      <c r="F567" s="210"/>
      <c r="G567" s="209"/>
      <c r="H567" s="209"/>
      <c r="I567" s="209"/>
      <c r="J567" s="209"/>
      <c r="K567" s="209"/>
      <c r="L567" s="209"/>
      <c r="M567" s="211"/>
      <c r="N567" s="211"/>
      <c r="O567" s="211"/>
      <c r="P567" s="211"/>
      <c r="Q567" s="211"/>
      <c r="R567" s="211"/>
      <c r="S567" s="211"/>
      <c r="T567" s="211"/>
      <c r="U567" s="212"/>
      <c r="V567" s="211"/>
      <c r="W567" s="211"/>
      <c r="X567" s="211"/>
      <c r="Y567" s="211"/>
      <c r="Z567" s="211"/>
      <c r="AA567" s="211"/>
      <c r="AB567" s="211"/>
      <c r="AG567" s="167"/>
      <c r="AH567" s="167"/>
      <c r="AI567" s="167"/>
      <c r="AJ567" s="6"/>
      <c r="AK567" s="6"/>
      <c r="AL567" s="6"/>
      <c r="AM567" s="6"/>
      <c r="AN567" s="6"/>
      <c r="AO567" s="6"/>
    </row>
    <row r="568" spans="1:42" x14ac:dyDescent="0.25">
      <c r="A568" s="218" t="s">
        <v>306</v>
      </c>
      <c r="B568" s="745" t="s">
        <v>1568</v>
      </c>
      <c r="C568" s="746"/>
      <c r="D568" s="746"/>
      <c r="E568" s="746"/>
      <c r="F568" s="746"/>
      <c r="G568" s="746"/>
      <c r="H568" s="746"/>
      <c r="I568" s="746"/>
      <c r="J568" s="746"/>
      <c r="K568" s="746"/>
      <c r="L568" s="746"/>
      <c r="M568" s="746"/>
      <c r="N568" s="746"/>
      <c r="O568" s="746"/>
      <c r="P568" s="746"/>
      <c r="Q568" s="746"/>
      <c r="R568" s="746"/>
      <c r="S568" s="746"/>
      <c r="T568" s="746"/>
      <c r="U568" s="746"/>
      <c r="V568" s="746"/>
      <c r="W568" s="746"/>
      <c r="X568" s="746"/>
      <c r="Y568" s="746"/>
      <c r="Z568" s="746"/>
      <c r="AA568" s="746"/>
      <c r="AB568" s="747"/>
      <c r="AC568" s="695" t="s">
        <v>1126</v>
      </c>
      <c r="AD568" s="695" t="s">
        <v>1107</v>
      </c>
      <c r="AE568" s="695" t="s">
        <v>1108</v>
      </c>
      <c r="AF568" s="695" t="s">
        <v>1127</v>
      </c>
      <c r="AG568" s="167"/>
      <c r="AH568" s="167"/>
      <c r="AI568" s="167"/>
      <c r="AJ568" s="6"/>
      <c r="AK568" s="6"/>
      <c r="AL568" s="6"/>
      <c r="AM568" s="6"/>
      <c r="AN568" s="6"/>
      <c r="AO568" s="6"/>
    </row>
    <row r="569" spans="1:42" x14ac:dyDescent="0.25">
      <c r="A569" s="43"/>
      <c r="B569" s="213" t="s">
        <v>1145</v>
      </c>
      <c r="C569" s="213" t="s">
        <v>1146</v>
      </c>
      <c r="D569" s="213" t="s">
        <v>1147</v>
      </c>
      <c r="E569" s="214" t="s">
        <v>1148</v>
      </c>
      <c r="F569" s="214" t="s">
        <v>1149</v>
      </c>
      <c r="G569" s="214" t="s">
        <v>1150</v>
      </c>
      <c r="H569" s="214" t="s">
        <v>1151</v>
      </c>
      <c r="I569" s="214" t="s">
        <v>1152</v>
      </c>
      <c r="J569" s="214" t="s">
        <v>1153</v>
      </c>
      <c r="K569" s="214" t="s">
        <v>1154</v>
      </c>
      <c r="L569" s="214" t="s">
        <v>1133</v>
      </c>
      <c r="M569" s="214" t="s">
        <v>1134</v>
      </c>
      <c r="N569" s="214" t="s">
        <v>1115</v>
      </c>
      <c r="O569" s="214" t="s">
        <v>1240</v>
      </c>
      <c r="P569" s="214" t="s">
        <v>1117</v>
      </c>
      <c r="Q569" s="214" t="s">
        <v>1156</v>
      </c>
      <c r="R569" s="214" t="s">
        <v>1157</v>
      </c>
      <c r="S569" s="214" t="s">
        <v>1158</v>
      </c>
      <c r="T569" s="214" t="s">
        <v>1159</v>
      </c>
      <c r="U569" s="214" t="s">
        <v>1160</v>
      </c>
      <c r="V569" s="214" t="s">
        <v>1161</v>
      </c>
      <c r="W569" s="214" t="s">
        <v>1162</v>
      </c>
      <c r="X569" s="214" t="s">
        <v>1164</v>
      </c>
      <c r="Y569" s="214" t="s">
        <v>1166</v>
      </c>
      <c r="Z569" s="214" t="s">
        <v>1116</v>
      </c>
      <c r="AA569" s="214" t="s">
        <v>1167</v>
      </c>
      <c r="AB569" s="214" t="s">
        <v>1168</v>
      </c>
      <c r="AC569" s="696"/>
      <c r="AD569" s="696"/>
      <c r="AE569" s="696"/>
      <c r="AF569" s="696"/>
      <c r="AG569" s="167"/>
      <c r="AH569" s="167"/>
      <c r="AI569" s="167"/>
      <c r="AJ569" s="6"/>
      <c r="AK569" s="6"/>
      <c r="AL569" s="6"/>
      <c r="AM569" s="6"/>
      <c r="AN569" s="6"/>
      <c r="AO569" s="6"/>
    </row>
    <row r="570" spans="1:42" x14ac:dyDescent="0.25">
      <c r="A570" s="263"/>
      <c r="B570" s="213"/>
      <c r="C570" s="213"/>
      <c r="D570" s="213"/>
      <c r="E570" s="214"/>
      <c r="F570" s="215"/>
      <c r="G570" s="214"/>
      <c r="H570" s="214"/>
      <c r="I570" s="214"/>
      <c r="J570" s="214"/>
      <c r="K570" s="214"/>
      <c r="L570" s="214">
        <f>$B$2</f>
        <v>20180327</v>
      </c>
      <c r="M570" s="216" t="str">
        <f>G524</f>
        <v>9999</v>
      </c>
      <c r="N570" s="217">
        <f>C524</f>
        <v>99990203</v>
      </c>
      <c r="O570" s="217"/>
      <c r="P570" s="217" t="str">
        <f>B524</f>
        <v>CZCE</v>
      </c>
      <c r="Q570" s="217"/>
      <c r="R570" s="217"/>
      <c r="S570" s="217">
        <v>1</v>
      </c>
      <c r="T570" s="217">
        <v>2</v>
      </c>
      <c r="U570" s="216">
        <v>1</v>
      </c>
      <c r="V570" s="216">
        <f>E524</f>
        <v>2000</v>
      </c>
      <c r="W570" s="217" t="s">
        <v>1878</v>
      </c>
      <c r="X570" s="217"/>
      <c r="Y570" s="217">
        <v>0</v>
      </c>
      <c r="Z570" s="217" t="str">
        <f>D524</f>
        <v>HKD</v>
      </c>
      <c r="AA570" s="217"/>
      <c r="AB570" s="217"/>
      <c r="AC570" s="189" t="s">
        <v>1128</v>
      </c>
      <c r="AD570" s="111"/>
      <c r="AE570" s="111"/>
      <c r="AF570" s="111">
        <v>0</v>
      </c>
      <c r="AG570" s="167"/>
      <c r="AH570" s="167"/>
      <c r="AI570" s="167"/>
      <c r="AJ570" s="6"/>
      <c r="AK570" s="6"/>
      <c r="AL570" s="6"/>
      <c r="AM570" s="6"/>
      <c r="AN570" s="6"/>
      <c r="AO570" s="6"/>
    </row>
    <row r="571" spans="1:42" x14ac:dyDescent="0.25">
      <c r="A571" t="s">
        <v>173</v>
      </c>
      <c r="B571" s="263" t="s">
        <v>1897</v>
      </c>
      <c r="C571" s="263"/>
      <c r="D571" s="263"/>
      <c r="E571" s="263"/>
      <c r="F571" s="209"/>
      <c r="G571" s="210"/>
      <c r="H571" s="209"/>
      <c r="I571" s="209"/>
      <c r="J571" s="209"/>
      <c r="K571" s="209"/>
      <c r="L571" s="209"/>
      <c r="M571" s="209"/>
      <c r="N571" s="211"/>
      <c r="O571" s="211"/>
      <c r="P571" s="211"/>
      <c r="Q571" s="211"/>
      <c r="R571" s="211"/>
      <c r="S571" s="211"/>
      <c r="T571" s="211"/>
      <c r="U571" s="211"/>
      <c r="V571" s="212"/>
      <c r="W571" s="211"/>
      <c r="X571" s="211"/>
      <c r="Y571" s="211"/>
      <c r="Z571" s="211"/>
      <c r="AA571" s="211"/>
      <c r="AB571" s="211"/>
      <c r="AC571" s="211"/>
      <c r="AD571" s="167"/>
      <c r="AE571" s="167"/>
      <c r="AF571" s="167"/>
      <c r="AG571" s="167"/>
      <c r="AH571" s="167"/>
      <c r="AI571" s="167"/>
      <c r="AJ571" s="167"/>
      <c r="AK571" s="6"/>
      <c r="AL571" s="6"/>
      <c r="AM571" s="6"/>
      <c r="AN571" s="6"/>
      <c r="AO571" s="6"/>
      <c r="AP571" s="6"/>
    </row>
    <row r="572" spans="1:42" x14ac:dyDescent="0.25">
      <c r="A572" s="218" t="s">
        <v>124</v>
      </c>
      <c r="B572" s="218" t="s">
        <v>1242</v>
      </c>
      <c r="C572" s="218"/>
      <c r="D572" s="218"/>
      <c r="E572" s="219"/>
      <c r="F572" s="210"/>
      <c r="G572" s="209"/>
      <c r="H572" s="209"/>
      <c r="I572" s="209"/>
      <c r="J572" s="209"/>
      <c r="K572" s="209"/>
      <c r="L572" s="209"/>
      <c r="M572" s="211"/>
      <c r="N572" s="211"/>
      <c r="O572" s="211"/>
      <c r="P572" s="211"/>
      <c r="Q572" s="211"/>
      <c r="R572" s="211"/>
      <c r="S572" s="211"/>
      <c r="T572" s="211"/>
      <c r="U572" s="212"/>
      <c r="V572" s="211"/>
      <c r="W572" s="211"/>
      <c r="X572" s="211"/>
      <c r="Y572" s="211"/>
      <c r="Z572" s="211"/>
      <c r="AA572" s="211"/>
      <c r="AB572" s="211"/>
      <c r="AC572" s="167"/>
      <c r="AD572" s="167"/>
      <c r="AE572" s="167"/>
      <c r="AF572" s="167"/>
      <c r="AG572" s="167"/>
      <c r="AH572" s="167"/>
      <c r="AI572" s="167"/>
      <c r="AJ572" s="6"/>
      <c r="AK572" s="6"/>
      <c r="AL572" s="6"/>
      <c r="AM572" s="6"/>
      <c r="AN572" s="6"/>
      <c r="AO572" s="6"/>
    </row>
    <row r="573" spans="1:42" x14ac:dyDescent="0.25">
      <c r="A573" s="218" t="s">
        <v>306</v>
      </c>
      <c r="B573" s="745" t="s">
        <v>1568</v>
      </c>
      <c r="C573" s="746"/>
      <c r="D573" s="746"/>
      <c r="E573" s="746"/>
      <c r="F573" s="746"/>
      <c r="G573" s="746"/>
      <c r="H573" s="746"/>
      <c r="I573" s="746"/>
      <c r="J573" s="746"/>
      <c r="K573" s="746"/>
      <c r="L573" s="746"/>
      <c r="M573" s="746"/>
      <c r="N573" s="746"/>
      <c r="O573" s="746"/>
      <c r="P573" s="746"/>
      <c r="Q573" s="746"/>
      <c r="R573" s="746"/>
      <c r="S573" s="746"/>
      <c r="T573" s="746"/>
      <c r="U573" s="746"/>
      <c r="V573" s="746"/>
      <c r="W573" s="746"/>
      <c r="X573" s="746"/>
      <c r="Y573" s="746"/>
      <c r="Z573" s="746"/>
      <c r="AA573" s="746"/>
      <c r="AB573" s="747"/>
      <c r="AC573" s="695" t="s">
        <v>1126</v>
      </c>
      <c r="AD573" s="695" t="s">
        <v>1107</v>
      </c>
      <c r="AE573" s="695" t="s">
        <v>1108</v>
      </c>
      <c r="AF573" s="695" t="s">
        <v>1127</v>
      </c>
      <c r="AG573" s="167"/>
      <c r="AH573" s="167"/>
      <c r="AI573" s="167"/>
      <c r="AJ573" s="6"/>
      <c r="AK573" s="6"/>
      <c r="AL573" s="6"/>
      <c r="AM573" s="6"/>
      <c r="AN573" s="6"/>
      <c r="AO573" s="6"/>
    </row>
    <row r="574" spans="1:42" x14ac:dyDescent="0.25">
      <c r="A574" s="43"/>
      <c r="B574" s="213" t="s">
        <v>1145</v>
      </c>
      <c r="C574" s="213" t="s">
        <v>1146</v>
      </c>
      <c r="D574" s="213" t="s">
        <v>1147</v>
      </c>
      <c r="E574" s="214" t="s">
        <v>1148</v>
      </c>
      <c r="F574" s="214" t="s">
        <v>1149</v>
      </c>
      <c r="G574" s="214" t="s">
        <v>1150</v>
      </c>
      <c r="H574" s="214" t="s">
        <v>1151</v>
      </c>
      <c r="I574" s="214" t="s">
        <v>1152</v>
      </c>
      <c r="J574" s="214" t="s">
        <v>1153</v>
      </c>
      <c r="K574" s="214" t="s">
        <v>1154</v>
      </c>
      <c r="L574" s="214" t="s">
        <v>1133</v>
      </c>
      <c r="M574" s="214" t="s">
        <v>1134</v>
      </c>
      <c r="N574" s="214" t="s">
        <v>1115</v>
      </c>
      <c r="O574" s="214" t="s">
        <v>1240</v>
      </c>
      <c r="P574" s="214" t="s">
        <v>1117</v>
      </c>
      <c r="Q574" s="214" t="s">
        <v>1156</v>
      </c>
      <c r="R574" s="214" t="s">
        <v>1157</v>
      </c>
      <c r="S574" s="214" t="s">
        <v>1158</v>
      </c>
      <c r="T574" s="214" t="s">
        <v>1159</v>
      </c>
      <c r="U574" s="214" t="s">
        <v>1160</v>
      </c>
      <c r="V574" s="214" t="s">
        <v>1161</v>
      </c>
      <c r="W574" s="214" t="s">
        <v>1162</v>
      </c>
      <c r="X574" s="214" t="s">
        <v>1164</v>
      </c>
      <c r="Y574" s="214" t="s">
        <v>1166</v>
      </c>
      <c r="Z574" s="214" t="s">
        <v>1116</v>
      </c>
      <c r="AA574" s="214" t="s">
        <v>1167</v>
      </c>
      <c r="AB574" s="214" t="s">
        <v>1168</v>
      </c>
      <c r="AC574" s="696"/>
      <c r="AD574" s="696"/>
      <c r="AE574" s="696"/>
      <c r="AF574" s="696"/>
      <c r="AG574" s="167"/>
      <c r="AH574" s="167"/>
      <c r="AI574" s="167"/>
      <c r="AJ574" s="6"/>
      <c r="AK574" s="6"/>
      <c r="AL574" s="6"/>
      <c r="AM574" s="6"/>
      <c r="AN574" s="6"/>
      <c r="AO574" s="6"/>
    </row>
    <row r="575" spans="1:42" x14ac:dyDescent="0.25">
      <c r="A575" s="263"/>
      <c r="B575" s="213">
        <f>B565+1</f>
        <v>6</v>
      </c>
      <c r="C575" s="213">
        <v>1</v>
      </c>
      <c r="D575" s="213" t="s">
        <v>1173</v>
      </c>
      <c r="E575" s="214">
        <f>$B$2</f>
        <v>20180327</v>
      </c>
      <c r="F575" s="215">
        <v>0.7289930555555556</v>
      </c>
      <c r="G575" s="214"/>
      <c r="H575" s="214"/>
      <c r="I575" s="214"/>
      <c r="J575" s="214" t="s">
        <v>1247</v>
      </c>
      <c r="K575" s="214">
        <v>1</v>
      </c>
      <c r="L575" s="214">
        <f>$B$2</f>
        <v>20180327</v>
      </c>
      <c r="M575" s="216" t="str">
        <f>M570</f>
        <v>9999</v>
      </c>
      <c r="N575" s="217">
        <f>N570</f>
        <v>99990203</v>
      </c>
      <c r="O575" s="217"/>
      <c r="P575" s="217" t="str">
        <f>P570</f>
        <v>CZCE</v>
      </c>
      <c r="Q575" s="217"/>
      <c r="R575" s="217">
        <v>1</v>
      </c>
      <c r="S575" s="217">
        <v>1</v>
      </c>
      <c r="T575" s="217">
        <v>2</v>
      </c>
      <c r="U575" s="216">
        <v>1</v>
      </c>
      <c r="V575" s="216">
        <f>V570</f>
        <v>2000</v>
      </c>
      <c r="W575" s="217" t="s">
        <v>1878</v>
      </c>
      <c r="X575" s="217">
        <v>1</v>
      </c>
      <c r="Y575" s="217">
        <v>0</v>
      </c>
      <c r="Z575" s="217" t="str">
        <f>Z570</f>
        <v>HKD</v>
      </c>
      <c r="AA575" s="217"/>
      <c r="AB575" s="217"/>
      <c r="AC575" s="189" t="s">
        <v>1128</v>
      </c>
      <c r="AD575" s="111"/>
      <c r="AE575" s="111"/>
      <c r="AF575" s="111">
        <v>0</v>
      </c>
      <c r="AG575" s="167"/>
      <c r="AH575" s="167"/>
      <c r="AI575" s="167"/>
      <c r="AJ575" s="6"/>
      <c r="AK575" s="6"/>
      <c r="AL575" s="6"/>
      <c r="AM575" s="6"/>
      <c r="AN575" s="6"/>
      <c r="AO575" s="6"/>
    </row>
    <row r="576" spans="1:42" x14ac:dyDescent="0.25">
      <c r="A576" t="s">
        <v>173</v>
      </c>
      <c r="B576" s="230" t="s">
        <v>1188</v>
      </c>
      <c r="C576" s="230"/>
      <c r="D576" s="230"/>
      <c r="E576" s="230"/>
      <c r="F576" s="209"/>
      <c r="G576" s="210"/>
      <c r="H576" s="209"/>
      <c r="I576" s="209"/>
      <c r="J576" s="209"/>
      <c r="K576" s="209"/>
      <c r="L576" s="209"/>
      <c r="M576" s="209"/>
      <c r="N576" s="211"/>
      <c r="O576" s="211"/>
      <c r="P576" s="211"/>
      <c r="Q576" s="211"/>
      <c r="R576" s="211"/>
      <c r="S576" s="211"/>
      <c r="T576" s="211"/>
      <c r="U576" s="211"/>
      <c r="V576" s="212"/>
      <c r="W576" s="211"/>
      <c r="X576" s="211"/>
      <c r="Y576" s="211"/>
      <c r="Z576" s="211"/>
      <c r="AA576" s="211"/>
      <c r="AB576" s="211"/>
      <c r="AC576" s="211"/>
      <c r="AD576" s="167"/>
      <c r="AE576" s="167"/>
      <c r="AF576" s="167"/>
      <c r="AG576" s="167"/>
      <c r="AH576" s="167"/>
      <c r="AI576" s="167"/>
      <c r="AJ576" s="167"/>
      <c r="AK576" s="6"/>
      <c r="AL576" s="6"/>
      <c r="AM576" s="6"/>
      <c r="AN576" s="6"/>
      <c r="AO576" s="6"/>
      <c r="AP576" s="6"/>
    </row>
    <row r="577" spans="1:44" x14ac:dyDescent="0.25">
      <c r="A577" s="218" t="s">
        <v>124</v>
      </c>
      <c r="B577" s="218" t="s">
        <v>1239</v>
      </c>
      <c r="C577" s="218"/>
      <c r="D577" s="218"/>
      <c r="E577" s="219"/>
      <c r="F577" s="210"/>
      <c r="G577" s="209"/>
      <c r="H577" s="209"/>
      <c r="I577" s="209"/>
      <c r="J577" s="209"/>
      <c r="K577" s="209"/>
      <c r="L577" s="209"/>
      <c r="M577" s="211"/>
      <c r="N577" s="211"/>
      <c r="O577" s="211"/>
      <c r="P577" s="211"/>
      <c r="Q577" s="211"/>
      <c r="R577" s="211"/>
      <c r="S577" s="211"/>
      <c r="T577" s="211"/>
      <c r="U577" s="212"/>
      <c r="V577" s="211"/>
      <c r="W577" s="211"/>
      <c r="X577" s="211"/>
      <c r="Y577" s="211"/>
      <c r="Z577" s="211"/>
      <c r="AA577" s="211"/>
      <c r="AB577" s="211"/>
      <c r="AG577" s="167"/>
      <c r="AH577" s="167"/>
      <c r="AI577" s="167"/>
      <c r="AJ577" s="6"/>
      <c r="AK577" s="6"/>
      <c r="AL577" s="6"/>
      <c r="AM577" s="6"/>
      <c r="AN577" s="6"/>
      <c r="AO577" s="6"/>
    </row>
    <row r="578" spans="1:44" x14ac:dyDescent="0.25">
      <c r="A578" s="218" t="s">
        <v>306</v>
      </c>
      <c r="B578" s="745" t="s">
        <v>1568</v>
      </c>
      <c r="C578" s="746"/>
      <c r="D578" s="746"/>
      <c r="E578" s="746"/>
      <c r="F578" s="746"/>
      <c r="G578" s="746"/>
      <c r="H578" s="746"/>
      <c r="I578" s="746"/>
      <c r="J578" s="746"/>
      <c r="K578" s="746"/>
      <c r="L578" s="746"/>
      <c r="M578" s="746"/>
      <c r="N578" s="746"/>
      <c r="O578" s="746"/>
      <c r="P578" s="746"/>
      <c r="Q578" s="746"/>
      <c r="R578" s="746"/>
      <c r="S578" s="746"/>
      <c r="T578" s="746"/>
      <c r="U578" s="746"/>
      <c r="V578" s="746"/>
      <c r="W578" s="746"/>
      <c r="X578" s="746"/>
      <c r="Y578" s="746"/>
      <c r="Z578" s="746"/>
      <c r="AA578" s="746"/>
      <c r="AB578" s="747"/>
      <c r="AC578" s="695" t="s">
        <v>1126</v>
      </c>
      <c r="AD578" s="695" t="s">
        <v>1107</v>
      </c>
      <c r="AE578" s="695" t="s">
        <v>1108</v>
      </c>
      <c r="AF578" s="695" t="s">
        <v>1127</v>
      </c>
      <c r="AG578" s="167"/>
      <c r="AH578" s="167"/>
      <c r="AI578" s="167"/>
      <c r="AJ578" s="6"/>
      <c r="AK578" s="6"/>
      <c r="AL578" s="6"/>
      <c r="AM578" s="6"/>
      <c r="AN578" s="6"/>
      <c r="AO578" s="6"/>
    </row>
    <row r="579" spans="1:44" x14ac:dyDescent="0.25">
      <c r="A579" s="43"/>
      <c r="B579" s="213" t="s">
        <v>1145</v>
      </c>
      <c r="C579" s="213" t="s">
        <v>1146</v>
      </c>
      <c r="D579" s="213" t="s">
        <v>1147</v>
      </c>
      <c r="E579" s="214" t="s">
        <v>1148</v>
      </c>
      <c r="F579" s="214" t="s">
        <v>1149</v>
      </c>
      <c r="G579" s="214" t="s">
        <v>1150</v>
      </c>
      <c r="H579" s="214" t="s">
        <v>1151</v>
      </c>
      <c r="I579" s="214" t="s">
        <v>1152</v>
      </c>
      <c r="J579" s="214" t="s">
        <v>1153</v>
      </c>
      <c r="K579" s="214" t="s">
        <v>1154</v>
      </c>
      <c r="L579" s="214" t="s">
        <v>1133</v>
      </c>
      <c r="M579" s="214" t="s">
        <v>1134</v>
      </c>
      <c r="N579" s="214" t="s">
        <v>1115</v>
      </c>
      <c r="O579" s="214" t="s">
        <v>1240</v>
      </c>
      <c r="P579" s="214" t="s">
        <v>1117</v>
      </c>
      <c r="Q579" s="214" t="s">
        <v>1156</v>
      </c>
      <c r="R579" s="214" t="s">
        <v>1157</v>
      </c>
      <c r="S579" s="214" t="s">
        <v>1158</v>
      </c>
      <c r="T579" s="214" t="s">
        <v>1159</v>
      </c>
      <c r="U579" s="214" t="s">
        <v>1160</v>
      </c>
      <c r="V579" s="214" t="s">
        <v>1161</v>
      </c>
      <c r="W579" s="214" t="s">
        <v>1162</v>
      </c>
      <c r="X579" s="214" t="s">
        <v>1164</v>
      </c>
      <c r="Y579" s="214" t="s">
        <v>1166</v>
      </c>
      <c r="Z579" s="214" t="s">
        <v>1116</v>
      </c>
      <c r="AA579" s="214" t="s">
        <v>1167</v>
      </c>
      <c r="AB579" s="214" t="s">
        <v>1168</v>
      </c>
      <c r="AC579" s="696"/>
      <c r="AD579" s="696"/>
      <c r="AE579" s="696"/>
      <c r="AF579" s="696"/>
      <c r="AG579" s="167"/>
      <c r="AH579" s="167"/>
      <c r="AI579" s="167"/>
      <c r="AJ579" s="6"/>
      <c r="AK579" s="6"/>
      <c r="AL579" s="6"/>
      <c r="AM579" s="6"/>
      <c r="AN579" s="6"/>
      <c r="AO579" s="6"/>
    </row>
    <row r="580" spans="1:44" x14ac:dyDescent="0.25">
      <c r="A580" s="230"/>
      <c r="B580" s="213"/>
      <c r="C580" s="213"/>
      <c r="D580" s="213"/>
      <c r="E580" s="214"/>
      <c r="F580" s="215"/>
      <c r="G580" s="214"/>
      <c r="H580" s="214"/>
      <c r="I580" s="214"/>
      <c r="J580" s="214"/>
      <c r="K580" s="214"/>
      <c r="L580" s="214">
        <f>$B$2</f>
        <v>20180327</v>
      </c>
      <c r="M580" s="216" t="str">
        <f>M560</f>
        <v>9999</v>
      </c>
      <c r="N580" s="217">
        <f>C525</f>
        <v>99990202</v>
      </c>
      <c r="O580" s="217"/>
      <c r="P580" s="217" t="str">
        <f>P560</f>
        <v>CZCE</v>
      </c>
      <c r="Q580" s="217"/>
      <c r="R580" s="217"/>
      <c r="S580" s="217">
        <v>1</v>
      </c>
      <c r="T580" s="217">
        <v>2</v>
      </c>
      <c r="U580" s="216">
        <v>1</v>
      </c>
      <c r="V580" s="216">
        <f>E525</f>
        <v>3000</v>
      </c>
      <c r="W580" s="217" t="s">
        <v>1195</v>
      </c>
      <c r="X580" s="217"/>
      <c r="Y580" s="217">
        <v>0</v>
      </c>
      <c r="Z580" s="217" t="str">
        <f>D525</f>
        <v>USD</v>
      </c>
      <c r="AA580" s="217"/>
      <c r="AB580" s="217"/>
      <c r="AC580" s="189" t="s">
        <v>1128</v>
      </c>
      <c r="AD580" s="111"/>
      <c r="AE580" s="111"/>
      <c r="AF580" s="111">
        <v>0</v>
      </c>
      <c r="AG580" s="167"/>
      <c r="AH580" s="167"/>
      <c r="AI580" s="167"/>
      <c r="AJ580" s="6"/>
      <c r="AK580" s="6"/>
      <c r="AL580" s="6"/>
      <c r="AM580" s="6"/>
      <c r="AN580" s="6"/>
      <c r="AO580" s="6"/>
    </row>
    <row r="581" spans="1:44" x14ac:dyDescent="0.25">
      <c r="A581" t="s">
        <v>173</v>
      </c>
      <c r="B581" s="230" t="s">
        <v>1246</v>
      </c>
      <c r="C581" s="230"/>
      <c r="D581" s="230"/>
      <c r="E581" s="230"/>
      <c r="F581" s="209"/>
      <c r="G581" s="210"/>
      <c r="H581" s="209"/>
      <c r="I581" s="209"/>
      <c r="J581" s="209"/>
      <c r="K581" s="209"/>
      <c r="L581" s="209"/>
      <c r="M581" s="209"/>
      <c r="N581" s="211"/>
      <c r="O581" s="211"/>
      <c r="P581" s="211"/>
      <c r="Q581" s="211"/>
      <c r="R581" s="211"/>
      <c r="S581" s="211"/>
      <c r="T581" s="211"/>
      <c r="U581" s="211"/>
      <c r="V581" s="212"/>
      <c r="W581" s="211"/>
      <c r="X581" s="211"/>
      <c r="Y581" s="211"/>
      <c r="Z581" s="211"/>
      <c r="AA581" s="211"/>
      <c r="AB581" s="211"/>
      <c r="AC581" s="211"/>
      <c r="AD581" s="167"/>
      <c r="AE581" s="167"/>
      <c r="AF581" s="167"/>
      <c r="AG581" s="167"/>
      <c r="AH581" s="167"/>
      <c r="AI581" s="167"/>
      <c r="AJ581" s="167"/>
      <c r="AK581" s="6"/>
      <c r="AL581" s="6"/>
      <c r="AM581" s="6"/>
      <c r="AN581" s="6"/>
      <c r="AO581" s="6"/>
      <c r="AP581" s="6"/>
    </row>
    <row r="582" spans="1:44" x14ac:dyDescent="0.25">
      <c r="A582" s="218" t="s">
        <v>124</v>
      </c>
      <c r="B582" s="218" t="s">
        <v>1242</v>
      </c>
      <c r="C582" s="218"/>
      <c r="D582" s="218"/>
      <c r="E582" s="219"/>
      <c r="F582" s="210"/>
      <c r="G582" s="209"/>
      <c r="H582" s="209"/>
      <c r="I582" s="209"/>
      <c r="J582" s="209"/>
      <c r="K582" s="209"/>
      <c r="L582" s="209"/>
      <c r="M582" s="211"/>
      <c r="N582" s="211"/>
      <c r="O582" s="211"/>
      <c r="P582" s="211"/>
      <c r="Q582" s="211"/>
      <c r="R582" s="211"/>
      <c r="S582" s="211"/>
      <c r="T582" s="211"/>
      <c r="U582" s="212"/>
      <c r="V582" s="211"/>
      <c r="W582" s="211"/>
      <c r="X582" s="211"/>
      <c r="Y582" s="211"/>
      <c r="Z582" s="211"/>
      <c r="AA582" s="211"/>
      <c r="AB582" s="211"/>
      <c r="AC582" s="167"/>
      <c r="AD582" s="167"/>
      <c r="AE582" s="167"/>
      <c r="AF582" s="167"/>
      <c r="AG582" s="167"/>
      <c r="AH582" s="167"/>
      <c r="AI582" s="167"/>
      <c r="AJ582" s="6"/>
      <c r="AK582" s="6"/>
      <c r="AL582" s="6"/>
      <c r="AM582" s="6"/>
      <c r="AN582" s="6"/>
      <c r="AO582" s="6"/>
    </row>
    <row r="583" spans="1:44" x14ac:dyDescent="0.25">
      <c r="A583" s="218" t="s">
        <v>306</v>
      </c>
      <c r="B583" s="745" t="s">
        <v>1568</v>
      </c>
      <c r="C583" s="746"/>
      <c r="D583" s="746"/>
      <c r="E583" s="746"/>
      <c r="F583" s="746"/>
      <c r="G583" s="746"/>
      <c r="H583" s="746"/>
      <c r="I583" s="746"/>
      <c r="J583" s="746"/>
      <c r="K583" s="746"/>
      <c r="L583" s="746"/>
      <c r="M583" s="746"/>
      <c r="N583" s="746"/>
      <c r="O583" s="746"/>
      <c r="P583" s="746"/>
      <c r="Q583" s="746"/>
      <c r="R583" s="746"/>
      <c r="S583" s="746"/>
      <c r="T583" s="746"/>
      <c r="U583" s="746"/>
      <c r="V583" s="746"/>
      <c r="W583" s="746"/>
      <c r="X583" s="746"/>
      <c r="Y583" s="746"/>
      <c r="Z583" s="746"/>
      <c r="AA583" s="746"/>
      <c r="AB583" s="747"/>
      <c r="AC583" s="695" t="s">
        <v>1126</v>
      </c>
      <c r="AD583" s="715" t="s">
        <v>1107</v>
      </c>
      <c r="AE583" s="715" t="s">
        <v>1108</v>
      </c>
      <c r="AF583" s="695" t="s">
        <v>1127</v>
      </c>
      <c r="AG583" s="167"/>
      <c r="AH583" s="167"/>
      <c r="AI583" s="167"/>
      <c r="AJ583" s="6"/>
      <c r="AK583" s="6"/>
      <c r="AL583" s="6"/>
      <c r="AM583" s="6"/>
      <c r="AN583" s="6"/>
      <c r="AO583" s="6"/>
    </row>
    <row r="584" spans="1:44" x14ac:dyDescent="0.25">
      <c r="A584" s="43"/>
      <c r="B584" s="213" t="s">
        <v>1145</v>
      </c>
      <c r="C584" s="213" t="s">
        <v>1146</v>
      </c>
      <c r="D584" s="213" t="s">
        <v>1147</v>
      </c>
      <c r="E584" s="214" t="s">
        <v>1148</v>
      </c>
      <c r="F584" s="214" t="s">
        <v>1149</v>
      </c>
      <c r="G584" s="214" t="s">
        <v>1150</v>
      </c>
      <c r="H584" s="214" t="s">
        <v>1151</v>
      </c>
      <c r="I584" s="214" t="s">
        <v>1152</v>
      </c>
      <c r="J584" s="214" t="s">
        <v>1153</v>
      </c>
      <c r="K584" s="214" t="s">
        <v>1154</v>
      </c>
      <c r="L584" s="214" t="s">
        <v>1133</v>
      </c>
      <c r="M584" s="214" t="s">
        <v>1134</v>
      </c>
      <c r="N584" s="214" t="s">
        <v>1115</v>
      </c>
      <c r="O584" s="214" t="s">
        <v>1240</v>
      </c>
      <c r="P584" s="214" t="s">
        <v>1117</v>
      </c>
      <c r="Q584" s="214" t="s">
        <v>1156</v>
      </c>
      <c r="R584" s="214" t="s">
        <v>1157</v>
      </c>
      <c r="S584" s="214" t="s">
        <v>1158</v>
      </c>
      <c r="T584" s="214" t="s">
        <v>1159</v>
      </c>
      <c r="U584" s="214" t="s">
        <v>1160</v>
      </c>
      <c r="V584" s="214" t="s">
        <v>1161</v>
      </c>
      <c r="W584" s="214" t="s">
        <v>1162</v>
      </c>
      <c r="X584" s="214" t="s">
        <v>1164</v>
      </c>
      <c r="Y584" s="214" t="s">
        <v>1166</v>
      </c>
      <c r="Z584" s="214" t="s">
        <v>1116</v>
      </c>
      <c r="AA584" s="214" t="s">
        <v>1167</v>
      </c>
      <c r="AB584" s="214" t="s">
        <v>1168</v>
      </c>
      <c r="AC584" s="696"/>
      <c r="AD584" s="696"/>
      <c r="AE584" s="696"/>
      <c r="AF584" s="696"/>
      <c r="AG584" s="167"/>
      <c r="AH584" s="167"/>
      <c r="AI584" s="167"/>
      <c r="AJ584" s="6"/>
      <c r="AK584" s="6"/>
      <c r="AL584" s="6"/>
      <c r="AM584" s="6"/>
      <c r="AN584" s="6"/>
      <c r="AO584" s="6"/>
    </row>
    <row r="585" spans="1:44" x14ac:dyDescent="0.25">
      <c r="A585" s="230"/>
      <c r="B585" s="213">
        <f>B575+1</f>
        <v>7</v>
      </c>
      <c r="C585" s="213">
        <v>1</v>
      </c>
      <c r="D585" s="213" t="s">
        <v>1173</v>
      </c>
      <c r="E585" s="214">
        <f>$B$2</f>
        <v>20180327</v>
      </c>
      <c r="F585" s="215">
        <v>0.7289930555555556</v>
      </c>
      <c r="G585" s="214"/>
      <c r="H585" s="214"/>
      <c r="I585" s="214"/>
      <c r="J585" s="214" t="s">
        <v>1247</v>
      </c>
      <c r="K585" s="214">
        <v>1</v>
      </c>
      <c r="L585" s="214">
        <f>$B$2</f>
        <v>20180327</v>
      </c>
      <c r="M585" s="216" t="str">
        <f>M580</f>
        <v>9999</v>
      </c>
      <c r="N585" s="217">
        <f>N580</f>
        <v>99990202</v>
      </c>
      <c r="O585" s="217"/>
      <c r="P585" s="217" t="str">
        <f>P580</f>
        <v>CZCE</v>
      </c>
      <c r="Q585" s="217"/>
      <c r="R585" s="217">
        <v>1</v>
      </c>
      <c r="S585" s="217">
        <v>1</v>
      </c>
      <c r="T585" s="217">
        <v>2</v>
      </c>
      <c r="U585" s="216">
        <v>1</v>
      </c>
      <c r="V585" s="216">
        <f>V580</f>
        <v>3000</v>
      </c>
      <c r="W585" s="217" t="s">
        <v>1195</v>
      </c>
      <c r="X585" s="217">
        <v>1</v>
      </c>
      <c r="Y585" s="217">
        <v>0</v>
      </c>
      <c r="Z585" s="217" t="str">
        <f>Z580</f>
        <v>USD</v>
      </c>
      <c r="AA585" s="217"/>
      <c r="AB585" s="217"/>
      <c r="AC585" s="189" t="s">
        <v>1128</v>
      </c>
      <c r="AD585" s="111"/>
      <c r="AE585" s="111"/>
      <c r="AF585" s="111">
        <v>0</v>
      </c>
      <c r="AG585" s="167"/>
      <c r="AH585" s="167"/>
      <c r="AI585" s="167"/>
      <c r="AJ585" s="6"/>
      <c r="AK585" s="6"/>
      <c r="AL585" s="6"/>
      <c r="AM585" s="6"/>
      <c r="AN585" s="6"/>
      <c r="AO585" s="6"/>
    </row>
    <row r="586" spans="1:44" s="342" customFormat="1" x14ac:dyDescent="0.25">
      <c r="A586" s="342" t="s">
        <v>173</v>
      </c>
      <c r="B586" s="343" t="s">
        <v>1216</v>
      </c>
      <c r="C586" s="343"/>
      <c r="D586" s="343"/>
      <c r="E586" s="343"/>
      <c r="F586" s="344"/>
      <c r="G586" s="344"/>
      <c r="H586" s="344"/>
      <c r="I586" s="344"/>
      <c r="J586" s="344"/>
      <c r="K586" s="344"/>
      <c r="L586" s="344"/>
      <c r="M586" s="344"/>
      <c r="N586" s="345"/>
      <c r="O586" s="345"/>
      <c r="P586" s="345"/>
      <c r="Q586" s="345"/>
      <c r="R586" s="345"/>
      <c r="S586" s="345"/>
      <c r="T586" s="345"/>
      <c r="U586" s="345"/>
      <c r="V586" s="346"/>
      <c r="W586" s="345"/>
      <c r="X586" s="345"/>
      <c r="Y586" s="345"/>
      <c r="Z586" s="345"/>
      <c r="AA586" s="345"/>
      <c r="AB586" s="345"/>
      <c r="AC586" s="345"/>
      <c r="AD586" s="345"/>
      <c r="AE586" s="345"/>
      <c r="AF586" s="345"/>
      <c r="AG586" s="345"/>
      <c r="AH586" s="345"/>
      <c r="AI586" s="345"/>
      <c r="AJ586" s="345"/>
    </row>
    <row r="587" spans="1:44" hidden="1" x14ac:dyDescent="0.25">
      <c r="A587" s="323" t="s">
        <v>2074</v>
      </c>
      <c r="B587" s="4" t="s">
        <v>124</v>
      </c>
      <c r="C587" s="203" t="s">
        <v>1581</v>
      </c>
      <c r="D587" s="204"/>
      <c r="E587" s="204"/>
      <c r="F587" s="204"/>
      <c r="G587" s="188"/>
      <c r="H587" s="188"/>
      <c r="I587" s="188"/>
      <c r="J587" s="188"/>
      <c r="K587" s="188"/>
      <c r="L587" s="188"/>
      <c r="M587" s="188"/>
      <c r="N587" s="188"/>
      <c r="O587" s="167"/>
      <c r="P587" s="167"/>
      <c r="Q587" s="167"/>
      <c r="R587" s="167"/>
      <c r="S587" s="167"/>
      <c r="T587" s="167"/>
      <c r="U587" s="167"/>
      <c r="V587" s="167"/>
      <c r="W587" s="182"/>
      <c r="X587" s="167"/>
      <c r="Y587" s="167"/>
      <c r="Z587" s="167"/>
      <c r="AA587" s="167"/>
      <c r="AB587" s="167"/>
      <c r="AC587" s="167"/>
      <c r="AD587" s="167"/>
      <c r="AE587" s="167"/>
      <c r="AF587" s="167"/>
      <c r="AG587" s="167"/>
      <c r="AH587" s="167"/>
      <c r="AI587" s="167"/>
      <c r="AJ587" s="167"/>
      <c r="AK587" s="167"/>
      <c r="AL587" s="6"/>
      <c r="AM587" s="6"/>
      <c r="AN587" s="6"/>
      <c r="AO587" s="6"/>
      <c r="AP587" s="6"/>
      <c r="AQ587" s="6"/>
    </row>
    <row r="588" spans="1:44" hidden="1" x14ac:dyDescent="0.25">
      <c r="A588" s="323" t="s">
        <v>2074</v>
      </c>
      <c r="B588" s="4" t="s">
        <v>306</v>
      </c>
      <c r="C588" s="704" t="s">
        <v>1582</v>
      </c>
      <c r="D588" s="705"/>
      <c r="E588" s="705"/>
      <c r="F588" s="705"/>
      <c r="G588" s="705"/>
      <c r="H588" s="705"/>
      <c r="I588" s="705"/>
      <c r="J588" s="705"/>
      <c r="K588" s="705"/>
      <c r="L588" s="705"/>
      <c r="M588" s="705"/>
      <c r="N588" s="705"/>
      <c r="O588" s="705"/>
      <c r="P588" s="705"/>
      <c r="Q588" s="705"/>
      <c r="R588" s="705"/>
      <c r="S588" s="708"/>
      <c r="T588" s="712" t="s">
        <v>1126</v>
      </c>
      <c r="U588" s="712" t="s">
        <v>1107</v>
      </c>
      <c r="V588" s="712" t="s">
        <v>1108</v>
      </c>
      <c r="W588" s="167"/>
      <c r="X588" s="182"/>
      <c r="Y588" s="167"/>
      <c r="Z588" s="167"/>
      <c r="AA588" s="167"/>
      <c r="AB588" s="167"/>
      <c r="AC588" s="167"/>
      <c r="AD588" s="167"/>
      <c r="AE588" s="167"/>
      <c r="AF588" s="167"/>
      <c r="AG588" s="167"/>
      <c r="AH588" s="167"/>
      <c r="AI588" s="167"/>
      <c r="AJ588" s="167"/>
      <c r="AK588" s="167"/>
      <c r="AL588" s="167"/>
      <c r="AM588" s="6"/>
      <c r="AN588" s="6"/>
      <c r="AO588" s="6"/>
      <c r="AP588" s="6"/>
      <c r="AQ588" s="6"/>
      <c r="AR588" s="6"/>
    </row>
    <row r="589" spans="1:44" hidden="1" x14ac:dyDescent="0.25">
      <c r="A589" s="323" t="s">
        <v>2074</v>
      </c>
      <c r="C589" s="233" t="s">
        <v>1111</v>
      </c>
      <c r="D589" s="233" t="s">
        <v>1217</v>
      </c>
      <c r="E589" s="233" t="s">
        <v>1134</v>
      </c>
      <c r="F589" s="233" t="s">
        <v>1117</v>
      </c>
      <c r="G589" s="189" t="s">
        <v>1218</v>
      </c>
      <c r="H589" s="189" t="s">
        <v>1219</v>
      </c>
      <c r="I589" s="189" t="s">
        <v>1220</v>
      </c>
      <c r="J589" s="189" t="s">
        <v>1221</v>
      </c>
      <c r="K589" s="189" t="s">
        <v>1222</v>
      </c>
      <c r="L589" s="189" t="s">
        <v>1754</v>
      </c>
      <c r="M589" s="189" t="s">
        <v>1223</v>
      </c>
      <c r="N589" s="189" t="s">
        <v>1224</v>
      </c>
      <c r="O589" s="189" t="s">
        <v>1225</v>
      </c>
      <c r="P589" s="189" t="s">
        <v>1226</v>
      </c>
      <c r="Q589" s="189" t="s">
        <v>1147</v>
      </c>
      <c r="R589" s="189" t="s">
        <v>1227</v>
      </c>
      <c r="S589" s="189" t="s">
        <v>1228</v>
      </c>
      <c r="T589" s="713"/>
      <c r="U589" s="713"/>
      <c r="V589" s="713"/>
      <c r="W589" s="167"/>
      <c r="X589" s="182"/>
      <c r="Y589" s="167"/>
      <c r="Z589" s="167"/>
      <c r="AA589" s="167"/>
      <c r="AB589" s="167"/>
      <c r="AC589" s="167"/>
      <c r="AD589" s="167"/>
      <c r="AE589" s="167"/>
      <c r="AF589" s="167"/>
      <c r="AG589" s="167"/>
      <c r="AH589" s="167"/>
      <c r="AI589" s="167"/>
      <c r="AJ589" s="167"/>
      <c r="AK589" s="167"/>
      <c r="AL589" s="167"/>
      <c r="AM589" s="6"/>
      <c r="AN589" s="6"/>
      <c r="AO589" s="6"/>
      <c r="AP589" s="6"/>
      <c r="AQ589" s="6"/>
      <c r="AR589" s="6"/>
    </row>
    <row r="590" spans="1:44" hidden="1" x14ac:dyDescent="0.25">
      <c r="A590" s="323" t="s">
        <v>2074</v>
      </c>
      <c r="C590" s="233">
        <f>B2</f>
        <v>20180327</v>
      </c>
      <c r="D590" s="233">
        <f>C590</f>
        <v>20180327</v>
      </c>
      <c r="E590" s="233" t="str">
        <f>$F$5</f>
        <v>9999</v>
      </c>
      <c r="F590" s="233" t="s">
        <v>2029</v>
      </c>
      <c r="G590" s="189">
        <v>0</v>
      </c>
      <c r="H590" s="189">
        <v>0</v>
      </c>
      <c r="I590" s="189">
        <v>0</v>
      </c>
      <c r="J590" s="189">
        <v>0</v>
      </c>
      <c r="K590" s="189">
        <f>$B$2-1</f>
        <v>20180326</v>
      </c>
      <c r="L590" s="189">
        <v>7</v>
      </c>
      <c r="M590" s="189">
        <v>2</v>
      </c>
      <c r="N590" s="189">
        <v>2</v>
      </c>
      <c r="O590" s="189">
        <v>2</v>
      </c>
      <c r="P590" s="189">
        <v>1</v>
      </c>
      <c r="Q590" s="111" t="s">
        <v>1128</v>
      </c>
      <c r="R590" s="111">
        <f>$B$2</f>
        <v>20180327</v>
      </c>
      <c r="S590" s="205">
        <v>0.53385416666666663</v>
      </c>
      <c r="T590" s="205" t="s">
        <v>1128</v>
      </c>
      <c r="U590" s="111"/>
      <c r="V590" s="111"/>
      <c r="W590" s="167"/>
      <c r="X590" s="182"/>
      <c r="Y590" s="167"/>
      <c r="Z590" s="167"/>
      <c r="AA590" s="167"/>
      <c r="AB590" s="167"/>
      <c r="AC590" s="167"/>
      <c r="AD590" s="167"/>
      <c r="AE590" s="167"/>
      <c r="AF590" s="167"/>
      <c r="AG590" s="167"/>
      <c r="AH590" s="167"/>
      <c r="AI590" s="167"/>
      <c r="AJ590" s="167"/>
      <c r="AK590" s="167"/>
      <c r="AL590" s="167"/>
      <c r="AM590" s="6"/>
      <c r="AN590" s="6"/>
      <c r="AO590" s="6"/>
      <c r="AP590" s="6"/>
      <c r="AQ590" s="6"/>
      <c r="AR590" s="6"/>
    </row>
    <row r="591" spans="1:44" s="9" customFormat="1" ht="13.95" hidden="1" customHeight="1" x14ac:dyDescent="0.25">
      <c r="A591" s="323" t="s">
        <v>2074</v>
      </c>
      <c r="B591" s="361" t="s">
        <v>359</v>
      </c>
      <c r="C591" s="361" t="s">
        <v>1627</v>
      </c>
      <c r="D591" s="361"/>
      <c r="E591" s="361"/>
      <c r="F591" s="361"/>
    </row>
    <row r="592" spans="1:44" s="9" customFormat="1" ht="13.95" hidden="1" customHeight="1" x14ac:dyDescent="0.25">
      <c r="A592" s="323" t="s">
        <v>2074</v>
      </c>
      <c r="B592" s="369" t="s">
        <v>970</v>
      </c>
      <c r="C592" s="369" t="s">
        <v>1670</v>
      </c>
      <c r="D592" s="369"/>
      <c r="E592" s="361"/>
      <c r="F592" s="361"/>
    </row>
    <row r="593" spans="1:45" s="364" customFormat="1" ht="13.95" hidden="1" customHeight="1" x14ac:dyDescent="0.15">
      <c r="A593" s="323" t="s">
        <v>2074</v>
      </c>
      <c r="B593" s="361" t="s">
        <v>1628</v>
      </c>
      <c r="C593" s="704" t="s">
        <v>1582</v>
      </c>
      <c r="D593" s="705"/>
      <c r="E593" s="705"/>
      <c r="F593" s="705"/>
      <c r="G593" s="705"/>
      <c r="H593" s="705"/>
      <c r="I593" s="705"/>
      <c r="J593" s="705"/>
      <c r="K593" s="705"/>
      <c r="L593" s="705"/>
      <c r="M593" s="705"/>
      <c r="N593" s="705"/>
      <c r="O593" s="705"/>
      <c r="P593" s="705"/>
      <c r="Q593" s="705"/>
      <c r="R593" s="705"/>
      <c r="S593" s="708"/>
      <c r="T593" s="740" t="s">
        <v>1981</v>
      </c>
      <c r="U593" s="717" t="s">
        <v>1629</v>
      </c>
      <c r="V593" s="717" t="s">
        <v>1630</v>
      </c>
      <c r="W593" s="717" t="s">
        <v>1631</v>
      </c>
      <c r="X593" s="362"/>
      <c r="Y593" s="107"/>
      <c r="Z593" s="362"/>
      <c r="AA593" s="362"/>
      <c r="AB593" s="362"/>
      <c r="AC593" s="362"/>
      <c r="AD593" s="362"/>
      <c r="AE593" s="362"/>
      <c r="AF593" s="362"/>
      <c r="AG593" s="362"/>
      <c r="AH593" s="362"/>
      <c r="AI593" s="362"/>
      <c r="AJ593" s="362"/>
      <c r="AK593" s="362"/>
      <c r="AL593" s="362"/>
      <c r="AM593" s="362"/>
      <c r="AN593" s="363"/>
      <c r="AO593" s="363"/>
      <c r="AP593" s="363"/>
      <c r="AQ593" s="363"/>
      <c r="AR593" s="363"/>
      <c r="AS593" s="363"/>
    </row>
    <row r="594" spans="1:45" s="364" customFormat="1" ht="13.95" hidden="1" customHeight="1" x14ac:dyDescent="0.25">
      <c r="A594" s="323" t="s">
        <v>2074</v>
      </c>
      <c r="C594" s="365" t="s">
        <v>1632</v>
      </c>
      <c r="D594" s="365" t="s">
        <v>1633</v>
      </c>
      <c r="E594" s="365" t="s">
        <v>1634</v>
      </c>
      <c r="F594" s="365" t="s">
        <v>1635</v>
      </c>
      <c r="G594" s="366" t="s">
        <v>1636</v>
      </c>
      <c r="H594" s="366" t="s">
        <v>1637</v>
      </c>
      <c r="I594" s="366" t="s">
        <v>1638</v>
      </c>
      <c r="J594" s="366" t="s">
        <v>1639</v>
      </c>
      <c r="K594" s="366" t="s">
        <v>1640</v>
      </c>
      <c r="L594" s="366" t="s">
        <v>1641</v>
      </c>
      <c r="M594" s="366" t="s">
        <v>1642</v>
      </c>
      <c r="N594" s="366" t="s">
        <v>1643</v>
      </c>
      <c r="O594" s="366" t="s">
        <v>1644</v>
      </c>
      <c r="P594" s="366" t="s">
        <v>1645</v>
      </c>
      <c r="Q594" s="366" t="s">
        <v>1646</v>
      </c>
      <c r="R594" s="366" t="s">
        <v>1647</v>
      </c>
      <c r="S594" s="366" t="s">
        <v>1648</v>
      </c>
      <c r="T594" s="741"/>
      <c r="U594" s="718"/>
      <c r="V594" s="718"/>
      <c r="W594" s="718"/>
      <c r="X594" s="362"/>
      <c r="Y594" s="107"/>
      <c r="Z594" s="362"/>
      <c r="AA594" s="362"/>
      <c r="AB594" s="362"/>
      <c r="AC594" s="362"/>
      <c r="AD594" s="362"/>
      <c r="AE594" s="362"/>
      <c r="AF594" s="362"/>
      <c r="AG594" s="362"/>
      <c r="AH594" s="362"/>
      <c r="AI594" s="362"/>
      <c r="AJ594" s="362"/>
      <c r="AK594" s="362"/>
      <c r="AL594" s="362"/>
      <c r="AM594" s="362"/>
      <c r="AN594" s="363"/>
      <c r="AO594" s="363"/>
      <c r="AP594" s="363"/>
      <c r="AQ594" s="363"/>
      <c r="AR594" s="363"/>
      <c r="AS594" s="363"/>
    </row>
    <row r="595" spans="1:45" s="364" customFormat="1" ht="13.95" hidden="1" customHeight="1" x14ac:dyDescent="0.25">
      <c r="A595" s="323" t="s">
        <v>2074</v>
      </c>
      <c r="C595" s="365">
        <f>$B$2</f>
        <v>20180327</v>
      </c>
      <c r="D595" s="365">
        <f>$B$2</f>
        <v>20180327</v>
      </c>
      <c r="E595" s="365" t="str">
        <f>$F$5</f>
        <v>9999</v>
      </c>
      <c r="F595" s="365" t="str">
        <f>F590</f>
        <v>CFFEX</v>
      </c>
      <c r="G595" s="366">
        <v>0</v>
      </c>
      <c r="H595" s="366">
        <v>0</v>
      </c>
      <c r="I595" s="366">
        <v>0</v>
      </c>
      <c r="J595" s="366">
        <v>0</v>
      </c>
      <c r="K595" s="366">
        <f>$B$2-1</f>
        <v>20180326</v>
      </c>
      <c r="L595" s="366">
        <v>7</v>
      </c>
      <c r="M595" s="366">
        <v>2</v>
      </c>
      <c r="N595" s="366">
        <v>2</v>
      </c>
      <c r="O595" s="366">
        <v>2</v>
      </c>
      <c r="P595" s="366">
        <v>1</v>
      </c>
      <c r="Q595" s="367" t="s">
        <v>1649</v>
      </c>
      <c r="R595" s="367">
        <f>$B$2</f>
        <v>20180327</v>
      </c>
      <c r="S595" s="368">
        <v>0.53385416666666663</v>
      </c>
      <c r="T595" s="387">
        <v>1</v>
      </c>
      <c r="U595" s="368" t="s">
        <v>1649</v>
      </c>
      <c r="V595" s="367"/>
      <c r="W595" s="367"/>
      <c r="X595" s="362"/>
      <c r="Y595" s="107"/>
      <c r="Z595" s="362"/>
      <c r="AA595" s="362"/>
      <c r="AB595" s="362"/>
      <c r="AC595" s="362"/>
      <c r="AD595" s="362"/>
      <c r="AE595" s="362"/>
      <c r="AF595" s="362"/>
      <c r="AG595" s="362"/>
      <c r="AH595" s="362"/>
      <c r="AI595" s="362"/>
      <c r="AJ595" s="362"/>
      <c r="AK595" s="362"/>
      <c r="AL595" s="362"/>
      <c r="AM595" s="362"/>
      <c r="AN595" s="363"/>
      <c r="AO595" s="363"/>
      <c r="AP595" s="363"/>
      <c r="AQ595" s="363"/>
      <c r="AR595" s="363"/>
      <c r="AS595" s="363"/>
    </row>
    <row r="596" spans="1:45" s="9" customFormat="1" ht="13.95" hidden="1" customHeight="1" x14ac:dyDescent="0.25">
      <c r="A596" s="323" t="s">
        <v>2074</v>
      </c>
      <c r="B596" s="361" t="s">
        <v>359</v>
      </c>
      <c r="C596" s="361" t="s">
        <v>1627</v>
      </c>
    </row>
    <row r="597" spans="1:45" s="9" customFormat="1" ht="13.95" hidden="1" customHeight="1" x14ac:dyDescent="0.25">
      <c r="A597" s="323" t="s">
        <v>2074</v>
      </c>
      <c r="B597" s="369" t="s">
        <v>970</v>
      </c>
      <c r="C597" s="369" t="s">
        <v>1671</v>
      </c>
      <c r="D597" s="44"/>
    </row>
    <row r="598" spans="1:45" s="364" customFormat="1" hidden="1" x14ac:dyDescent="0.15">
      <c r="A598" s="323" t="s">
        <v>2074</v>
      </c>
      <c r="B598" s="361" t="s">
        <v>1628</v>
      </c>
      <c r="C598" s="704" t="s">
        <v>1672</v>
      </c>
      <c r="D598" s="705"/>
      <c r="E598" s="705"/>
      <c r="F598" s="705"/>
      <c r="G598" s="705"/>
      <c r="H598" s="705"/>
      <c r="I598" s="705"/>
      <c r="J598" s="705"/>
      <c r="K598" s="705"/>
      <c r="L598" s="705"/>
      <c r="M598" s="705"/>
      <c r="N598" s="705"/>
      <c r="O598" s="705"/>
      <c r="P598" s="705"/>
      <c r="Q598" s="705"/>
      <c r="R598" s="705"/>
      <c r="S598" s="708"/>
      <c r="T598" s="717" t="s">
        <v>1650</v>
      </c>
      <c r="U598" s="717" t="s">
        <v>1651</v>
      </c>
      <c r="V598" s="717" t="s">
        <v>1652</v>
      </c>
      <c r="W598" s="362"/>
      <c r="X598" s="107"/>
      <c r="Y598" s="362"/>
      <c r="Z598" s="362"/>
      <c r="AA598" s="362"/>
      <c r="AB598" s="362"/>
      <c r="AC598" s="362"/>
      <c r="AD598" s="362"/>
      <c r="AE598" s="362"/>
      <c r="AF598" s="362"/>
      <c r="AG598" s="362"/>
      <c r="AH598" s="362"/>
      <c r="AI598" s="362"/>
      <c r="AJ598" s="362"/>
      <c r="AK598" s="362"/>
      <c r="AL598" s="362"/>
      <c r="AM598" s="363"/>
      <c r="AN598" s="363"/>
      <c r="AO598" s="363"/>
      <c r="AP598" s="363"/>
      <c r="AQ598" s="363"/>
      <c r="AR598" s="363"/>
    </row>
    <row r="599" spans="1:45" s="364" customFormat="1" hidden="1" x14ac:dyDescent="0.25">
      <c r="A599" s="323" t="s">
        <v>2074</v>
      </c>
      <c r="C599" s="365" t="s">
        <v>1653</v>
      </c>
      <c r="D599" s="365" t="s">
        <v>1654</v>
      </c>
      <c r="E599" s="365" t="s">
        <v>1655</v>
      </c>
      <c r="F599" s="365" t="s">
        <v>1656</v>
      </c>
      <c r="G599" s="366" t="s">
        <v>1657</v>
      </c>
      <c r="H599" s="366" t="s">
        <v>1658</v>
      </c>
      <c r="I599" s="366" t="s">
        <v>1659</v>
      </c>
      <c r="J599" s="366" t="s">
        <v>1660</v>
      </c>
      <c r="K599" s="366" t="s">
        <v>1661</v>
      </c>
      <c r="L599" s="366" t="s">
        <v>1662</v>
      </c>
      <c r="M599" s="366" t="s">
        <v>1663</v>
      </c>
      <c r="N599" s="366" t="s">
        <v>1664</v>
      </c>
      <c r="O599" s="366" t="s">
        <v>1665</v>
      </c>
      <c r="P599" s="366" t="s">
        <v>1666</v>
      </c>
      <c r="Q599" s="366" t="s">
        <v>1667</v>
      </c>
      <c r="R599" s="366" t="s">
        <v>1668</v>
      </c>
      <c r="S599" s="366" t="s">
        <v>1669</v>
      </c>
      <c r="T599" s="718"/>
      <c r="U599" s="718"/>
      <c r="V599" s="718"/>
      <c r="W599" s="362"/>
      <c r="X599" s="107"/>
      <c r="Y599" s="362"/>
      <c r="Z599" s="362"/>
      <c r="AA599" s="362"/>
      <c r="AB599" s="362"/>
      <c r="AC599" s="362"/>
      <c r="AD599" s="362"/>
      <c r="AE599" s="362"/>
      <c r="AF599" s="362"/>
      <c r="AG599" s="362"/>
      <c r="AH599" s="362"/>
      <c r="AI599" s="362"/>
      <c r="AJ599" s="362"/>
      <c r="AK599" s="362"/>
      <c r="AL599" s="362"/>
      <c r="AM599" s="363"/>
      <c r="AN599" s="363"/>
      <c r="AO599" s="363"/>
      <c r="AP599" s="363"/>
      <c r="AQ599" s="363"/>
      <c r="AR599" s="363"/>
    </row>
    <row r="600" spans="1:45" s="364" customFormat="1" hidden="1" x14ac:dyDescent="0.25">
      <c r="A600" s="323" t="s">
        <v>2074</v>
      </c>
      <c r="C600" s="365">
        <f>$B$2</f>
        <v>20180327</v>
      </c>
      <c r="D600" s="365">
        <f>$B$2</f>
        <v>20180327</v>
      </c>
      <c r="E600" s="365" t="str">
        <f>$F$5</f>
        <v>9999</v>
      </c>
      <c r="F600" s="365" t="str">
        <f>F590</f>
        <v>CFFEX</v>
      </c>
      <c r="G600" s="366">
        <v>0</v>
      </c>
      <c r="H600" s="366">
        <v>0</v>
      </c>
      <c r="I600" s="366">
        <v>0</v>
      </c>
      <c r="J600" s="366">
        <v>0</v>
      </c>
      <c r="K600" s="366">
        <f>$B$2-1</f>
        <v>20180326</v>
      </c>
      <c r="L600" s="366">
        <v>7</v>
      </c>
      <c r="M600" s="366">
        <v>2</v>
      </c>
      <c r="N600" s="366">
        <v>2</v>
      </c>
      <c r="O600" s="366">
        <v>2</v>
      </c>
      <c r="P600" s="366">
        <v>1</v>
      </c>
      <c r="Q600" s="367" t="s">
        <v>1128</v>
      </c>
      <c r="R600" s="367">
        <f>$B$2</f>
        <v>20180327</v>
      </c>
      <c r="S600" s="368">
        <v>0.53385416666666663</v>
      </c>
      <c r="T600" s="368" t="s">
        <v>1128</v>
      </c>
      <c r="U600" s="367"/>
      <c r="V600" s="367"/>
      <c r="W600" s="362"/>
      <c r="X600" s="107"/>
      <c r="Y600" s="362"/>
      <c r="Z600" s="362"/>
      <c r="AA600" s="362"/>
      <c r="AB600" s="362"/>
      <c r="AC600" s="362"/>
      <c r="AD600" s="362"/>
      <c r="AE600" s="362"/>
      <c r="AF600" s="362"/>
      <c r="AG600" s="362"/>
      <c r="AH600" s="362"/>
      <c r="AI600" s="362"/>
      <c r="AJ600" s="362"/>
      <c r="AK600" s="362"/>
      <c r="AL600" s="362"/>
      <c r="AM600" s="363"/>
      <c r="AN600" s="363"/>
      <c r="AO600" s="363"/>
      <c r="AP600" s="363"/>
      <c r="AQ600" s="363"/>
      <c r="AR600" s="363"/>
    </row>
    <row r="601" spans="1:45" s="9" customFormat="1" ht="13.95" hidden="1" customHeight="1" x14ac:dyDescent="0.25">
      <c r="A601" s="323" t="s">
        <v>2074</v>
      </c>
      <c r="B601" s="361" t="s">
        <v>359</v>
      </c>
      <c r="C601" s="361" t="s">
        <v>1627</v>
      </c>
    </row>
    <row r="602" spans="1:45" s="9" customFormat="1" ht="13.95" hidden="1" customHeight="1" x14ac:dyDescent="0.25">
      <c r="A602" s="323" t="s">
        <v>2074</v>
      </c>
      <c r="B602" s="369" t="s">
        <v>970</v>
      </c>
      <c r="C602" s="369" t="s">
        <v>1762</v>
      </c>
      <c r="D602" s="44"/>
    </row>
    <row r="603" spans="1:45" s="364" customFormat="1" hidden="1" x14ac:dyDescent="0.15">
      <c r="A603" s="323" t="s">
        <v>2074</v>
      </c>
      <c r="B603" s="361" t="s">
        <v>306</v>
      </c>
      <c r="C603" s="704" t="s">
        <v>1763</v>
      </c>
      <c r="D603" s="705"/>
      <c r="E603" s="705"/>
      <c r="F603" s="705"/>
      <c r="G603" s="705"/>
      <c r="H603" s="705"/>
      <c r="I603" s="705"/>
      <c r="J603" s="705"/>
      <c r="K603" s="705"/>
      <c r="L603" s="705"/>
      <c r="M603" s="705"/>
      <c r="N603" s="705"/>
      <c r="O603" s="705"/>
      <c r="P603" s="705"/>
      <c r="Q603" s="705"/>
      <c r="R603" s="705"/>
      <c r="S603" s="708"/>
      <c r="T603" s="717" t="s">
        <v>1650</v>
      </c>
      <c r="U603" s="717" t="s">
        <v>1107</v>
      </c>
      <c r="V603" s="717" t="s">
        <v>1652</v>
      </c>
      <c r="W603" s="362"/>
      <c r="X603" s="107"/>
      <c r="Y603" s="362"/>
      <c r="Z603" s="362"/>
      <c r="AA603" s="362"/>
      <c r="AB603" s="362"/>
      <c r="AC603" s="362"/>
      <c r="AD603" s="362"/>
      <c r="AE603" s="362"/>
      <c r="AF603" s="362"/>
      <c r="AG603" s="362"/>
      <c r="AH603" s="362"/>
      <c r="AI603" s="362"/>
      <c r="AJ603" s="362"/>
      <c r="AK603" s="362"/>
      <c r="AL603" s="362"/>
      <c r="AM603" s="363"/>
      <c r="AN603" s="363"/>
      <c r="AO603" s="363"/>
      <c r="AP603" s="363"/>
      <c r="AQ603" s="363"/>
      <c r="AR603" s="363"/>
    </row>
    <row r="604" spans="1:45" s="364" customFormat="1" hidden="1" x14ac:dyDescent="0.25">
      <c r="A604" s="323" t="s">
        <v>2074</v>
      </c>
      <c r="C604" s="365" t="s">
        <v>1439</v>
      </c>
      <c r="D604" s="365" t="s">
        <v>1654</v>
      </c>
      <c r="E604" s="365" t="s">
        <v>1655</v>
      </c>
      <c r="F604" s="365" t="s">
        <v>1656</v>
      </c>
      <c r="G604" s="366" t="s">
        <v>1657</v>
      </c>
      <c r="H604" s="366" t="s">
        <v>1658</v>
      </c>
      <c r="I604" s="366" t="s">
        <v>1659</v>
      </c>
      <c r="J604" s="366" t="s">
        <v>1660</v>
      </c>
      <c r="K604" s="366" t="s">
        <v>1640</v>
      </c>
      <c r="L604" s="366" t="s">
        <v>1641</v>
      </c>
      <c r="M604" s="366" t="s">
        <v>1663</v>
      </c>
      <c r="N604" s="366" t="s">
        <v>1664</v>
      </c>
      <c r="O604" s="366" t="s">
        <v>1665</v>
      </c>
      <c r="P604" s="366" t="s">
        <v>1666</v>
      </c>
      <c r="Q604" s="366" t="s">
        <v>1646</v>
      </c>
      <c r="R604" s="366" t="s">
        <v>1668</v>
      </c>
      <c r="S604" s="366" t="s">
        <v>1648</v>
      </c>
      <c r="T604" s="718"/>
      <c r="U604" s="718"/>
      <c r="V604" s="718"/>
      <c r="W604" s="362"/>
      <c r="X604" s="107"/>
      <c r="Y604" s="362"/>
      <c r="Z604" s="362"/>
      <c r="AA604" s="362"/>
      <c r="AB604" s="362"/>
      <c r="AC604" s="362"/>
      <c r="AD604" s="362"/>
      <c r="AE604" s="362"/>
      <c r="AF604" s="362"/>
      <c r="AG604" s="362"/>
      <c r="AH604" s="362"/>
      <c r="AI604" s="362"/>
      <c r="AJ604" s="362"/>
      <c r="AK604" s="362"/>
      <c r="AL604" s="362"/>
      <c r="AM604" s="363"/>
      <c r="AN604" s="363"/>
      <c r="AO604" s="363"/>
      <c r="AP604" s="363"/>
      <c r="AQ604" s="363"/>
      <c r="AR604" s="363"/>
    </row>
    <row r="605" spans="1:45" s="364" customFormat="1" hidden="1" x14ac:dyDescent="0.25">
      <c r="A605" s="323" t="s">
        <v>2074</v>
      </c>
      <c r="C605" s="365">
        <f>$B$2</f>
        <v>20180327</v>
      </c>
      <c r="D605" s="365">
        <f>$B$2</f>
        <v>20180327</v>
      </c>
      <c r="E605" s="365" t="str">
        <f>$F$5</f>
        <v>9999</v>
      </c>
      <c r="F605" s="365" t="str">
        <f>F590</f>
        <v>CFFEX</v>
      </c>
      <c r="G605" s="366">
        <v>0</v>
      </c>
      <c r="H605" s="366">
        <v>0</v>
      </c>
      <c r="I605" s="366">
        <v>0</v>
      </c>
      <c r="J605" s="366">
        <v>0</v>
      </c>
      <c r="K605" s="366">
        <f>$B$2-1</f>
        <v>20180326</v>
      </c>
      <c r="L605" s="366">
        <v>7</v>
      </c>
      <c r="M605" s="366">
        <v>2</v>
      </c>
      <c r="N605" s="366">
        <v>2</v>
      </c>
      <c r="O605" s="366">
        <v>2</v>
      </c>
      <c r="P605" s="366">
        <v>1</v>
      </c>
      <c r="Q605" s="367" t="s">
        <v>1128</v>
      </c>
      <c r="R605" s="367">
        <f>$B$2</f>
        <v>20180327</v>
      </c>
      <c r="S605" s="368">
        <v>0.53385416666666663</v>
      </c>
      <c r="T605" s="368" t="s">
        <v>1128</v>
      </c>
      <c r="U605" s="367"/>
      <c r="V605" s="367"/>
      <c r="W605" s="362"/>
      <c r="X605" s="107"/>
      <c r="Y605" s="362"/>
      <c r="Z605" s="362"/>
      <c r="AA605" s="362"/>
      <c r="AB605" s="362"/>
      <c r="AC605" s="362"/>
      <c r="AD605" s="362"/>
      <c r="AE605" s="362"/>
      <c r="AF605" s="362"/>
      <c r="AG605" s="362"/>
      <c r="AH605" s="362"/>
      <c r="AI605" s="362"/>
      <c r="AJ605" s="362"/>
      <c r="AK605" s="362"/>
      <c r="AL605" s="362"/>
      <c r="AM605" s="363"/>
      <c r="AN605" s="363"/>
      <c r="AO605" s="363"/>
      <c r="AP605" s="363"/>
      <c r="AQ605" s="363"/>
      <c r="AR605" s="363"/>
    </row>
    <row r="606" spans="1:45" hidden="1" x14ac:dyDescent="0.25">
      <c r="A606" s="323" t="s">
        <v>2074</v>
      </c>
      <c r="B606" t="s">
        <v>1674</v>
      </c>
      <c r="C606" s="323" t="s">
        <v>1675</v>
      </c>
      <c r="D606" s="323"/>
      <c r="E606" s="323"/>
      <c r="F606" s="323"/>
      <c r="G606" s="188"/>
      <c r="H606" s="188"/>
      <c r="I606" s="188"/>
      <c r="J606" s="188"/>
      <c r="K606" s="188"/>
      <c r="L606" s="188"/>
      <c r="M606" s="188"/>
      <c r="N606" s="188"/>
      <c r="O606" s="188"/>
      <c r="P606" s="188"/>
      <c r="Q606" s="167"/>
      <c r="R606" s="167"/>
      <c r="S606" s="338"/>
      <c r="T606" s="338"/>
      <c r="U606" s="167"/>
      <c r="V606" s="167"/>
      <c r="W606" s="167"/>
      <c r="X606" s="182"/>
      <c r="Y606" s="167"/>
      <c r="Z606" s="167"/>
      <c r="AA606" s="167"/>
      <c r="AB606" s="167"/>
      <c r="AC606" s="167"/>
      <c r="AD606" s="167"/>
      <c r="AE606" s="167"/>
      <c r="AF606" s="167"/>
      <c r="AG606" s="167"/>
      <c r="AH606" s="167"/>
      <c r="AI606" s="167"/>
      <c r="AJ606" s="167"/>
      <c r="AK606" s="167"/>
      <c r="AL606" s="167"/>
      <c r="AM606" s="6"/>
      <c r="AN606" s="6"/>
      <c r="AO606" s="6"/>
      <c r="AP606" s="6"/>
      <c r="AQ606" s="6"/>
      <c r="AR606" s="6"/>
    </row>
    <row r="607" spans="1:45" ht="13.95" hidden="1" customHeight="1" x14ac:dyDescent="0.25">
      <c r="A607" s="323" t="s">
        <v>2074</v>
      </c>
      <c r="B607" s="4" t="s">
        <v>124</v>
      </c>
      <c r="C607" s="203" t="s">
        <v>1251</v>
      </c>
      <c r="D607" s="204"/>
      <c r="E607" s="204"/>
      <c r="F607" s="204"/>
      <c r="G607" s="188"/>
      <c r="H607" s="188"/>
      <c r="I607" s="188"/>
      <c r="J607" s="188"/>
      <c r="K607" s="188"/>
      <c r="L607" s="188"/>
      <c r="M607" s="188"/>
      <c r="N607" s="188"/>
      <c r="O607" s="167"/>
      <c r="P607" s="167"/>
      <c r="Q607" s="167"/>
      <c r="R607" s="167"/>
      <c r="S607" s="167"/>
      <c r="T607" s="167"/>
      <c r="U607" s="167"/>
      <c r="V607" s="167"/>
      <c r="W607" s="182"/>
      <c r="X607" s="167"/>
      <c r="Y607" s="167"/>
      <c r="Z607" s="167"/>
      <c r="AA607" s="167"/>
      <c r="AB607" s="167"/>
      <c r="AC607" s="167"/>
      <c r="AD607" s="167"/>
      <c r="AE607" s="167"/>
      <c r="AF607" s="167"/>
      <c r="AG607" s="167"/>
      <c r="AH607" s="167"/>
      <c r="AI607" s="167"/>
      <c r="AJ607" s="167"/>
      <c r="AK607" s="167"/>
      <c r="AL607" s="6"/>
      <c r="AM607" s="6"/>
      <c r="AN607" s="6"/>
      <c r="AO607" s="6"/>
      <c r="AP607" s="6"/>
      <c r="AQ607" s="6"/>
    </row>
    <row r="608" spans="1:45" ht="13.95" hidden="1" customHeight="1" x14ac:dyDescent="0.25">
      <c r="A608" s="323" t="s">
        <v>2074</v>
      </c>
      <c r="B608" s="4" t="s">
        <v>306</v>
      </c>
      <c r="C608" s="704" t="s">
        <v>1583</v>
      </c>
      <c r="D608" s="705"/>
      <c r="E608" s="705"/>
      <c r="F608" s="705"/>
      <c r="G608" s="705"/>
      <c r="H608" s="705"/>
      <c r="I608" s="705"/>
      <c r="J608" s="705"/>
      <c r="K608" s="705"/>
      <c r="L608" s="705"/>
      <c r="M608" s="705"/>
      <c r="N608" s="705"/>
      <c r="O608" s="705"/>
      <c r="P608" s="705"/>
      <c r="Q608" s="705"/>
      <c r="R608" s="705"/>
      <c r="S608" s="708"/>
      <c r="T608" s="712" t="s">
        <v>1126</v>
      </c>
      <c r="U608" s="712" t="s">
        <v>1107</v>
      </c>
      <c r="V608" s="712" t="s">
        <v>1108</v>
      </c>
      <c r="W608" s="167"/>
      <c r="X608" s="182"/>
      <c r="Y608" s="167"/>
      <c r="Z608" s="167"/>
      <c r="AA608" s="167"/>
      <c r="AB608" s="167"/>
      <c r="AC608" s="167"/>
      <c r="AD608" s="167"/>
      <c r="AE608" s="167"/>
      <c r="AF608" s="167"/>
      <c r="AG608" s="167"/>
      <c r="AH608" s="167"/>
      <c r="AI608" s="167"/>
      <c r="AJ608" s="167"/>
      <c r="AK608" s="167"/>
      <c r="AL608" s="167"/>
      <c r="AM608" s="6"/>
      <c r="AN608" s="6"/>
      <c r="AO608" s="6"/>
      <c r="AP608" s="6"/>
      <c r="AQ608" s="6"/>
      <c r="AR608" s="6"/>
    </row>
    <row r="609" spans="1:45" ht="13.95" hidden="1" customHeight="1" x14ac:dyDescent="0.25">
      <c r="A609" s="323" t="s">
        <v>2074</v>
      </c>
      <c r="C609" s="358" t="s">
        <v>1111</v>
      </c>
      <c r="D609" s="358" t="s">
        <v>1217</v>
      </c>
      <c r="E609" s="358" t="s">
        <v>1134</v>
      </c>
      <c r="F609" s="358" t="s">
        <v>1117</v>
      </c>
      <c r="G609" s="189" t="s">
        <v>1218</v>
      </c>
      <c r="H609" s="189" t="s">
        <v>1219</v>
      </c>
      <c r="I609" s="189" t="s">
        <v>1220</v>
      </c>
      <c r="J609" s="189" t="s">
        <v>1221</v>
      </c>
      <c r="K609" s="189" t="s">
        <v>1222</v>
      </c>
      <c r="L609" s="189" t="s">
        <v>1755</v>
      </c>
      <c r="M609" s="189" t="s">
        <v>1223</v>
      </c>
      <c r="N609" s="189" t="s">
        <v>1224</v>
      </c>
      <c r="O609" s="189" t="s">
        <v>1225</v>
      </c>
      <c r="P609" s="189" t="s">
        <v>1226</v>
      </c>
      <c r="Q609" s="189" t="s">
        <v>1147</v>
      </c>
      <c r="R609" s="189" t="s">
        <v>1227</v>
      </c>
      <c r="S609" s="189" t="s">
        <v>1228</v>
      </c>
      <c r="T609" s="713"/>
      <c r="U609" s="713"/>
      <c r="V609" s="713"/>
      <c r="W609" s="167"/>
      <c r="X609" s="182"/>
      <c r="Y609" s="167"/>
      <c r="Z609" s="167"/>
      <c r="AA609" s="167"/>
      <c r="AB609" s="167"/>
      <c r="AC609" s="167"/>
      <c r="AD609" s="167"/>
      <c r="AE609" s="167"/>
      <c r="AF609" s="167"/>
      <c r="AG609" s="167"/>
      <c r="AH609" s="167"/>
      <c r="AI609" s="167"/>
      <c r="AJ609" s="167"/>
      <c r="AK609" s="167"/>
      <c r="AL609" s="167"/>
      <c r="AM609" s="6"/>
      <c r="AN609" s="6"/>
      <c r="AO609" s="6"/>
      <c r="AP609" s="6"/>
      <c r="AQ609" s="6"/>
      <c r="AR609" s="6"/>
    </row>
    <row r="610" spans="1:45" ht="13.95" hidden="1" customHeight="1" x14ac:dyDescent="0.25">
      <c r="A610" s="323" t="s">
        <v>2074</v>
      </c>
      <c r="C610" s="358">
        <f>$B$2</f>
        <v>20180327</v>
      </c>
      <c r="D610" s="358">
        <f>$B$2</f>
        <v>20180327</v>
      </c>
      <c r="E610" s="358" t="str">
        <f>$F$5</f>
        <v>9999</v>
      </c>
      <c r="F610" s="358" t="s">
        <v>1676</v>
      </c>
      <c r="G610" s="189">
        <v>0</v>
      </c>
      <c r="H610" s="189">
        <v>0</v>
      </c>
      <c r="I610" s="189">
        <v>0</v>
      </c>
      <c r="J610" s="189">
        <v>0</v>
      </c>
      <c r="K610" s="189">
        <f>$B$2-1</f>
        <v>20180326</v>
      </c>
      <c r="L610" s="189">
        <v>7</v>
      </c>
      <c r="M610" s="189">
        <v>2</v>
      </c>
      <c r="N610" s="189">
        <v>2</v>
      </c>
      <c r="O610" s="189">
        <v>2</v>
      </c>
      <c r="P610" s="189">
        <v>1</v>
      </c>
      <c r="Q610" s="111" t="s">
        <v>1128</v>
      </c>
      <c r="R610" s="111">
        <f>$B$2</f>
        <v>20180327</v>
      </c>
      <c r="S610" s="205">
        <v>0.53385416666666663</v>
      </c>
      <c r="T610" s="205" t="s">
        <v>1128</v>
      </c>
      <c r="U610" s="111"/>
      <c r="V610" s="111"/>
      <c r="W610" s="167"/>
      <c r="X610" s="182"/>
      <c r="Y610" s="167"/>
      <c r="Z610" s="167"/>
      <c r="AA610" s="167"/>
      <c r="AB610" s="167"/>
      <c r="AC610" s="167"/>
      <c r="AD610" s="167"/>
      <c r="AE610" s="167"/>
      <c r="AF610" s="167"/>
      <c r="AG610" s="167"/>
      <c r="AH610" s="167"/>
      <c r="AI610" s="167"/>
      <c r="AJ610" s="167"/>
      <c r="AK610" s="167"/>
      <c r="AL610" s="167"/>
      <c r="AM610" s="6"/>
      <c r="AN610" s="6"/>
      <c r="AO610" s="6"/>
      <c r="AP610" s="6"/>
      <c r="AQ610" s="6"/>
      <c r="AR610" s="6"/>
    </row>
    <row r="611" spans="1:45" s="9" customFormat="1" ht="13.95" hidden="1" customHeight="1" x14ac:dyDescent="0.25">
      <c r="A611" s="323" t="s">
        <v>2074</v>
      </c>
      <c r="B611" s="361" t="s">
        <v>359</v>
      </c>
      <c r="C611" s="361" t="s">
        <v>1627</v>
      </c>
      <c r="D611" s="361"/>
      <c r="E611" s="361"/>
      <c r="F611" s="361"/>
    </row>
    <row r="612" spans="1:45" s="9" customFormat="1" ht="13.95" hidden="1" customHeight="1" x14ac:dyDescent="0.25">
      <c r="A612" s="323" t="s">
        <v>2074</v>
      </c>
      <c r="B612" s="369" t="s">
        <v>970</v>
      </c>
      <c r="C612" s="369" t="s">
        <v>1670</v>
      </c>
      <c r="D612" s="369"/>
      <c r="E612" s="361"/>
      <c r="F612" s="361"/>
    </row>
    <row r="613" spans="1:45" s="364" customFormat="1" ht="13.95" hidden="1" customHeight="1" x14ac:dyDescent="0.15">
      <c r="A613" s="323" t="s">
        <v>2074</v>
      </c>
      <c r="B613" s="361" t="s">
        <v>1628</v>
      </c>
      <c r="C613" s="704" t="s">
        <v>1582</v>
      </c>
      <c r="D613" s="705"/>
      <c r="E613" s="705"/>
      <c r="F613" s="705"/>
      <c r="G613" s="705"/>
      <c r="H613" s="705"/>
      <c r="I613" s="705"/>
      <c r="J613" s="705"/>
      <c r="K613" s="705"/>
      <c r="L613" s="705"/>
      <c r="M613" s="705"/>
      <c r="N613" s="705"/>
      <c r="O613" s="705"/>
      <c r="P613" s="705"/>
      <c r="Q613" s="705"/>
      <c r="R613" s="705"/>
      <c r="S613" s="708"/>
      <c r="T613" s="740" t="s">
        <v>1779</v>
      </c>
      <c r="U613" s="717" t="s">
        <v>1629</v>
      </c>
      <c r="V613" s="717" t="s">
        <v>1630</v>
      </c>
      <c r="W613" s="717" t="s">
        <v>1631</v>
      </c>
      <c r="X613" s="362"/>
      <c r="Y613" s="107"/>
      <c r="Z613" s="362"/>
      <c r="AA613" s="362"/>
      <c r="AB613" s="362"/>
      <c r="AC613" s="362"/>
      <c r="AD613" s="362"/>
      <c r="AE613" s="362"/>
      <c r="AF613" s="362"/>
      <c r="AG613" s="362"/>
      <c r="AH613" s="362"/>
      <c r="AI613" s="362"/>
      <c r="AJ613" s="362"/>
      <c r="AK613" s="362"/>
      <c r="AL613" s="362"/>
      <c r="AM613" s="362"/>
      <c r="AN613" s="363"/>
      <c r="AO613" s="363"/>
      <c r="AP613" s="363"/>
      <c r="AQ613" s="363"/>
      <c r="AR613" s="363"/>
      <c r="AS613" s="363"/>
    </row>
    <row r="614" spans="1:45" s="364" customFormat="1" ht="13.95" hidden="1" customHeight="1" x14ac:dyDescent="0.25">
      <c r="A614" s="323" t="s">
        <v>2074</v>
      </c>
      <c r="C614" s="365" t="s">
        <v>1632</v>
      </c>
      <c r="D614" s="365" t="s">
        <v>1633</v>
      </c>
      <c r="E614" s="365" t="s">
        <v>1634</v>
      </c>
      <c r="F614" s="365" t="s">
        <v>1635</v>
      </c>
      <c r="G614" s="366" t="s">
        <v>1636</v>
      </c>
      <c r="H614" s="366" t="s">
        <v>1637</v>
      </c>
      <c r="I614" s="366" t="s">
        <v>1638</v>
      </c>
      <c r="J614" s="366" t="s">
        <v>1639</v>
      </c>
      <c r="K614" s="366" t="s">
        <v>1640</v>
      </c>
      <c r="L614" s="366" t="s">
        <v>1641</v>
      </c>
      <c r="M614" s="366" t="s">
        <v>1642</v>
      </c>
      <c r="N614" s="366" t="s">
        <v>1643</v>
      </c>
      <c r="O614" s="366" t="s">
        <v>1644</v>
      </c>
      <c r="P614" s="366" t="s">
        <v>1645</v>
      </c>
      <c r="Q614" s="366" t="s">
        <v>1646</v>
      </c>
      <c r="R614" s="366" t="s">
        <v>1647</v>
      </c>
      <c r="S614" s="366" t="s">
        <v>1648</v>
      </c>
      <c r="T614" s="741"/>
      <c r="U614" s="718"/>
      <c r="V614" s="718"/>
      <c r="W614" s="718"/>
      <c r="X614" s="362"/>
      <c r="Y614" s="107"/>
      <c r="Z614" s="362"/>
      <c r="AA614" s="362"/>
      <c r="AB614" s="362"/>
      <c r="AC614" s="362"/>
      <c r="AD614" s="362"/>
      <c r="AE614" s="362"/>
      <c r="AF614" s="362"/>
      <c r="AG614" s="362"/>
      <c r="AH614" s="362"/>
      <c r="AI614" s="362"/>
      <c r="AJ614" s="362"/>
      <c r="AK614" s="362"/>
      <c r="AL614" s="362"/>
      <c r="AM614" s="362"/>
      <c r="AN614" s="363"/>
      <c r="AO614" s="363"/>
      <c r="AP614" s="363"/>
      <c r="AQ614" s="363"/>
      <c r="AR614" s="363"/>
      <c r="AS614" s="363"/>
    </row>
    <row r="615" spans="1:45" s="364" customFormat="1" ht="13.95" hidden="1" customHeight="1" x14ac:dyDescent="0.25">
      <c r="A615" s="323" t="s">
        <v>2074</v>
      </c>
      <c r="C615" s="365">
        <f>$B$2</f>
        <v>20180327</v>
      </c>
      <c r="D615" s="365">
        <f>$B$2</f>
        <v>20180327</v>
      </c>
      <c r="E615" s="365" t="str">
        <f>$F$5</f>
        <v>9999</v>
      </c>
      <c r="F615" s="365" t="s">
        <v>1676</v>
      </c>
      <c r="G615" s="366">
        <v>0</v>
      </c>
      <c r="H615" s="366">
        <v>0</v>
      </c>
      <c r="I615" s="366">
        <v>0</v>
      </c>
      <c r="J615" s="366">
        <v>0</v>
      </c>
      <c r="K615" s="366">
        <f>$B$2-1</f>
        <v>20180326</v>
      </c>
      <c r="L615" s="366">
        <v>7</v>
      </c>
      <c r="M615" s="366">
        <v>2</v>
      </c>
      <c r="N615" s="366">
        <v>2</v>
      </c>
      <c r="O615" s="366">
        <v>2</v>
      </c>
      <c r="P615" s="366">
        <v>1</v>
      </c>
      <c r="Q615" s="367" t="s">
        <v>1649</v>
      </c>
      <c r="R615" s="367">
        <f>$B$2</f>
        <v>20180327</v>
      </c>
      <c r="S615" s="368">
        <v>0.53385416666666663</v>
      </c>
      <c r="T615" s="387">
        <v>1</v>
      </c>
      <c r="U615" s="368" t="s">
        <v>1649</v>
      </c>
      <c r="V615" s="367"/>
      <c r="W615" s="367"/>
      <c r="X615" s="362"/>
      <c r="Y615" s="107"/>
      <c r="Z615" s="362"/>
      <c r="AA615" s="362"/>
      <c r="AB615" s="362"/>
      <c r="AC615" s="362"/>
      <c r="AD615" s="362"/>
      <c r="AE615" s="362"/>
      <c r="AF615" s="362"/>
      <c r="AG615" s="362"/>
      <c r="AH615" s="362"/>
      <c r="AI615" s="362"/>
      <c r="AJ615" s="362"/>
      <c r="AK615" s="362"/>
      <c r="AL615" s="362"/>
      <c r="AM615" s="362"/>
      <c r="AN615" s="363"/>
      <c r="AO615" s="363"/>
      <c r="AP615" s="363"/>
      <c r="AQ615" s="363"/>
      <c r="AR615" s="363"/>
      <c r="AS615" s="363"/>
    </row>
    <row r="616" spans="1:45" s="9" customFormat="1" ht="13.95" hidden="1" customHeight="1" x14ac:dyDescent="0.25">
      <c r="A616" s="323" t="s">
        <v>2074</v>
      </c>
      <c r="B616" s="361" t="s">
        <v>359</v>
      </c>
      <c r="C616" s="361" t="s">
        <v>1627</v>
      </c>
    </row>
    <row r="617" spans="1:45" s="9" customFormat="1" ht="13.95" hidden="1" customHeight="1" x14ac:dyDescent="0.25">
      <c r="A617" s="323" t="s">
        <v>2074</v>
      </c>
      <c r="B617" s="369" t="s">
        <v>970</v>
      </c>
      <c r="C617" s="369" t="s">
        <v>1671</v>
      </c>
      <c r="D617" s="44"/>
    </row>
    <row r="618" spans="1:45" s="364" customFormat="1" hidden="1" x14ac:dyDescent="0.15">
      <c r="A618" s="323" t="s">
        <v>2074</v>
      </c>
      <c r="B618" s="361" t="s">
        <v>1628</v>
      </c>
      <c r="C618" s="704" t="s">
        <v>1672</v>
      </c>
      <c r="D618" s="705"/>
      <c r="E618" s="705"/>
      <c r="F618" s="705"/>
      <c r="G618" s="705"/>
      <c r="H618" s="705"/>
      <c r="I618" s="705"/>
      <c r="J618" s="705"/>
      <c r="K618" s="705"/>
      <c r="L618" s="705"/>
      <c r="M618" s="705"/>
      <c r="N618" s="705"/>
      <c r="O618" s="705"/>
      <c r="P618" s="705"/>
      <c r="Q618" s="705"/>
      <c r="R618" s="705"/>
      <c r="S618" s="708"/>
      <c r="T618" s="717" t="s">
        <v>1650</v>
      </c>
      <c r="U618" s="717" t="s">
        <v>1651</v>
      </c>
      <c r="V618" s="717" t="s">
        <v>1652</v>
      </c>
      <c r="W618" s="362"/>
      <c r="X618" s="107"/>
      <c r="Y618" s="362"/>
      <c r="Z618" s="362"/>
      <c r="AA618" s="362"/>
      <c r="AB618" s="362"/>
      <c r="AC618" s="362"/>
      <c r="AD618" s="362"/>
      <c r="AE618" s="362"/>
      <c r="AF618" s="362"/>
      <c r="AG618" s="362"/>
      <c r="AH618" s="362"/>
      <c r="AI618" s="362"/>
      <c r="AJ618" s="362"/>
      <c r="AK618" s="362"/>
      <c r="AL618" s="362"/>
      <c r="AM618" s="363"/>
      <c r="AN618" s="363"/>
      <c r="AO618" s="363"/>
      <c r="AP618" s="363"/>
      <c r="AQ618" s="363"/>
      <c r="AR618" s="363"/>
    </row>
    <row r="619" spans="1:45" s="364" customFormat="1" hidden="1" x14ac:dyDescent="0.25">
      <c r="A619" s="323" t="s">
        <v>2074</v>
      </c>
      <c r="C619" s="365" t="s">
        <v>1653</v>
      </c>
      <c r="D619" s="365" t="s">
        <v>1654</v>
      </c>
      <c r="E619" s="365" t="s">
        <v>1655</v>
      </c>
      <c r="F619" s="365" t="s">
        <v>1656</v>
      </c>
      <c r="G619" s="366" t="s">
        <v>1657</v>
      </c>
      <c r="H619" s="366" t="s">
        <v>1658</v>
      </c>
      <c r="I619" s="366" t="s">
        <v>1659</v>
      </c>
      <c r="J619" s="366" t="s">
        <v>1660</v>
      </c>
      <c r="K619" s="366" t="s">
        <v>1661</v>
      </c>
      <c r="L619" s="366" t="s">
        <v>1662</v>
      </c>
      <c r="M619" s="366" t="s">
        <v>1663</v>
      </c>
      <c r="N619" s="366" t="s">
        <v>1664</v>
      </c>
      <c r="O619" s="366" t="s">
        <v>1665</v>
      </c>
      <c r="P619" s="366" t="s">
        <v>1666</v>
      </c>
      <c r="Q619" s="366" t="s">
        <v>1667</v>
      </c>
      <c r="R619" s="366" t="s">
        <v>1668</v>
      </c>
      <c r="S619" s="366" t="s">
        <v>1669</v>
      </c>
      <c r="T619" s="718"/>
      <c r="U619" s="718"/>
      <c r="V619" s="718"/>
      <c r="W619" s="362"/>
      <c r="X619" s="107"/>
      <c r="Y619" s="362"/>
      <c r="Z619" s="362"/>
      <c r="AA619" s="362"/>
      <c r="AB619" s="362"/>
      <c r="AC619" s="362"/>
      <c r="AD619" s="362"/>
      <c r="AE619" s="362"/>
      <c r="AF619" s="362"/>
      <c r="AG619" s="362"/>
      <c r="AH619" s="362"/>
      <c r="AI619" s="362"/>
      <c r="AJ619" s="362"/>
      <c r="AK619" s="362"/>
      <c r="AL619" s="362"/>
      <c r="AM619" s="363"/>
      <c r="AN619" s="363"/>
      <c r="AO619" s="363"/>
      <c r="AP619" s="363"/>
      <c r="AQ619" s="363"/>
      <c r="AR619" s="363"/>
    </row>
    <row r="620" spans="1:45" s="364" customFormat="1" hidden="1" x14ac:dyDescent="0.25">
      <c r="A620" s="323" t="s">
        <v>2074</v>
      </c>
      <c r="C620" s="365">
        <f>$B$2</f>
        <v>20180327</v>
      </c>
      <c r="D620" s="365">
        <f>$B$2</f>
        <v>20180327</v>
      </c>
      <c r="E620" s="365" t="str">
        <f>$F$5</f>
        <v>9999</v>
      </c>
      <c r="F620" s="365" t="s">
        <v>1676</v>
      </c>
      <c r="G620" s="366">
        <v>0</v>
      </c>
      <c r="H620" s="366">
        <v>0</v>
      </c>
      <c r="I620" s="366">
        <v>0</v>
      </c>
      <c r="J620" s="366">
        <v>0</v>
      </c>
      <c r="K620" s="366">
        <f>K615</f>
        <v>20180326</v>
      </c>
      <c r="L620" s="366">
        <v>7</v>
      </c>
      <c r="M620" s="366">
        <v>2</v>
      </c>
      <c r="N620" s="366">
        <v>2</v>
      </c>
      <c r="O620" s="366">
        <v>2</v>
      </c>
      <c r="P620" s="366">
        <v>1</v>
      </c>
      <c r="Q620" s="367" t="s">
        <v>1128</v>
      </c>
      <c r="R620" s="367">
        <f>$B$2</f>
        <v>20180327</v>
      </c>
      <c r="S620" s="368">
        <v>0.53385416666666663</v>
      </c>
      <c r="T620" s="368" t="s">
        <v>1128</v>
      </c>
      <c r="U620" s="367"/>
      <c r="V620" s="367"/>
      <c r="W620" s="362"/>
      <c r="X620" s="107"/>
      <c r="Y620" s="362"/>
      <c r="Z620" s="362"/>
      <c r="AA620" s="362"/>
      <c r="AB620" s="362"/>
      <c r="AC620" s="362"/>
      <c r="AD620" s="362"/>
      <c r="AE620" s="362"/>
      <c r="AF620" s="362"/>
      <c r="AG620" s="362"/>
      <c r="AH620" s="362"/>
      <c r="AI620" s="362"/>
      <c r="AJ620" s="362"/>
      <c r="AK620" s="362"/>
      <c r="AL620" s="362"/>
      <c r="AM620" s="363"/>
      <c r="AN620" s="363"/>
      <c r="AO620" s="363"/>
      <c r="AP620" s="363"/>
      <c r="AQ620" s="363"/>
      <c r="AR620" s="363"/>
    </row>
    <row r="621" spans="1:45" s="9" customFormat="1" ht="13.95" hidden="1" customHeight="1" x14ac:dyDescent="0.25">
      <c r="A621" s="323" t="s">
        <v>2074</v>
      </c>
      <c r="B621" s="361" t="s">
        <v>359</v>
      </c>
      <c r="C621" s="361" t="s">
        <v>1627</v>
      </c>
    </row>
    <row r="622" spans="1:45" s="9" customFormat="1" ht="13.95" hidden="1" customHeight="1" x14ac:dyDescent="0.25">
      <c r="A622" s="323" t="s">
        <v>2074</v>
      </c>
      <c r="B622" s="369" t="s">
        <v>970</v>
      </c>
      <c r="C622" s="369" t="s">
        <v>1762</v>
      </c>
      <c r="D622" s="44"/>
    </row>
    <row r="623" spans="1:45" s="364" customFormat="1" hidden="1" x14ac:dyDescent="0.15">
      <c r="A623" s="323" t="s">
        <v>2074</v>
      </c>
      <c r="B623" s="361" t="s">
        <v>306</v>
      </c>
      <c r="C623" s="704" t="s">
        <v>1763</v>
      </c>
      <c r="D623" s="705"/>
      <c r="E623" s="705"/>
      <c r="F623" s="705"/>
      <c r="G623" s="705"/>
      <c r="H623" s="705"/>
      <c r="I623" s="705"/>
      <c r="J623" s="705"/>
      <c r="K623" s="705"/>
      <c r="L623" s="705"/>
      <c r="M623" s="705"/>
      <c r="N623" s="705"/>
      <c r="O623" s="705"/>
      <c r="P623" s="705"/>
      <c r="Q623" s="705"/>
      <c r="R623" s="705"/>
      <c r="S623" s="708"/>
      <c r="T623" s="717" t="s">
        <v>1629</v>
      </c>
      <c r="U623" s="717" t="s">
        <v>1107</v>
      </c>
      <c r="V623" s="717" t="s">
        <v>1254</v>
      </c>
      <c r="W623" s="362"/>
      <c r="X623" s="107"/>
      <c r="Y623" s="362"/>
      <c r="Z623" s="362"/>
      <c r="AA623" s="362"/>
      <c r="AB623" s="362"/>
      <c r="AC623" s="362"/>
      <c r="AD623" s="362"/>
      <c r="AE623" s="362"/>
      <c r="AF623" s="362"/>
      <c r="AG623" s="362"/>
      <c r="AH623" s="362"/>
      <c r="AI623" s="362"/>
      <c r="AJ623" s="362"/>
      <c r="AK623" s="362"/>
      <c r="AL623" s="362"/>
      <c r="AM623" s="363"/>
      <c r="AN623" s="363"/>
      <c r="AO623" s="363"/>
      <c r="AP623" s="363"/>
      <c r="AQ623" s="363"/>
      <c r="AR623" s="363"/>
    </row>
    <row r="624" spans="1:45" s="364" customFormat="1" hidden="1" x14ac:dyDescent="0.25">
      <c r="A624" s="323" t="s">
        <v>2074</v>
      </c>
      <c r="C624" s="365" t="s">
        <v>1439</v>
      </c>
      <c r="D624" s="365" t="s">
        <v>1654</v>
      </c>
      <c r="E624" s="365" t="s">
        <v>1655</v>
      </c>
      <c r="F624" s="365" t="s">
        <v>1656</v>
      </c>
      <c r="G624" s="366" t="s">
        <v>1657</v>
      </c>
      <c r="H624" s="366" t="s">
        <v>1658</v>
      </c>
      <c r="I624" s="366" t="s">
        <v>1659</v>
      </c>
      <c r="J624" s="366" t="s">
        <v>1660</v>
      </c>
      <c r="K624" s="366" t="s">
        <v>1640</v>
      </c>
      <c r="L624" s="366" t="s">
        <v>1641</v>
      </c>
      <c r="M624" s="366" t="s">
        <v>1663</v>
      </c>
      <c r="N624" s="366" t="s">
        <v>1664</v>
      </c>
      <c r="O624" s="366" t="s">
        <v>1665</v>
      </c>
      <c r="P624" s="366" t="s">
        <v>1666</v>
      </c>
      <c r="Q624" s="366" t="s">
        <v>1147</v>
      </c>
      <c r="R624" s="366" t="s">
        <v>1227</v>
      </c>
      <c r="S624" s="366" t="s">
        <v>1648</v>
      </c>
      <c r="T624" s="718"/>
      <c r="U624" s="718"/>
      <c r="V624" s="718"/>
      <c r="W624" s="362"/>
      <c r="X624" s="107"/>
      <c r="Y624" s="362"/>
      <c r="Z624" s="362"/>
      <c r="AA624" s="362"/>
      <c r="AB624" s="362"/>
      <c r="AC624" s="362"/>
      <c r="AD624" s="362"/>
      <c r="AE624" s="362"/>
      <c r="AF624" s="362"/>
      <c r="AG624" s="362"/>
      <c r="AH624" s="362"/>
      <c r="AI624" s="362"/>
      <c r="AJ624" s="362"/>
      <c r="AK624" s="362"/>
      <c r="AL624" s="362"/>
      <c r="AM624" s="363"/>
      <c r="AN624" s="363"/>
      <c r="AO624" s="363"/>
      <c r="AP624" s="363"/>
      <c r="AQ624" s="363"/>
      <c r="AR624" s="363"/>
    </row>
    <row r="625" spans="1:45" s="364" customFormat="1" hidden="1" x14ac:dyDescent="0.25">
      <c r="A625" s="323" t="s">
        <v>2074</v>
      </c>
      <c r="C625" s="365">
        <f>$B$2</f>
        <v>20180327</v>
      </c>
      <c r="D625" s="365">
        <f>$B$2</f>
        <v>20180327</v>
      </c>
      <c r="E625" s="365" t="str">
        <f>$F$5</f>
        <v>9999</v>
      </c>
      <c r="F625" s="365" t="s">
        <v>1705</v>
      </c>
      <c r="G625" s="366">
        <v>0</v>
      </c>
      <c r="H625" s="366">
        <v>0</v>
      </c>
      <c r="I625" s="366">
        <v>0</v>
      </c>
      <c r="J625" s="366">
        <v>0</v>
      </c>
      <c r="K625" s="366">
        <f>$B$2-1</f>
        <v>20180326</v>
      </c>
      <c r="L625" s="366">
        <v>7</v>
      </c>
      <c r="M625" s="366">
        <v>2</v>
      </c>
      <c r="N625" s="366">
        <v>2</v>
      </c>
      <c r="O625" s="366">
        <v>2</v>
      </c>
      <c r="P625" s="366">
        <v>1</v>
      </c>
      <c r="Q625" s="367" t="s">
        <v>1128</v>
      </c>
      <c r="R625" s="367">
        <f>$B$2</f>
        <v>20180327</v>
      </c>
      <c r="S625" s="368">
        <v>0.53385416666666663</v>
      </c>
      <c r="T625" s="368" t="s">
        <v>1128</v>
      </c>
      <c r="U625" s="367"/>
      <c r="V625" s="367"/>
      <c r="W625" s="362"/>
      <c r="X625" s="107"/>
      <c r="Y625" s="362"/>
      <c r="Z625" s="362"/>
      <c r="AA625" s="362"/>
      <c r="AB625" s="362"/>
      <c r="AC625" s="362"/>
      <c r="AD625" s="362"/>
      <c r="AE625" s="362"/>
      <c r="AF625" s="362"/>
      <c r="AG625" s="362"/>
      <c r="AH625" s="362"/>
      <c r="AI625" s="362"/>
      <c r="AJ625" s="362"/>
      <c r="AK625" s="362"/>
      <c r="AL625" s="362"/>
      <c r="AM625" s="363"/>
      <c r="AN625" s="363"/>
      <c r="AO625" s="363"/>
      <c r="AP625" s="363"/>
      <c r="AQ625" s="363"/>
      <c r="AR625" s="363"/>
    </row>
    <row r="626" spans="1:45" hidden="1" x14ac:dyDescent="0.25">
      <c r="A626" s="323" t="s">
        <v>2074</v>
      </c>
      <c r="B626" t="s">
        <v>1674</v>
      </c>
      <c r="C626" s="323" t="s">
        <v>1677</v>
      </c>
      <c r="D626" s="323"/>
      <c r="E626" s="323"/>
      <c r="F626" s="323"/>
      <c r="G626" s="188"/>
      <c r="H626" s="188"/>
      <c r="I626" s="188"/>
      <c r="J626" s="188"/>
      <c r="K626" s="188"/>
      <c r="L626" s="188"/>
      <c r="M626" s="188"/>
      <c r="N626" s="188"/>
      <c r="O626" s="188"/>
      <c r="P626" s="188"/>
      <c r="Q626" s="167"/>
      <c r="R626" s="167"/>
      <c r="S626" s="338"/>
      <c r="T626" s="338"/>
      <c r="U626" s="167"/>
      <c r="V626" s="167"/>
      <c r="W626" s="167"/>
      <c r="X626" s="182"/>
      <c r="Y626" s="167"/>
      <c r="Z626" s="167"/>
      <c r="AA626" s="167"/>
      <c r="AB626" s="167"/>
      <c r="AC626" s="167"/>
      <c r="AD626" s="167"/>
      <c r="AE626" s="167"/>
      <c r="AF626" s="167"/>
      <c r="AG626" s="167"/>
      <c r="AH626" s="167"/>
      <c r="AI626" s="167"/>
      <c r="AJ626" s="167"/>
      <c r="AK626" s="167"/>
      <c r="AL626" s="167"/>
      <c r="AM626" s="6"/>
      <c r="AN626" s="6"/>
      <c r="AO626" s="6"/>
      <c r="AP626" s="6"/>
      <c r="AQ626" s="6"/>
      <c r="AR626" s="6"/>
    </row>
    <row r="627" spans="1:45" ht="13.95" hidden="1" customHeight="1" x14ac:dyDescent="0.25">
      <c r="A627" s="323" t="s">
        <v>2074</v>
      </c>
      <c r="B627" s="4" t="s">
        <v>124</v>
      </c>
      <c r="C627" s="203" t="s">
        <v>1251</v>
      </c>
      <c r="D627" s="204"/>
      <c r="E627" s="204"/>
      <c r="F627" s="204"/>
      <c r="G627" s="188"/>
      <c r="H627" s="188"/>
      <c r="I627" s="188"/>
      <c r="J627" s="188"/>
      <c r="K627" s="188"/>
      <c r="L627" s="188"/>
      <c r="M627" s="188"/>
      <c r="N627" s="188"/>
      <c r="O627" s="167"/>
      <c r="P627" s="167"/>
      <c r="Q627" s="167"/>
      <c r="R627" s="167"/>
      <c r="S627" s="167"/>
      <c r="T627" s="167"/>
      <c r="U627" s="167"/>
      <c r="V627" s="167"/>
      <c r="W627" s="182"/>
      <c r="X627" s="167"/>
      <c r="Y627" s="167"/>
      <c r="Z627" s="167"/>
      <c r="AA627" s="167"/>
      <c r="AB627" s="167"/>
      <c r="AC627" s="167"/>
      <c r="AD627" s="167"/>
      <c r="AE627" s="167"/>
      <c r="AF627" s="167"/>
      <c r="AG627" s="167"/>
      <c r="AH627" s="167"/>
      <c r="AI627" s="167"/>
      <c r="AJ627" s="167"/>
      <c r="AK627" s="167"/>
      <c r="AL627" s="6"/>
      <c r="AM627" s="6"/>
      <c r="AN627" s="6"/>
      <c r="AO627" s="6"/>
      <c r="AP627" s="6"/>
      <c r="AQ627" s="6"/>
    </row>
    <row r="628" spans="1:45" ht="13.95" hidden="1" customHeight="1" x14ac:dyDescent="0.25">
      <c r="A628" s="323" t="s">
        <v>2074</v>
      </c>
      <c r="B628" s="4" t="s">
        <v>306</v>
      </c>
      <c r="C628" s="704" t="s">
        <v>1583</v>
      </c>
      <c r="D628" s="705"/>
      <c r="E628" s="705"/>
      <c r="F628" s="705"/>
      <c r="G628" s="705"/>
      <c r="H628" s="705"/>
      <c r="I628" s="705"/>
      <c r="J628" s="705"/>
      <c r="K628" s="705"/>
      <c r="L628" s="705"/>
      <c r="M628" s="705"/>
      <c r="N628" s="705"/>
      <c r="O628" s="705"/>
      <c r="P628" s="705"/>
      <c r="Q628" s="705"/>
      <c r="R628" s="705"/>
      <c r="S628" s="708"/>
      <c r="T628" s="712" t="s">
        <v>1126</v>
      </c>
      <c r="U628" s="712" t="s">
        <v>1107</v>
      </c>
      <c r="V628" s="712" t="s">
        <v>1108</v>
      </c>
      <c r="W628" s="167"/>
      <c r="X628" s="182"/>
      <c r="Y628" s="167"/>
      <c r="Z628" s="167"/>
      <c r="AA628" s="167"/>
      <c r="AB628" s="167"/>
      <c r="AC628" s="167"/>
      <c r="AD628" s="167"/>
      <c r="AE628" s="167"/>
      <c r="AF628" s="167"/>
      <c r="AG628" s="167"/>
      <c r="AH628" s="167"/>
      <c r="AI628" s="167"/>
      <c r="AJ628" s="167"/>
      <c r="AK628" s="167"/>
      <c r="AL628" s="167"/>
      <c r="AM628" s="6"/>
      <c r="AN628" s="6"/>
      <c r="AO628" s="6"/>
      <c r="AP628" s="6"/>
      <c r="AQ628" s="6"/>
      <c r="AR628" s="6"/>
    </row>
    <row r="629" spans="1:45" ht="13.95" hidden="1" customHeight="1" x14ac:dyDescent="0.25">
      <c r="A629" s="323" t="s">
        <v>2074</v>
      </c>
      <c r="C629" s="358" t="s">
        <v>1111</v>
      </c>
      <c r="D629" s="358" t="s">
        <v>1217</v>
      </c>
      <c r="E629" s="358" t="s">
        <v>1134</v>
      </c>
      <c r="F629" s="358" t="s">
        <v>1117</v>
      </c>
      <c r="G629" s="189" t="s">
        <v>1218</v>
      </c>
      <c r="H629" s="189" t="s">
        <v>1219</v>
      </c>
      <c r="I629" s="189" t="s">
        <v>1220</v>
      </c>
      <c r="J629" s="189" t="s">
        <v>1221</v>
      </c>
      <c r="K629" s="189" t="s">
        <v>1222</v>
      </c>
      <c r="L629" s="189" t="s">
        <v>1756</v>
      </c>
      <c r="M629" s="189" t="s">
        <v>1223</v>
      </c>
      <c r="N629" s="189" t="s">
        <v>1224</v>
      </c>
      <c r="O629" s="189" t="s">
        <v>1225</v>
      </c>
      <c r="P629" s="189" t="s">
        <v>1226</v>
      </c>
      <c r="Q629" s="189" t="s">
        <v>1147</v>
      </c>
      <c r="R629" s="189" t="s">
        <v>1227</v>
      </c>
      <c r="S629" s="189" t="s">
        <v>1228</v>
      </c>
      <c r="T629" s="713"/>
      <c r="U629" s="713"/>
      <c r="V629" s="713"/>
      <c r="W629" s="167"/>
      <c r="X629" s="182"/>
      <c r="Y629" s="167"/>
      <c r="Z629" s="167"/>
      <c r="AA629" s="167"/>
      <c r="AB629" s="167"/>
      <c r="AC629" s="167"/>
      <c r="AD629" s="167"/>
      <c r="AE629" s="167"/>
      <c r="AF629" s="167"/>
      <c r="AG629" s="167"/>
      <c r="AH629" s="167"/>
      <c r="AI629" s="167"/>
      <c r="AJ629" s="167"/>
      <c r="AK629" s="167"/>
      <c r="AL629" s="167"/>
      <c r="AM629" s="6"/>
      <c r="AN629" s="6"/>
      <c r="AO629" s="6"/>
      <c r="AP629" s="6"/>
      <c r="AQ629" s="6"/>
      <c r="AR629" s="6"/>
    </row>
    <row r="630" spans="1:45" ht="13.95" hidden="1" customHeight="1" x14ac:dyDescent="0.25">
      <c r="A630" s="323" t="s">
        <v>2074</v>
      </c>
      <c r="C630" s="358">
        <f>$B$2</f>
        <v>20180327</v>
      </c>
      <c r="D630" s="358">
        <f>$B$2</f>
        <v>20180327</v>
      </c>
      <c r="E630" s="358" t="str">
        <f>$F$5</f>
        <v>9999</v>
      </c>
      <c r="F630" s="358" t="s">
        <v>1678</v>
      </c>
      <c r="G630" s="189">
        <v>0</v>
      </c>
      <c r="H630" s="189">
        <v>0</v>
      </c>
      <c r="I630" s="189">
        <v>0</v>
      </c>
      <c r="J630" s="189">
        <v>0</v>
      </c>
      <c r="K630" s="189">
        <f>$B$2-1</f>
        <v>20180326</v>
      </c>
      <c r="L630" s="189">
        <v>7</v>
      </c>
      <c r="M630" s="189">
        <v>2</v>
      </c>
      <c r="N630" s="189">
        <v>2</v>
      </c>
      <c r="O630" s="189">
        <v>2</v>
      </c>
      <c r="P630" s="189">
        <v>1</v>
      </c>
      <c r="Q630" s="111" t="s">
        <v>1128</v>
      </c>
      <c r="R630" s="111">
        <f>$B$2</f>
        <v>20180327</v>
      </c>
      <c r="S630" s="205">
        <v>0.53385416666666663</v>
      </c>
      <c r="T630" s="205" t="s">
        <v>1128</v>
      </c>
      <c r="U630" s="111"/>
      <c r="V630" s="111"/>
      <c r="W630" s="167"/>
      <c r="X630" s="182"/>
      <c r="Y630" s="167"/>
      <c r="Z630" s="167"/>
      <c r="AA630" s="167"/>
      <c r="AB630" s="167"/>
      <c r="AC630" s="167"/>
      <c r="AD630" s="167"/>
      <c r="AE630" s="167"/>
      <c r="AF630" s="167"/>
      <c r="AG630" s="167"/>
      <c r="AH630" s="167"/>
      <c r="AI630" s="167"/>
      <c r="AJ630" s="167"/>
      <c r="AK630" s="167"/>
      <c r="AL630" s="167"/>
      <c r="AM630" s="6"/>
      <c r="AN630" s="6"/>
      <c r="AO630" s="6"/>
      <c r="AP630" s="6"/>
      <c r="AQ630" s="6"/>
      <c r="AR630" s="6"/>
    </row>
    <row r="631" spans="1:45" s="9" customFormat="1" ht="13.95" hidden="1" customHeight="1" x14ac:dyDescent="0.25">
      <c r="A631" s="323" t="s">
        <v>2074</v>
      </c>
      <c r="B631" s="361" t="s">
        <v>359</v>
      </c>
      <c r="C631" s="361" t="s">
        <v>1627</v>
      </c>
      <c r="D631" s="361"/>
      <c r="E631" s="361"/>
      <c r="F631" s="361"/>
    </row>
    <row r="632" spans="1:45" s="9" customFormat="1" ht="13.95" hidden="1" customHeight="1" x14ac:dyDescent="0.25">
      <c r="A632" s="323" t="s">
        <v>2074</v>
      </c>
      <c r="B632" s="369" t="s">
        <v>970</v>
      </c>
      <c r="C632" s="369" t="s">
        <v>1670</v>
      </c>
      <c r="D632" s="369"/>
      <c r="E632" s="361"/>
      <c r="F632" s="361"/>
    </row>
    <row r="633" spans="1:45" s="364" customFormat="1" ht="13.95" hidden="1" customHeight="1" x14ac:dyDescent="0.15">
      <c r="A633" s="323" t="s">
        <v>2074</v>
      </c>
      <c r="B633" s="361" t="s">
        <v>1628</v>
      </c>
      <c r="C633" s="704" t="s">
        <v>1582</v>
      </c>
      <c r="D633" s="705"/>
      <c r="E633" s="705"/>
      <c r="F633" s="705"/>
      <c r="G633" s="705"/>
      <c r="H633" s="705"/>
      <c r="I633" s="705"/>
      <c r="J633" s="705"/>
      <c r="K633" s="705"/>
      <c r="L633" s="705"/>
      <c r="M633" s="705"/>
      <c r="N633" s="705"/>
      <c r="O633" s="705"/>
      <c r="P633" s="705"/>
      <c r="Q633" s="705"/>
      <c r="R633" s="705"/>
      <c r="S633" s="708"/>
      <c r="T633" s="740" t="s">
        <v>1779</v>
      </c>
      <c r="U633" s="717" t="s">
        <v>1629</v>
      </c>
      <c r="V633" s="717" t="s">
        <v>1630</v>
      </c>
      <c r="W633" s="717" t="s">
        <v>1631</v>
      </c>
      <c r="X633" s="362"/>
      <c r="Y633" s="107"/>
      <c r="Z633" s="362"/>
      <c r="AA633" s="362"/>
      <c r="AB633" s="362"/>
      <c r="AC633" s="362"/>
      <c r="AD633" s="362"/>
      <c r="AE633" s="362"/>
      <c r="AF633" s="362"/>
      <c r="AG633" s="362"/>
      <c r="AH633" s="362"/>
      <c r="AI633" s="362"/>
      <c r="AJ633" s="362"/>
      <c r="AK633" s="362"/>
      <c r="AL633" s="362"/>
      <c r="AM633" s="362"/>
      <c r="AN633" s="363"/>
      <c r="AO633" s="363"/>
      <c r="AP633" s="363"/>
      <c r="AQ633" s="363"/>
      <c r="AR633" s="363"/>
      <c r="AS633" s="363"/>
    </row>
    <row r="634" spans="1:45" s="364" customFormat="1" ht="13.95" hidden="1" customHeight="1" x14ac:dyDescent="0.25">
      <c r="A634" s="323" t="s">
        <v>2074</v>
      </c>
      <c r="C634" s="365" t="s">
        <v>1632</v>
      </c>
      <c r="D634" s="365" t="s">
        <v>1633</v>
      </c>
      <c r="E634" s="365" t="s">
        <v>1634</v>
      </c>
      <c r="F634" s="365" t="s">
        <v>1635</v>
      </c>
      <c r="G634" s="366" t="s">
        <v>1636</v>
      </c>
      <c r="H634" s="366" t="s">
        <v>1637</v>
      </c>
      <c r="I634" s="366" t="s">
        <v>1638</v>
      </c>
      <c r="J634" s="366" t="s">
        <v>1639</v>
      </c>
      <c r="K634" s="366" t="s">
        <v>1640</v>
      </c>
      <c r="L634" s="366" t="s">
        <v>1641</v>
      </c>
      <c r="M634" s="366" t="s">
        <v>1642</v>
      </c>
      <c r="N634" s="366" t="s">
        <v>1643</v>
      </c>
      <c r="O634" s="366" t="s">
        <v>1644</v>
      </c>
      <c r="P634" s="366" t="s">
        <v>1645</v>
      </c>
      <c r="Q634" s="366" t="s">
        <v>1646</v>
      </c>
      <c r="R634" s="366" t="s">
        <v>1647</v>
      </c>
      <c r="S634" s="366" t="s">
        <v>1648</v>
      </c>
      <c r="T634" s="741"/>
      <c r="U634" s="718"/>
      <c r="V634" s="718"/>
      <c r="W634" s="718"/>
      <c r="X634" s="362"/>
      <c r="Y634" s="107"/>
      <c r="Z634" s="362"/>
      <c r="AA634" s="362"/>
      <c r="AB634" s="362"/>
      <c r="AC634" s="362"/>
      <c r="AD634" s="362"/>
      <c r="AE634" s="362"/>
      <c r="AF634" s="362"/>
      <c r="AG634" s="362"/>
      <c r="AH634" s="362"/>
      <c r="AI634" s="362"/>
      <c r="AJ634" s="362"/>
      <c r="AK634" s="362"/>
      <c r="AL634" s="362"/>
      <c r="AM634" s="362"/>
      <c r="AN634" s="363"/>
      <c r="AO634" s="363"/>
      <c r="AP634" s="363"/>
      <c r="AQ634" s="363"/>
      <c r="AR634" s="363"/>
      <c r="AS634" s="363"/>
    </row>
    <row r="635" spans="1:45" s="364" customFormat="1" ht="13.95" hidden="1" customHeight="1" x14ac:dyDescent="0.25">
      <c r="A635" s="323" t="s">
        <v>2074</v>
      </c>
      <c r="C635" s="365">
        <f>$B$2</f>
        <v>20180327</v>
      </c>
      <c r="D635" s="365">
        <f>$B$2</f>
        <v>20180327</v>
      </c>
      <c r="E635" s="365" t="str">
        <f>$F$5</f>
        <v>9999</v>
      </c>
      <c r="F635" s="365" t="s">
        <v>1678</v>
      </c>
      <c r="G635" s="366">
        <v>0</v>
      </c>
      <c r="H635" s="366">
        <v>0</v>
      </c>
      <c r="I635" s="366">
        <v>0</v>
      </c>
      <c r="J635" s="366">
        <v>0</v>
      </c>
      <c r="K635" s="366">
        <f>$B$2-1</f>
        <v>20180326</v>
      </c>
      <c r="L635" s="366">
        <v>7</v>
      </c>
      <c r="M635" s="366">
        <v>2</v>
      </c>
      <c r="N635" s="366">
        <v>2</v>
      </c>
      <c r="O635" s="366">
        <v>2</v>
      </c>
      <c r="P635" s="366">
        <v>1</v>
      </c>
      <c r="Q635" s="367" t="s">
        <v>1649</v>
      </c>
      <c r="R635" s="367">
        <f>$B$2</f>
        <v>20180327</v>
      </c>
      <c r="S635" s="368">
        <v>0.53385416666666663</v>
      </c>
      <c r="T635" s="387">
        <v>1</v>
      </c>
      <c r="U635" s="368" t="s">
        <v>1649</v>
      </c>
      <c r="V635" s="367"/>
      <c r="W635" s="367"/>
      <c r="X635" s="362"/>
      <c r="Y635" s="107"/>
      <c r="Z635" s="362"/>
      <c r="AA635" s="362"/>
      <c r="AB635" s="362"/>
      <c r="AC635" s="362"/>
      <c r="AD635" s="362"/>
      <c r="AE635" s="362"/>
      <c r="AF635" s="362"/>
      <c r="AG635" s="362"/>
      <c r="AH635" s="362"/>
      <c r="AI635" s="362"/>
      <c r="AJ635" s="362"/>
      <c r="AK635" s="362"/>
      <c r="AL635" s="362"/>
      <c r="AM635" s="362"/>
      <c r="AN635" s="363"/>
      <c r="AO635" s="363"/>
      <c r="AP635" s="363"/>
      <c r="AQ635" s="363"/>
      <c r="AR635" s="363"/>
      <c r="AS635" s="363"/>
    </row>
    <row r="636" spans="1:45" s="9" customFormat="1" ht="13.95" hidden="1" customHeight="1" x14ac:dyDescent="0.25">
      <c r="A636" s="323" t="s">
        <v>2074</v>
      </c>
      <c r="B636" s="361" t="s">
        <v>359</v>
      </c>
      <c r="C636" s="361" t="s">
        <v>1627</v>
      </c>
    </row>
    <row r="637" spans="1:45" s="9" customFormat="1" ht="13.95" hidden="1" customHeight="1" x14ac:dyDescent="0.25">
      <c r="A637" s="323" t="s">
        <v>2074</v>
      </c>
      <c r="B637" s="369" t="s">
        <v>970</v>
      </c>
      <c r="C637" s="369" t="s">
        <v>1671</v>
      </c>
      <c r="D637" s="44"/>
    </row>
    <row r="638" spans="1:45" s="364" customFormat="1" hidden="1" x14ac:dyDescent="0.15">
      <c r="A638" s="323" t="s">
        <v>2074</v>
      </c>
      <c r="B638" s="361" t="s">
        <v>1628</v>
      </c>
      <c r="C638" s="704" t="s">
        <v>1672</v>
      </c>
      <c r="D638" s="705"/>
      <c r="E638" s="705"/>
      <c r="F638" s="705"/>
      <c r="G638" s="705"/>
      <c r="H638" s="705"/>
      <c r="I638" s="705"/>
      <c r="J638" s="705"/>
      <c r="K638" s="705"/>
      <c r="L638" s="705"/>
      <c r="M638" s="705"/>
      <c r="N638" s="705"/>
      <c r="O638" s="705"/>
      <c r="P638" s="705"/>
      <c r="Q638" s="705"/>
      <c r="R638" s="705"/>
      <c r="S638" s="708"/>
      <c r="T638" s="717" t="s">
        <v>1650</v>
      </c>
      <c r="U638" s="717" t="s">
        <v>1651</v>
      </c>
      <c r="V638" s="717" t="s">
        <v>1652</v>
      </c>
      <c r="W638" s="362"/>
      <c r="X638" s="107"/>
      <c r="Y638" s="362"/>
      <c r="Z638" s="362"/>
      <c r="AA638" s="362"/>
      <c r="AB638" s="362"/>
      <c r="AC638" s="362"/>
      <c r="AD638" s="362"/>
      <c r="AE638" s="362"/>
      <c r="AF638" s="362"/>
      <c r="AG638" s="362"/>
      <c r="AH638" s="362"/>
      <c r="AI638" s="362"/>
      <c r="AJ638" s="362"/>
      <c r="AK638" s="362"/>
      <c r="AL638" s="362"/>
      <c r="AM638" s="363"/>
      <c r="AN638" s="363"/>
      <c r="AO638" s="363"/>
      <c r="AP638" s="363"/>
      <c r="AQ638" s="363"/>
      <c r="AR638" s="363"/>
    </row>
    <row r="639" spans="1:45" s="364" customFormat="1" hidden="1" x14ac:dyDescent="0.25">
      <c r="A639" s="323" t="s">
        <v>2074</v>
      </c>
      <c r="C639" s="365" t="s">
        <v>1653</v>
      </c>
      <c r="D639" s="365" t="s">
        <v>1654</v>
      </c>
      <c r="E639" s="365" t="s">
        <v>1655</v>
      </c>
      <c r="F639" s="365" t="s">
        <v>1656</v>
      </c>
      <c r="G639" s="366" t="s">
        <v>1657</v>
      </c>
      <c r="H639" s="366" t="s">
        <v>1658</v>
      </c>
      <c r="I639" s="366" t="s">
        <v>1659</v>
      </c>
      <c r="J639" s="366" t="s">
        <v>1660</v>
      </c>
      <c r="K639" s="366" t="s">
        <v>1661</v>
      </c>
      <c r="L639" s="366" t="s">
        <v>1662</v>
      </c>
      <c r="M639" s="366" t="s">
        <v>1663</v>
      </c>
      <c r="N639" s="366" t="s">
        <v>1664</v>
      </c>
      <c r="O639" s="366" t="s">
        <v>1665</v>
      </c>
      <c r="P639" s="366" t="s">
        <v>1666</v>
      </c>
      <c r="Q639" s="366" t="s">
        <v>1667</v>
      </c>
      <c r="R639" s="366" t="s">
        <v>1668</v>
      </c>
      <c r="S639" s="366" t="s">
        <v>1669</v>
      </c>
      <c r="T639" s="718"/>
      <c r="U639" s="718"/>
      <c r="V639" s="718"/>
      <c r="W639" s="362"/>
      <c r="X639" s="107"/>
      <c r="Y639" s="362"/>
      <c r="Z639" s="362"/>
      <c r="AA639" s="362"/>
      <c r="AB639" s="362"/>
      <c r="AC639" s="362"/>
      <c r="AD639" s="362"/>
      <c r="AE639" s="362"/>
      <c r="AF639" s="362"/>
      <c r="AG639" s="362"/>
      <c r="AH639" s="362"/>
      <c r="AI639" s="362"/>
      <c r="AJ639" s="362"/>
      <c r="AK639" s="362"/>
      <c r="AL639" s="362"/>
      <c r="AM639" s="363"/>
      <c r="AN639" s="363"/>
      <c r="AO639" s="363"/>
      <c r="AP639" s="363"/>
      <c r="AQ639" s="363"/>
      <c r="AR639" s="363"/>
    </row>
    <row r="640" spans="1:45" s="364" customFormat="1" hidden="1" x14ac:dyDescent="0.25">
      <c r="A640" s="323" t="s">
        <v>2074</v>
      </c>
      <c r="C640" s="365">
        <f>$B$2</f>
        <v>20180327</v>
      </c>
      <c r="D640" s="365">
        <f>$B$2</f>
        <v>20180327</v>
      </c>
      <c r="E640" s="365" t="str">
        <f>$F$5</f>
        <v>9999</v>
      </c>
      <c r="F640" s="365" t="s">
        <v>1678</v>
      </c>
      <c r="G640" s="366">
        <v>0</v>
      </c>
      <c r="H640" s="366">
        <v>0</v>
      </c>
      <c r="I640" s="366">
        <v>0</v>
      </c>
      <c r="J640" s="366">
        <v>0</v>
      </c>
      <c r="K640" s="366">
        <f>K635</f>
        <v>20180326</v>
      </c>
      <c r="L640" s="366">
        <v>7</v>
      </c>
      <c r="M640" s="366">
        <v>2</v>
      </c>
      <c r="N640" s="366">
        <v>2</v>
      </c>
      <c r="O640" s="366">
        <v>2</v>
      </c>
      <c r="P640" s="366">
        <v>1</v>
      </c>
      <c r="Q640" s="367" t="s">
        <v>1128</v>
      </c>
      <c r="R640" s="367">
        <f>$B$2</f>
        <v>20180327</v>
      </c>
      <c r="S640" s="368">
        <v>0.53385416666666663</v>
      </c>
      <c r="T640" s="368" t="s">
        <v>1128</v>
      </c>
      <c r="U640" s="367"/>
      <c r="V640" s="367"/>
      <c r="W640" s="362"/>
      <c r="X640" s="107"/>
      <c r="Y640" s="362"/>
      <c r="Z640" s="362"/>
      <c r="AA640" s="362"/>
      <c r="AB640" s="362"/>
      <c r="AC640" s="362"/>
      <c r="AD640" s="362"/>
      <c r="AE640" s="362"/>
      <c r="AF640" s="362"/>
      <c r="AG640" s="362"/>
      <c r="AH640" s="362"/>
      <c r="AI640" s="362"/>
      <c r="AJ640" s="362"/>
      <c r="AK640" s="362"/>
      <c r="AL640" s="362"/>
      <c r="AM640" s="363"/>
      <c r="AN640" s="363"/>
      <c r="AO640" s="363"/>
      <c r="AP640" s="363"/>
      <c r="AQ640" s="363"/>
      <c r="AR640" s="363"/>
    </row>
    <row r="641" spans="1:45" s="9" customFormat="1" ht="13.95" hidden="1" customHeight="1" x14ac:dyDescent="0.25">
      <c r="A641" s="323" t="s">
        <v>2074</v>
      </c>
      <c r="B641" s="361" t="s">
        <v>359</v>
      </c>
      <c r="C641" s="361" t="s">
        <v>1627</v>
      </c>
    </row>
    <row r="642" spans="1:45" s="9" customFormat="1" ht="13.95" hidden="1" customHeight="1" x14ac:dyDescent="0.25">
      <c r="A642" s="323" t="s">
        <v>2074</v>
      </c>
      <c r="B642" s="369" t="s">
        <v>970</v>
      </c>
      <c r="C642" s="369" t="s">
        <v>1762</v>
      </c>
      <c r="D642" s="44"/>
    </row>
    <row r="643" spans="1:45" s="364" customFormat="1" hidden="1" x14ac:dyDescent="0.15">
      <c r="A643" s="323" t="s">
        <v>2074</v>
      </c>
      <c r="B643" s="361" t="s">
        <v>306</v>
      </c>
      <c r="C643" s="704" t="s">
        <v>1763</v>
      </c>
      <c r="D643" s="705"/>
      <c r="E643" s="705"/>
      <c r="F643" s="705"/>
      <c r="G643" s="705"/>
      <c r="H643" s="705"/>
      <c r="I643" s="705"/>
      <c r="J643" s="705"/>
      <c r="K643" s="705"/>
      <c r="L643" s="705"/>
      <c r="M643" s="705"/>
      <c r="N643" s="705"/>
      <c r="O643" s="705"/>
      <c r="P643" s="705"/>
      <c r="Q643" s="705"/>
      <c r="R643" s="705"/>
      <c r="S643" s="708"/>
      <c r="T643" s="717" t="s">
        <v>1629</v>
      </c>
      <c r="U643" s="717" t="s">
        <v>1107</v>
      </c>
      <c r="V643" s="717" t="s">
        <v>1254</v>
      </c>
      <c r="W643" s="362"/>
      <c r="X643" s="107"/>
      <c r="Y643" s="362"/>
      <c r="Z643" s="362"/>
      <c r="AA643" s="362"/>
      <c r="AB643" s="362"/>
      <c r="AC643" s="362"/>
      <c r="AD643" s="362"/>
      <c r="AE643" s="362"/>
      <c r="AF643" s="362"/>
      <c r="AG643" s="362"/>
      <c r="AH643" s="362"/>
      <c r="AI643" s="362"/>
      <c r="AJ643" s="362"/>
      <c r="AK643" s="362"/>
      <c r="AL643" s="362"/>
      <c r="AM643" s="363"/>
      <c r="AN643" s="363"/>
      <c r="AO643" s="363"/>
      <c r="AP643" s="363"/>
      <c r="AQ643" s="363"/>
      <c r="AR643" s="363"/>
    </row>
    <row r="644" spans="1:45" s="364" customFormat="1" hidden="1" x14ac:dyDescent="0.25">
      <c r="A644" s="323" t="s">
        <v>2074</v>
      </c>
      <c r="C644" s="365" t="s">
        <v>1439</v>
      </c>
      <c r="D644" s="365" t="s">
        <v>1654</v>
      </c>
      <c r="E644" s="365" t="s">
        <v>1655</v>
      </c>
      <c r="F644" s="365" t="s">
        <v>1656</v>
      </c>
      <c r="G644" s="366" t="s">
        <v>1657</v>
      </c>
      <c r="H644" s="366" t="s">
        <v>1658</v>
      </c>
      <c r="I644" s="366" t="s">
        <v>1659</v>
      </c>
      <c r="J644" s="366" t="s">
        <v>1660</v>
      </c>
      <c r="K644" s="366" t="s">
        <v>1640</v>
      </c>
      <c r="L644" s="366" t="s">
        <v>1641</v>
      </c>
      <c r="M644" s="366" t="s">
        <v>1663</v>
      </c>
      <c r="N644" s="366" t="s">
        <v>1664</v>
      </c>
      <c r="O644" s="366" t="s">
        <v>1665</v>
      </c>
      <c r="P644" s="366" t="s">
        <v>1666</v>
      </c>
      <c r="Q644" s="366" t="s">
        <v>1147</v>
      </c>
      <c r="R644" s="366" t="s">
        <v>1227</v>
      </c>
      <c r="S644" s="366" t="s">
        <v>1648</v>
      </c>
      <c r="T644" s="718"/>
      <c r="U644" s="718"/>
      <c r="V644" s="718"/>
      <c r="W644" s="362"/>
      <c r="X644" s="107"/>
      <c r="Y644" s="362"/>
      <c r="Z644" s="362"/>
      <c r="AA644" s="362"/>
      <c r="AB644" s="362"/>
      <c r="AC644" s="362"/>
      <c r="AD644" s="362"/>
      <c r="AE644" s="362"/>
      <c r="AF644" s="362"/>
      <c r="AG644" s="362"/>
      <c r="AH644" s="362"/>
      <c r="AI644" s="362"/>
      <c r="AJ644" s="362"/>
      <c r="AK644" s="362"/>
      <c r="AL644" s="362"/>
      <c r="AM644" s="363"/>
      <c r="AN644" s="363"/>
      <c r="AO644" s="363"/>
      <c r="AP644" s="363"/>
      <c r="AQ644" s="363"/>
      <c r="AR644" s="363"/>
    </row>
    <row r="645" spans="1:45" s="364" customFormat="1" hidden="1" x14ac:dyDescent="0.25">
      <c r="A645" s="323" t="s">
        <v>2074</v>
      </c>
      <c r="C645" s="365">
        <f>$B$2</f>
        <v>20180327</v>
      </c>
      <c r="D645" s="365">
        <f>$B$2</f>
        <v>20180327</v>
      </c>
      <c r="E645" s="365" t="str">
        <f>$F$5</f>
        <v>9999</v>
      </c>
      <c r="F645" s="365" t="s">
        <v>1710</v>
      </c>
      <c r="G645" s="366">
        <v>0</v>
      </c>
      <c r="H645" s="366">
        <v>0</v>
      </c>
      <c r="I645" s="366">
        <v>0</v>
      </c>
      <c r="J645" s="366">
        <v>0</v>
      </c>
      <c r="K645" s="366">
        <f>$B$2-1</f>
        <v>20180326</v>
      </c>
      <c r="L645" s="366">
        <v>7</v>
      </c>
      <c r="M645" s="366">
        <v>2</v>
      </c>
      <c r="N645" s="366">
        <v>2</v>
      </c>
      <c r="O645" s="366">
        <v>2</v>
      </c>
      <c r="P645" s="366">
        <v>1</v>
      </c>
      <c r="Q645" s="367" t="s">
        <v>1128</v>
      </c>
      <c r="R645" s="367">
        <f>$B$2</f>
        <v>20180327</v>
      </c>
      <c r="S645" s="368">
        <v>0.53385416666666663</v>
      </c>
      <c r="T645" s="368" t="s">
        <v>1128</v>
      </c>
      <c r="U645" s="367"/>
      <c r="V645" s="367"/>
      <c r="W645" s="362"/>
      <c r="X645" s="107"/>
      <c r="Y645" s="362"/>
      <c r="Z645" s="362"/>
      <c r="AA645" s="362"/>
      <c r="AB645" s="362"/>
      <c r="AC645" s="362"/>
      <c r="AD645" s="362"/>
      <c r="AE645" s="362"/>
      <c r="AF645" s="362"/>
      <c r="AG645" s="362"/>
      <c r="AH645" s="362"/>
      <c r="AI645" s="362"/>
      <c r="AJ645" s="362"/>
      <c r="AK645" s="362"/>
      <c r="AL645" s="362"/>
      <c r="AM645" s="363"/>
      <c r="AN645" s="363"/>
      <c r="AO645" s="363"/>
      <c r="AP645" s="363"/>
      <c r="AQ645" s="363"/>
      <c r="AR645" s="363"/>
    </row>
    <row r="646" spans="1:45" hidden="1" x14ac:dyDescent="0.25">
      <c r="A646" s="323" t="s">
        <v>2074</v>
      </c>
      <c r="B646" t="s">
        <v>1674</v>
      </c>
      <c r="C646" s="323" t="s">
        <v>1679</v>
      </c>
      <c r="D646" s="323"/>
      <c r="E646" s="323"/>
      <c r="F646" s="323"/>
      <c r="G646" s="188"/>
      <c r="H646" s="188"/>
      <c r="I646" s="188"/>
      <c r="J646" s="188"/>
      <c r="K646" s="188"/>
      <c r="L646" s="188"/>
      <c r="M646" s="188"/>
      <c r="N646" s="188"/>
      <c r="O646" s="188"/>
      <c r="P646" s="188"/>
      <c r="Q646" s="167"/>
      <c r="R646" s="167"/>
      <c r="S646" s="338"/>
      <c r="T646" s="338"/>
      <c r="U646" s="167"/>
      <c r="V646" s="167"/>
      <c r="W646" s="167"/>
      <c r="X646" s="182"/>
      <c r="Y646" s="167"/>
      <c r="Z646" s="167"/>
      <c r="AA646" s="167"/>
      <c r="AB646" s="167"/>
      <c r="AC646" s="167"/>
      <c r="AD646" s="167"/>
      <c r="AE646" s="167"/>
      <c r="AF646" s="167"/>
      <c r="AG646" s="167"/>
      <c r="AH646" s="167"/>
      <c r="AI646" s="167"/>
      <c r="AJ646" s="167"/>
      <c r="AK646" s="167"/>
      <c r="AL646" s="167"/>
      <c r="AM646" s="6"/>
      <c r="AN646" s="6"/>
      <c r="AO646" s="6"/>
      <c r="AP646" s="6"/>
      <c r="AQ646" s="6"/>
      <c r="AR646" s="6"/>
    </row>
    <row r="647" spans="1:45" ht="13.95" hidden="1" customHeight="1" x14ac:dyDescent="0.25">
      <c r="A647" s="323" t="s">
        <v>2074</v>
      </c>
      <c r="B647" s="4" t="s">
        <v>124</v>
      </c>
      <c r="C647" s="203" t="s">
        <v>1251</v>
      </c>
      <c r="D647" s="204"/>
      <c r="E647" s="204"/>
      <c r="F647" s="204"/>
      <c r="G647" s="188"/>
      <c r="H647" s="188"/>
      <c r="I647" s="188"/>
      <c r="J647" s="188"/>
      <c r="K647" s="188"/>
      <c r="L647" s="188"/>
      <c r="M647" s="188"/>
      <c r="N647" s="188"/>
      <c r="O647" s="167"/>
      <c r="P647" s="167"/>
      <c r="Q647" s="167"/>
      <c r="R647" s="167"/>
      <c r="S647" s="167"/>
      <c r="T647" s="167"/>
      <c r="U647" s="167"/>
      <c r="V647" s="167"/>
      <c r="W647" s="182"/>
      <c r="X647" s="167"/>
      <c r="Y647" s="167"/>
      <c r="Z647" s="167"/>
      <c r="AA647" s="167"/>
      <c r="AB647" s="167"/>
      <c r="AC647" s="167"/>
      <c r="AD647" s="167"/>
      <c r="AE647" s="167"/>
      <c r="AF647" s="167"/>
      <c r="AG647" s="167"/>
      <c r="AH647" s="167"/>
      <c r="AI647" s="167"/>
      <c r="AJ647" s="167"/>
      <c r="AK647" s="167"/>
      <c r="AL647" s="6"/>
      <c r="AM647" s="6"/>
      <c r="AN647" s="6"/>
      <c r="AO647" s="6"/>
      <c r="AP647" s="6"/>
      <c r="AQ647" s="6"/>
    </row>
    <row r="648" spans="1:45" ht="13.95" hidden="1" customHeight="1" x14ac:dyDescent="0.25">
      <c r="A648" s="323" t="s">
        <v>2074</v>
      </c>
      <c r="B648" s="4" t="s">
        <v>306</v>
      </c>
      <c r="C648" s="704" t="s">
        <v>1583</v>
      </c>
      <c r="D648" s="705"/>
      <c r="E648" s="705"/>
      <c r="F648" s="705"/>
      <c r="G648" s="705"/>
      <c r="H648" s="705"/>
      <c r="I648" s="705"/>
      <c r="J648" s="705"/>
      <c r="K648" s="705"/>
      <c r="L648" s="705"/>
      <c r="M648" s="705"/>
      <c r="N648" s="705"/>
      <c r="O648" s="705"/>
      <c r="P648" s="705"/>
      <c r="Q648" s="705"/>
      <c r="R648" s="705"/>
      <c r="S648" s="708"/>
      <c r="T648" s="712" t="s">
        <v>1126</v>
      </c>
      <c r="U648" s="712" t="s">
        <v>1107</v>
      </c>
      <c r="V648" s="712" t="s">
        <v>1108</v>
      </c>
      <c r="W648" s="167"/>
      <c r="X648" s="182"/>
      <c r="Y648" s="167"/>
      <c r="Z648" s="167"/>
      <c r="AA648" s="167"/>
      <c r="AB648" s="167"/>
      <c r="AC648" s="167"/>
      <c r="AD648" s="167"/>
      <c r="AE648" s="167"/>
      <c r="AF648" s="167"/>
      <c r="AG648" s="167"/>
      <c r="AH648" s="167"/>
      <c r="AI648" s="167"/>
      <c r="AJ648" s="167"/>
      <c r="AK648" s="167"/>
      <c r="AL648" s="167"/>
      <c r="AM648" s="6"/>
      <c r="AN648" s="6"/>
      <c r="AO648" s="6"/>
      <c r="AP648" s="6"/>
      <c r="AQ648" s="6"/>
      <c r="AR648" s="6"/>
    </row>
    <row r="649" spans="1:45" ht="13.95" hidden="1" customHeight="1" x14ac:dyDescent="0.25">
      <c r="A649" s="323" t="s">
        <v>2074</v>
      </c>
      <c r="C649" s="358" t="s">
        <v>1111</v>
      </c>
      <c r="D649" s="358" t="s">
        <v>1217</v>
      </c>
      <c r="E649" s="358" t="s">
        <v>1134</v>
      </c>
      <c r="F649" s="358" t="s">
        <v>1117</v>
      </c>
      <c r="G649" s="189" t="s">
        <v>1218</v>
      </c>
      <c r="H649" s="189" t="s">
        <v>1219</v>
      </c>
      <c r="I649" s="189" t="s">
        <v>1220</v>
      </c>
      <c r="J649" s="189" t="s">
        <v>1221</v>
      </c>
      <c r="K649" s="189" t="s">
        <v>1222</v>
      </c>
      <c r="L649" s="189" t="s">
        <v>1757</v>
      </c>
      <c r="M649" s="189" t="s">
        <v>1223</v>
      </c>
      <c r="N649" s="189" t="s">
        <v>1224</v>
      </c>
      <c r="O649" s="189" t="s">
        <v>1225</v>
      </c>
      <c r="P649" s="189" t="s">
        <v>1226</v>
      </c>
      <c r="Q649" s="189" t="s">
        <v>1147</v>
      </c>
      <c r="R649" s="189" t="s">
        <v>1227</v>
      </c>
      <c r="S649" s="189" t="s">
        <v>1228</v>
      </c>
      <c r="T649" s="713"/>
      <c r="U649" s="713"/>
      <c r="V649" s="713"/>
      <c r="W649" s="167"/>
      <c r="X649" s="182"/>
      <c r="Y649" s="167"/>
      <c r="Z649" s="167"/>
      <c r="AA649" s="167"/>
      <c r="AB649" s="167"/>
      <c r="AC649" s="167"/>
      <c r="AD649" s="167"/>
      <c r="AE649" s="167"/>
      <c r="AF649" s="167"/>
      <c r="AG649" s="167"/>
      <c r="AH649" s="167"/>
      <c r="AI649" s="167"/>
      <c r="AJ649" s="167"/>
      <c r="AK649" s="167"/>
      <c r="AL649" s="167"/>
      <c r="AM649" s="6"/>
      <c r="AN649" s="6"/>
      <c r="AO649" s="6"/>
      <c r="AP649" s="6"/>
      <c r="AQ649" s="6"/>
      <c r="AR649" s="6"/>
    </row>
    <row r="650" spans="1:45" ht="13.95" hidden="1" customHeight="1" x14ac:dyDescent="0.25">
      <c r="A650" s="323" t="s">
        <v>2074</v>
      </c>
      <c r="C650" s="358">
        <f>$B$2</f>
        <v>20180327</v>
      </c>
      <c r="D650" s="358">
        <f>$B$2</f>
        <v>20180327</v>
      </c>
      <c r="E650" s="358" t="str">
        <f>$F$5</f>
        <v>9999</v>
      </c>
      <c r="F650" s="358" t="s">
        <v>1679</v>
      </c>
      <c r="G650" s="189">
        <v>0</v>
      </c>
      <c r="H650" s="189">
        <v>0</v>
      </c>
      <c r="I650" s="189">
        <v>0</v>
      </c>
      <c r="J650" s="189">
        <v>0</v>
      </c>
      <c r="K650" s="189">
        <f>$B$2-1</f>
        <v>20180326</v>
      </c>
      <c r="L650" s="189">
        <v>7</v>
      </c>
      <c r="M650" s="189">
        <v>2</v>
      </c>
      <c r="N650" s="189">
        <v>2</v>
      </c>
      <c r="O650" s="189">
        <v>2</v>
      </c>
      <c r="P650" s="189">
        <v>1</v>
      </c>
      <c r="Q650" s="111" t="s">
        <v>1128</v>
      </c>
      <c r="R650" s="111">
        <f>$B$2</f>
        <v>20180327</v>
      </c>
      <c r="S650" s="205">
        <v>0.53385416666666663</v>
      </c>
      <c r="T650" s="205" t="s">
        <v>1128</v>
      </c>
      <c r="U650" s="111"/>
      <c r="V650" s="111"/>
      <c r="W650" s="167"/>
      <c r="X650" s="182"/>
      <c r="Y650" s="167"/>
      <c r="Z650" s="167"/>
      <c r="AA650" s="167"/>
      <c r="AB650" s="167"/>
      <c r="AC650" s="167"/>
      <c r="AD650" s="167"/>
      <c r="AE650" s="167"/>
      <c r="AF650" s="167"/>
      <c r="AG650" s="167"/>
      <c r="AH650" s="167"/>
      <c r="AI650" s="167"/>
      <c r="AJ650" s="167"/>
      <c r="AK650" s="167"/>
      <c r="AL650" s="167"/>
      <c r="AM650" s="6"/>
      <c r="AN650" s="6"/>
      <c r="AO650" s="6"/>
      <c r="AP650" s="6"/>
      <c r="AQ650" s="6"/>
      <c r="AR650" s="6"/>
    </row>
    <row r="651" spans="1:45" s="9" customFormat="1" ht="13.95" hidden="1" customHeight="1" x14ac:dyDescent="0.25">
      <c r="A651" s="323" t="s">
        <v>2074</v>
      </c>
      <c r="B651" s="361" t="s">
        <v>359</v>
      </c>
      <c r="C651" s="361" t="s">
        <v>1627</v>
      </c>
      <c r="D651" s="361"/>
      <c r="E651" s="361"/>
      <c r="F651" s="361"/>
    </row>
    <row r="652" spans="1:45" s="9" customFormat="1" ht="13.95" hidden="1" customHeight="1" x14ac:dyDescent="0.25">
      <c r="A652" s="323" t="s">
        <v>2074</v>
      </c>
      <c r="B652" s="369" t="s">
        <v>970</v>
      </c>
      <c r="C652" s="369" t="s">
        <v>1670</v>
      </c>
      <c r="D652" s="369"/>
      <c r="E652" s="361"/>
      <c r="F652" s="361"/>
    </row>
    <row r="653" spans="1:45" s="364" customFormat="1" ht="13.95" hidden="1" customHeight="1" x14ac:dyDescent="0.15">
      <c r="A653" s="323" t="s">
        <v>2074</v>
      </c>
      <c r="B653" s="361" t="s">
        <v>1628</v>
      </c>
      <c r="C653" s="704" t="s">
        <v>1582</v>
      </c>
      <c r="D653" s="705"/>
      <c r="E653" s="705"/>
      <c r="F653" s="705"/>
      <c r="G653" s="705"/>
      <c r="H653" s="705"/>
      <c r="I653" s="705"/>
      <c r="J653" s="705"/>
      <c r="K653" s="705"/>
      <c r="L653" s="705"/>
      <c r="M653" s="705"/>
      <c r="N653" s="705"/>
      <c r="O653" s="705"/>
      <c r="P653" s="705"/>
      <c r="Q653" s="705"/>
      <c r="R653" s="705"/>
      <c r="S653" s="708"/>
      <c r="T653" s="740" t="s">
        <v>1779</v>
      </c>
      <c r="U653" s="717" t="s">
        <v>1629</v>
      </c>
      <c r="V653" s="717" t="s">
        <v>1630</v>
      </c>
      <c r="W653" s="717" t="s">
        <v>1631</v>
      </c>
      <c r="X653" s="362"/>
      <c r="Y653" s="107"/>
      <c r="Z653" s="362"/>
      <c r="AA653" s="362"/>
      <c r="AB653" s="362"/>
      <c r="AC653" s="362"/>
      <c r="AD653" s="362"/>
      <c r="AE653" s="362"/>
      <c r="AF653" s="362"/>
      <c r="AG653" s="362"/>
      <c r="AH653" s="362"/>
      <c r="AI653" s="362"/>
      <c r="AJ653" s="362"/>
      <c r="AK653" s="362"/>
      <c r="AL653" s="362"/>
      <c r="AM653" s="362"/>
      <c r="AN653" s="363"/>
      <c r="AO653" s="363"/>
      <c r="AP653" s="363"/>
      <c r="AQ653" s="363"/>
      <c r="AR653" s="363"/>
      <c r="AS653" s="363"/>
    </row>
    <row r="654" spans="1:45" s="364" customFormat="1" ht="13.95" hidden="1" customHeight="1" x14ac:dyDescent="0.25">
      <c r="A654" s="323" t="s">
        <v>2074</v>
      </c>
      <c r="C654" s="365" t="s">
        <v>1632</v>
      </c>
      <c r="D654" s="365" t="s">
        <v>1633</v>
      </c>
      <c r="E654" s="365" t="s">
        <v>1634</v>
      </c>
      <c r="F654" s="365" t="s">
        <v>1635</v>
      </c>
      <c r="G654" s="366" t="s">
        <v>1636</v>
      </c>
      <c r="H654" s="366" t="s">
        <v>1637</v>
      </c>
      <c r="I654" s="366" t="s">
        <v>1638</v>
      </c>
      <c r="J654" s="366" t="s">
        <v>1639</v>
      </c>
      <c r="K654" s="366" t="s">
        <v>1640</v>
      </c>
      <c r="L654" s="366" t="s">
        <v>1641</v>
      </c>
      <c r="M654" s="366" t="s">
        <v>1642</v>
      </c>
      <c r="N654" s="366" t="s">
        <v>1643</v>
      </c>
      <c r="O654" s="366" t="s">
        <v>1644</v>
      </c>
      <c r="P654" s="366" t="s">
        <v>1645</v>
      </c>
      <c r="Q654" s="366" t="s">
        <v>1646</v>
      </c>
      <c r="R654" s="366" t="s">
        <v>1647</v>
      </c>
      <c r="S654" s="366" t="s">
        <v>1648</v>
      </c>
      <c r="T654" s="741"/>
      <c r="U654" s="718"/>
      <c r="V654" s="718"/>
      <c r="W654" s="718"/>
      <c r="X654" s="362"/>
      <c r="Y654" s="107"/>
      <c r="Z654" s="362"/>
      <c r="AA654" s="362"/>
      <c r="AB654" s="362"/>
      <c r="AC654" s="362"/>
      <c r="AD654" s="362"/>
      <c r="AE654" s="362"/>
      <c r="AF654" s="362"/>
      <c r="AG654" s="362"/>
      <c r="AH654" s="362"/>
      <c r="AI654" s="362"/>
      <c r="AJ654" s="362"/>
      <c r="AK654" s="362"/>
      <c r="AL654" s="362"/>
      <c r="AM654" s="362"/>
      <c r="AN654" s="363"/>
      <c r="AO654" s="363"/>
      <c r="AP654" s="363"/>
      <c r="AQ654" s="363"/>
      <c r="AR654" s="363"/>
      <c r="AS654" s="363"/>
    </row>
    <row r="655" spans="1:45" s="364" customFormat="1" ht="13.95" hidden="1" customHeight="1" x14ac:dyDescent="0.25">
      <c r="A655" s="323" t="s">
        <v>2074</v>
      </c>
      <c r="C655" s="365">
        <f>$B$2</f>
        <v>20180327</v>
      </c>
      <c r="D655" s="365">
        <f>$B$2</f>
        <v>20180327</v>
      </c>
      <c r="E655" s="365" t="str">
        <f>$F$5</f>
        <v>9999</v>
      </c>
      <c r="F655" s="365" t="s">
        <v>1679</v>
      </c>
      <c r="G655" s="366">
        <v>0</v>
      </c>
      <c r="H655" s="366">
        <v>0</v>
      </c>
      <c r="I655" s="366">
        <v>0</v>
      </c>
      <c r="J655" s="366">
        <v>0</v>
      </c>
      <c r="K655" s="366">
        <f>$B$2-1</f>
        <v>20180326</v>
      </c>
      <c r="L655" s="366">
        <v>7</v>
      </c>
      <c r="M655" s="366">
        <v>2</v>
      </c>
      <c r="N655" s="366">
        <v>2</v>
      </c>
      <c r="O655" s="366">
        <v>2</v>
      </c>
      <c r="P655" s="366">
        <v>1</v>
      </c>
      <c r="Q655" s="367" t="s">
        <v>1649</v>
      </c>
      <c r="R655" s="367">
        <f>$B$2</f>
        <v>20180327</v>
      </c>
      <c r="S655" s="368">
        <v>0.53385416666666663</v>
      </c>
      <c r="T655" s="387">
        <v>1</v>
      </c>
      <c r="U655" s="368" t="s">
        <v>1649</v>
      </c>
      <c r="V655" s="367"/>
      <c r="W655" s="367"/>
      <c r="X655" s="362"/>
      <c r="Y655" s="107"/>
      <c r="Z655" s="362"/>
      <c r="AA655" s="362"/>
      <c r="AB655" s="362"/>
      <c r="AC655" s="362"/>
      <c r="AD655" s="362"/>
      <c r="AE655" s="362"/>
      <c r="AF655" s="362"/>
      <c r="AG655" s="362"/>
      <c r="AH655" s="362"/>
      <c r="AI655" s="362"/>
      <c r="AJ655" s="362"/>
      <c r="AK655" s="362"/>
      <c r="AL655" s="362"/>
      <c r="AM655" s="362"/>
      <c r="AN655" s="363"/>
      <c r="AO655" s="363"/>
      <c r="AP655" s="363"/>
      <c r="AQ655" s="363"/>
      <c r="AR655" s="363"/>
      <c r="AS655" s="363"/>
    </row>
    <row r="656" spans="1:45" s="9" customFormat="1" ht="13.95" hidden="1" customHeight="1" x14ac:dyDescent="0.25">
      <c r="A656" s="323" t="s">
        <v>2074</v>
      </c>
      <c r="B656" s="361" t="s">
        <v>359</v>
      </c>
      <c r="C656" s="361" t="s">
        <v>1627</v>
      </c>
    </row>
    <row r="657" spans="1:44" s="9" customFormat="1" ht="13.95" hidden="1" customHeight="1" x14ac:dyDescent="0.25">
      <c r="A657" s="323" t="s">
        <v>2074</v>
      </c>
      <c r="B657" s="369" t="s">
        <v>970</v>
      </c>
      <c r="C657" s="369" t="s">
        <v>1671</v>
      </c>
      <c r="D657" s="44"/>
    </row>
    <row r="658" spans="1:44" s="364" customFormat="1" hidden="1" x14ac:dyDescent="0.15">
      <c r="A658" s="323" t="s">
        <v>2074</v>
      </c>
      <c r="B658" s="361" t="s">
        <v>1628</v>
      </c>
      <c r="C658" s="704" t="s">
        <v>1672</v>
      </c>
      <c r="D658" s="705"/>
      <c r="E658" s="705"/>
      <c r="F658" s="705"/>
      <c r="G658" s="705"/>
      <c r="H658" s="705"/>
      <c r="I658" s="705"/>
      <c r="J658" s="705"/>
      <c r="K658" s="705"/>
      <c r="L658" s="705"/>
      <c r="M658" s="705"/>
      <c r="N658" s="705"/>
      <c r="O658" s="705"/>
      <c r="P658" s="705"/>
      <c r="Q658" s="705"/>
      <c r="R658" s="705"/>
      <c r="S658" s="708"/>
      <c r="T658" s="717" t="s">
        <v>1650</v>
      </c>
      <c r="U658" s="717" t="s">
        <v>1651</v>
      </c>
      <c r="V658" s="717" t="s">
        <v>1652</v>
      </c>
      <c r="W658" s="362"/>
      <c r="X658" s="107"/>
      <c r="Y658" s="362"/>
      <c r="Z658" s="362"/>
      <c r="AA658" s="362"/>
      <c r="AB658" s="362"/>
      <c r="AC658" s="362"/>
      <c r="AD658" s="362"/>
      <c r="AE658" s="362"/>
      <c r="AF658" s="362"/>
      <c r="AG658" s="362"/>
      <c r="AH658" s="362"/>
      <c r="AI658" s="362"/>
      <c r="AJ658" s="362"/>
      <c r="AK658" s="362"/>
      <c r="AL658" s="362"/>
      <c r="AM658" s="363"/>
      <c r="AN658" s="363"/>
      <c r="AO658" s="363"/>
      <c r="AP658" s="363"/>
      <c r="AQ658" s="363"/>
      <c r="AR658" s="363"/>
    </row>
    <row r="659" spans="1:44" s="364" customFormat="1" hidden="1" x14ac:dyDescent="0.25">
      <c r="A659" s="323" t="s">
        <v>2074</v>
      </c>
      <c r="C659" s="365" t="s">
        <v>1653</v>
      </c>
      <c r="D659" s="365" t="s">
        <v>1654</v>
      </c>
      <c r="E659" s="365" t="s">
        <v>1655</v>
      </c>
      <c r="F659" s="365" t="s">
        <v>1656</v>
      </c>
      <c r="G659" s="366" t="s">
        <v>1657</v>
      </c>
      <c r="H659" s="366" t="s">
        <v>1658</v>
      </c>
      <c r="I659" s="366" t="s">
        <v>1659</v>
      </c>
      <c r="J659" s="366" t="s">
        <v>1660</v>
      </c>
      <c r="K659" s="366" t="s">
        <v>1661</v>
      </c>
      <c r="L659" s="366" t="s">
        <v>1662</v>
      </c>
      <c r="M659" s="366" t="s">
        <v>1663</v>
      </c>
      <c r="N659" s="366" t="s">
        <v>1664</v>
      </c>
      <c r="O659" s="366" t="s">
        <v>1665</v>
      </c>
      <c r="P659" s="366" t="s">
        <v>1666</v>
      </c>
      <c r="Q659" s="366" t="s">
        <v>1667</v>
      </c>
      <c r="R659" s="366" t="s">
        <v>1668</v>
      </c>
      <c r="S659" s="366" t="s">
        <v>1669</v>
      </c>
      <c r="T659" s="718"/>
      <c r="U659" s="718"/>
      <c r="V659" s="718"/>
      <c r="W659" s="362"/>
      <c r="X659" s="107"/>
      <c r="Y659" s="362"/>
      <c r="Z659" s="362"/>
      <c r="AA659" s="362"/>
      <c r="AB659" s="362"/>
      <c r="AC659" s="362"/>
      <c r="AD659" s="362"/>
      <c r="AE659" s="362"/>
      <c r="AF659" s="362"/>
      <c r="AG659" s="362"/>
      <c r="AH659" s="362"/>
      <c r="AI659" s="362"/>
      <c r="AJ659" s="362"/>
      <c r="AK659" s="362"/>
      <c r="AL659" s="362"/>
      <c r="AM659" s="363"/>
      <c r="AN659" s="363"/>
      <c r="AO659" s="363"/>
      <c r="AP659" s="363"/>
      <c r="AQ659" s="363"/>
      <c r="AR659" s="363"/>
    </row>
    <row r="660" spans="1:44" s="364" customFormat="1" hidden="1" x14ac:dyDescent="0.25">
      <c r="A660" s="323" t="s">
        <v>2074</v>
      </c>
      <c r="C660" s="365">
        <f>$B$2</f>
        <v>20180327</v>
      </c>
      <c r="D660" s="365">
        <f>$B$2</f>
        <v>20180327</v>
      </c>
      <c r="E660" s="365" t="str">
        <f>$F$5</f>
        <v>9999</v>
      </c>
      <c r="F660" s="365" t="s">
        <v>1679</v>
      </c>
      <c r="G660" s="366">
        <v>0</v>
      </c>
      <c r="H660" s="366">
        <v>0</v>
      </c>
      <c r="I660" s="366">
        <v>0</v>
      </c>
      <c r="J660" s="366">
        <v>0</v>
      </c>
      <c r="K660" s="366">
        <f>K655</f>
        <v>20180326</v>
      </c>
      <c r="L660" s="366">
        <v>7</v>
      </c>
      <c r="M660" s="366">
        <v>2</v>
      </c>
      <c r="N660" s="366">
        <v>2</v>
      </c>
      <c r="O660" s="366">
        <v>2</v>
      </c>
      <c r="P660" s="366">
        <v>1</v>
      </c>
      <c r="Q660" s="367" t="s">
        <v>1128</v>
      </c>
      <c r="R660" s="367">
        <f>$B$2</f>
        <v>20180327</v>
      </c>
      <c r="S660" s="368">
        <v>0.53385416666666663</v>
      </c>
      <c r="T660" s="368" t="s">
        <v>1128</v>
      </c>
      <c r="U660" s="367"/>
      <c r="V660" s="367"/>
      <c r="W660" s="362"/>
      <c r="X660" s="107"/>
      <c r="Y660" s="362"/>
      <c r="Z660" s="362"/>
      <c r="AA660" s="362"/>
      <c r="AB660" s="362"/>
      <c r="AC660" s="362"/>
      <c r="AD660" s="362"/>
      <c r="AE660" s="362"/>
      <c r="AF660" s="362"/>
      <c r="AG660" s="362"/>
      <c r="AH660" s="362"/>
      <c r="AI660" s="362"/>
      <c r="AJ660" s="362"/>
      <c r="AK660" s="362"/>
      <c r="AL660" s="362"/>
      <c r="AM660" s="363"/>
      <c r="AN660" s="363"/>
      <c r="AO660" s="363"/>
      <c r="AP660" s="363"/>
      <c r="AQ660" s="363"/>
      <c r="AR660" s="363"/>
    </row>
    <row r="661" spans="1:44" s="9" customFormat="1" ht="13.95" hidden="1" customHeight="1" x14ac:dyDescent="0.25">
      <c r="A661" s="323" t="s">
        <v>2074</v>
      </c>
      <c r="B661" s="361" t="s">
        <v>359</v>
      </c>
      <c r="C661" s="361" t="s">
        <v>1627</v>
      </c>
    </row>
    <row r="662" spans="1:44" s="9" customFormat="1" ht="13.95" hidden="1" customHeight="1" x14ac:dyDescent="0.25">
      <c r="A662" s="323" t="s">
        <v>2074</v>
      </c>
      <c r="B662" s="369" t="s">
        <v>970</v>
      </c>
      <c r="C662" s="369" t="s">
        <v>1762</v>
      </c>
      <c r="D662" s="44"/>
    </row>
    <row r="663" spans="1:44" s="364" customFormat="1" hidden="1" x14ac:dyDescent="0.15">
      <c r="A663" s="323" t="s">
        <v>2074</v>
      </c>
      <c r="B663" s="361" t="s">
        <v>306</v>
      </c>
      <c r="C663" s="704" t="s">
        <v>1763</v>
      </c>
      <c r="D663" s="705"/>
      <c r="E663" s="705"/>
      <c r="F663" s="705"/>
      <c r="G663" s="705"/>
      <c r="H663" s="705"/>
      <c r="I663" s="705"/>
      <c r="J663" s="705"/>
      <c r="K663" s="705"/>
      <c r="L663" s="705"/>
      <c r="M663" s="705"/>
      <c r="N663" s="705"/>
      <c r="O663" s="705"/>
      <c r="P663" s="705"/>
      <c r="Q663" s="705"/>
      <c r="R663" s="705"/>
      <c r="S663" s="708"/>
      <c r="T663" s="717" t="s">
        <v>1629</v>
      </c>
      <c r="U663" s="717" t="s">
        <v>1107</v>
      </c>
      <c r="V663" s="717" t="s">
        <v>1254</v>
      </c>
      <c r="W663" s="362"/>
      <c r="X663" s="107"/>
      <c r="Y663" s="362"/>
      <c r="Z663" s="362"/>
      <c r="AA663" s="362"/>
      <c r="AB663" s="362"/>
      <c r="AC663" s="362"/>
      <c r="AD663" s="362"/>
      <c r="AE663" s="362"/>
      <c r="AF663" s="362"/>
      <c r="AG663" s="362"/>
      <c r="AH663" s="362"/>
      <c r="AI663" s="362"/>
      <c r="AJ663" s="362"/>
      <c r="AK663" s="362"/>
      <c r="AL663" s="362"/>
      <c r="AM663" s="363"/>
      <c r="AN663" s="363"/>
      <c r="AO663" s="363"/>
      <c r="AP663" s="363"/>
      <c r="AQ663" s="363"/>
      <c r="AR663" s="363"/>
    </row>
    <row r="664" spans="1:44" s="364" customFormat="1" hidden="1" x14ac:dyDescent="0.25">
      <c r="A664" s="323" t="s">
        <v>2074</v>
      </c>
      <c r="C664" s="365" t="s">
        <v>1439</v>
      </c>
      <c r="D664" s="365" t="s">
        <v>1654</v>
      </c>
      <c r="E664" s="365" t="s">
        <v>1655</v>
      </c>
      <c r="F664" s="365" t="s">
        <v>1656</v>
      </c>
      <c r="G664" s="366" t="s">
        <v>1657</v>
      </c>
      <c r="H664" s="366" t="s">
        <v>1658</v>
      </c>
      <c r="I664" s="366" t="s">
        <v>1659</v>
      </c>
      <c r="J664" s="366" t="s">
        <v>1660</v>
      </c>
      <c r="K664" s="366" t="s">
        <v>1640</v>
      </c>
      <c r="L664" s="366" t="s">
        <v>1641</v>
      </c>
      <c r="M664" s="366" t="s">
        <v>1663</v>
      </c>
      <c r="N664" s="366" t="s">
        <v>1664</v>
      </c>
      <c r="O664" s="366" t="s">
        <v>1665</v>
      </c>
      <c r="P664" s="366" t="s">
        <v>1666</v>
      </c>
      <c r="Q664" s="366" t="s">
        <v>1147</v>
      </c>
      <c r="R664" s="366" t="s">
        <v>1227</v>
      </c>
      <c r="S664" s="366" t="s">
        <v>1648</v>
      </c>
      <c r="T664" s="718"/>
      <c r="U664" s="718"/>
      <c r="V664" s="718"/>
      <c r="W664" s="362"/>
      <c r="X664" s="107"/>
      <c r="Y664" s="362"/>
      <c r="Z664" s="362"/>
      <c r="AA664" s="362"/>
      <c r="AB664" s="362"/>
      <c r="AC664" s="362"/>
      <c r="AD664" s="362"/>
      <c r="AE664" s="362"/>
      <c r="AF664" s="362"/>
      <c r="AG664" s="362"/>
      <c r="AH664" s="362"/>
      <c r="AI664" s="362"/>
      <c r="AJ664" s="362"/>
      <c r="AK664" s="362"/>
      <c r="AL664" s="362"/>
      <c r="AM664" s="363"/>
      <c r="AN664" s="363"/>
      <c r="AO664" s="363"/>
      <c r="AP664" s="363"/>
      <c r="AQ664" s="363"/>
      <c r="AR664" s="363"/>
    </row>
    <row r="665" spans="1:44" s="364" customFormat="1" hidden="1" x14ac:dyDescent="0.25">
      <c r="A665" s="323" t="s">
        <v>2074</v>
      </c>
      <c r="C665" s="365">
        <f>$B$2</f>
        <v>20180327</v>
      </c>
      <c r="D665" s="365">
        <f>$B$2</f>
        <v>20180327</v>
      </c>
      <c r="E665" s="365" t="str">
        <f>$F$5</f>
        <v>9999</v>
      </c>
      <c r="F665" s="365" t="s">
        <v>1701</v>
      </c>
      <c r="G665" s="366">
        <v>0</v>
      </c>
      <c r="H665" s="366">
        <v>0</v>
      </c>
      <c r="I665" s="366">
        <v>0</v>
      </c>
      <c r="J665" s="366">
        <v>0</v>
      </c>
      <c r="K665" s="366">
        <f>$B$2-1</f>
        <v>20180326</v>
      </c>
      <c r="L665" s="366">
        <v>7</v>
      </c>
      <c r="M665" s="366">
        <v>2</v>
      </c>
      <c r="N665" s="366">
        <v>2</v>
      </c>
      <c r="O665" s="366">
        <v>2</v>
      </c>
      <c r="P665" s="366">
        <v>1</v>
      </c>
      <c r="Q665" s="367" t="s">
        <v>1128</v>
      </c>
      <c r="R665" s="367">
        <f>$B$2</f>
        <v>20180327</v>
      </c>
      <c r="S665" s="368">
        <v>0.53385416666666663</v>
      </c>
      <c r="T665" s="368" t="s">
        <v>1128</v>
      </c>
      <c r="U665" s="367"/>
      <c r="V665" s="367"/>
      <c r="W665" s="362"/>
      <c r="X665" s="107"/>
      <c r="Y665" s="362"/>
      <c r="Z665" s="362"/>
      <c r="AA665" s="362"/>
      <c r="AB665" s="362"/>
      <c r="AC665" s="362"/>
      <c r="AD665" s="362"/>
      <c r="AE665" s="362"/>
      <c r="AF665" s="362"/>
      <c r="AG665" s="362"/>
      <c r="AH665" s="362"/>
      <c r="AI665" s="362"/>
      <c r="AJ665" s="362"/>
      <c r="AK665" s="362"/>
      <c r="AL665" s="362"/>
      <c r="AM665" s="363"/>
      <c r="AN665" s="363"/>
      <c r="AO665" s="363"/>
      <c r="AP665" s="363"/>
      <c r="AQ665" s="363"/>
      <c r="AR665" s="363"/>
    </row>
    <row r="666" spans="1:44" x14ac:dyDescent="0.25">
      <c r="A666" t="s">
        <v>1674</v>
      </c>
      <c r="B666" s="323" t="s">
        <v>2076</v>
      </c>
      <c r="C666" s="323"/>
      <c r="D666" s="323"/>
      <c r="E666" s="323"/>
      <c r="F666" s="188"/>
      <c r="G666" s="188"/>
      <c r="H666" s="188"/>
      <c r="I666" s="188"/>
      <c r="J666" s="188"/>
      <c r="K666" s="188"/>
      <c r="L666" s="188"/>
      <c r="M666" s="188"/>
      <c r="N666" s="188"/>
      <c r="O666" s="188"/>
      <c r="P666" s="167"/>
      <c r="Q666" s="167"/>
      <c r="R666" s="338"/>
      <c r="S666" s="338"/>
      <c r="T666" s="167"/>
      <c r="U666" s="167"/>
      <c r="V666" s="167"/>
      <c r="W666" s="182"/>
      <c r="X666" s="167"/>
      <c r="Y666" s="167"/>
      <c r="Z666" s="167"/>
      <c r="AA666" s="167"/>
      <c r="AB666" s="167"/>
      <c r="AC666" s="167"/>
      <c r="AD666" s="167"/>
      <c r="AE666" s="167"/>
      <c r="AF666" s="167"/>
      <c r="AG666" s="167"/>
      <c r="AH666" s="167"/>
      <c r="AI666" s="167"/>
      <c r="AJ666" s="167"/>
      <c r="AK666" s="167"/>
      <c r="AL666" s="6"/>
      <c r="AM666" s="6"/>
      <c r="AN666" s="6"/>
      <c r="AO666" s="6"/>
      <c r="AP666" s="6"/>
      <c r="AQ666" s="6"/>
    </row>
    <row r="667" spans="1:44" ht="13.95" customHeight="1" x14ac:dyDescent="0.25">
      <c r="A667" s="4" t="s">
        <v>124</v>
      </c>
      <c r="B667" s="203" t="s">
        <v>1251</v>
      </c>
      <c r="C667" s="204"/>
      <c r="D667" s="204"/>
      <c r="E667" s="204"/>
      <c r="F667" s="188"/>
      <c r="G667" s="188"/>
      <c r="H667" s="188"/>
      <c r="I667" s="188"/>
      <c r="J667" s="188"/>
      <c r="K667" s="188"/>
      <c r="L667" s="188"/>
      <c r="M667" s="188"/>
      <c r="N667" s="167"/>
      <c r="O667" s="167"/>
      <c r="P667" s="167"/>
      <c r="Q667" s="167"/>
      <c r="R667" s="167"/>
      <c r="S667" s="167"/>
      <c r="T667" s="167"/>
      <c r="U667" s="167"/>
      <c r="V667" s="182"/>
      <c r="W667" s="167"/>
      <c r="X667" s="167"/>
      <c r="Y667" s="167"/>
      <c r="Z667" s="167"/>
      <c r="AA667" s="167"/>
      <c r="AB667" s="167"/>
      <c r="AC667" s="167"/>
      <c r="AD667" s="167"/>
      <c r="AE667" s="167"/>
      <c r="AF667" s="167"/>
      <c r="AG667" s="167"/>
      <c r="AH667" s="167"/>
      <c r="AI667" s="167"/>
      <c r="AJ667" s="167"/>
      <c r="AK667" s="6"/>
      <c r="AL667" s="6"/>
      <c r="AM667" s="6"/>
      <c r="AN667" s="6"/>
      <c r="AO667" s="6"/>
      <c r="AP667" s="6"/>
    </row>
    <row r="668" spans="1:44" ht="13.95" customHeight="1" x14ac:dyDescent="0.25">
      <c r="A668" s="4" t="s">
        <v>306</v>
      </c>
      <c r="B668" s="704" t="s">
        <v>1583</v>
      </c>
      <c r="C668" s="705"/>
      <c r="D668" s="705"/>
      <c r="E668" s="705"/>
      <c r="F668" s="705"/>
      <c r="G668" s="705"/>
      <c r="H668" s="705"/>
      <c r="I668" s="705"/>
      <c r="J668" s="705"/>
      <c r="K668" s="705"/>
      <c r="L668" s="705"/>
      <c r="M668" s="705"/>
      <c r="N668" s="705"/>
      <c r="O668" s="705"/>
      <c r="P668" s="705"/>
      <c r="Q668" s="705"/>
      <c r="R668" s="708"/>
      <c r="S668" s="712" t="s">
        <v>1126</v>
      </c>
      <c r="T668" s="712" t="s">
        <v>1107</v>
      </c>
      <c r="U668" s="712" t="s">
        <v>1108</v>
      </c>
      <c r="V668" s="167"/>
      <c r="W668" s="182"/>
      <c r="X668" s="167"/>
      <c r="Y668" s="167"/>
      <c r="Z668" s="167"/>
      <c r="AA668" s="167"/>
      <c r="AB668" s="167"/>
      <c r="AC668" s="167"/>
      <c r="AD668" s="167"/>
      <c r="AE668" s="167"/>
      <c r="AF668" s="167"/>
      <c r="AG668" s="167"/>
      <c r="AH668" s="167"/>
      <c r="AI668" s="167"/>
      <c r="AJ668" s="167"/>
      <c r="AK668" s="167"/>
      <c r="AL668" s="6"/>
      <c r="AM668" s="6"/>
      <c r="AN668" s="6"/>
      <c r="AO668" s="6"/>
      <c r="AP668" s="6"/>
      <c r="AQ668" s="6"/>
    </row>
    <row r="669" spans="1:44" ht="13.95" customHeight="1" x14ac:dyDescent="0.25">
      <c r="B669" s="358" t="s">
        <v>1111</v>
      </c>
      <c r="C669" s="358" t="s">
        <v>1217</v>
      </c>
      <c r="D669" s="358" t="s">
        <v>1134</v>
      </c>
      <c r="E669" s="358" t="s">
        <v>1117</v>
      </c>
      <c r="F669" s="189" t="s">
        <v>1218</v>
      </c>
      <c r="G669" s="189" t="s">
        <v>1219</v>
      </c>
      <c r="H669" s="189" t="s">
        <v>1220</v>
      </c>
      <c r="I669" s="189" t="s">
        <v>1221</v>
      </c>
      <c r="J669" s="189" t="s">
        <v>1222</v>
      </c>
      <c r="K669" s="189" t="s">
        <v>1758</v>
      </c>
      <c r="L669" s="189" t="s">
        <v>1223</v>
      </c>
      <c r="M669" s="189" t="s">
        <v>1224</v>
      </c>
      <c r="N669" s="189" t="s">
        <v>1225</v>
      </c>
      <c r="O669" s="189" t="s">
        <v>1226</v>
      </c>
      <c r="P669" s="189" t="s">
        <v>1147</v>
      </c>
      <c r="Q669" s="189" t="s">
        <v>1227</v>
      </c>
      <c r="R669" s="189" t="s">
        <v>1228</v>
      </c>
      <c r="S669" s="713"/>
      <c r="T669" s="713"/>
      <c r="U669" s="713"/>
      <c r="V669" s="167"/>
      <c r="W669" s="182"/>
      <c r="X669" s="167"/>
      <c r="Y669" s="167"/>
      <c r="Z669" s="167"/>
      <c r="AA669" s="167"/>
      <c r="AB669" s="167"/>
      <c r="AC669" s="167"/>
      <c r="AD669" s="167"/>
      <c r="AE669" s="167"/>
      <c r="AF669" s="167"/>
      <c r="AG669" s="167"/>
      <c r="AH669" s="167"/>
      <c r="AI669" s="167"/>
      <c r="AJ669" s="167"/>
      <c r="AK669" s="167"/>
      <c r="AL669" s="6"/>
      <c r="AM669" s="6"/>
      <c r="AN669" s="6"/>
      <c r="AO669" s="6"/>
      <c r="AP669" s="6"/>
      <c r="AQ669" s="6"/>
    </row>
    <row r="670" spans="1:44" ht="13.95" customHeight="1" x14ac:dyDescent="0.25">
      <c r="B670" s="358">
        <f>$B$2</f>
        <v>20180327</v>
      </c>
      <c r="C670" s="358">
        <f>$B$2</f>
        <v>20180327</v>
      </c>
      <c r="D670" s="358" t="str">
        <f>$F$5</f>
        <v>9999</v>
      </c>
      <c r="E670" s="358" t="s">
        <v>2030</v>
      </c>
      <c r="F670" s="189">
        <v>0</v>
      </c>
      <c r="G670" s="189">
        <v>0</v>
      </c>
      <c r="H670" s="189">
        <v>0</v>
      </c>
      <c r="I670" s="189">
        <v>0</v>
      </c>
      <c r="J670" s="189">
        <f>$B$2-1</f>
        <v>20180326</v>
      </c>
      <c r="K670" s="189">
        <v>7</v>
      </c>
      <c r="L670" s="189">
        <v>2</v>
      </c>
      <c r="M670" s="189">
        <v>2</v>
      </c>
      <c r="N670" s="189">
        <v>2</v>
      </c>
      <c r="O670" s="189">
        <v>1</v>
      </c>
      <c r="P670" s="111" t="s">
        <v>1128</v>
      </c>
      <c r="Q670" s="111">
        <f>$B$2</f>
        <v>20180327</v>
      </c>
      <c r="R670" s="205">
        <v>0.53385416666666663</v>
      </c>
      <c r="S670" s="205" t="s">
        <v>1128</v>
      </c>
      <c r="T670" s="111"/>
      <c r="U670" s="111"/>
      <c r="V670" s="167"/>
      <c r="W670" s="182"/>
      <c r="X670" s="167"/>
      <c r="Y670" s="167"/>
      <c r="Z670" s="167"/>
      <c r="AA670" s="167"/>
      <c r="AB670" s="167"/>
      <c r="AC670" s="167"/>
      <c r="AD670" s="167"/>
      <c r="AE670" s="167"/>
      <c r="AF670" s="167"/>
      <c r="AG670" s="167"/>
      <c r="AH670" s="167"/>
      <c r="AI670" s="167"/>
      <c r="AJ670" s="167"/>
      <c r="AK670" s="167"/>
      <c r="AL670" s="6"/>
      <c r="AM670" s="6"/>
      <c r="AN670" s="6"/>
      <c r="AO670" s="6"/>
      <c r="AP670" s="6"/>
      <c r="AQ670" s="6"/>
    </row>
    <row r="671" spans="1:44" s="9" customFormat="1" ht="13.95" customHeight="1" x14ac:dyDescent="0.25">
      <c r="A671" s="361" t="s">
        <v>359</v>
      </c>
      <c r="B671" s="361" t="s">
        <v>1627</v>
      </c>
      <c r="C671" s="361"/>
      <c r="D671" s="361"/>
      <c r="E671" s="361"/>
    </row>
    <row r="672" spans="1:44" s="9" customFormat="1" ht="13.95" customHeight="1" x14ac:dyDescent="0.25">
      <c r="A672" s="369" t="s">
        <v>970</v>
      </c>
      <c r="B672" s="369" t="s">
        <v>1670</v>
      </c>
      <c r="C672" s="369"/>
      <c r="D672" s="361"/>
      <c r="E672" s="361"/>
    </row>
    <row r="673" spans="1:44" s="364" customFormat="1" ht="13.95" customHeight="1" x14ac:dyDescent="0.15">
      <c r="A673" s="361" t="s">
        <v>1628</v>
      </c>
      <c r="B673" s="704" t="s">
        <v>1582</v>
      </c>
      <c r="C673" s="705"/>
      <c r="D673" s="705"/>
      <c r="E673" s="705"/>
      <c r="F673" s="705"/>
      <c r="G673" s="705"/>
      <c r="H673" s="705"/>
      <c r="I673" s="705"/>
      <c r="J673" s="705"/>
      <c r="K673" s="705"/>
      <c r="L673" s="705"/>
      <c r="M673" s="705"/>
      <c r="N673" s="705"/>
      <c r="O673" s="705"/>
      <c r="P673" s="705"/>
      <c r="Q673" s="705"/>
      <c r="R673" s="708"/>
      <c r="S673" s="740" t="s">
        <v>1779</v>
      </c>
      <c r="T673" s="717" t="s">
        <v>1629</v>
      </c>
      <c r="U673" s="717" t="s">
        <v>1630</v>
      </c>
      <c r="V673" s="717" t="s">
        <v>1631</v>
      </c>
      <c r="W673" s="362"/>
      <c r="X673" s="107"/>
      <c r="Y673" s="362"/>
      <c r="Z673" s="362"/>
      <c r="AA673" s="362"/>
      <c r="AB673" s="362"/>
      <c r="AC673" s="362"/>
      <c r="AD673" s="362"/>
      <c r="AE673" s="362"/>
      <c r="AF673" s="362"/>
      <c r="AG673" s="362"/>
      <c r="AH673" s="362"/>
      <c r="AI673" s="362"/>
      <c r="AJ673" s="362"/>
      <c r="AK673" s="362"/>
      <c r="AL673" s="362"/>
      <c r="AM673" s="363"/>
      <c r="AN673" s="363"/>
      <c r="AO673" s="363"/>
      <c r="AP673" s="363"/>
      <c r="AQ673" s="363"/>
      <c r="AR673" s="363"/>
    </row>
    <row r="674" spans="1:44" s="364" customFormat="1" ht="13.95" customHeight="1" x14ac:dyDescent="0.25">
      <c r="B674" s="365" t="s">
        <v>1632</v>
      </c>
      <c r="C674" s="365" t="s">
        <v>1633</v>
      </c>
      <c r="D674" s="365" t="s">
        <v>1634</v>
      </c>
      <c r="E674" s="365" t="s">
        <v>1635</v>
      </c>
      <c r="F674" s="366" t="s">
        <v>1636</v>
      </c>
      <c r="G674" s="366" t="s">
        <v>1637</v>
      </c>
      <c r="H674" s="366" t="s">
        <v>1638</v>
      </c>
      <c r="I674" s="366" t="s">
        <v>1639</v>
      </c>
      <c r="J674" s="366" t="s">
        <v>1640</v>
      </c>
      <c r="K674" s="366" t="s">
        <v>1641</v>
      </c>
      <c r="L674" s="366" t="s">
        <v>1642</v>
      </c>
      <c r="M674" s="366" t="s">
        <v>1643</v>
      </c>
      <c r="N674" s="366" t="s">
        <v>1644</v>
      </c>
      <c r="O674" s="366" t="s">
        <v>1645</v>
      </c>
      <c r="P674" s="366" t="s">
        <v>1646</v>
      </c>
      <c r="Q674" s="366" t="s">
        <v>1647</v>
      </c>
      <c r="R674" s="366" t="s">
        <v>1648</v>
      </c>
      <c r="S674" s="741"/>
      <c r="T674" s="718"/>
      <c r="U674" s="718"/>
      <c r="V674" s="718"/>
      <c r="W674" s="362"/>
      <c r="X674" s="107"/>
      <c r="Y674" s="362"/>
      <c r="Z674" s="362"/>
      <c r="AA674" s="362"/>
      <c r="AB674" s="362"/>
      <c r="AC674" s="362"/>
      <c r="AD674" s="362"/>
      <c r="AE674" s="362"/>
      <c r="AF674" s="362"/>
      <c r="AG674" s="362"/>
      <c r="AH674" s="362"/>
      <c r="AI674" s="362"/>
      <c r="AJ674" s="362"/>
      <c r="AK674" s="362"/>
      <c r="AL674" s="362"/>
      <c r="AM674" s="363"/>
      <c r="AN674" s="363"/>
      <c r="AO674" s="363"/>
      <c r="AP674" s="363"/>
      <c r="AQ674" s="363"/>
      <c r="AR674" s="363"/>
    </row>
    <row r="675" spans="1:44" s="364" customFormat="1" ht="13.95" customHeight="1" x14ac:dyDescent="0.25">
      <c r="B675" s="365">
        <f>$B$2</f>
        <v>20180327</v>
      </c>
      <c r="C675" s="365">
        <f>$B$2</f>
        <v>20180327</v>
      </c>
      <c r="D675" s="365" t="str">
        <f>$F$5</f>
        <v>9999</v>
      </c>
      <c r="E675" s="365" t="str">
        <f>E670</f>
        <v>CZCE</v>
      </c>
      <c r="F675" s="366">
        <v>0</v>
      </c>
      <c r="G675" s="366">
        <v>0</v>
      </c>
      <c r="H675" s="366">
        <v>0</v>
      </c>
      <c r="I675" s="366">
        <v>0</v>
      </c>
      <c r="J675" s="366">
        <f>$B$2-1</f>
        <v>20180326</v>
      </c>
      <c r="K675" s="366">
        <v>7</v>
      </c>
      <c r="L675" s="366">
        <v>2</v>
      </c>
      <c r="M675" s="366">
        <v>2</v>
      </c>
      <c r="N675" s="366">
        <v>2</v>
      </c>
      <c r="O675" s="366">
        <v>1</v>
      </c>
      <c r="P675" s="367" t="s">
        <v>1649</v>
      </c>
      <c r="Q675" s="367">
        <f>$B$2</f>
        <v>20180327</v>
      </c>
      <c r="R675" s="368">
        <v>0.53385416666666663</v>
      </c>
      <c r="S675" s="387">
        <v>1</v>
      </c>
      <c r="T675" s="368" t="s">
        <v>1649</v>
      </c>
      <c r="U675" s="367"/>
      <c r="V675" s="367"/>
      <c r="W675" s="362"/>
      <c r="X675" s="107"/>
      <c r="Y675" s="362"/>
      <c r="Z675" s="362"/>
      <c r="AA675" s="362"/>
      <c r="AB675" s="362"/>
      <c r="AC675" s="362"/>
      <c r="AD675" s="362"/>
      <c r="AE675" s="362"/>
      <c r="AF675" s="362"/>
      <c r="AG675" s="362"/>
      <c r="AH675" s="362"/>
      <c r="AI675" s="362"/>
      <c r="AJ675" s="362"/>
      <c r="AK675" s="362"/>
      <c r="AL675" s="362"/>
      <c r="AM675" s="363"/>
      <c r="AN675" s="363"/>
      <c r="AO675" s="363"/>
      <c r="AP675" s="363"/>
      <c r="AQ675" s="363"/>
      <c r="AR675" s="363"/>
    </row>
    <row r="676" spans="1:44" s="9" customFormat="1" ht="13.95" customHeight="1" x14ac:dyDescent="0.25">
      <c r="A676" s="361" t="s">
        <v>359</v>
      </c>
      <c r="B676" s="361" t="s">
        <v>1627</v>
      </c>
    </row>
    <row r="677" spans="1:44" s="9" customFormat="1" ht="13.95" customHeight="1" x14ac:dyDescent="0.25">
      <c r="A677" s="369" t="s">
        <v>970</v>
      </c>
      <c r="B677" s="369" t="s">
        <v>1671</v>
      </c>
      <c r="C677" s="44"/>
    </row>
    <row r="678" spans="1:44" s="364" customFormat="1" x14ac:dyDescent="0.15">
      <c r="A678" s="361" t="s">
        <v>1628</v>
      </c>
      <c r="B678" s="704" t="s">
        <v>1672</v>
      </c>
      <c r="C678" s="705"/>
      <c r="D678" s="705"/>
      <c r="E678" s="705"/>
      <c r="F678" s="705"/>
      <c r="G678" s="705"/>
      <c r="H678" s="705"/>
      <c r="I678" s="705"/>
      <c r="J678" s="705"/>
      <c r="K678" s="705"/>
      <c r="L678" s="705"/>
      <c r="M678" s="705"/>
      <c r="N678" s="705"/>
      <c r="O678" s="705"/>
      <c r="P678" s="705"/>
      <c r="Q678" s="705"/>
      <c r="R678" s="708"/>
      <c r="S678" s="717" t="s">
        <v>1650</v>
      </c>
      <c r="T678" s="717" t="s">
        <v>1651</v>
      </c>
      <c r="U678" s="717" t="s">
        <v>1652</v>
      </c>
      <c r="V678" s="362"/>
      <c r="W678" s="107"/>
      <c r="X678" s="362"/>
      <c r="Y678" s="362"/>
      <c r="Z678" s="362"/>
      <c r="AA678" s="362"/>
      <c r="AB678" s="362"/>
      <c r="AC678" s="362"/>
      <c r="AD678" s="362"/>
      <c r="AE678" s="362"/>
      <c r="AF678" s="362"/>
      <c r="AG678" s="362"/>
      <c r="AH678" s="362"/>
      <c r="AI678" s="362"/>
      <c r="AJ678" s="362"/>
      <c r="AK678" s="362"/>
      <c r="AL678" s="363"/>
      <c r="AM678" s="363"/>
      <c r="AN678" s="363"/>
      <c r="AO678" s="363"/>
      <c r="AP678" s="363"/>
      <c r="AQ678" s="363"/>
    </row>
    <row r="679" spans="1:44" s="364" customFormat="1" ht="12" x14ac:dyDescent="0.25">
      <c r="B679" s="365" t="s">
        <v>1653</v>
      </c>
      <c r="C679" s="365" t="s">
        <v>1654</v>
      </c>
      <c r="D679" s="365" t="s">
        <v>1655</v>
      </c>
      <c r="E679" s="365" t="s">
        <v>1656</v>
      </c>
      <c r="F679" s="366" t="s">
        <v>1657</v>
      </c>
      <c r="G679" s="366" t="s">
        <v>1658</v>
      </c>
      <c r="H679" s="366" t="s">
        <v>1659</v>
      </c>
      <c r="I679" s="366" t="s">
        <v>1660</v>
      </c>
      <c r="J679" s="366" t="s">
        <v>1661</v>
      </c>
      <c r="K679" s="366" t="s">
        <v>1662</v>
      </c>
      <c r="L679" s="366" t="s">
        <v>1663</v>
      </c>
      <c r="M679" s="366" t="s">
        <v>1664</v>
      </c>
      <c r="N679" s="366" t="s">
        <v>1665</v>
      </c>
      <c r="O679" s="366" t="s">
        <v>1666</v>
      </c>
      <c r="P679" s="366" t="s">
        <v>1667</v>
      </c>
      <c r="Q679" s="366" t="s">
        <v>1668</v>
      </c>
      <c r="R679" s="366" t="s">
        <v>1669</v>
      </c>
      <c r="S679" s="718"/>
      <c r="T679" s="718"/>
      <c r="U679" s="718"/>
      <c r="V679" s="362"/>
      <c r="W679" s="107"/>
      <c r="X679" s="362"/>
      <c r="Y679" s="362"/>
      <c r="Z679" s="362"/>
      <c r="AA679" s="362"/>
      <c r="AB679" s="362"/>
      <c r="AC679" s="362"/>
      <c r="AD679" s="362"/>
      <c r="AE679" s="362"/>
      <c r="AF679" s="362"/>
      <c r="AG679" s="362"/>
      <c r="AH679" s="362"/>
      <c r="AI679" s="362"/>
      <c r="AJ679" s="362"/>
      <c r="AK679" s="362"/>
      <c r="AL679" s="363"/>
      <c r="AM679" s="363"/>
      <c r="AN679" s="363"/>
      <c r="AO679" s="363"/>
      <c r="AP679" s="363"/>
      <c r="AQ679" s="363"/>
    </row>
    <row r="680" spans="1:44" s="364" customFormat="1" ht="12" x14ac:dyDescent="0.25">
      <c r="B680" s="365">
        <f>$B$2</f>
        <v>20180327</v>
      </c>
      <c r="C680" s="365">
        <f>$B$2</f>
        <v>20180327</v>
      </c>
      <c r="D680" s="365" t="str">
        <f>$F$5</f>
        <v>9999</v>
      </c>
      <c r="E680" s="365" t="str">
        <f>E670</f>
        <v>CZCE</v>
      </c>
      <c r="F680" s="366">
        <v>0</v>
      </c>
      <c r="G680" s="366">
        <v>0</v>
      </c>
      <c r="H680" s="366">
        <v>0</v>
      </c>
      <c r="I680" s="366">
        <v>0</v>
      </c>
      <c r="J680" s="366">
        <f>$B$2-1</f>
        <v>20180326</v>
      </c>
      <c r="K680" s="366">
        <v>7</v>
      </c>
      <c r="L680" s="366">
        <v>2</v>
      </c>
      <c r="M680" s="366">
        <v>2</v>
      </c>
      <c r="N680" s="366">
        <v>2</v>
      </c>
      <c r="O680" s="366">
        <v>1</v>
      </c>
      <c r="P680" s="367" t="s">
        <v>1128</v>
      </c>
      <c r="Q680" s="367">
        <f>$B$2</f>
        <v>20180327</v>
      </c>
      <c r="R680" s="368">
        <v>0.53385416666666663</v>
      </c>
      <c r="S680" s="368" t="s">
        <v>1128</v>
      </c>
      <c r="T680" s="367"/>
      <c r="U680" s="367"/>
      <c r="V680" s="362"/>
      <c r="W680" s="107"/>
      <c r="X680" s="362"/>
      <c r="Y680" s="362"/>
      <c r="Z680" s="362"/>
      <c r="AA680" s="362"/>
      <c r="AB680" s="362"/>
      <c r="AC680" s="362"/>
      <c r="AD680" s="362"/>
      <c r="AE680" s="362"/>
      <c r="AF680" s="362"/>
      <c r="AG680" s="362"/>
      <c r="AH680" s="362"/>
      <c r="AI680" s="362"/>
      <c r="AJ680" s="362"/>
      <c r="AK680" s="362"/>
      <c r="AL680" s="363"/>
      <c r="AM680" s="363"/>
      <c r="AN680" s="363"/>
      <c r="AO680" s="363"/>
      <c r="AP680" s="363"/>
      <c r="AQ680" s="363"/>
    </row>
    <row r="681" spans="1:44" s="9" customFormat="1" ht="13.95" customHeight="1" x14ac:dyDescent="0.25">
      <c r="A681" s="361" t="s">
        <v>359</v>
      </c>
      <c r="B681" s="361" t="s">
        <v>1627</v>
      </c>
    </row>
    <row r="682" spans="1:44" s="9" customFormat="1" ht="13.95" customHeight="1" x14ac:dyDescent="0.25">
      <c r="A682" s="369" t="s">
        <v>970</v>
      </c>
      <c r="B682" s="369" t="s">
        <v>1762</v>
      </c>
      <c r="C682" s="44"/>
    </row>
    <row r="683" spans="1:44" s="364" customFormat="1" x14ac:dyDescent="0.15">
      <c r="A683" s="361" t="s">
        <v>306</v>
      </c>
      <c r="B683" s="704" t="s">
        <v>1763</v>
      </c>
      <c r="C683" s="705"/>
      <c r="D683" s="705"/>
      <c r="E683" s="705"/>
      <c r="F683" s="705"/>
      <c r="G683" s="705"/>
      <c r="H683" s="705"/>
      <c r="I683" s="705"/>
      <c r="J683" s="705"/>
      <c r="K683" s="705"/>
      <c r="L683" s="705"/>
      <c r="M683" s="705"/>
      <c r="N683" s="705"/>
      <c r="O683" s="705"/>
      <c r="P683" s="705"/>
      <c r="Q683" s="705"/>
      <c r="R683" s="708"/>
      <c r="S683" s="717" t="s">
        <v>1629</v>
      </c>
      <c r="T683" s="717" t="s">
        <v>1107</v>
      </c>
      <c r="U683" s="717" t="s">
        <v>1254</v>
      </c>
      <c r="V683" s="362"/>
      <c r="W683" s="107"/>
      <c r="X683" s="362"/>
      <c r="Y683" s="362"/>
      <c r="Z683" s="362"/>
      <c r="AA683" s="362"/>
      <c r="AB683" s="362"/>
      <c r="AC683" s="362"/>
      <c r="AD683" s="362"/>
      <c r="AE683" s="362"/>
      <c r="AF683" s="362"/>
      <c r="AG683" s="362"/>
      <c r="AH683" s="362"/>
      <c r="AI683" s="362"/>
      <c r="AJ683" s="362"/>
      <c r="AK683" s="362"/>
      <c r="AL683" s="363"/>
      <c r="AM683" s="363"/>
      <c r="AN683" s="363"/>
      <c r="AO683" s="363"/>
      <c r="AP683" s="363"/>
      <c r="AQ683" s="363"/>
    </row>
    <row r="684" spans="1:44" s="364" customFormat="1" ht="12" x14ac:dyDescent="0.25">
      <c r="B684" s="365" t="s">
        <v>1439</v>
      </c>
      <c r="C684" s="365" t="s">
        <v>1654</v>
      </c>
      <c r="D684" s="365" t="s">
        <v>1655</v>
      </c>
      <c r="E684" s="365" t="s">
        <v>1656</v>
      </c>
      <c r="F684" s="366" t="s">
        <v>1657</v>
      </c>
      <c r="G684" s="366" t="s">
        <v>1658</v>
      </c>
      <c r="H684" s="366" t="s">
        <v>1659</v>
      </c>
      <c r="I684" s="366" t="s">
        <v>1660</v>
      </c>
      <c r="J684" s="366" t="s">
        <v>1640</v>
      </c>
      <c r="K684" s="366" t="s">
        <v>1641</v>
      </c>
      <c r="L684" s="366" t="s">
        <v>1663</v>
      </c>
      <c r="M684" s="366" t="s">
        <v>1664</v>
      </c>
      <c r="N684" s="366" t="s">
        <v>1665</v>
      </c>
      <c r="O684" s="366" t="s">
        <v>1666</v>
      </c>
      <c r="P684" s="366" t="s">
        <v>1147</v>
      </c>
      <c r="Q684" s="366" t="s">
        <v>1227</v>
      </c>
      <c r="R684" s="366" t="s">
        <v>1648</v>
      </c>
      <c r="S684" s="718"/>
      <c r="T684" s="718"/>
      <c r="U684" s="718"/>
      <c r="V684" s="362"/>
      <c r="W684" s="107"/>
      <c r="X684" s="362"/>
      <c r="Y684" s="362"/>
      <c r="Z684" s="362"/>
      <c r="AA684" s="362"/>
      <c r="AB684" s="362"/>
      <c r="AC684" s="362"/>
      <c r="AD684" s="362"/>
      <c r="AE684" s="362"/>
      <c r="AF684" s="362"/>
      <c r="AG684" s="362"/>
      <c r="AH684" s="362"/>
      <c r="AI684" s="362"/>
      <c r="AJ684" s="362"/>
      <c r="AK684" s="362"/>
      <c r="AL684" s="363"/>
      <c r="AM684" s="363"/>
      <c r="AN684" s="363"/>
      <c r="AO684" s="363"/>
      <c r="AP684" s="363"/>
      <c r="AQ684" s="363"/>
    </row>
    <row r="685" spans="1:44" s="364" customFormat="1" ht="12" x14ac:dyDescent="0.25">
      <c r="B685" s="365">
        <f>$B$2</f>
        <v>20180327</v>
      </c>
      <c r="C685" s="365">
        <f>$B$2</f>
        <v>20180327</v>
      </c>
      <c r="D685" s="365" t="str">
        <f>$F$5</f>
        <v>9999</v>
      </c>
      <c r="E685" s="365" t="str">
        <f>E670</f>
        <v>CZCE</v>
      </c>
      <c r="F685" s="366">
        <v>0</v>
      </c>
      <c r="G685" s="366">
        <v>0</v>
      </c>
      <c r="H685" s="366">
        <v>0</v>
      </c>
      <c r="I685" s="366">
        <v>0</v>
      </c>
      <c r="J685" s="366">
        <f>$B$2-1</f>
        <v>20180326</v>
      </c>
      <c r="K685" s="366">
        <v>7</v>
      </c>
      <c r="L685" s="366">
        <v>2</v>
      </c>
      <c r="M685" s="366">
        <v>2</v>
      </c>
      <c r="N685" s="366">
        <v>2</v>
      </c>
      <c r="O685" s="366">
        <v>1</v>
      </c>
      <c r="P685" s="367" t="s">
        <v>1128</v>
      </c>
      <c r="Q685" s="367">
        <f>$B$2</f>
        <v>20180327</v>
      </c>
      <c r="R685" s="368">
        <v>0.53385416666666663</v>
      </c>
      <c r="S685" s="368" t="s">
        <v>1128</v>
      </c>
      <c r="T685" s="367"/>
      <c r="U685" s="367"/>
      <c r="V685" s="362"/>
      <c r="W685" s="107"/>
      <c r="X685" s="362"/>
      <c r="Y685" s="362"/>
      <c r="Z685" s="362"/>
      <c r="AA685" s="362"/>
      <c r="AB685" s="362"/>
      <c r="AC685" s="362"/>
      <c r="AD685" s="362"/>
      <c r="AE685" s="362"/>
      <c r="AF685" s="362"/>
      <c r="AG685" s="362"/>
      <c r="AH685" s="362"/>
      <c r="AI685" s="362"/>
      <c r="AJ685" s="362"/>
      <c r="AK685" s="362"/>
      <c r="AL685" s="363"/>
      <c r="AM685" s="363"/>
      <c r="AN685" s="363"/>
      <c r="AO685" s="363"/>
      <c r="AP685" s="363"/>
      <c r="AQ685" s="363"/>
    </row>
    <row r="686" spans="1:44" x14ac:dyDescent="0.25">
      <c r="A686" t="s">
        <v>359</v>
      </c>
      <c r="B686" t="s">
        <v>358</v>
      </c>
    </row>
    <row r="687" spans="1:44" x14ac:dyDescent="0.25">
      <c r="A687" t="s">
        <v>173</v>
      </c>
      <c r="B687" t="s">
        <v>1383</v>
      </c>
    </row>
    <row r="688" spans="1:44" x14ac:dyDescent="0.25">
      <c r="A688" t="s">
        <v>173</v>
      </c>
      <c r="B688" t="s">
        <v>1375</v>
      </c>
    </row>
    <row r="689" spans="1:43" x14ac:dyDescent="0.25">
      <c r="A689" s="157" t="s">
        <v>970</v>
      </c>
      <c r="B689" s="157" t="s">
        <v>971</v>
      </c>
    </row>
    <row r="690" spans="1:43" x14ac:dyDescent="0.25">
      <c r="A690" t="s">
        <v>306</v>
      </c>
      <c r="B690" s="719" t="s">
        <v>1916</v>
      </c>
      <c r="C690" s="719"/>
      <c r="D690" s="719"/>
      <c r="E690" s="719"/>
      <c r="F690" s="719"/>
      <c r="G690" s="719"/>
      <c r="H690" s="719"/>
      <c r="I690" s="719"/>
      <c r="J690" s="719"/>
      <c r="K690" s="719"/>
      <c r="L690" s="719"/>
      <c r="M690" s="719"/>
      <c r="N690" s="719"/>
      <c r="O690" s="719"/>
      <c r="P690" s="719"/>
      <c r="Q690" s="719"/>
      <c r="R690" s="719"/>
      <c r="S690" s="719"/>
      <c r="T690" s="719"/>
      <c r="U690" s="719"/>
      <c r="V690" s="719"/>
      <c r="W690" s="719"/>
      <c r="X690" s="719"/>
      <c r="Y690" s="719"/>
      <c r="Z690" s="719"/>
      <c r="AA690" s="719"/>
      <c r="AB690" s="719"/>
      <c r="AC690" s="719"/>
      <c r="AD690" s="719"/>
      <c r="AE690" s="719"/>
      <c r="AF690" s="719"/>
      <c r="AG690" s="719"/>
      <c r="AH690" s="719"/>
      <c r="AI690" s="719"/>
      <c r="AJ690" s="719"/>
      <c r="AK690" s="719"/>
      <c r="AL690" s="719"/>
      <c r="AM690" s="719"/>
      <c r="AN690" s="719"/>
      <c r="AO690" s="719"/>
      <c r="AP690" s="719"/>
      <c r="AQ690" s="719"/>
    </row>
    <row r="691" spans="1:43" ht="13.2" customHeight="1" x14ac:dyDescent="0.25">
      <c r="A691" t="s">
        <v>359</v>
      </c>
      <c r="B691" s="7" t="s">
        <v>369</v>
      </c>
      <c r="C691" s="7" t="s">
        <v>289</v>
      </c>
      <c r="D691" s="7" t="s">
        <v>308</v>
      </c>
      <c r="E691" s="7" t="s">
        <v>286</v>
      </c>
      <c r="F691" s="7" t="s">
        <v>287</v>
      </c>
      <c r="G691" s="7" t="s">
        <v>120</v>
      </c>
      <c r="H691" s="7" t="s">
        <v>309</v>
      </c>
      <c r="I691" s="29" t="s">
        <v>365</v>
      </c>
      <c r="J691" s="7" t="s">
        <v>326</v>
      </c>
      <c r="K691" s="12" t="s">
        <v>290</v>
      </c>
      <c r="L691" s="7" t="s">
        <v>52</v>
      </c>
      <c r="M691" s="7" t="s">
        <v>7</v>
      </c>
      <c r="N691" s="7" t="s">
        <v>8</v>
      </c>
      <c r="O691" s="12" t="s">
        <v>294</v>
      </c>
      <c r="P691" s="7" t="s">
        <v>9</v>
      </c>
      <c r="Q691" s="100" t="s">
        <v>10</v>
      </c>
      <c r="R691" s="7" t="s">
        <v>335</v>
      </c>
      <c r="S691" s="100" t="s">
        <v>11</v>
      </c>
      <c r="T691" s="7" t="s">
        <v>310</v>
      </c>
      <c r="U691" s="7" t="s">
        <v>339</v>
      </c>
      <c r="V691" s="7" t="s">
        <v>340</v>
      </c>
      <c r="W691" s="7" t="s">
        <v>341</v>
      </c>
      <c r="X691" s="7" t="s">
        <v>342</v>
      </c>
      <c r="Y691" s="7" t="s">
        <v>297</v>
      </c>
      <c r="Z691" s="7" t="s">
        <v>298</v>
      </c>
      <c r="AA691" s="7" t="s">
        <v>316</v>
      </c>
      <c r="AB691" s="7" t="s">
        <v>315</v>
      </c>
      <c r="AC691" s="7" t="s">
        <v>318</v>
      </c>
      <c r="AD691" s="7" t="s">
        <v>319</v>
      </c>
      <c r="AE691" s="7" t="s">
        <v>343</v>
      </c>
      <c r="AF691" s="7" t="s">
        <v>314</v>
      </c>
      <c r="AG691" s="7" t="s">
        <v>313</v>
      </c>
      <c r="AH691" s="7" t="s">
        <v>191</v>
      </c>
      <c r="AI691" s="7" t="s">
        <v>347</v>
      </c>
      <c r="AJ691" s="7" t="s">
        <v>351</v>
      </c>
      <c r="AK691" s="7" t="s">
        <v>352</v>
      </c>
      <c r="AL691" s="7" t="s">
        <v>355</v>
      </c>
      <c r="AM691" s="7" t="s">
        <v>1013</v>
      </c>
      <c r="AN691" s="7" t="s">
        <v>226</v>
      </c>
      <c r="AO691" s="123" t="s">
        <v>1090</v>
      </c>
      <c r="AP691" s="123" t="s">
        <v>1091</v>
      </c>
      <c r="AQ691" s="123" t="s">
        <v>1092</v>
      </c>
    </row>
    <row r="692" spans="1:43" x14ac:dyDescent="0.25">
      <c r="B692" s="7" t="s">
        <v>370</v>
      </c>
      <c r="C692" s="7" t="s">
        <v>324</v>
      </c>
      <c r="D692" s="7" t="s">
        <v>308</v>
      </c>
      <c r="E692" s="7" t="s">
        <v>321</v>
      </c>
      <c r="F692" s="7" t="s">
        <v>322</v>
      </c>
      <c r="G692" s="7" t="s">
        <v>323</v>
      </c>
      <c r="H692" s="7" t="s">
        <v>309</v>
      </c>
      <c r="I692" s="29" t="s">
        <v>325</v>
      </c>
      <c r="J692" s="7" t="s">
        <v>326</v>
      </c>
      <c r="K692" s="12" t="s">
        <v>327</v>
      </c>
      <c r="L692" s="7" t="s">
        <v>328</v>
      </c>
      <c r="M692" s="7" t="s">
        <v>329</v>
      </c>
      <c r="N692" s="7" t="s">
        <v>330</v>
      </c>
      <c r="O692" s="12" t="s">
        <v>331</v>
      </c>
      <c r="P692" s="7" t="s">
        <v>332</v>
      </c>
      <c r="Q692" s="100" t="s">
        <v>333</v>
      </c>
      <c r="R692" s="7" t="s">
        <v>335</v>
      </c>
      <c r="S692" s="100" t="s">
        <v>334</v>
      </c>
      <c r="T692" s="7" t="s">
        <v>310</v>
      </c>
      <c r="U692" s="7" t="s">
        <v>339</v>
      </c>
      <c r="V692" s="7" t="s">
        <v>340</v>
      </c>
      <c r="W692" s="7" t="s">
        <v>341</v>
      </c>
      <c r="X692" s="7" t="s">
        <v>342</v>
      </c>
      <c r="Y692" s="7" t="s">
        <v>337</v>
      </c>
      <c r="Z692" s="7" t="s">
        <v>338</v>
      </c>
      <c r="AA692" s="7" t="s">
        <v>316</v>
      </c>
      <c r="AB692" s="7" t="s">
        <v>315</v>
      </c>
      <c r="AC692" s="7" t="s">
        <v>318</v>
      </c>
      <c r="AD692" s="7" t="s">
        <v>319</v>
      </c>
      <c r="AE692" s="7" t="s">
        <v>343</v>
      </c>
      <c r="AF692" s="7" t="s">
        <v>344</v>
      </c>
      <c r="AG692" s="7" t="s">
        <v>313</v>
      </c>
      <c r="AH692" s="7" t="s">
        <v>346</v>
      </c>
      <c r="AI692" s="7" t="s">
        <v>345</v>
      </c>
      <c r="AJ692" s="7" t="s">
        <v>353</v>
      </c>
      <c r="AK692" s="7" t="s">
        <v>354</v>
      </c>
      <c r="AL692" s="7" t="s">
        <v>355</v>
      </c>
      <c r="AM692" s="7" t="s">
        <v>1012</v>
      </c>
      <c r="AN692" s="7" t="s">
        <v>362</v>
      </c>
      <c r="AO692" s="123" t="s">
        <v>1090</v>
      </c>
      <c r="AP692" s="123" t="s">
        <v>1091</v>
      </c>
      <c r="AQ692" s="123" t="s">
        <v>1092</v>
      </c>
    </row>
    <row r="693" spans="1:43" s="156" customFormat="1" x14ac:dyDescent="0.25">
      <c r="A693" s="156" t="str">
        <f>IF(Q693=0,"comment","")</f>
        <v>comment</v>
      </c>
      <c r="B693" s="112" t="str">
        <f>IF(AND(D693&lt;&gt;"",Q693&lt;&gt;0),CONCATENATE(C693,D693,N693),"")</f>
        <v/>
      </c>
      <c r="C693" s="154" t="str">
        <f>IF(H693=99999999,CONCATENATE(H693,I693),CONCATENATE(I693,H693))</f>
        <v>2018032710000010</v>
      </c>
      <c r="D693" s="653" t="str">
        <f>'day1'!B709</f>
        <v>2018032610000019</v>
      </c>
      <c r="E693" s="112" t="str">
        <f>$B$5</f>
        <v>6001</v>
      </c>
      <c r="F693" s="112" t="str">
        <f>VLOOKUP(E693,$B$5:$C$5,2)</f>
        <v>B00101</v>
      </c>
      <c r="G693" s="112" t="str">
        <f>VLOOKUP(F693,$C$5:$D$6,2)</f>
        <v>6001</v>
      </c>
      <c r="H693" s="112">
        <v>10000010</v>
      </c>
      <c r="I693" s="642">
        <f>$B$2</f>
        <v>20180327</v>
      </c>
      <c r="J693" s="155">
        <f>I693</f>
        <v>20180327</v>
      </c>
      <c r="K693" s="112" t="str">
        <f>$B$19</f>
        <v>CZCE</v>
      </c>
      <c r="L693" s="112" t="str">
        <f>$C$19</f>
        <v>SR807</v>
      </c>
      <c r="M693" s="112">
        <f t="shared" ref="M693:M741" si="43">VLOOKUP(L693,$C$19:$E$29,3,FALSE)</f>
        <v>10</v>
      </c>
      <c r="N693" s="112">
        <v>1</v>
      </c>
      <c r="O693" s="112">
        <v>1</v>
      </c>
      <c r="P693" s="112">
        <f>'day1'!L709</f>
        <v>1</v>
      </c>
      <c r="Q693" s="112">
        <v>0</v>
      </c>
      <c r="R693" s="112">
        <f>'day1'!Y709</f>
        <v>6109</v>
      </c>
      <c r="S693" s="112">
        <v>6110</v>
      </c>
      <c r="T693" s="112">
        <f t="shared" ref="T693:T724" si="44">VLOOKUP(L693,$C$230:$I$242,2,FALSE)</f>
        <v>6150</v>
      </c>
      <c r="U693" s="324">
        <f>VLOOKUP(AF693,$G$75:$K$114,2,FALSE)</f>
        <v>4.0000000000000002E-4</v>
      </c>
      <c r="V693" s="112">
        <f>VLOOKUP(AF693,$G$75:$K$114,3,FALSE)</f>
        <v>4</v>
      </c>
      <c r="W693" s="112">
        <f>VLOOKUP(AF693,$G$75:$K$114,4,FALSE)</f>
        <v>2.9999999999999997E-4</v>
      </c>
      <c r="X693" s="112">
        <f>VLOOKUP(AF693,$G$75:$K$114,5,FALSE)</f>
        <v>3</v>
      </c>
      <c r="Y693" s="324">
        <f>M693*Q693*S693*U693+Q693*V693</f>
        <v>0</v>
      </c>
      <c r="Z693" s="324">
        <f>M693*Q693*S693*W693+Q693*X693</f>
        <v>0</v>
      </c>
      <c r="AA693" s="654">
        <f>ROUND(Y693,3)</f>
        <v>0</v>
      </c>
      <c r="AB693" s="654">
        <f>ROUND(Z693,3)</f>
        <v>0</v>
      </c>
      <c r="AC693" s="324">
        <f>IF(N693=0,0,IF(I693=J693,IF(O693=1,M693*Q693*(S693-R693),-M693*Q693*(S693-R693)),IF(O693=1,M693*Q693*(S693-T693),-M693*Q693*(S693-T693))))</f>
        <v>0</v>
      </c>
      <c r="AD693" s="324">
        <f>IF(N693=0,0,(IF(O693=1,M693*Q693*(S693-R693),-M693*Q693*(S693-R693))))</f>
        <v>0</v>
      </c>
      <c r="AE693" s="112">
        <f>M693*Q693*S693</f>
        <v>0</v>
      </c>
      <c r="AF693" s="154" t="str">
        <f t="shared" ref="AF693:AF761" si="45">L693&amp;INT(P693)&amp;INT(N693)</f>
        <v>SR80711</v>
      </c>
      <c r="AG693" s="324" t="s">
        <v>311</v>
      </c>
      <c r="AH693" s="112" t="str">
        <f>$F$5</f>
        <v>9999</v>
      </c>
      <c r="AI693" s="112" t="str">
        <f t="shared" ref="AI693:AI729" si="46">VLOOKUP(F693,$C$5:$G$6,5,FALSE)</f>
        <v>50010001</v>
      </c>
      <c r="AJ693" s="112">
        <f>IF(AM693=0,0,IF(O693=1,M693*Q693*S693,0))</f>
        <v>0</v>
      </c>
      <c r="AK693" s="112">
        <f>IF(AM693=0,0,IF(O693=0,M693*Q693*S693,0))</f>
        <v>0</v>
      </c>
      <c r="AL693" s="112">
        <f t="shared" ref="AL693:AL710" si="47" xml:space="preserve"> VLOOKUP(L693,$C$19:$K$29,9,FALSE)</f>
        <v>0</v>
      </c>
      <c r="AM693" s="112">
        <f t="shared" ref="AM693:AM710" si="48">VLOOKUP(L693,$C$19:$L$29,10,FALSE)</f>
        <v>0</v>
      </c>
      <c r="AN693" s="112" t="str">
        <f>$D$9</f>
        <v>CNY</v>
      </c>
      <c r="AO693" s="156">
        <f>VLOOKUP(AF693,$G$75:$M$114,6,FALSE)</f>
        <v>2.0000000000000001E-4</v>
      </c>
      <c r="AP693" s="156">
        <f>VLOOKUP(AF693,$G$75:$M$114,7,FALSE)</f>
        <v>2</v>
      </c>
      <c r="AQ693" s="156">
        <f>ROUND(M693*Q693*S693*AO693+Q693*AP693,2)</f>
        <v>0</v>
      </c>
    </row>
    <row r="694" spans="1:43" s="156" customFormat="1" x14ac:dyDescent="0.25">
      <c r="A694" s="156" t="str">
        <f t="shared" ref="A694:A727" si="49">IF(Q694=0,"comment","")</f>
        <v/>
      </c>
      <c r="B694" s="112" t="str">
        <f t="shared" ref="B694:B761" si="50">IF(AND(D694&lt;&gt;"",Q694&lt;&gt;0),CONCATENATE(C694,D694,N694),"")</f>
        <v>201803271000001120180326100000201</v>
      </c>
      <c r="C694" s="154" t="str">
        <f t="shared" ref="C694:C761" si="51">IF(H694=99999999,CONCATENATE(H694,I694),CONCATENATE(I694,H694))</f>
        <v>2018032710000011</v>
      </c>
      <c r="D694" s="653" t="str">
        <f>'day1'!B710</f>
        <v>2018032610000020</v>
      </c>
      <c r="E694" s="112" t="str">
        <f t="shared" ref="E694:E739" si="52">$B$5</f>
        <v>6001</v>
      </c>
      <c r="F694" s="112" t="str">
        <f t="shared" ref="F694:F729" si="53">VLOOKUP(E694,$B$5:$C$5,2)</f>
        <v>B00101</v>
      </c>
      <c r="G694" s="112" t="str">
        <f t="shared" ref="G694:G729" si="54">VLOOKUP(F694,$C$5:$D$6,2)</f>
        <v>6001</v>
      </c>
      <c r="H694" s="112">
        <v>10000011</v>
      </c>
      <c r="I694" s="642">
        <f>$B$2</f>
        <v>20180327</v>
      </c>
      <c r="J694" s="155">
        <f>'day1'!G710</f>
        <v>20180326</v>
      </c>
      <c r="K694" s="112" t="str">
        <f t="shared" ref="K694:K761" si="55">$B$19</f>
        <v>CZCE</v>
      </c>
      <c r="L694" s="112" t="str">
        <f>$C$19</f>
        <v>SR807</v>
      </c>
      <c r="M694" s="112">
        <f t="shared" si="43"/>
        <v>10</v>
      </c>
      <c r="N694" s="112">
        <v>1</v>
      </c>
      <c r="O694" s="112">
        <v>1</v>
      </c>
      <c r="P694" s="112">
        <f>'day1'!L710</f>
        <v>1</v>
      </c>
      <c r="Q694" s="112">
        <v>8</v>
      </c>
      <c r="R694" s="112">
        <f>'day1'!Y710</f>
        <v>6110</v>
      </c>
      <c r="S694" s="112">
        <v>6110</v>
      </c>
      <c r="T694" s="112">
        <f t="shared" si="44"/>
        <v>6150</v>
      </c>
      <c r="U694" s="324">
        <f t="shared" ref="U694:U729" si="56">VLOOKUP(AF694,$G$75:$K$114,2,FALSE)</f>
        <v>4.0000000000000002E-4</v>
      </c>
      <c r="V694" s="112">
        <f t="shared" ref="V694:V729" si="57">VLOOKUP(AF694,$G$75:$K$114,3,FALSE)</f>
        <v>4</v>
      </c>
      <c r="W694" s="112">
        <f t="shared" ref="W694:W729" si="58">VLOOKUP(AF694,$G$75:$K$114,4,FALSE)</f>
        <v>2.9999999999999997E-4</v>
      </c>
      <c r="X694" s="112">
        <f t="shared" ref="X694:X729" si="59">VLOOKUP(AF694,$G$75:$K$114,5,FALSE)</f>
        <v>3</v>
      </c>
      <c r="Y694" s="324">
        <f t="shared" ref="Y694:Y760" si="60">M694*Q694*S694*U694+Q694*V694</f>
        <v>227.52</v>
      </c>
      <c r="Z694" s="324">
        <f t="shared" ref="Z694:Z760" si="61">M694*Q694*S694*W694+Q694*X694</f>
        <v>170.64</v>
      </c>
      <c r="AA694" s="654">
        <f t="shared" ref="AA694:AA738" si="62">ROUND(Y694,3)</f>
        <v>227.52</v>
      </c>
      <c r="AB694" s="654">
        <f t="shared" ref="AB694:AB761" si="63">ROUND(Z694,3)</f>
        <v>170.64</v>
      </c>
      <c r="AC694" s="324">
        <f t="shared" ref="AC694:AC739" si="64">IF(N694=0,0,IF(I694=J694,IF(O694=1,M694*Q694*(S694-R694),-M694*Q694*(S694-R694)),IF(O694=1,M694*Q694*(S694-T694),-M694*Q694*(S694-T694))))</f>
        <v>-3200</v>
      </c>
      <c r="AD694" s="324">
        <f t="shared" ref="AD694:AD739" si="65">IF(N694=0,0,(IF(O694=1,M694*Q694*(S694-R694),-M694*Q694*(S694-R694))))</f>
        <v>0</v>
      </c>
      <c r="AE694" s="112">
        <f t="shared" ref="AE694:AE761" si="66">M694*Q694*S694</f>
        <v>488800</v>
      </c>
      <c r="AF694" s="154" t="str">
        <f t="shared" si="45"/>
        <v>SR80711</v>
      </c>
      <c r="AG694" s="324" t="s">
        <v>311</v>
      </c>
      <c r="AH694" s="112" t="str">
        <f t="shared" ref="AH694:AH741" si="67">$F$5</f>
        <v>9999</v>
      </c>
      <c r="AI694" s="112" t="str">
        <f t="shared" si="46"/>
        <v>50010001</v>
      </c>
      <c r="AJ694" s="112">
        <f t="shared" ref="AJ694:AJ761" si="68">IF(AM694=0,0,IF(O694=1,M694*Q694*S694,0))</f>
        <v>0</v>
      </c>
      <c r="AK694" s="112">
        <f t="shared" ref="AK694:AK761" si="69">IF(AM694=0,0,IF(O694=0,M694*Q694*S694,0))</f>
        <v>0</v>
      </c>
      <c r="AL694" s="112">
        <f t="shared" si="47"/>
        <v>0</v>
      </c>
      <c r="AM694" s="112">
        <f t="shared" si="48"/>
        <v>0</v>
      </c>
      <c r="AN694" s="112" t="str">
        <f t="shared" ref="AN694:AN741" si="70">$D$9</f>
        <v>CNY</v>
      </c>
      <c r="AO694" s="156">
        <f t="shared" ref="AO694:AO729" si="71">VLOOKUP(AF694,$G$75:$M$114,6,FALSE)</f>
        <v>2.0000000000000001E-4</v>
      </c>
      <c r="AP694" s="156">
        <f t="shared" ref="AP694:AP729" si="72">VLOOKUP(AF694,$G$75:$M$114,7,FALSE)</f>
        <v>2</v>
      </c>
      <c r="AQ694" s="156">
        <f t="shared" ref="AQ694:AQ761" si="73">ROUND(M694*Q694*S694*AO694+Q694*AP694,2)</f>
        <v>113.76</v>
      </c>
    </row>
    <row r="695" spans="1:43" s="156" customFormat="1" x14ac:dyDescent="0.25">
      <c r="A695" s="156" t="str">
        <f t="shared" si="49"/>
        <v>comment</v>
      </c>
      <c r="B695" s="112" t="str">
        <f t="shared" si="50"/>
        <v/>
      </c>
      <c r="C695" s="154" t="str">
        <f t="shared" si="51"/>
        <v>2018032710000012</v>
      </c>
      <c r="D695" s="653" t="str">
        <f>'day1'!B721</f>
        <v>2018032610000050</v>
      </c>
      <c r="E695" s="112" t="str">
        <f t="shared" si="52"/>
        <v>6001</v>
      </c>
      <c r="F695" s="112" t="str">
        <f t="shared" si="53"/>
        <v>B00101</v>
      </c>
      <c r="G695" s="112" t="str">
        <f t="shared" si="54"/>
        <v>6001</v>
      </c>
      <c r="H695" s="112">
        <v>10000012</v>
      </c>
      <c r="I695" s="642">
        <f t="shared" ref="I695:I761" si="74">$B$2</f>
        <v>20180327</v>
      </c>
      <c r="J695" s="155">
        <f>'day1'!G721</f>
        <v>20180326</v>
      </c>
      <c r="K695" s="112" t="str">
        <f t="shared" si="55"/>
        <v>CZCE</v>
      </c>
      <c r="L695" s="112" t="str">
        <f t="shared" ref="L695:L711" si="75">$C$19</f>
        <v>SR807</v>
      </c>
      <c r="M695" s="112">
        <f t="shared" si="43"/>
        <v>10</v>
      </c>
      <c r="N695" s="112">
        <v>1</v>
      </c>
      <c r="O695" s="112">
        <v>1</v>
      </c>
      <c r="P695" s="112">
        <v>1</v>
      </c>
      <c r="Q695" s="112">
        <v>0</v>
      </c>
      <c r="R695" s="112">
        <f>'day1'!Y721</f>
        <v>6400</v>
      </c>
      <c r="S695" s="112">
        <v>6110</v>
      </c>
      <c r="T695" s="112">
        <f t="shared" si="44"/>
        <v>6150</v>
      </c>
      <c r="U695" s="324">
        <f t="shared" si="56"/>
        <v>4.0000000000000002E-4</v>
      </c>
      <c r="V695" s="112">
        <f t="shared" si="57"/>
        <v>4</v>
      </c>
      <c r="W695" s="112">
        <f t="shared" si="58"/>
        <v>2.9999999999999997E-4</v>
      </c>
      <c r="X695" s="112">
        <f t="shared" si="59"/>
        <v>3</v>
      </c>
      <c r="Y695" s="324">
        <f t="shared" si="60"/>
        <v>0</v>
      </c>
      <c r="Z695" s="324">
        <f t="shared" si="61"/>
        <v>0</v>
      </c>
      <c r="AA695" s="654">
        <f t="shared" si="62"/>
        <v>0</v>
      </c>
      <c r="AB695" s="654">
        <f t="shared" si="63"/>
        <v>0</v>
      </c>
      <c r="AC695" s="324">
        <f t="shared" si="64"/>
        <v>0</v>
      </c>
      <c r="AD695" s="324">
        <f t="shared" si="65"/>
        <v>0</v>
      </c>
      <c r="AE695" s="112">
        <f t="shared" si="66"/>
        <v>0</v>
      </c>
      <c r="AF695" s="154" t="str">
        <f t="shared" si="45"/>
        <v>SR80711</v>
      </c>
      <c r="AG695" s="324" t="s">
        <v>311</v>
      </c>
      <c r="AH695" s="112" t="str">
        <f t="shared" si="67"/>
        <v>9999</v>
      </c>
      <c r="AI695" s="112" t="str">
        <f t="shared" si="46"/>
        <v>50010001</v>
      </c>
      <c r="AJ695" s="112">
        <f t="shared" si="68"/>
        <v>0</v>
      </c>
      <c r="AK695" s="112">
        <f t="shared" si="69"/>
        <v>0</v>
      </c>
      <c r="AL695" s="112">
        <f t="shared" si="47"/>
        <v>0</v>
      </c>
      <c r="AM695" s="112">
        <f t="shared" si="48"/>
        <v>0</v>
      </c>
      <c r="AN695" s="112" t="str">
        <f t="shared" si="70"/>
        <v>CNY</v>
      </c>
      <c r="AO695" s="156">
        <f t="shared" si="71"/>
        <v>2.0000000000000001E-4</v>
      </c>
      <c r="AP695" s="156">
        <f t="shared" si="72"/>
        <v>2</v>
      </c>
      <c r="AQ695" s="156">
        <f t="shared" si="73"/>
        <v>0</v>
      </c>
    </row>
    <row r="696" spans="1:43" s="156" customFormat="1" x14ac:dyDescent="0.25">
      <c r="A696" s="156" t="str">
        <f t="shared" si="49"/>
        <v>comment</v>
      </c>
      <c r="B696" s="112" t="str">
        <f t="shared" si="50"/>
        <v/>
      </c>
      <c r="C696" s="154" t="str">
        <f t="shared" si="51"/>
        <v>2018032710000013</v>
      </c>
      <c r="D696" s="653" t="str">
        <f>'day1'!B725</f>
        <v>2018032610000054</v>
      </c>
      <c r="E696" s="112" t="str">
        <f t="shared" si="52"/>
        <v>6001</v>
      </c>
      <c r="F696" s="112" t="str">
        <f t="shared" si="53"/>
        <v>B00101</v>
      </c>
      <c r="G696" s="112" t="str">
        <f t="shared" si="54"/>
        <v>6001</v>
      </c>
      <c r="H696" s="112">
        <v>10000013</v>
      </c>
      <c r="I696" s="642">
        <f t="shared" si="74"/>
        <v>20180327</v>
      </c>
      <c r="J696" s="155">
        <f>'day1'!G725</f>
        <v>20180326</v>
      </c>
      <c r="K696" s="112" t="str">
        <f t="shared" si="55"/>
        <v>CZCE</v>
      </c>
      <c r="L696" s="112" t="str">
        <f t="shared" si="75"/>
        <v>SR807</v>
      </c>
      <c r="M696" s="112">
        <f t="shared" si="43"/>
        <v>10</v>
      </c>
      <c r="N696" s="112">
        <v>1</v>
      </c>
      <c r="O696" s="112">
        <v>1</v>
      </c>
      <c r="P696" s="112">
        <v>1</v>
      </c>
      <c r="Q696" s="112">
        <v>0</v>
      </c>
      <c r="R696" s="112">
        <f>'day1'!Y725</f>
        <v>6500</v>
      </c>
      <c r="S696" s="112">
        <v>6110</v>
      </c>
      <c r="T696" s="112">
        <f t="shared" si="44"/>
        <v>6150</v>
      </c>
      <c r="U696" s="324">
        <f t="shared" si="56"/>
        <v>4.0000000000000002E-4</v>
      </c>
      <c r="V696" s="112">
        <f t="shared" si="57"/>
        <v>4</v>
      </c>
      <c r="W696" s="112">
        <f t="shared" si="58"/>
        <v>2.9999999999999997E-4</v>
      </c>
      <c r="X696" s="112">
        <f t="shared" si="59"/>
        <v>3</v>
      </c>
      <c r="Y696" s="324">
        <f t="shared" si="60"/>
        <v>0</v>
      </c>
      <c r="Z696" s="324">
        <f t="shared" si="61"/>
        <v>0</v>
      </c>
      <c r="AA696" s="654">
        <f t="shared" si="62"/>
        <v>0</v>
      </c>
      <c r="AB696" s="654">
        <f t="shared" si="63"/>
        <v>0</v>
      </c>
      <c r="AC696" s="324">
        <f t="shared" si="64"/>
        <v>0</v>
      </c>
      <c r="AD696" s="324">
        <f t="shared" si="65"/>
        <v>0</v>
      </c>
      <c r="AE696" s="112">
        <f t="shared" si="66"/>
        <v>0</v>
      </c>
      <c r="AF696" s="154" t="str">
        <f t="shared" si="45"/>
        <v>SR80711</v>
      </c>
      <c r="AG696" s="324" t="s">
        <v>311</v>
      </c>
      <c r="AH696" s="112" t="str">
        <f t="shared" si="67"/>
        <v>9999</v>
      </c>
      <c r="AI696" s="112" t="str">
        <f t="shared" si="46"/>
        <v>50010001</v>
      </c>
      <c r="AJ696" s="112">
        <f t="shared" si="68"/>
        <v>0</v>
      </c>
      <c r="AK696" s="112">
        <f t="shared" si="69"/>
        <v>0</v>
      </c>
      <c r="AL696" s="112">
        <f t="shared" si="47"/>
        <v>0</v>
      </c>
      <c r="AM696" s="112">
        <f t="shared" si="48"/>
        <v>0</v>
      </c>
      <c r="AN696" s="112" t="str">
        <f t="shared" si="70"/>
        <v>CNY</v>
      </c>
      <c r="AO696" s="156">
        <f t="shared" si="71"/>
        <v>2.0000000000000001E-4</v>
      </c>
      <c r="AP696" s="156">
        <f t="shared" si="72"/>
        <v>2</v>
      </c>
      <c r="AQ696" s="156">
        <f t="shared" si="73"/>
        <v>0</v>
      </c>
    </row>
    <row r="697" spans="1:43" s="156" customFormat="1" x14ac:dyDescent="0.25">
      <c r="A697" s="156" t="str">
        <f t="shared" si="49"/>
        <v/>
      </c>
      <c r="B697" s="112" t="str">
        <f t="shared" si="50"/>
        <v>201803271000001420180326100000181</v>
      </c>
      <c r="C697" s="154" t="str">
        <f t="shared" si="51"/>
        <v>2018032710000014</v>
      </c>
      <c r="D697" s="653" t="str">
        <f>'day1'!B708</f>
        <v>2018032610000018</v>
      </c>
      <c r="E697" s="112" t="str">
        <f t="shared" si="52"/>
        <v>6001</v>
      </c>
      <c r="F697" s="112" t="str">
        <f t="shared" si="53"/>
        <v>B00101</v>
      </c>
      <c r="G697" s="112" t="str">
        <f t="shared" si="54"/>
        <v>6001</v>
      </c>
      <c r="H697" s="112">
        <v>10000014</v>
      </c>
      <c r="I697" s="642">
        <f>$B$2</f>
        <v>20180327</v>
      </c>
      <c r="J697" s="155">
        <f>'day1'!G708</f>
        <v>20180326</v>
      </c>
      <c r="K697" s="112" t="str">
        <f t="shared" si="55"/>
        <v>CZCE</v>
      </c>
      <c r="L697" s="112" t="str">
        <f t="shared" si="75"/>
        <v>SR807</v>
      </c>
      <c r="M697" s="112">
        <f t="shared" si="43"/>
        <v>10</v>
      </c>
      <c r="N697" s="112">
        <v>1</v>
      </c>
      <c r="O697" s="112">
        <v>1</v>
      </c>
      <c r="P697" s="112">
        <v>3</v>
      </c>
      <c r="Q697" s="112">
        <v>2</v>
      </c>
      <c r="R697" s="112">
        <f>'day1'!Y708</f>
        <v>6108</v>
      </c>
      <c r="S697" s="112">
        <v>6110</v>
      </c>
      <c r="T697" s="112">
        <f t="shared" si="44"/>
        <v>6150</v>
      </c>
      <c r="U697" s="324">
        <f t="shared" si="56"/>
        <v>4.0000000000000002E-4</v>
      </c>
      <c r="V697" s="112">
        <f t="shared" si="57"/>
        <v>4</v>
      </c>
      <c r="W697" s="112">
        <f t="shared" si="58"/>
        <v>3.9999999999999996E-4</v>
      </c>
      <c r="X697" s="112">
        <f t="shared" si="59"/>
        <v>4</v>
      </c>
      <c r="Y697" s="324">
        <f t="shared" si="60"/>
        <v>56.88</v>
      </c>
      <c r="Z697" s="324">
        <f t="shared" si="61"/>
        <v>56.879999999999995</v>
      </c>
      <c r="AA697" s="654">
        <f t="shared" si="62"/>
        <v>56.88</v>
      </c>
      <c r="AB697" s="654">
        <f t="shared" si="63"/>
        <v>56.88</v>
      </c>
      <c r="AC697" s="324">
        <f t="shared" si="64"/>
        <v>-800</v>
      </c>
      <c r="AD697" s="324">
        <f t="shared" si="65"/>
        <v>40</v>
      </c>
      <c r="AE697" s="112">
        <f t="shared" si="66"/>
        <v>122200</v>
      </c>
      <c r="AF697" s="154" t="str">
        <f t="shared" si="45"/>
        <v>SR80731</v>
      </c>
      <c r="AG697" s="324" t="s">
        <v>311</v>
      </c>
      <c r="AH697" s="112" t="str">
        <f t="shared" si="67"/>
        <v>9999</v>
      </c>
      <c r="AI697" s="112" t="str">
        <f t="shared" si="46"/>
        <v>50010001</v>
      </c>
      <c r="AJ697" s="112">
        <f t="shared" si="68"/>
        <v>0</v>
      </c>
      <c r="AK697" s="112">
        <f t="shared" si="69"/>
        <v>0</v>
      </c>
      <c r="AL697" s="112">
        <f t="shared" si="47"/>
        <v>0</v>
      </c>
      <c r="AM697" s="112">
        <f t="shared" si="48"/>
        <v>0</v>
      </c>
      <c r="AN697" s="112" t="str">
        <f t="shared" si="70"/>
        <v>CNY</v>
      </c>
      <c r="AO697" s="156">
        <f t="shared" si="71"/>
        <v>2.0000000000000001E-4</v>
      </c>
      <c r="AP697" s="156">
        <f t="shared" si="72"/>
        <v>2</v>
      </c>
      <c r="AQ697" s="156">
        <f t="shared" si="73"/>
        <v>28.44</v>
      </c>
    </row>
    <row r="698" spans="1:43" s="156" customFormat="1" x14ac:dyDescent="0.25">
      <c r="A698" s="156" t="str">
        <f t="shared" si="49"/>
        <v>comment</v>
      </c>
      <c r="B698" s="112" t="str">
        <f t="shared" si="50"/>
        <v/>
      </c>
      <c r="C698" s="154" t="str">
        <f t="shared" si="51"/>
        <v>2018032710000015</v>
      </c>
      <c r="D698" s="653" t="str">
        <f>'day1'!B722</f>
        <v>2018032610000051</v>
      </c>
      <c r="E698" s="112" t="str">
        <f t="shared" si="52"/>
        <v>6001</v>
      </c>
      <c r="F698" s="112" t="str">
        <f t="shared" si="53"/>
        <v>B00101</v>
      </c>
      <c r="G698" s="112" t="str">
        <f t="shared" si="54"/>
        <v>6001</v>
      </c>
      <c r="H698" s="112">
        <v>10000015</v>
      </c>
      <c r="I698" s="642">
        <f t="shared" si="74"/>
        <v>20180327</v>
      </c>
      <c r="J698" s="155">
        <f>'day1'!G722</f>
        <v>20180326</v>
      </c>
      <c r="K698" s="112" t="str">
        <f t="shared" si="55"/>
        <v>CZCE</v>
      </c>
      <c r="L698" s="112" t="str">
        <f t="shared" si="75"/>
        <v>SR807</v>
      </c>
      <c r="M698" s="112">
        <f t="shared" si="43"/>
        <v>10</v>
      </c>
      <c r="N698" s="112">
        <v>1</v>
      </c>
      <c r="O698" s="112">
        <v>1</v>
      </c>
      <c r="P698" s="112">
        <v>3</v>
      </c>
      <c r="Q698" s="112">
        <v>0</v>
      </c>
      <c r="R698" s="112">
        <f>'day1'!Y722</f>
        <v>6400</v>
      </c>
      <c r="S698" s="112">
        <v>6110</v>
      </c>
      <c r="T698" s="112">
        <f t="shared" si="44"/>
        <v>6150</v>
      </c>
      <c r="U698" s="324">
        <f t="shared" si="56"/>
        <v>4.0000000000000002E-4</v>
      </c>
      <c r="V698" s="112">
        <f t="shared" si="57"/>
        <v>4</v>
      </c>
      <c r="W698" s="112">
        <f t="shared" si="58"/>
        <v>3.9999999999999996E-4</v>
      </c>
      <c r="X698" s="112">
        <f t="shared" si="59"/>
        <v>4</v>
      </c>
      <c r="Y698" s="324">
        <f t="shared" si="60"/>
        <v>0</v>
      </c>
      <c r="Z698" s="324">
        <f t="shared" si="61"/>
        <v>0</v>
      </c>
      <c r="AA698" s="654">
        <f t="shared" si="62"/>
        <v>0</v>
      </c>
      <c r="AB698" s="654">
        <f t="shared" si="63"/>
        <v>0</v>
      </c>
      <c r="AC698" s="324">
        <f t="shared" si="64"/>
        <v>0</v>
      </c>
      <c r="AD698" s="324">
        <f t="shared" si="65"/>
        <v>0</v>
      </c>
      <c r="AE698" s="112">
        <f t="shared" si="66"/>
        <v>0</v>
      </c>
      <c r="AF698" s="154" t="str">
        <f t="shared" si="45"/>
        <v>SR80731</v>
      </c>
      <c r="AG698" s="324" t="s">
        <v>311</v>
      </c>
      <c r="AH698" s="112" t="str">
        <f t="shared" si="67"/>
        <v>9999</v>
      </c>
      <c r="AI698" s="112" t="str">
        <f t="shared" si="46"/>
        <v>50010001</v>
      </c>
      <c r="AJ698" s="112">
        <f t="shared" si="68"/>
        <v>0</v>
      </c>
      <c r="AK698" s="112">
        <f t="shared" si="69"/>
        <v>0</v>
      </c>
      <c r="AL698" s="112">
        <f t="shared" si="47"/>
        <v>0</v>
      </c>
      <c r="AM698" s="112">
        <f t="shared" si="48"/>
        <v>0</v>
      </c>
      <c r="AN698" s="112" t="str">
        <f t="shared" si="70"/>
        <v>CNY</v>
      </c>
      <c r="AO698" s="156">
        <f t="shared" si="71"/>
        <v>2.0000000000000001E-4</v>
      </c>
      <c r="AP698" s="156">
        <f t="shared" si="72"/>
        <v>2</v>
      </c>
      <c r="AQ698" s="156">
        <f t="shared" si="73"/>
        <v>0</v>
      </c>
    </row>
    <row r="699" spans="1:43" s="156" customFormat="1" x14ac:dyDescent="0.25">
      <c r="A699" s="156" t="str">
        <f t="shared" si="49"/>
        <v>comment</v>
      </c>
      <c r="B699" s="112" t="str">
        <f t="shared" si="50"/>
        <v/>
      </c>
      <c r="C699" s="154" t="str">
        <f t="shared" si="51"/>
        <v>2018032710000016</v>
      </c>
      <c r="D699" s="653" t="str">
        <f>'day1'!B726</f>
        <v>2018032610000055</v>
      </c>
      <c r="E699" s="112" t="str">
        <f t="shared" si="52"/>
        <v>6001</v>
      </c>
      <c r="F699" s="112" t="str">
        <f t="shared" si="53"/>
        <v>B00101</v>
      </c>
      <c r="G699" s="112" t="str">
        <f t="shared" si="54"/>
        <v>6001</v>
      </c>
      <c r="H699" s="112">
        <v>10000016</v>
      </c>
      <c r="I699" s="642">
        <f t="shared" si="74"/>
        <v>20180327</v>
      </c>
      <c r="J699" s="155">
        <f>'day1'!G726</f>
        <v>20180326</v>
      </c>
      <c r="K699" s="112" t="str">
        <f t="shared" si="55"/>
        <v>CZCE</v>
      </c>
      <c r="L699" s="112" t="str">
        <f t="shared" si="75"/>
        <v>SR807</v>
      </c>
      <c r="M699" s="112">
        <f t="shared" si="43"/>
        <v>10</v>
      </c>
      <c r="N699" s="112">
        <v>1</v>
      </c>
      <c r="O699" s="112">
        <v>1</v>
      </c>
      <c r="P699" s="112">
        <v>3</v>
      </c>
      <c r="Q699" s="112">
        <v>0</v>
      </c>
      <c r="R699" s="112">
        <f>'day1'!Y726</f>
        <v>6500</v>
      </c>
      <c r="S699" s="112">
        <v>6110</v>
      </c>
      <c r="T699" s="112">
        <f t="shared" si="44"/>
        <v>6150</v>
      </c>
      <c r="U699" s="324">
        <f t="shared" si="56"/>
        <v>4.0000000000000002E-4</v>
      </c>
      <c r="V699" s="112">
        <f t="shared" si="57"/>
        <v>4</v>
      </c>
      <c r="W699" s="112">
        <f t="shared" si="58"/>
        <v>3.9999999999999996E-4</v>
      </c>
      <c r="X699" s="112">
        <f t="shared" si="59"/>
        <v>4</v>
      </c>
      <c r="Y699" s="324">
        <f t="shared" si="60"/>
        <v>0</v>
      </c>
      <c r="Z699" s="324">
        <f t="shared" si="61"/>
        <v>0</v>
      </c>
      <c r="AA699" s="654">
        <f t="shared" si="62"/>
        <v>0</v>
      </c>
      <c r="AB699" s="654">
        <f t="shared" si="63"/>
        <v>0</v>
      </c>
      <c r="AC699" s="324">
        <f t="shared" si="64"/>
        <v>0</v>
      </c>
      <c r="AD699" s="324">
        <f t="shared" si="65"/>
        <v>0</v>
      </c>
      <c r="AE699" s="112">
        <f t="shared" si="66"/>
        <v>0</v>
      </c>
      <c r="AF699" s="154" t="str">
        <f t="shared" si="45"/>
        <v>SR80731</v>
      </c>
      <c r="AG699" s="324" t="s">
        <v>311</v>
      </c>
      <c r="AH699" s="112" t="str">
        <f t="shared" si="67"/>
        <v>9999</v>
      </c>
      <c r="AI699" s="112" t="str">
        <f t="shared" si="46"/>
        <v>50010001</v>
      </c>
      <c r="AJ699" s="112">
        <f t="shared" si="68"/>
        <v>0</v>
      </c>
      <c r="AK699" s="112">
        <f t="shared" si="69"/>
        <v>0</v>
      </c>
      <c r="AL699" s="112">
        <f t="shared" si="47"/>
        <v>0</v>
      </c>
      <c r="AM699" s="112">
        <f t="shared" si="48"/>
        <v>0</v>
      </c>
      <c r="AN699" s="112" t="str">
        <f t="shared" si="70"/>
        <v>CNY</v>
      </c>
      <c r="AO699" s="156">
        <f t="shared" si="71"/>
        <v>2.0000000000000001E-4</v>
      </c>
      <c r="AP699" s="156">
        <f t="shared" si="72"/>
        <v>2</v>
      </c>
      <c r="AQ699" s="156">
        <f t="shared" si="73"/>
        <v>0</v>
      </c>
    </row>
    <row r="700" spans="1:43" s="156" customFormat="1" x14ac:dyDescent="0.25">
      <c r="A700" s="156" t="str">
        <f t="shared" si="49"/>
        <v/>
      </c>
      <c r="B700" s="112" t="str">
        <f t="shared" si="50"/>
        <v/>
      </c>
      <c r="C700" s="154" t="str">
        <f t="shared" si="51"/>
        <v>2018032710000017</v>
      </c>
      <c r="D700" s="653"/>
      <c r="E700" s="112" t="str">
        <f t="shared" si="52"/>
        <v>6001</v>
      </c>
      <c r="F700" s="112" t="str">
        <f>VLOOKUP(E700,$B$5:$C$5,2)</f>
        <v>B00101</v>
      </c>
      <c r="G700" s="112" t="str">
        <f t="shared" si="54"/>
        <v>6001</v>
      </c>
      <c r="H700" s="112">
        <v>10000017</v>
      </c>
      <c r="I700" s="642">
        <f t="shared" si="74"/>
        <v>20180327</v>
      </c>
      <c r="J700" s="155">
        <f t="shared" ref="J700:J761" si="76">I700</f>
        <v>20180327</v>
      </c>
      <c r="K700" s="112" t="str">
        <f t="shared" si="55"/>
        <v>CZCE</v>
      </c>
      <c r="L700" s="112" t="str">
        <f t="shared" si="75"/>
        <v>SR807</v>
      </c>
      <c r="M700" s="112">
        <f t="shared" si="43"/>
        <v>10</v>
      </c>
      <c r="N700" s="112">
        <v>0</v>
      </c>
      <c r="O700" s="112">
        <v>0</v>
      </c>
      <c r="P700" s="112">
        <v>1</v>
      </c>
      <c r="Q700" s="112">
        <v>3</v>
      </c>
      <c r="R700" s="112">
        <f>S700</f>
        <v>6111</v>
      </c>
      <c r="S700" s="112">
        <v>6111</v>
      </c>
      <c r="T700" s="112">
        <f t="shared" si="44"/>
        <v>6150</v>
      </c>
      <c r="U700" s="324">
        <f t="shared" si="56"/>
        <v>5.0000000000000001E-4</v>
      </c>
      <c r="V700" s="112">
        <f t="shared" si="57"/>
        <v>5</v>
      </c>
      <c r="W700" s="112">
        <f t="shared" si="58"/>
        <v>4.0000000000000002E-4</v>
      </c>
      <c r="X700" s="112">
        <f t="shared" si="59"/>
        <v>4</v>
      </c>
      <c r="Y700" s="324">
        <f t="shared" si="60"/>
        <v>106.66500000000001</v>
      </c>
      <c r="Z700" s="324">
        <f t="shared" si="61"/>
        <v>85.332000000000008</v>
      </c>
      <c r="AA700" s="654">
        <f t="shared" si="62"/>
        <v>106.66500000000001</v>
      </c>
      <c r="AB700" s="654">
        <f t="shared" si="63"/>
        <v>85.331999999999994</v>
      </c>
      <c r="AC700" s="324">
        <f t="shared" si="64"/>
        <v>0</v>
      </c>
      <c r="AD700" s="324">
        <f t="shared" si="65"/>
        <v>0</v>
      </c>
      <c r="AE700" s="112">
        <f t="shared" si="66"/>
        <v>183330</v>
      </c>
      <c r="AF700" s="154" t="str">
        <f t="shared" si="45"/>
        <v>SR80710</v>
      </c>
      <c r="AG700" s="324" t="s">
        <v>311</v>
      </c>
      <c r="AH700" s="112" t="str">
        <f t="shared" si="67"/>
        <v>9999</v>
      </c>
      <c r="AI700" s="112" t="str">
        <f t="shared" si="46"/>
        <v>50010001</v>
      </c>
      <c r="AJ700" s="112">
        <f t="shared" si="68"/>
        <v>0</v>
      </c>
      <c r="AK700" s="112">
        <f t="shared" si="69"/>
        <v>0</v>
      </c>
      <c r="AL700" s="112">
        <f t="shared" si="47"/>
        <v>0</v>
      </c>
      <c r="AM700" s="112">
        <f t="shared" si="48"/>
        <v>0</v>
      </c>
      <c r="AN700" s="112" t="str">
        <f t="shared" si="70"/>
        <v>CNY</v>
      </c>
      <c r="AO700" s="156">
        <f t="shared" si="71"/>
        <v>2.0000000000000001E-4</v>
      </c>
      <c r="AP700" s="156">
        <f t="shared" si="72"/>
        <v>2</v>
      </c>
      <c r="AQ700" s="156">
        <f t="shared" si="73"/>
        <v>42.67</v>
      </c>
    </row>
    <row r="701" spans="1:43" s="329" customFormat="1" x14ac:dyDescent="0.25">
      <c r="B701" s="217" t="str">
        <f t="shared" si="50"/>
        <v/>
      </c>
      <c r="C701" s="647" t="str">
        <f t="shared" si="51"/>
        <v>2018032710000018</v>
      </c>
      <c r="D701" s="655"/>
      <c r="E701" s="217" t="str">
        <f t="shared" si="52"/>
        <v>6001</v>
      </c>
      <c r="F701" s="217" t="str">
        <f t="shared" si="53"/>
        <v>B00101</v>
      </c>
      <c r="G701" s="217" t="str">
        <f t="shared" si="54"/>
        <v>6001</v>
      </c>
      <c r="H701" s="217">
        <v>10000018</v>
      </c>
      <c r="I701" s="648">
        <f t="shared" si="74"/>
        <v>20180327</v>
      </c>
      <c r="J701" s="216">
        <f t="shared" si="76"/>
        <v>20180327</v>
      </c>
      <c r="K701" s="217" t="str">
        <f t="shared" si="55"/>
        <v>CZCE</v>
      </c>
      <c r="L701" s="217" t="str">
        <f t="shared" si="75"/>
        <v>SR807</v>
      </c>
      <c r="M701" s="217">
        <f t="shared" si="43"/>
        <v>10</v>
      </c>
      <c r="N701" s="217">
        <v>0</v>
      </c>
      <c r="O701" s="217">
        <v>0</v>
      </c>
      <c r="P701" s="217">
        <v>3</v>
      </c>
      <c r="Q701" s="217">
        <v>4</v>
      </c>
      <c r="R701" s="217">
        <f>IF(N701=0,S701,VLOOKUP(D701,$C$693:$S$761,16,FALSE))</f>
        <v>6112</v>
      </c>
      <c r="S701" s="217">
        <v>6112</v>
      </c>
      <c r="T701" s="217">
        <f t="shared" si="44"/>
        <v>6150</v>
      </c>
      <c r="U701" s="330">
        <f t="shared" si="56"/>
        <v>5.0000000000000001E-4</v>
      </c>
      <c r="V701" s="217">
        <f t="shared" si="57"/>
        <v>5</v>
      </c>
      <c r="W701" s="217">
        <f t="shared" si="58"/>
        <v>5.0000000000000001E-4</v>
      </c>
      <c r="X701" s="217">
        <f t="shared" si="59"/>
        <v>5</v>
      </c>
      <c r="Y701" s="330">
        <f t="shared" si="60"/>
        <v>142.24</v>
      </c>
      <c r="Z701" s="330">
        <f t="shared" si="61"/>
        <v>142.24</v>
      </c>
      <c r="AA701" s="650">
        <f t="shared" si="62"/>
        <v>142.24</v>
      </c>
      <c r="AB701" s="650">
        <f t="shared" si="63"/>
        <v>142.24</v>
      </c>
      <c r="AC701" s="330">
        <f t="shared" si="64"/>
        <v>0</v>
      </c>
      <c r="AD701" s="330">
        <f t="shared" si="65"/>
        <v>0</v>
      </c>
      <c r="AE701" s="217">
        <f t="shared" si="66"/>
        <v>244480</v>
      </c>
      <c r="AF701" s="647" t="str">
        <f t="shared" si="45"/>
        <v>SR80730</v>
      </c>
      <c r="AG701" s="330" t="s">
        <v>311</v>
      </c>
      <c r="AH701" s="217" t="str">
        <f t="shared" si="67"/>
        <v>9999</v>
      </c>
      <c r="AI701" s="217" t="str">
        <f t="shared" si="46"/>
        <v>50010001</v>
      </c>
      <c r="AJ701" s="217">
        <f t="shared" si="68"/>
        <v>0</v>
      </c>
      <c r="AK701" s="217">
        <f t="shared" si="69"/>
        <v>0</v>
      </c>
      <c r="AL701" s="217">
        <f t="shared" si="47"/>
        <v>0</v>
      </c>
      <c r="AM701" s="217">
        <f t="shared" si="48"/>
        <v>0</v>
      </c>
      <c r="AN701" s="217" t="str">
        <f t="shared" si="70"/>
        <v>CNY</v>
      </c>
      <c r="AO701" s="329">
        <f t="shared" si="71"/>
        <v>2.0000000000000001E-4</v>
      </c>
      <c r="AP701" s="329">
        <f t="shared" si="72"/>
        <v>2</v>
      </c>
      <c r="AQ701" s="329">
        <f t="shared" si="73"/>
        <v>56.9</v>
      </c>
    </row>
    <row r="702" spans="1:43" s="156" customFormat="1" x14ac:dyDescent="0.25">
      <c r="A702" s="156" t="str">
        <f t="shared" si="49"/>
        <v>comment</v>
      </c>
      <c r="B702" s="112" t="str">
        <f t="shared" si="50"/>
        <v/>
      </c>
      <c r="C702" s="154" t="str">
        <f t="shared" si="51"/>
        <v>2018032710000030</v>
      </c>
      <c r="D702" s="112" t="str">
        <f>D693</f>
        <v>2018032610000019</v>
      </c>
      <c r="E702" s="112" t="str">
        <f t="shared" si="52"/>
        <v>6001</v>
      </c>
      <c r="F702" s="112" t="str">
        <f t="shared" si="53"/>
        <v>B00101</v>
      </c>
      <c r="G702" s="112" t="str">
        <f t="shared" si="54"/>
        <v>6001</v>
      </c>
      <c r="H702" s="112">
        <v>10000030</v>
      </c>
      <c r="I702" s="642">
        <f t="shared" si="74"/>
        <v>20180327</v>
      </c>
      <c r="J702" s="155">
        <f>J693</f>
        <v>20180327</v>
      </c>
      <c r="K702" s="112" t="str">
        <f t="shared" si="55"/>
        <v>CZCE</v>
      </c>
      <c r="L702" s="112" t="str">
        <f t="shared" si="75"/>
        <v>SR807</v>
      </c>
      <c r="M702" s="112">
        <f t="shared" si="43"/>
        <v>10</v>
      </c>
      <c r="N702" s="112">
        <v>1</v>
      </c>
      <c r="O702" s="112">
        <v>1</v>
      </c>
      <c r="P702" s="112">
        <f>P693</f>
        <v>1</v>
      </c>
      <c r="Q702" s="112">
        <v>0</v>
      </c>
      <c r="R702" s="112">
        <f>R693</f>
        <v>6109</v>
      </c>
      <c r="S702" s="112">
        <v>6113</v>
      </c>
      <c r="T702" s="112">
        <f t="shared" si="44"/>
        <v>6150</v>
      </c>
      <c r="U702" s="324">
        <f t="shared" si="56"/>
        <v>4.0000000000000002E-4</v>
      </c>
      <c r="V702" s="112">
        <f t="shared" si="57"/>
        <v>4</v>
      </c>
      <c r="W702" s="112">
        <f t="shared" si="58"/>
        <v>2.9999999999999997E-4</v>
      </c>
      <c r="X702" s="112">
        <f t="shared" si="59"/>
        <v>3</v>
      </c>
      <c r="Y702" s="324">
        <f t="shared" si="60"/>
        <v>0</v>
      </c>
      <c r="Z702" s="324">
        <f t="shared" si="61"/>
        <v>0</v>
      </c>
      <c r="AA702" s="654">
        <f t="shared" si="62"/>
        <v>0</v>
      </c>
      <c r="AB702" s="654">
        <f t="shared" si="63"/>
        <v>0</v>
      </c>
      <c r="AC702" s="324">
        <f t="shared" si="64"/>
        <v>0</v>
      </c>
      <c r="AD702" s="324">
        <f t="shared" si="65"/>
        <v>0</v>
      </c>
      <c r="AE702" s="112">
        <f t="shared" si="66"/>
        <v>0</v>
      </c>
      <c r="AF702" s="154" t="str">
        <f t="shared" si="45"/>
        <v>SR80711</v>
      </c>
      <c r="AG702" s="324" t="s">
        <v>311</v>
      </c>
      <c r="AH702" s="112" t="str">
        <f t="shared" si="67"/>
        <v>9999</v>
      </c>
      <c r="AI702" s="112" t="str">
        <f t="shared" si="46"/>
        <v>50010001</v>
      </c>
      <c r="AJ702" s="112">
        <f t="shared" si="68"/>
        <v>0</v>
      </c>
      <c r="AK702" s="112">
        <f t="shared" si="69"/>
        <v>0</v>
      </c>
      <c r="AL702" s="112">
        <f t="shared" si="47"/>
        <v>0</v>
      </c>
      <c r="AM702" s="112">
        <f t="shared" si="48"/>
        <v>0</v>
      </c>
      <c r="AN702" s="112" t="str">
        <f t="shared" si="70"/>
        <v>CNY</v>
      </c>
      <c r="AO702" s="156">
        <f t="shared" si="71"/>
        <v>2.0000000000000001E-4</v>
      </c>
      <c r="AP702" s="156">
        <f t="shared" si="72"/>
        <v>2</v>
      </c>
      <c r="AQ702" s="156">
        <f t="shared" si="73"/>
        <v>0</v>
      </c>
    </row>
    <row r="703" spans="1:43" s="156" customFormat="1" x14ac:dyDescent="0.25">
      <c r="A703" s="156" t="str">
        <f t="shared" si="49"/>
        <v>comment</v>
      </c>
      <c r="B703" s="112" t="str">
        <f t="shared" si="50"/>
        <v/>
      </c>
      <c r="C703" s="154" t="str">
        <f t="shared" si="51"/>
        <v>2018032710000031</v>
      </c>
      <c r="D703" s="112" t="str">
        <f>D694</f>
        <v>2018032610000020</v>
      </c>
      <c r="E703" s="112" t="str">
        <f t="shared" si="52"/>
        <v>6001</v>
      </c>
      <c r="F703" s="112" t="str">
        <f t="shared" si="53"/>
        <v>B00101</v>
      </c>
      <c r="G703" s="112" t="str">
        <f t="shared" si="54"/>
        <v>6001</v>
      </c>
      <c r="H703" s="112">
        <v>10000031</v>
      </c>
      <c r="I703" s="642">
        <f t="shared" si="74"/>
        <v>20180327</v>
      </c>
      <c r="J703" s="155">
        <f t="shared" ref="J703:J705" si="77">J694</f>
        <v>20180326</v>
      </c>
      <c r="K703" s="112" t="str">
        <f t="shared" si="55"/>
        <v>CZCE</v>
      </c>
      <c r="L703" s="112" t="str">
        <f t="shared" si="75"/>
        <v>SR807</v>
      </c>
      <c r="M703" s="112">
        <f t="shared" si="43"/>
        <v>10</v>
      </c>
      <c r="N703" s="112">
        <v>1</v>
      </c>
      <c r="O703" s="112">
        <v>1</v>
      </c>
      <c r="P703" s="112">
        <f t="shared" ref="P703:P705" si="78">P694</f>
        <v>1</v>
      </c>
      <c r="Q703" s="112">
        <v>0</v>
      </c>
      <c r="R703" s="112">
        <f t="shared" ref="R703:R705" si="79">R694</f>
        <v>6110</v>
      </c>
      <c r="S703" s="112">
        <v>6113</v>
      </c>
      <c r="T703" s="112">
        <f t="shared" si="44"/>
        <v>6150</v>
      </c>
      <c r="U703" s="324">
        <f t="shared" si="56"/>
        <v>4.0000000000000002E-4</v>
      </c>
      <c r="V703" s="112">
        <f t="shared" si="57"/>
        <v>4</v>
      </c>
      <c r="W703" s="112">
        <f t="shared" si="58"/>
        <v>2.9999999999999997E-4</v>
      </c>
      <c r="X703" s="112">
        <f t="shared" si="59"/>
        <v>3</v>
      </c>
      <c r="Y703" s="324">
        <f t="shared" si="60"/>
        <v>0</v>
      </c>
      <c r="Z703" s="324">
        <f t="shared" si="61"/>
        <v>0</v>
      </c>
      <c r="AA703" s="654">
        <f t="shared" si="62"/>
        <v>0</v>
      </c>
      <c r="AB703" s="654">
        <f t="shared" si="63"/>
        <v>0</v>
      </c>
      <c r="AC703" s="324">
        <f t="shared" si="64"/>
        <v>0</v>
      </c>
      <c r="AD703" s="324">
        <f t="shared" si="65"/>
        <v>0</v>
      </c>
      <c r="AE703" s="112">
        <f t="shared" si="66"/>
        <v>0</v>
      </c>
      <c r="AF703" s="154" t="str">
        <f t="shared" si="45"/>
        <v>SR80711</v>
      </c>
      <c r="AG703" s="324" t="s">
        <v>311</v>
      </c>
      <c r="AH703" s="112" t="str">
        <f t="shared" si="67"/>
        <v>9999</v>
      </c>
      <c r="AI703" s="112" t="str">
        <f t="shared" si="46"/>
        <v>50010001</v>
      </c>
      <c r="AJ703" s="112">
        <f t="shared" si="68"/>
        <v>0</v>
      </c>
      <c r="AK703" s="112">
        <f t="shared" si="69"/>
        <v>0</v>
      </c>
      <c r="AL703" s="112">
        <f t="shared" si="47"/>
        <v>0</v>
      </c>
      <c r="AM703" s="112">
        <f t="shared" si="48"/>
        <v>0</v>
      </c>
      <c r="AN703" s="112" t="str">
        <f t="shared" si="70"/>
        <v>CNY</v>
      </c>
      <c r="AO703" s="156">
        <f t="shared" si="71"/>
        <v>2.0000000000000001E-4</v>
      </c>
      <c r="AP703" s="156">
        <f t="shared" si="72"/>
        <v>2</v>
      </c>
      <c r="AQ703" s="156">
        <f t="shared" si="73"/>
        <v>0</v>
      </c>
    </row>
    <row r="704" spans="1:43" s="156" customFormat="1" x14ac:dyDescent="0.25">
      <c r="A704" s="156" t="str">
        <f t="shared" si="49"/>
        <v>comment</v>
      </c>
      <c r="B704" s="112" t="str">
        <f t="shared" si="50"/>
        <v/>
      </c>
      <c r="C704" s="154" t="str">
        <f t="shared" si="51"/>
        <v>2018032710000032</v>
      </c>
      <c r="D704" s="112" t="str">
        <f>D695</f>
        <v>2018032610000050</v>
      </c>
      <c r="E704" s="112" t="str">
        <f t="shared" si="52"/>
        <v>6001</v>
      </c>
      <c r="F704" s="112" t="str">
        <f t="shared" si="53"/>
        <v>B00101</v>
      </c>
      <c r="G704" s="112" t="str">
        <f t="shared" si="54"/>
        <v>6001</v>
      </c>
      <c r="H704" s="112">
        <v>10000032</v>
      </c>
      <c r="I704" s="642">
        <f t="shared" si="74"/>
        <v>20180327</v>
      </c>
      <c r="J704" s="155">
        <f t="shared" si="77"/>
        <v>20180326</v>
      </c>
      <c r="K704" s="112" t="str">
        <f t="shared" si="55"/>
        <v>CZCE</v>
      </c>
      <c r="L704" s="112" t="str">
        <f t="shared" si="75"/>
        <v>SR807</v>
      </c>
      <c r="M704" s="112">
        <f t="shared" si="43"/>
        <v>10</v>
      </c>
      <c r="N704" s="112">
        <v>1</v>
      </c>
      <c r="O704" s="112">
        <v>1</v>
      </c>
      <c r="P704" s="112">
        <f t="shared" si="78"/>
        <v>1</v>
      </c>
      <c r="Q704" s="112">
        <v>0</v>
      </c>
      <c r="R704" s="112">
        <f t="shared" si="79"/>
        <v>6400</v>
      </c>
      <c r="S704" s="112">
        <v>6113</v>
      </c>
      <c r="T704" s="112">
        <f t="shared" si="44"/>
        <v>6150</v>
      </c>
      <c r="U704" s="324">
        <f t="shared" si="56"/>
        <v>4.0000000000000002E-4</v>
      </c>
      <c r="V704" s="112">
        <f t="shared" si="57"/>
        <v>4</v>
      </c>
      <c r="W704" s="112">
        <f t="shared" si="58"/>
        <v>2.9999999999999997E-4</v>
      </c>
      <c r="X704" s="112">
        <f t="shared" si="59"/>
        <v>3</v>
      </c>
      <c r="Y704" s="324">
        <f t="shared" si="60"/>
        <v>0</v>
      </c>
      <c r="Z704" s="324">
        <f t="shared" si="61"/>
        <v>0</v>
      </c>
      <c r="AA704" s="654">
        <f t="shared" si="62"/>
        <v>0</v>
      </c>
      <c r="AB704" s="654">
        <f t="shared" si="63"/>
        <v>0</v>
      </c>
      <c r="AC704" s="324">
        <f t="shared" si="64"/>
        <v>0</v>
      </c>
      <c r="AD704" s="324">
        <f t="shared" si="65"/>
        <v>0</v>
      </c>
      <c r="AE704" s="112">
        <f t="shared" si="66"/>
        <v>0</v>
      </c>
      <c r="AF704" s="154" t="str">
        <f t="shared" si="45"/>
        <v>SR80711</v>
      </c>
      <c r="AG704" s="324" t="s">
        <v>311</v>
      </c>
      <c r="AH704" s="112" t="str">
        <f t="shared" si="67"/>
        <v>9999</v>
      </c>
      <c r="AI704" s="112" t="str">
        <f t="shared" si="46"/>
        <v>50010001</v>
      </c>
      <c r="AJ704" s="112">
        <f t="shared" si="68"/>
        <v>0</v>
      </c>
      <c r="AK704" s="112">
        <f t="shared" si="69"/>
        <v>0</v>
      </c>
      <c r="AL704" s="112">
        <f t="shared" si="47"/>
        <v>0</v>
      </c>
      <c r="AM704" s="112">
        <f t="shared" si="48"/>
        <v>0</v>
      </c>
      <c r="AN704" s="112" t="str">
        <f t="shared" si="70"/>
        <v>CNY</v>
      </c>
      <c r="AO704" s="156">
        <f t="shared" si="71"/>
        <v>2.0000000000000001E-4</v>
      </c>
      <c r="AP704" s="156">
        <f t="shared" si="72"/>
        <v>2</v>
      </c>
      <c r="AQ704" s="156">
        <f t="shared" si="73"/>
        <v>0</v>
      </c>
    </row>
    <row r="705" spans="1:43" s="156" customFormat="1" x14ac:dyDescent="0.25">
      <c r="A705" s="156" t="str">
        <f t="shared" si="49"/>
        <v>comment</v>
      </c>
      <c r="B705" s="112" t="str">
        <f t="shared" si="50"/>
        <v/>
      </c>
      <c r="C705" s="154" t="str">
        <f t="shared" si="51"/>
        <v>2018032710000033</v>
      </c>
      <c r="D705" s="112" t="str">
        <f>D696</f>
        <v>2018032610000054</v>
      </c>
      <c r="E705" s="112" t="str">
        <f t="shared" si="52"/>
        <v>6001</v>
      </c>
      <c r="F705" s="112" t="str">
        <f t="shared" si="53"/>
        <v>B00101</v>
      </c>
      <c r="G705" s="112" t="str">
        <f t="shared" si="54"/>
        <v>6001</v>
      </c>
      <c r="H705" s="112">
        <v>10000033</v>
      </c>
      <c r="I705" s="642">
        <f t="shared" si="74"/>
        <v>20180327</v>
      </c>
      <c r="J705" s="155">
        <f t="shared" si="77"/>
        <v>20180326</v>
      </c>
      <c r="K705" s="112" t="str">
        <f t="shared" si="55"/>
        <v>CZCE</v>
      </c>
      <c r="L705" s="112" t="str">
        <f t="shared" si="75"/>
        <v>SR807</v>
      </c>
      <c r="M705" s="112">
        <f t="shared" si="43"/>
        <v>10</v>
      </c>
      <c r="N705" s="112">
        <v>1</v>
      </c>
      <c r="O705" s="112">
        <v>1</v>
      </c>
      <c r="P705" s="112">
        <f t="shared" si="78"/>
        <v>1</v>
      </c>
      <c r="Q705" s="112">
        <v>0</v>
      </c>
      <c r="R705" s="112">
        <f t="shared" si="79"/>
        <v>6500</v>
      </c>
      <c r="S705" s="112">
        <v>6113</v>
      </c>
      <c r="T705" s="112">
        <f t="shared" si="44"/>
        <v>6150</v>
      </c>
      <c r="U705" s="324">
        <f t="shared" si="56"/>
        <v>4.0000000000000002E-4</v>
      </c>
      <c r="V705" s="112">
        <f t="shared" si="57"/>
        <v>4</v>
      </c>
      <c r="W705" s="112">
        <f t="shared" si="58"/>
        <v>2.9999999999999997E-4</v>
      </c>
      <c r="X705" s="112">
        <f t="shared" si="59"/>
        <v>3</v>
      </c>
      <c r="Y705" s="324">
        <f t="shared" si="60"/>
        <v>0</v>
      </c>
      <c r="Z705" s="324">
        <f t="shared" si="61"/>
        <v>0</v>
      </c>
      <c r="AA705" s="654">
        <f t="shared" si="62"/>
        <v>0</v>
      </c>
      <c r="AB705" s="654">
        <f t="shared" si="63"/>
        <v>0</v>
      </c>
      <c r="AC705" s="324">
        <f t="shared" si="64"/>
        <v>0</v>
      </c>
      <c r="AD705" s="324">
        <f t="shared" si="65"/>
        <v>0</v>
      </c>
      <c r="AE705" s="112">
        <f t="shared" si="66"/>
        <v>0</v>
      </c>
      <c r="AF705" s="154" t="str">
        <f t="shared" si="45"/>
        <v>SR80711</v>
      </c>
      <c r="AG705" s="324" t="s">
        <v>311</v>
      </c>
      <c r="AH705" s="112" t="str">
        <f t="shared" si="67"/>
        <v>9999</v>
      </c>
      <c r="AI705" s="112" t="str">
        <f t="shared" si="46"/>
        <v>50010001</v>
      </c>
      <c r="AJ705" s="112">
        <f t="shared" si="68"/>
        <v>0</v>
      </c>
      <c r="AK705" s="112">
        <f t="shared" si="69"/>
        <v>0</v>
      </c>
      <c r="AL705" s="112">
        <f t="shared" si="47"/>
        <v>0</v>
      </c>
      <c r="AM705" s="112">
        <f t="shared" si="48"/>
        <v>0</v>
      </c>
      <c r="AN705" s="112" t="str">
        <f t="shared" si="70"/>
        <v>CNY</v>
      </c>
      <c r="AO705" s="156">
        <f t="shared" si="71"/>
        <v>2.0000000000000001E-4</v>
      </c>
      <c r="AP705" s="156">
        <f t="shared" si="72"/>
        <v>2</v>
      </c>
      <c r="AQ705" s="156">
        <f t="shared" si="73"/>
        <v>0</v>
      </c>
    </row>
    <row r="706" spans="1:43" s="156" customFormat="1" x14ac:dyDescent="0.25">
      <c r="A706" s="156" t="str">
        <f t="shared" si="49"/>
        <v/>
      </c>
      <c r="B706" s="112" t="str">
        <f t="shared" si="50"/>
        <v>201803271000003420180327100000173</v>
      </c>
      <c r="C706" s="154" t="str">
        <f t="shared" si="51"/>
        <v>2018032710000034</v>
      </c>
      <c r="D706" s="155" t="str">
        <f>C700</f>
        <v>2018032710000017</v>
      </c>
      <c r="E706" s="112" t="str">
        <f t="shared" si="52"/>
        <v>6001</v>
      </c>
      <c r="F706" s="112" t="str">
        <f t="shared" si="53"/>
        <v>B00101</v>
      </c>
      <c r="G706" s="112" t="str">
        <f t="shared" si="54"/>
        <v>6001</v>
      </c>
      <c r="H706" s="112">
        <v>10000034</v>
      </c>
      <c r="I706" s="642">
        <f>$B$2</f>
        <v>20180327</v>
      </c>
      <c r="J706" s="155">
        <f t="shared" si="76"/>
        <v>20180327</v>
      </c>
      <c r="K706" s="112" t="str">
        <f t="shared" si="55"/>
        <v>CZCE</v>
      </c>
      <c r="L706" s="112" t="str">
        <f t="shared" si="75"/>
        <v>SR807</v>
      </c>
      <c r="M706" s="112">
        <f t="shared" si="43"/>
        <v>10</v>
      </c>
      <c r="N706" s="112">
        <v>3</v>
      </c>
      <c r="O706" s="112">
        <v>1</v>
      </c>
      <c r="P706" s="112">
        <v>1</v>
      </c>
      <c r="Q706" s="112">
        <v>3</v>
      </c>
      <c r="R706" s="112">
        <f>R700</f>
        <v>6111</v>
      </c>
      <c r="S706" s="112">
        <v>6113</v>
      </c>
      <c r="T706" s="112">
        <f t="shared" si="44"/>
        <v>6150</v>
      </c>
      <c r="U706" s="324">
        <f t="shared" si="56"/>
        <v>2.0000000000000001E-4</v>
      </c>
      <c r="V706" s="112">
        <f t="shared" si="57"/>
        <v>2</v>
      </c>
      <c r="W706" s="112">
        <f t="shared" si="58"/>
        <v>1E-4</v>
      </c>
      <c r="X706" s="112">
        <f t="shared" si="59"/>
        <v>1</v>
      </c>
      <c r="Y706" s="324">
        <f t="shared" si="60"/>
        <v>42.678000000000004</v>
      </c>
      <c r="Z706" s="324">
        <f t="shared" si="61"/>
        <v>21.339000000000002</v>
      </c>
      <c r="AA706" s="654">
        <f t="shared" si="62"/>
        <v>42.677999999999997</v>
      </c>
      <c r="AB706" s="654">
        <f t="shared" si="63"/>
        <v>21.338999999999999</v>
      </c>
      <c r="AC706" s="324">
        <f t="shared" si="64"/>
        <v>60</v>
      </c>
      <c r="AD706" s="324">
        <f t="shared" si="65"/>
        <v>60</v>
      </c>
      <c r="AE706" s="112">
        <f t="shared" si="66"/>
        <v>183390</v>
      </c>
      <c r="AF706" s="154" t="str">
        <f t="shared" si="45"/>
        <v>SR80713</v>
      </c>
      <c r="AG706" s="324" t="s">
        <v>311</v>
      </c>
      <c r="AH706" s="112" t="str">
        <f t="shared" si="67"/>
        <v>9999</v>
      </c>
      <c r="AI706" s="112" t="str">
        <f t="shared" si="46"/>
        <v>50010001</v>
      </c>
      <c r="AJ706" s="112">
        <f t="shared" si="68"/>
        <v>0</v>
      </c>
      <c r="AK706" s="112">
        <f t="shared" si="69"/>
        <v>0</v>
      </c>
      <c r="AL706" s="112">
        <f t="shared" si="47"/>
        <v>0</v>
      </c>
      <c r="AM706" s="112">
        <f t="shared" si="48"/>
        <v>0</v>
      </c>
      <c r="AN706" s="112" t="str">
        <f t="shared" si="70"/>
        <v>CNY</v>
      </c>
      <c r="AO706" s="156">
        <f t="shared" si="71"/>
        <v>2.0000000000000001E-4</v>
      </c>
      <c r="AP706" s="156">
        <f t="shared" si="72"/>
        <v>2</v>
      </c>
      <c r="AQ706" s="156">
        <f t="shared" si="73"/>
        <v>42.68</v>
      </c>
    </row>
    <row r="707" spans="1:43" s="329" customFormat="1" x14ac:dyDescent="0.25">
      <c r="B707" s="217" t="str">
        <f t="shared" si="50"/>
        <v>201803271000003520180326100000183</v>
      </c>
      <c r="C707" s="647" t="str">
        <f t="shared" si="51"/>
        <v>2018032710000035</v>
      </c>
      <c r="D707" s="217" t="str">
        <f>D697</f>
        <v>2018032610000018</v>
      </c>
      <c r="E707" s="217" t="str">
        <f t="shared" si="52"/>
        <v>6001</v>
      </c>
      <c r="F707" s="217" t="str">
        <f t="shared" si="53"/>
        <v>B00101</v>
      </c>
      <c r="G707" s="217" t="str">
        <f t="shared" si="54"/>
        <v>6001</v>
      </c>
      <c r="H707" s="217">
        <v>10000035</v>
      </c>
      <c r="I707" s="648">
        <f t="shared" si="74"/>
        <v>20180327</v>
      </c>
      <c r="J707" s="216">
        <f>J697</f>
        <v>20180326</v>
      </c>
      <c r="K707" s="217" t="str">
        <f t="shared" si="55"/>
        <v>CZCE</v>
      </c>
      <c r="L707" s="217" t="str">
        <f t="shared" si="75"/>
        <v>SR807</v>
      </c>
      <c r="M707" s="217">
        <f t="shared" si="43"/>
        <v>10</v>
      </c>
      <c r="N707" s="217">
        <v>3</v>
      </c>
      <c r="O707" s="217">
        <v>1</v>
      </c>
      <c r="P707" s="217">
        <f>P697</f>
        <v>3</v>
      </c>
      <c r="Q707" s="217">
        <v>3</v>
      </c>
      <c r="R707" s="217">
        <f>R697</f>
        <v>6108</v>
      </c>
      <c r="S707" s="217">
        <v>6113</v>
      </c>
      <c r="T707" s="217">
        <f t="shared" si="44"/>
        <v>6150</v>
      </c>
      <c r="U707" s="330">
        <f t="shared" si="56"/>
        <v>2.0000000000000001E-4</v>
      </c>
      <c r="V707" s="217">
        <f t="shared" si="57"/>
        <v>2</v>
      </c>
      <c r="W707" s="217">
        <f t="shared" si="58"/>
        <v>2.0000000000000001E-4</v>
      </c>
      <c r="X707" s="217">
        <f t="shared" si="59"/>
        <v>2</v>
      </c>
      <c r="Y707" s="330">
        <f t="shared" si="60"/>
        <v>42.678000000000004</v>
      </c>
      <c r="Z707" s="330">
        <f t="shared" si="61"/>
        <v>42.678000000000004</v>
      </c>
      <c r="AA707" s="650">
        <f t="shared" si="62"/>
        <v>42.677999999999997</v>
      </c>
      <c r="AB707" s="650">
        <f t="shared" si="63"/>
        <v>42.677999999999997</v>
      </c>
      <c r="AC707" s="330">
        <f t="shared" si="64"/>
        <v>-1110</v>
      </c>
      <c r="AD707" s="330">
        <f t="shared" si="65"/>
        <v>150</v>
      </c>
      <c r="AE707" s="217">
        <f t="shared" si="66"/>
        <v>183390</v>
      </c>
      <c r="AF707" s="647" t="str">
        <f t="shared" si="45"/>
        <v>SR80733</v>
      </c>
      <c r="AG707" s="330" t="s">
        <v>311</v>
      </c>
      <c r="AH707" s="217" t="str">
        <f t="shared" si="67"/>
        <v>9999</v>
      </c>
      <c r="AI707" s="217" t="str">
        <f t="shared" si="46"/>
        <v>50010001</v>
      </c>
      <c r="AJ707" s="217">
        <f t="shared" si="68"/>
        <v>0</v>
      </c>
      <c r="AK707" s="217">
        <f t="shared" si="69"/>
        <v>0</v>
      </c>
      <c r="AL707" s="217">
        <f t="shared" si="47"/>
        <v>0</v>
      </c>
      <c r="AM707" s="217">
        <f t="shared" si="48"/>
        <v>0</v>
      </c>
      <c r="AN707" s="217" t="str">
        <f t="shared" si="70"/>
        <v>CNY</v>
      </c>
      <c r="AO707" s="329">
        <f t="shared" si="71"/>
        <v>2.0000000000000001E-4</v>
      </c>
      <c r="AP707" s="329">
        <f t="shared" si="72"/>
        <v>2</v>
      </c>
      <c r="AQ707" s="329">
        <f t="shared" si="73"/>
        <v>42.68</v>
      </c>
    </row>
    <row r="708" spans="1:43" s="329" customFormat="1" x14ac:dyDescent="0.25">
      <c r="A708" s="156" t="str">
        <f t="shared" si="49"/>
        <v>comment</v>
      </c>
      <c r="B708" s="112" t="str">
        <f t="shared" si="50"/>
        <v/>
      </c>
      <c r="C708" s="154" t="str">
        <f t="shared" si="51"/>
        <v>2018032710000036</v>
      </c>
      <c r="D708" s="112" t="str">
        <f>D698</f>
        <v>2018032610000051</v>
      </c>
      <c r="E708" s="217" t="str">
        <f t="shared" si="52"/>
        <v>6001</v>
      </c>
      <c r="F708" s="217" t="str">
        <f t="shared" si="53"/>
        <v>B00101</v>
      </c>
      <c r="G708" s="217" t="str">
        <f t="shared" si="54"/>
        <v>6001</v>
      </c>
      <c r="H708" s="112">
        <v>10000036</v>
      </c>
      <c r="I708" s="642">
        <f t="shared" si="74"/>
        <v>20180327</v>
      </c>
      <c r="J708" s="216">
        <f t="shared" ref="J708:J709" si="80">J698</f>
        <v>20180326</v>
      </c>
      <c r="K708" s="112" t="str">
        <f t="shared" si="55"/>
        <v>CZCE</v>
      </c>
      <c r="L708" s="112" t="str">
        <f t="shared" si="75"/>
        <v>SR807</v>
      </c>
      <c r="M708" s="112">
        <f t="shared" si="43"/>
        <v>10</v>
      </c>
      <c r="N708" s="217">
        <v>1</v>
      </c>
      <c r="O708" s="112">
        <v>1</v>
      </c>
      <c r="P708" s="112">
        <f t="shared" ref="P708" si="81">P698</f>
        <v>3</v>
      </c>
      <c r="Q708" s="217">
        <v>0</v>
      </c>
      <c r="R708" s="112">
        <f>R698</f>
        <v>6400</v>
      </c>
      <c r="S708" s="112">
        <v>6113</v>
      </c>
      <c r="T708" s="112">
        <f t="shared" si="44"/>
        <v>6150</v>
      </c>
      <c r="U708" s="324">
        <f t="shared" si="56"/>
        <v>4.0000000000000002E-4</v>
      </c>
      <c r="V708" s="112">
        <f t="shared" si="57"/>
        <v>4</v>
      </c>
      <c r="W708" s="112">
        <f t="shared" si="58"/>
        <v>3.9999999999999996E-4</v>
      </c>
      <c r="X708" s="112">
        <f t="shared" si="59"/>
        <v>4</v>
      </c>
      <c r="Y708" s="324">
        <f t="shared" si="60"/>
        <v>0</v>
      </c>
      <c r="Z708" s="324">
        <f t="shared" si="61"/>
        <v>0</v>
      </c>
      <c r="AA708" s="654">
        <f t="shared" si="62"/>
        <v>0</v>
      </c>
      <c r="AB708" s="654">
        <f t="shared" si="63"/>
        <v>0</v>
      </c>
      <c r="AC708" s="324">
        <f t="shared" si="64"/>
        <v>0</v>
      </c>
      <c r="AD708" s="324">
        <f t="shared" si="65"/>
        <v>0</v>
      </c>
      <c r="AE708" s="112">
        <f t="shared" si="66"/>
        <v>0</v>
      </c>
      <c r="AF708" s="154" t="str">
        <f t="shared" si="45"/>
        <v>SR80731</v>
      </c>
      <c r="AG708" s="324" t="s">
        <v>311</v>
      </c>
      <c r="AH708" s="112" t="str">
        <f t="shared" si="67"/>
        <v>9999</v>
      </c>
      <c r="AI708" s="112" t="str">
        <f t="shared" si="46"/>
        <v>50010001</v>
      </c>
      <c r="AJ708" s="112">
        <f t="shared" si="68"/>
        <v>0</v>
      </c>
      <c r="AK708" s="112">
        <f t="shared" si="69"/>
        <v>0</v>
      </c>
      <c r="AL708" s="112">
        <f t="shared" si="47"/>
        <v>0</v>
      </c>
      <c r="AM708" s="112">
        <f t="shared" si="48"/>
        <v>0</v>
      </c>
      <c r="AN708" s="112" t="str">
        <f t="shared" si="70"/>
        <v>CNY</v>
      </c>
      <c r="AO708" s="156">
        <f t="shared" si="71"/>
        <v>2.0000000000000001E-4</v>
      </c>
      <c r="AP708" s="156">
        <f t="shared" si="72"/>
        <v>2</v>
      </c>
      <c r="AQ708" s="156">
        <f t="shared" si="73"/>
        <v>0</v>
      </c>
    </row>
    <row r="709" spans="1:43" s="329" customFormat="1" x14ac:dyDescent="0.25">
      <c r="A709" s="156" t="str">
        <f t="shared" si="49"/>
        <v/>
      </c>
      <c r="B709" s="112" t="str">
        <f t="shared" si="50"/>
        <v>201803271000003720180326100000553</v>
      </c>
      <c r="C709" s="154" t="str">
        <f t="shared" si="51"/>
        <v>2018032710000037</v>
      </c>
      <c r="D709" s="216" t="str">
        <f>D699</f>
        <v>2018032610000055</v>
      </c>
      <c r="E709" s="217" t="str">
        <f t="shared" si="52"/>
        <v>6001</v>
      </c>
      <c r="F709" s="217" t="str">
        <f t="shared" si="53"/>
        <v>B00101</v>
      </c>
      <c r="G709" s="217" t="str">
        <f t="shared" si="54"/>
        <v>6001</v>
      </c>
      <c r="H709" s="112">
        <v>10000037</v>
      </c>
      <c r="I709" s="642">
        <f>$B$2</f>
        <v>20180327</v>
      </c>
      <c r="J709" s="216">
        <f t="shared" si="80"/>
        <v>20180326</v>
      </c>
      <c r="K709" s="112" t="str">
        <f t="shared" si="55"/>
        <v>CZCE</v>
      </c>
      <c r="L709" s="112" t="str">
        <f t="shared" si="75"/>
        <v>SR807</v>
      </c>
      <c r="M709" s="112">
        <f t="shared" si="43"/>
        <v>10</v>
      </c>
      <c r="N709" s="217">
        <v>3</v>
      </c>
      <c r="O709" s="217">
        <v>1</v>
      </c>
      <c r="P709" s="112">
        <f>P699</f>
        <v>3</v>
      </c>
      <c r="Q709" s="217">
        <v>1</v>
      </c>
      <c r="R709" s="112">
        <f>R699</f>
        <v>6500</v>
      </c>
      <c r="S709" s="112">
        <v>6113</v>
      </c>
      <c r="T709" s="112">
        <f t="shared" si="44"/>
        <v>6150</v>
      </c>
      <c r="U709" s="324">
        <f t="shared" si="56"/>
        <v>2.0000000000000001E-4</v>
      </c>
      <c r="V709" s="112">
        <f t="shared" si="57"/>
        <v>2</v>
      </c>
      <c r="W709" s="112">
        <f t="shared" si="58"/>
        <v>2.0000000000000001E-4</v>
      </c>
      <c r="X709" s="112">
        <f t="shared" si="59"/>
        <v>2</v>
      </c>
      <c r="Y709" s="324">
        <f t="shared" si="60"/>
        <v>14.226000000000001</v>
      </c>
      <c r="Z709" s="324">
        <f t="shared" si="61"/>
        <v>14.226000000000001</v>
      </c>
      <c r="AA709" s="654">
        <f t="shared" si="62"/>
        <v>14.226000000000001</v>
      </c>
      <c r="AB709" s="654">
        <f t="shared" si="63"/>
        <v>14.226000000000001</v>
      </c>
      <c r="AC709" s="324">
        <f t="shared" si="64"/>
        <v>-370</v>
      </c>
      <c r="AD709" s="324">
        <f t="shared" si="65"/>
        <v>-3870</v>
      </c>
      <c r="AE709" s="112">
        <f t="shared" si="66"/>
        <v>61130</v>
      </c>
      <c r="AF709" s="154" t="str">
        <f t="shared" si="45"/>
        <v>SR80733</v>
      </c>
      <c r="AG709" s="324" t="s">
        <v>311</v>
      </c>
      <c r="AH709" s="112" t="str">
        <f t="shared" si="67"/>
        <v>9999</v>
      </c>
      <c r="AI709" s="112" t="str">
        <f t="shared" si="46"/>
        <v>50010001</v>
      </c>
      <c r="AJ709" s="112">
        <f t="shared" si="68"/>
        <v>0</v>
      </c>
      <c r="AK709" s="112">
        <f t="shared" si="69"/>
        <v>0</v>
      </c>
      <c r="AL709" s="112">
        <f t="shared" si="47"/>
        <v>0</v>
      </c>
      <c r="AM709" s="112">
        <f t="shared" si="48"/>
        <v>0</v>
      </c>
      <c r="AN709" s="112" t="str">
        <f t="shared" si="70"/>
        <v>CNY</v>
      </c>
      <c r="AO709" s="156">
        <f t="shared" si="71"/>
        <v>2.0000000000000001E-4</v>
      </c>
      <c r="AP709" s="156">
        <f t="shared" si="72"/>
        <v>2</v>
      </c>
      <c r="AQ709" s="156">
        <f t="shared" si="73"/>
        <v>14.23</v>
      </c>
    </row>
    <row r="710" spans="1:43" s="329" customFormat="1" x14ac:dyDescent="0.25">
      <c r="A710" s="156" t="str">
        <f t="shared" si="49"/>
        <v/>
      </c>
      <c r="B710" s="112" t="str">
        <f t="shared" si="50"/>
        <v>201803271000003720180326100000551</v>
      </c>
      <c r="C710" s="154" t="str">
        <f t="shared" si="51"/>
        <v>2018032710000037</v>
      </c>
      <c r="D710" s="216" t="str">
        <f>D709</f>
        <v>2018032610000055</v>
      </c>
      <c r="E710" s="217" t="str">
        <f t="shared" si="52"/>
        <v>6001</v>
      </c>
      <c r="F710" s="217" t="str">
        <f t="shared" si="53"/>
        <v>B00101</v>
      </c>
      <c r="G710" s="217" t="str">
        <f t="shared" si="54"/>
        <v>6001</v>
      </c>
      <c r="H710" s="112">
        <v>10000037</v>
      </c>
      <c r="I710" s="642">
        <f t="shared" si="74"/>
        <v>20180327</v>
      </c>
      <c r="J710" s="216">
        <f>J709</f>
        <v>20180326</v>
      </c>
      <c r="K710" s="112" t="str">
        <f t="shared" si="55"/>
        <v>CZCE</v>
      </c>
      <c r="L710" s="112" t="str">
        <f t="shared" si="75"/>
        <v>SR807</v>
      </c>
      <c r="M710" s="112">
        <f t="shared" si="43"/>
        <v>10</v>
      </c>
      <c r="N710" s="217">
        <v>1</v>
      </c>
      <c r="O710" s="217">
        <v>1</v>
      </c>
      <c r="P710" s="217">
        <f>P701</f>
        <v>3</v>
      </c>
      <c r="Q710" s="217">
        <v>2</v>
      </c>
      <c r="R710" s="112">
        <f>R699</f>
        <v>6500</v>
      </c>
      <c r="S710" s="112">
        <v>6113</v>
      </c>
      <c r="T710" s="112">
        <f t="shared" si="44"/>
        <v>6150</v>
      </c>
      <c r="U710" s="324">
        <f t="shared" si="56"/>
        <v>4.0000000000000002E-4</v>
      </c>
      <c r="V710" s="112">
        <f t="shared" si="57"/>
        <v>4</v>
      </c>
      <c r="W710" s="112">
        <f t="shared" si="58"/>
        <v>3.9999999999999996E-4</v>
      </c>
      <c r="X710" s="112">
        <f t="shared" si="59"/>
        <v>4</v>
      </c>
      <c r="Y710" s="324">
        <f t="shared" si="60"/>
        <v>56.904000000000003</v>
      </c>
      <c r="Z710" s="324">
        <f t="shared" si="61"/>
        <v>56.903999999999996</v>
      </c>
      <c r="AA710" s="654">
        <f t="shared" si="62"/>
        <v>56.904000000000003</v>
      </c>
      <c r="AB710" s="654">
        <f t="shared" si="63"/>
        <v>56.904000000000003</v>
      </c>
      <c r="AC710" s="324">
        <f t="shared" si="64"/>
        <v>-740</v>
      </c>
      <c r="AD710" s="324">
        <f t="shared" si="65"/>
        <v>-7740</v>
      </c>
      <c r="AE710" s="112">
        <f t="shared" si="66"/>
        <v>122260</v>
      </c>
      <c r="AF710" s="154" t="str">
        <f t="shared" si="45"/>
        <v>SR80731</v>
      </c>
      <c r="AG710" s="324" t="s">
        <v>311</v>
      </c>
      <c r="AH710" s="112" t="str">
        <f t="shared" si="67"/>
        <v>9999</v>
      </c>
      <c r="AI710" s="112" t="str">
        <f t="shared" si="46"/>
        <v>50010001</v>
      </c>
      <c r="AJ710" s="112">
        <f t="shared" si="68"/>
        <v>0</v>
      </c>
      <c r="AK710" s="112">
        <f t="shared" si="69"/>
        <v>0</v>
      </c>
      <c r="AL710" s="112">
        <f t="shared" si="47"/>
        <v>0</v>
      </c>
      <c r="AM710" s="112">
        <f t="shared" si="48"/>
        <v>0</v>
      </c>
      <c r="AN710" s="112" t="str">
        <f t="shared" si="70"/>
        <v>CNY</v>
      </c>
      <c r="AO710" s="156">
        <f t="shared" si="71"/>
        <v>2.0000000000000001E-4</v>
      </c>
      <c r="AP710" s="156">
        <f t="shared" si="72"/>
        <v>2</v>
      </c>
      <c r="AQ710" s="156">
        <f t="shared" si="73"/>
        <v>28.45</v>
      </c>
    </row>
    <row r="711" spans="1:43" s="156" customFormat="1" x14ac:dyDescent="0.25">
      <c r="A711" s="6" t="str">
        <f t="shared" si="49"/>
        <v>comment</v>
      </c>
      <c r="B711" s="111" t="str">
        <f t="shared" si="50"/>
        <v/>
      </c>
      <c r="C711" s="101" t="str">
        <f t="shared" si="51"/>
        <v>2018032710000038</v>
      </c>
      <c r="D711" s="155" t="str">
        <f>C701</f>
        <v>2018032710000018</v>
      </c>
      <c r="E711" s="112" t="str">
        <f t="shared" si="52"/>
        <v>6001</v>
      </c>
      <c r="F711" s="112" t="str">
        <f t="shared" ref="F711" si="82">VLOOKUP(E711,$B$5:$C$5,2)</f>
        <v>B00101</v>
      </c>
      <c r="G711" s="112" t="str">
        <f t="shared" ref="G711" si="83">VLOOKUP(F711,$C$5:$D$6,2)</f>
        <v>6001</v>
      </c>
      <c r="H711" s="111">
        <v>10000038</v>
      </c>
      <c r="I711" s="104">
        <f t="shared" si="74"/>
        <v>20180327</v>
      </c>
      <c r="J711" s="155">
        <f t="shared" si="76"/>
        <v>20180327</v>
      </c>
      <c r="K711" s="111" t="str">
        <f t="shared" si="55"/>
        <v>CZCE</v>
      </c>
      <c r="L711" s="111" t="str">
        <f t="shared" si="75"/>
        <v>SR807</v>
      </c>
      <c r="M711" s="111">
        <f t="shared" si="43"/>
        <v>10</v>
      </c>
      <c r="N711" s="112">
        <v>1</v>
      </c>
      <c r="O711" s="112">
        <v>1</v>
      </c>
      <c r="P711" s="112">
        <f>P701</f>
        <v>3</v>
      </c>
      <c r="Q711" s="112">
        <v>0</v>
      </c>
      <c r="R711" s="111">
        <f>R701</f>
        <v>6112</v>
      </c>
      <c r="S711" s="111">
        <v>6113</v>
      </c>
      <c r="T711" s="111">
        <f t="shared" si="44"/>
        <v>6150</v>
      </c>
      <c r="U711" s="12">
        <f>VLOOKUP(AF711,$G$75:$K$114,2,FALSE)</f>
        <v>4.0000000000000002E-4</v>
      </c>
      <c r="V711" s="111">
        <f t="shared" ref="V711" si="84">VLOOKUP(AF711,$G$75:$K$114,3,FALSE)</f>
        <v>4</v>
      </c>
      <c r="W711" s="111">
        <f t="shared" ref="W711" si="85">VLOOKUP(AF711,$G$75:$K$114,4,FALSE)</f>
        <v>3.9999999999999996E-4</v>
      </c>
      <c r="X711" s="111"/>
      <c r="Y711" s="12">
        <f t="shared" si="60"/>
        <v>0</v>
      </c>
      <c r="Z711" s="12">
        <f t="shared" si="61"/>
        <v>0</v>
      </c>
      <c r="AA711" s="248">
        <f t="shared" si="62"/>
        <v>0</v>
      </c>
      <c r="AB711" s="248">
        <f t="shared" ref="AB711" si="86">ROUND(Z711,3)</f>
        <v>0</v>
      </c>
      <c r="AC711" s="12">
        <f t="shared" ref="AC711" si="87">IF(N711=0,0,IF(I711=J711,IF(O711=1,M711*Q711*(S711-R711),-M711*Q711*(S711-R711)),IF(O711=1,M711*Q711*(S711-T711),-M711*Q711*(S711-T711))))</f>
        <v>0</v>
      </c>
      <c r="AD711" s="12">
        <f t="shared" ref="AD711" si="88">IF(N711=0,0,(IF(O711=1,M711*Q711*(S711-R711),-M711*Q711*(S711-R711))))</f>
        <v>0</v>
      </c>
      <c r="AE711" s="111">
        <f t="shared" si="66"/>
        <v>0</v>
      </c>
      <c r="AF711" s="101" t="str">
        <f t="shared" si="45"/>
        <v>SR80731</v>
      </c>
      <c r="AG711" s="12" t="s">
        <v>311</v>
      </c>
      <c r="AH711" s="111" t="str">
        <f t="shared" si="67"/>
        <v>9999</v>
      </c>
      <c r="AI711" s="111" t="str">
        <f t="shared" ref="AI711" si="89">VLOOKUP(F711,$C$5:$G$6,5,FALSE)</f>
        <v>50010001</v>
      </c>
      <c r="AJ711" s="111">
        <f t="shared" ref="AJ711" si="90">IF(AM711=0,0,IF(O711=1,M711*Q711*S711,0))</f>
        <v>0</v>
      </c>
      <c r="AK711" s="111">
        <f t="shared" ref="AK711" si="91">IF(AM711=0,0,IF(O711=0,M711*Q711*S711,0))</f>
        <v>0</v>
      </c>
      <c r="AL711" s="111">
        <f t="shared" ref="AL711" si="92" xml:space="preserve"> VLOOKUP(L711,$C$19:$K$29,9,FALSE)</f>
        <v>0</v>
      </c>
      <c r="AM711" s="111">
        <f t="shared" ref="AM711" si="93">VLOOKUP(L711,$C$19:$L$29,10,FALSE)</f>
        <v>0</v>
      </c>
      <c r="AN711" s="111" t="str">
        <f t="shared" si="70"/>
        <v>CNY</v>
      </c>
      <c r="AO711" s="6">
        <f t="shared" ref="AO711" si="94">VLOOKUP(AF711,$G$75:$M$114,6,FALSE)</f>
        <v>2.0000000000000001E-4</v>
      </c>
      <c r="AP711" s="6">
        <f t="shared" ref="AP711" si="95">VLOOKUP(AF711,$G$75:$M$114,7,FALSE)</f>
        <v>2</v>
      </c>
      <c r="AQ711" s="6">
        <f t="shared" ref="AQ711" si="96">ROUND(M711*Q711*S711*AO711+Q711*AP711,2)</f>
        <v>0</v>
      </c>
    </row>
    <row r="712" spans="1:43" s="6" customFormat="1" x14ac:dyDescent="0.25">
      <c r="A712" s="6" t="str">
        <f>IF(Q712=0,"comment","")</f>
        <v/>
      </c>
      <c r="B712" s="111" t="str">
        <f>IF(AND(D712&lt;&gt;"",Q712&lt;&gt;0),CONCATENATE(C712,D712,N712),"")</f>
        <v>201803271000005020180326100000311</v>
      </c>
      <c r="C712" s="101" t="str">
        <f t="shared" si="51"/>
        <v>2018032710000050</v>
      </c>
      <c r="D712" s="111" t="str">
        <f>'day1'!B718</f>
        <v>2018032610000031</v>
      </c>
      <c r="E712" s="111" t="str">
        <f t="shared" si="52"/>
        <v>6001</v>
      </c>
      <c r="F712" s="111" t="str">
        <f>VLOOKUP(E712,$B$6:$C$6,2)</f>
        <v>B00102</v>
      </c>
      <c r="G712" s="111" t="str">
        <f>VLOOKUP(F712,$C$6:$D$6,2)</f>
        <v>6001</v>
      </c>
      <c r="H712" s="111">
        <v>10000050</v>
      </c>
      <c r="I712" s="104">
        <f t="shared" si="74"/>
        <v>20180327</v>
      </c>
      <c r="J712" s="155">
        <f>'day1'!G718</f>
        <v>20180326</v>
      </c>
      <c r="K712" s="111" t="str">
        <f t="shared" si="55"/>
        <v>CZCE</v>
      </c>
      <c r="L712" s="111" t="str">
        <f>$C$22</f>
        <v>PTA807</v>
      </c>
      <c r="M712" s="111">
        <f t="shared" si="43"/>
        <v>5</v>
      </c>
      <c r="N712" s="111">
        <v>1</v>
      </c>
      <c r="O712" s="111">
        <v>0</v>
      </c>
      <c r="P712" s="111">
        <v>1</v>
      </c>
      <c r="Q712" s="111">
        <v>3</v>
      </c>
      <c r="R712" s="111">
        <f>'day1'!Y718</f>
        <v>6121</v>
      </c>
      <c r="S712" s="111">
        <v>6114</v>
      </c>
      <c r="T712" s="111">
        <f t="shared" si="44"/>
        <v>6165</v>
      </c>
      <c r="U712" s="12">
        <f t="shared" si="56"/>
        <v>4.0000000000000002E-4</v>
      </c>
      <c r="V712" s="111">
        <f t="shared" si="57"/>
        <v>4</v>
      </c>
      <c r="W712" s="111">
        <f t="shared" si="58"/>
        <v>2.9999999999999997E-4</v>
      </c>
      <c r="X712" s="111">
        <f t="shared" si="59"/>
        <v>3</v>
      </c>
      <c r="Y712" s="12">
        <f t="shared" si="60"/>
        <v>48.684000000000005</v>
      </c>
      <c r="Z712" s="12">
        <f t="shared" si="61"/>
        <v>36.512999999999998</v>
      </c>
      <c r="AA712" s="248">
        <f t="shared" si="62"/>
        <v>48.683999999999997</v>
      </c>
      <c r="AB712" s="248">
        <f t="shared" si="63"/>
        <v>36.512999999999998</v>
      </c>
      <c r="AC712" s="12">
        <f t="shared" si="64"/>
        <v>765</v>
      </c>
      <c r="AD712" s="12">
        <f t="shared" si="65"/>
        <v>105</v>
      </c>
      <c r="AE712" s="111">
        <f t="shared" si="66"/>
        <v>91710</v>
      </c>
      <c r="AF712" s="101" t="str">
        <f t="shared" si="45"/>
        <v>PTA80711</v>
      </c>
      <c r="AG712" s="12" t="s">
        <v>311</v>
      </c>
      <c r="AH712" s="111" t="str">
        <f t="shared" si="67"/>
        <v>9999</v>
      </c>
      <c r="AI712" s="111" t="str">
        <f t="shared" si="46"/>
        <v>50010002</v>
      </c>
      <c r="AJ712" s="111">
        <f t="shared" si="68"/>
        <v>0</v>
      </c>
      <c r="AK712" s="111">
        <f t="shared" si="69"/>
        <v>0</v>
      </c>
      <c r="AL712" s="111">
        <f t="shared" ref="AL712:AL729" si="97" xml:space="preserve"> VLOOKUP(L712,$C$19:$K$29,9,FALSE)</f>
        <v>1</v>
      </c>
      <c r="AM712" s="111">
        <f t="shared" ref="AM712:AM729" si="98">VLOOKUP(L712,$C$19:$L$29,10,FALSE)</f>
        <v>0</v>
      </c>
      <c r="AN712" s="111" t="str">
        <f t="shared" si="70"/>
        <v>CNY</v>
      </c>
      <c r="AO712" s="6">
        <f t="shared" si="71"/>
        <v>2.0000000000000001E-4</v>
      </c>
      <c r="AP712" s="6">
        <f t="shared" si="72"/>
        <v>2</v>
      </c>
      <c r="AQ712" s="6">
        <f t="shared" si="73"/>
        <v>24.34</v>
      </c>
    </row>
    <row r="713" spans="1:43" s="6" customFormat="1" x14ac:dyDescent="0.25">
      <c r="A713" s="6" t="str">
        <f t="shared" si="49"/>
        <v>comment</v>
      </c>
      <c r="B713" s="111" t="str">
        <f t="shared" si="50"/>
        <v/>
      </c>
      <c r="C713" s="101" t="str">
        <f t="shared" si="51"/>
        <v>2018032710000051</v>
      </c>
      <c r="D713" s="111" t="str">
        <f>'day1'!B716</f>
        <v>2018032610000029</v>
      </c>
      <c r="E713" s="111" t="str">
        <f t="shared" si="52"/>
        <v>6001</v>
      </c>
      <c r="F713" s="111" t="str">
        <f>VLOOKUP(E713,$B$6:$C$6,2)</f>
        <v>B00102</v>
      </c>
      <c r="G713" s="111" t="str">
        <f t="shared" ref="G713:G717" si="99">VLOOKUP(F713,$C$6:$D$6,2)</f>
        <v>6001</v>
      </c>
      <c r="H713" s="111">
        <v>10000051</v>
      </c>
      <c r="I713" s="104">
        <f t="shared" si="74"/>
        <v>20180327</v>
      </c>
      <c r="J713" s="155">
        <f>'day1'!G716</f>
        <v>20180326</v>
      </c>
      <c r="K713" s="111" t="str">
        <f t="shared" si="55"/>
        <v>CZCE</v>
      </c>
      <c r="L713" s="111" t="str">
        <f>$C$22</f>
        <v>PTA807</v>
      </c>
      <c r="M713" s="111">
        <f t="shared" si="43"/>
        <v>5</v>
      </c>
      <c r="N713" s="111">
        <v>1</v>
      </c>
      <c r="O713" s="111">
        <v>0</v>
      </c>
      <c r="P713" s="111">
        <v>3</v>
      </c>
      <c r="Q713" s="111">
        <v>0</v>
      </c>
      <c r="R713" s="111">
        <f>'day1'!Y716</f>
        <v>6119</v>
      </c>
      <c r="S713" s="111">
        <v>6114</v>
      </c>
      <c r="T713" s="111">
        <f t="shared" si="44"/>
        <v>6165</v>
      </c>
      <c r="U713" s="12">
        <f t="shared" si="56"/>
        <v>4.0000000000000002E-4</v>
      </c>
      <c r="V713" s="111">
        <f t="shared" si="57"/>
        <v>4</v>
      </c>
      <c r="W713" s="111">
        <f t="shared" si="58"/>
        <v>3.9999999999999996E-4</v>
      </c>
      <c r="X713" s="111">
        <f t="shared" si="59"/>
        <v>4</v>
      </c>
      <c r="Y713" s="12">
        <f t="shared" si="60"/>
        <v>0</v>
      </c>
      <c r="Z713" s="12">
        <f t="shared" si="61"/>
        <v>0</v>
      </c>
      <c r="AA713" s="248">
        <f t="shared" si="62"/>
        <v>0</v>
      </c>
      <c r="AB713" s="248">
        <f t="shared" si="63"/>
        <v>0</v>
      </c>
      <c r="AC713" s="12">
        <f t="shared" si="64"/>
        <v>0</v>
      </c>
      <c r="AD713" s="12">
        <f t="shared" si="65"/>
        <v>0</v>
      </c>
      <c r="AE713" s="111">
        <f t="shared" si="66"/>
        <v>0</v>
      </c>
      <c r="AF713" s="101" t="str">
        <f t="shared" si="45"/>
        <v>PTA80731</v>
      </c>
      <c r="AG713" s="12" t="s">
        <v>311</v>
      </c>
      <c r="AH713" s="111" t="str">
        <f t="shared" si="67"/>
        <v>9999</v>
      </c>
      <c r="AI713" s="111" t="str">
        <f t="shared" si="46"/>
        <v>50010002</v>
      </c>
      <c r="AJ713" s="111">
        <f t="shared" si="68"/>
        <v>0</v>
      </c>
      <c r="AK713" s="111">
        <f t="shared" si="69"/>
        <v>0</v>
      </c>
      <c r="AL713" s="111">
        <f t="shared" si="97"/>
        <v>1</v>
      </c>
      <c r="AM713" s="111">
        <f t="shared" si="98"/>
        <v>0</v>
      </c>
      <c r="AN713" s="111" t="str">
        <f t="shared" si="70"/>
        <v>CNY</v>
      </c>
      <c r="AO713" s="6">
        <f t="shared" si="71"/>
        <v>2.0000000000000001E-4</v>
      </c>
      <c r="AP713" s="6">
        <f t="shared" si="72"/>
        <v>2</v>
      </c>
      <c r="AQ713" s="6">
        <f t="shared" si="73"/>
        <v>0</v>
      </c>
    </row>
    <row r="714" spans="1:43" s="6" customFormat="1" x14ac:dyDescent="0.25">
      <c r="A714" s="6" t="str">
        <f t="shared" si="49"/>
        <v/>
      </c>
      <c r="B714" s="111" t="str">
        <f t="shared" si="50"/>
        <v/>
      </c>
      <c r="C714" s="101" t="str">
        <f t="shared" si="51"/>
        <v>2018032710000052</v>
      </c>
      <c r="D714" s="111"/>
      <c r="E714" s="111" t="str">
        <f t="shared" si="52"/>
        <v>6001</v>
      </c>
      <c r="F714" s="111" t="str">
        <f t="shared" ref="F714:F720" si="100">VLOOKUP(E714,$B$6:$C$6,2)</f>
        <v>B00102</v>
      </c>
      <c r="G714" s="111" t="str">
        <f t="shared" si="99"/>
        <v>6001</v>
      </c>
      <c r="H714" s="112">
        <v>10000052</v>
      </c>
      <c r="I714" s="104">
        <f t="shared" si="74"/>
        <v>20180327</v>
      </c>
      <c r="J714" s="113">
        <f t="shared" si="76"/>
        <v>20180327</v>
      </c>
      <c r="K714" s="111" t="str">
        <f t="shared" si="55"/>
        <v>CZCE</v>
      </c>
      <c r="L714" s="111" t="str">
        <f t="shared" ref="L714" si="101">$C$22</f>
        <v>PTA807</v>
      </c>
      <c r="M714" s="111">
        <f t="shared" si="43"/>
        <v>5</v>
      </c>
      <c r="N714" s="111">
        <v>0</v>
      </c>
      <c r="O714" s="111">
        <v>1</v>
      </c>
      <c r="P714" s="111">
        <v>1</v>
      </c>
      <c r="Q714" s="111">
        <v>3</v>
      </c>
      <c r="R714" s="111">
        <f>IF(N714=0,S714,VLOOKUP(D714,$C$693:$S$761,16,FALSE))</f>
        <v>6115</v>
      </c>
      <c r="S714" s="111">
        <v>6115</v>
      </c>
      <c r="T714" s="111">
        <f t="shared" si="44"/>
        <v>6165</v>
      </c>
      <c r="U714" s="12">
        <f t="shared" si="56"/>
        <v>5.0000000000000001E-4</v>
      </c>
      <c r="V714" s="111">
        <f t="shared" si="57"/>
        <v>5</v>
      </c>
      <c r="W714" s="111">
        <f t="shared" si="58"/>
        <v>4.0000000000000002E-4</v>
      </c>
      <c r="X714" s="111">
        <f t="shared" si="59"/>
        <v>4</v>
      </c>
      <c r="Y714" s="12">
        <f t="shared" si="60"/>
        <v>60.862500000000004</v>
      </c>
      <c r="Z714" s="12">
        <f t="shared" si="61"/>
        <v>48.690000000000005</v>
      </c>
      <c r="AA714" s="248">
        <f t="shared" si="62"/>
        <v>60.863</v>
      </c>
      <c r="AB714" s="248">
        <f t="shared" si="63"/>
        <v>48.69</v>
      </c>
      <c r="AC714" s="12">
        <f t="shared" si="64"/>
        <v>0</v>
      </c>
      <c r="AD714" s="12">
        <f t="shared" si="65"/>
        <v>0</v>
      </c>
      <c r="AE714" s="111">
        <f t="shared" si="66"/>
        <v>91725</v>
      </c>
      <c r="AF714" s="101" t="str">
        <f t="shared" si="45"/>
        <v>PTA80710</v>
      </c>
      <c r="AG714" s="12" t="s">
        <v>311</v>
      </c>
      <c r="AH714" s="111" t="str">
        <f t="shared" si="67"/>
        <v>9999</v>
      </c>
      <c r="AI714" s="111" t="str">
        <f t="shared" si="46"/>
        <v>50010002</v>
      </c>
      <c r="AJ714" s="111">
        <f t="shared" si="68"/>
        <v>0</v>
      </c>
      <c r="AK714" s="111">
        <f t="shared" si="69"/>
        <v>0</v>
      </c>
      <c r="AL714" s="111">
        <f t="shared" si="97"/>
        <v>1</v>
      </c>
      <c r="AM714" s="111">
        <f t="shared" si="98"/>
        <v>0</v>
      </c>
      <c r="AN714" s="111" t="str">
        <f t="shared" si="70"/>
        <v>CNY</v>
      </c>
      <c r="AO714" s="6">
        <f t="shared" si="71"/>
        <v>2.0000000000000001E-4</v>
      </c>
      <c r="AP714" s="6">
        <f t="shared" si="72"/>
        <v>2</v>
      </c>
      <c r="AQ714" s="6">
        <f t="shared" si="73"/>
        <v>24.35</v>
      </c>
    </row>
    <row r="715" spans="1:43" s="6" customFormat="1" x14ac:dyDescent="0.25">
      <c r="A715" s="6" t="str">
        <f t="shared" si="49"/>
        <v/>
      </c>
      <c r="B715" s="111" t="str">
        <f t="shared" si="50"/>
        <v/>
      </c>
      <c r="C715" s="101" t="str">
        <f t="shared" si="51"/>
        <v>2018032710000053</v>
      </c>
      <c r="D715" s="111"/>
      <c r="E715" s="111" t="str">
        <f t="shared" si="52"/>
        <v>6001</v>
      </c>
      <c r="F715" s="111" t="str">
        <f t="shared" si="100"/>
        <v>B00102</v>
      </c>
      <c r="G715" s="111" t="str">
        <f t="shared" si="99"/>
        <v>6001</v>
      </c>
      <c r="H715" s="112">
        <v>10000053</v>
      </c>
      <c r="I715" s="104">
        <f t="shared" si="74"/>
        <v>20180327</v>
      </c>
      <c r="J715" s="113">
        <f t="shared" si="76"/>
        <v>20180327</v>
      </c>
      <c r="K715" s="111" t="str">
        <f t="shared" si="55"/>
        <v>CZCE</v>
      </c>
      <c r="L715" s="111" t="str">
        <f>$C$22</f>
        <v>PTA807</v>
      </c>
      <c r="M715" s="111">
        <f t="shared" si="43"/>
        <v>5</v>
      </c>
      <c r="N715" s="111">
        <v>0</v>
      </c>
      <c r="O715" s="111">
        <v>1</v>
      </c>
      <c r="P715" s="111">
        <v>3</v>
      </c>
      <c r="Q715" s="111">
        <v>1</v>
      </c>
      <c r="R715" s="111">
        <f>IF(N715=0,S715,VLOOKUP(D715,$C$693:$S$761,16,FALSE))</f>
        <v>6116</v>
      </c>
      <c r="S715" s="111">
        <v>6116</v>
      </c>
      <c r="T715" s="111">
        <f t="shared" si="44"/>
        <v>6165</v>
      </c>
      <c r="U715" s="12">
        <f t="shared" si="56"/>
        <v>5.0000000000000001E-4</v>
      </c>
      <c r="V715" s="111">
        <f t="shared" si="57"/>
        <v>5</v>
      </c>
      <c r="W715" s="111">
        <f t="shared" si="58"/>
        <v>5.0000000000000001E-4</v>
      </c>
      <c r="X715" s="111">
        <f t="shared" si="59"/>
        <v>5</v>
      </c>
      <c r="Y715" s="12">
        <f t="shared" si="60"/>
        <v>20.29</v>
      </c>
      <c r="Z715" s="12">
        <f t="shared" si="61"/>
        <v>20.29</v>
      </c>
      <c r="AA715" s="248">
        <f t="shared" si="62"/>
        <v>20.29</v>
      </c>
      <c r="AB715" s="248">
        <f t="shared" si="63"/>
        <v>20.29</v>
      </c>
      <c r="AC715" s="12">
        <f t="shared" si="64"/>
        <v>0</v>
      </c>
      <c r="AD715" s="12">
        <f t="shared" si="65"/>
        <v>0</v>
      </c>
      <c r="AE715" s="111">
        <f t="shared" si="66"/>
        <v>30580</v>
      </c>
      <c r="AF715" s="101" t="str">
        <f t="shared" si="45"/>
        <v>PTA80730</v>
      </c>
      <c r="AG715" s="12" t="s">
        <v>311</v>
      </c>
      <c r="AH715" s="111" t="str">
        <f t="shared" si="67"/>
        <v>9999</v>
      </c>
      <c r="AI715" s="111" t="str">
        <f t="shared" si="46"/>
        <v>50010002</v>
      </c>
      <c r="AJ715" s="111">
        <f t="shared" si="68"/>
        <v>0</v>
      </c>
      <c r="AK715" s="111">
        <f t="shared" si="69"/>
        <v>0</v>
      </c>
      <c r="AL715" s="111">
        <f t="shared" si="97"/>
        <v>1</v>
      </c>
      <c r="AM715" s="111">
        <f t="shared" si="98"/>
        <v>0</v>
      </c>
      <c r="AN715" s="111" t="str">
        <f t="shared" si="70"/>
        <v>CNY</v>
      </c>
      <c r="AO715" s="6">
        <f t="shared" si="71"/>
        <v>2.0000000000000001E-4</v>
      </c>
      <c r="AP715" s="6">
        <f t="shared" si="72"/>
        <v>2</v>
      </c>
      <c r="AQ715" s="6">
        <f t="shared" si="73"/>
        <v>8.1199999999999992</v>
      </c>
    </row>
    <row r="716" spans="1:43" s="6" customFormat="1" x14ac:dyDescent="0.25">
      <c r="A716" s="6" t="str">
        <f t="shared" si="49"/>
        <v/>
      </c>
      <c r="B716" s="111" t="str">
        <f t="shared" si="50"/>
        <v>201803271000006020180326100000313</v>
      </c>
      <c r="C716" s="101" t="str">
        <f t="shared" si="51"/>
        <v>2018032710000060</v>
      </c>
      <c r="D716" s="113" t="str">
        <f>D712</f>
        <v>2018032610000031</v>
      </c>
      <c r="E716" s="111" t="str">
        <f t="shared" si="52"/>
        <v>6001</v>
      </c>
      <c r="F716" s="111" t="str">
        <f t="shared" si="100"/>
        <v>B00102</v>
      </c>
      <c r="G716" s="111" t="str">
        <f t="shared" si="99"/>
        <v>6001</v>
      </c>
      <c r="H716" s="112">
        <v>10000060</v>
      </c>
      <c r="I716" s="104">
        <f t="shared" si="74"/>
        <v>20180327</v>
      </c>
      <c r="J716" s="113">
        <f>'day1'!G718</f>
        <v>20180326</v>
      </c>
      <c r="K716" s="111" t="str">
        <f t="shared" si="55"/>
        <v>CZCE</v>
      </c>
      <c r="L716" s="111" t="str">
        <f t="shared" ref="L716:L720" si="102">$C$22</f>
        <v>PTA807</v>
      </c>
      <c r="M716" s="111">
        <f t="shared" si="43"/>
        <v>5</v>
      </c>
      <c r="N716" s="111">
        <v>3</v>
      </c>
      <c r="O716" s="111">
        <v>0</v>
      </c>
      <c r="P716" s="111">
        <v>1</v>
      </c>
      <c r="Q716" s="111">
        <v>4</v>
      </c>
      <c r="R716" s="111">
        <f>R712</f>
        <v>6121</v>
      </c>
      <c r="S716" s="111">
        <v>6122</v>
      </c>
      <c r="T716" s="111">
        <f t="shared" si="44"/>
        <v>6165</v>
      </c>
      <c r="U716" s="12">
        <f t="shared" si="56"/>
        <v>2.0000000000000001E-4</v>
      </c>
      <c r="V716" s="111">
        <f t="shared" si="57"/>
        <v>2</v>
      </c>
      <c r="W716" s="111">
        <f t="shared" si="58"/>
        <v>1E-4</v>
      </c>
      <c r="X716" s="111">
        <f t="shared" si="59"/>
        <v>1</v>
      </c>
      <c r="Y716" s="12">
        <f t="shared" si="60"/>
        <v>32.488</v>
      </c>
      <c r="Z716" s="12">
        <f t="shared" si="61"/>
        <v>16.244</v>
      </c>
      <c r="AA716" s="248">
        <f t="shared" si="62"/>
        <v>32.488</v>
      </c>
      <c r="AB716" s="248">
        <f t="shared" si="63"/>
        <v>16.244</v>
      </c>
      <c r="AC716" s="12">
        <f t="shared" si="64"/>
        <v>860</v>
      </c>
      <c r="AD716" s="12">
        <f t="shared" si="65"/>
        <v>-20</v>
      </c>
      <c r="AE716" s="111">
        <f t="shared" si="66"/>
        <v>122440</v>
      </c>
      <c r="AF716" s="101" t="str">
        <f t="shared" si="45"/>
        <v>PTA80713</v>
      </c>
      <c r="AG716" s="12" t="s">
        <v>311</v>
      </c>
      <c r="AH716" s="111" t="str">
        <f t="shared" si="67"/>
        <v>9999</v>
      </c>
      <c r="AI716" s="111" t="str">
        <f t="shared" si="46"/>
        <v>50010002</v>
      </c>
      <c r="AJ716" s="111">
        <f t="shared" si="68"/>
        <v>0</v>
      </c>
      <c r="AK716" s="111">
        <f t="shared" si="69"/>
        <v>0</v>
      </c>
      <c r="AL716" s="111">
        <f t="shared" si="97"/>
        <v>1</v>
      </c>
      <c r="AM716" s="111">
        <f t="shared" si="98"/>
        <v>0</v>
      </c>
      <c r="AN716" s="111" t="str">
        <f t="shared" si="70"/>
        <v>CNY</v>
      </c>
      <c r="AO716" s="6">
        <f t="shared" si="71"/>
        <v>2.0000000000000001E-4</v>
      </c>
      <c r="AP716" s="6">
        <f t="shared" si="72"/>
        <v>2</v>
      </c>
      <c r="AQ716" s="6">
        <f t="shared" si="73"/>
        <v>32.49</v>
      </c>
    </row>
    <row r="717" spans="1:43" s="6" customFormat="1" x14ac:dyDescent="0.25">
      <c r="A717" s="6" t="str">
        <f t="shared" si="49"/>
        <v/>
      </c>
      <c r="B717" s="111" t="str">
        <f t="shared" si="50"/>
        <v>201803271000006020180326100000311</v>
      </c>
      <c r="C717" s="101" t="str">
        <f t="shared" si="51"/>
        <v>2018032710000060</v>
      </c>
      <c r="D717" s="113" t="str">
        <f>D716</f>
        <v>2018032610000031</v>
      </c>
      <c r="E717" s="111" t="str">
        <f t="shared" si="52"/>
        <v>6001</v>
      </c>
      <c r="F717" s="111" t="str">
        <f t="shared" si="100"/>
        <v>B00102</v>
      </c>
      <c r="G717" s="111" t="str">
        <f t="shared" si="99"/>
        <v>6001</v>
      </c>
      <c r="H717" s="112">
        <v>10000060</v>
      </c>
      <c r="I717" s="104">
        <f t="shared" si="74"/>
        <v>20180327</v>
      </c>
      <c r="J717" s="113">
        <f>'day1'!G718</f>
        <v>20180326</v>
      </c>
      <c r="K717" s="111" t="str">
        <f t="shared" si="55"/>
        <v>CZCE</v>
      </c>
      <c r="L717" s="111" t="str">
        <f t="shared" si="102"/>
        <v>PTA807</v>
      </c>
      <c r="M717" s="111">
        <f t="shared" si="43"/>
        <v>5</v>
      </c>
      <c r="N717" s="111">
        <v>1</v>
      </c>
      <c r="O717" s="111">
        <v>0</v>
      </c>
      <c r="P717" s="111">
        <v>1</v>
      </c>
      <c r="Q717" s="111">
        <v>1</v>
      </c>
      <c r="R717" s="111">
        <f>R712</f>
        <v>6121</v>
      </c>
      <c r="S717" s="111">
        <v>6122</v>
      </c>
      <c r="T717" s="111">
        <f t="shared" si="44"/>
        <v>6165</v>
      </c>
      <c r="U717" s="12">
        <f t="shared" si="56"/>
        <v>4.0000000000000002E-4</v>
      </c>
      <c r="V717" s="111">
        <f t="shared" si="57"/>
        <v>4</v>
      </c>
      <c r="W717" s="111">
        <f t="shared" si="58"/>
        <v>2.9999999999999997E-4</v>
      </c>
      <c r="X717" s="111">
        <f t="shared" si="59"/>
        <v>3</v>
      </c>
      <c r="Y717" s="12">
        <f t="shared" si="60"/>
        <v>16.244</v>
      </c>
      <c r="Z717" s="12">
        <f t="shared" si="61"/>
        <v>12.183</v>
      </c>
      <c r="AA717" s="248">
        <f t="shared" si="62"/>
        <v>16.244</v>
      </c>
      <c r="AB717" s="248">
        <f t="shared" si="63"/>
        <v>12.183</v>
      </c>
      <c r="AC717" s="12">
        <f t="shared" si="64"/>
        <v>215</v>
      </c>
      <c r="AD717" s="12">
        <f t="shared" si="65"/>
        <v>-5</v>
      </c>
      <c r="AE717" s="111">
        <f t="shared" si="66"/>
        <v>30610</v>
      </c>
      <c r="AF717" s="101" t="str">
        <f t="shared" si="45"/>
        <v>PTA80711</v>
      </c>
      <c r="AG717" s="12" t="s">
        <v>2010</v>
      </c>
      <c r="AH717" s="111" t="str">
        <f t="shared" si="67"/>
        <v>9999</v>
      </c>
      <c r="AI717" s="111" t="str">
        <f t="shared" si="46"/>
        <v>50010002</v>
      </c>
      <c r="AJ717" s="111">
        <f t="shared" si="68"/>
        <v>0</v>
      </c>
      <c r="AK717" s="111">
        <f t="shared" si="69"/>
        <v>0</v>
      </c>
      <c r="AL717" s="111">
        <f t="shared" si="97"/>
        <v>1</v>
      </c>
      <c r="AM717" s="111">
        <f t="shared" si="98"/>
        <v>0</v>
      </c>
      <c r="AN717" s="111" t="str">
        <f t="shared" si="70"/>
        <v>CNY</v>
      </c>
      <c r="AO717" s="6">
        <f t="shared" si="71"/>
        <v>2.0000000000000001E-4</v>
      </c>
      <c r="AP717" s="6">
        <f t="shared" si="72"/>
        <v>2</v>
      </c>
      <c r="AQ717" s="6">
        <f t="shared" si="73"/>
        <v>8.1199999999999992</v>
      </c>
    </row>
    <row r="718" spans="1:43" s="6" customFormat="1" x14ac:dyDescent="0.25">
      <c r="A718" s="6" t="str">
        <f t="shared" si="49"/>
        <v/>
      </c>
      <c r="B718" s="111" t="str">
        <f t="shared" si="50"/>
        <v>201803271000006120180327100000521</v>
      </c>
      <c r="C718" s="101" t="str">
        <f t="shared" si="51"/>
        <v>2018032710000061</v>
      </c>
      <c r="D718" s="113" t="str">
        <f>C714</f>
        <v>2018032710000052</v>
      </c>
      <c r="E718" s="111" t="str">
        <f t="shared" si="52"/>
        <v>6001</v>
      </c>
      <c r="F718" s="111" t="str">
        <f t="shared" si="100"/>
        <v>B00102</v>
      </c>
      <c r="G718" s="111" t="str">
        <f t="shared" si="54"/>
        <v>6001</v>
      </c>
      <c r="H718" s="112">
        <v>10000061</v>
      </c>
      <c r="I718" s="104">
        <f t="shared" si="74"/>
        <v>20180327</v>
      </c>
      <c r="J718" s="113">
        <f t="shared" si="76"/>
        <v>20180327</v>
      </c>
      <c r="K718" s="111" t="str">
        <f t="shared" si="55"/>
        <v>CZCE</v>
      </c>
      <c r="L718" s="111" t="str">
        <f t="shared" si="102"/>
        <v>PTA807</v>
      </c>
      <c r="M718" s="111">
        <f t="shared" si="43"/>
        <v>5</v>
      </c>
      <c r="N718" s="111">
        <v>1</v>
      </c>
      <c r="O718" s="111">
        <v>0</v>
      </c>
      <c r="P718" s="111">
        <v>1</v>
      </c>
      <c r="Q718" s="111">
        <v>1</v>
      </c>
      <c r="R718" s="111">
        <f>IF(N718=0,S718,VLOOKUP(D718,$C$693:$S$761,16,FALSE))</f>
        <v>6115</v>
      </c>
      <c r="S718" s="111">
        <v>6122</v>
      </c>
      <c r="T718" s="111">
        <f t="shared" si="44"/>
        <v>6165</v>
      </c>
      <c r="U718" s="12">
        <f t="shared" si="56"/>
        <v>4.0000000000000002E-4</v>
      </c>
      <c r="V718" s="111">
        <f t="shared" si="57"/>
        <v>4</v>
      </c>
      <c r="W718" s="111">
        <f t="shared" si="58"/>
        <v>2.9999999999999997E-4</v>
      </c>
      <c r="X718" s="111">
        <f t="shared" si="59"/>
        <v>3</v>
      </c>
      <c r="Y718" s="12">
        <f t="shared" si="60"/>
        <v>16.244</v>
      </c>
      <c r="Z718" s="12">
        <f t="shared" si="61"/>
        <v>12.183</v>
      </c>
      <c r="AA718" s="248">
        <f t="shared" si="62"/>
        <v>16.244</v>
      </c>
      <c r="AB718" s="248">
        <f t="shared" si="63"/>
        <v>12.183</v>
      </c>
      <c r="AC718" s="12">
        <f t="shared" si="64"/>
        <v>-35</v>
      </c>
      <c r="AD718" s="12">
        <f t="shared" si="65"/>
        <v>-35</v>
      </c>
      <c r="AE718" s="111">
        <f t="shared" si="66"/>
        <v>30610</v>
      </c>
      <c r="AF718" s="101" t="str">
        <f t="shared" si="45"/>
        <v>PTA80711</v>
      </c>
      <c r="AG718" s="12" t="s">
        <v>2010</v>
      </c>
      <c r="AH718" s="111" t="str">
        <f t="shared" si="67"/>
        <v>9999</v>
      </c>
      <c r="AI718" s="111" t="str">
        <f t="shared" si="46"/>
        <v>50010002</v>
      </c>
      <c r="AJ718" s="111">
        <f t="shared" si="68"/>
        <v>0</v>
      </c>
      <c r="AK718" s="111">
        <f t="shared" si="69"/>
        <v>0</v>
      </c>
      <c r="AL718" s="111">
        <f t="shared" si="97"/>
        <v>1</v>
      </c>
      <c r="AM718" s="111">
        <f t="shared" si="98"/>
        <v>0</v>
      </c>
      <c r="AN718" s="111" t="str">
        <f t="shared" si="70"/>
        <v>CNY</v>
      </c>
      <c r="AO718" s="6">
        <f t="shared" si="71"/>
        <v>2.0000000000000001E-4</v>
      </c>
      <c r="AP718" s="6">
        <f t="shared" si="72"/>
        <v>2</v>
      </c>
      <c r="AQ718" s="6">
        <f t="shared" si="73"/>
        <v>8.1199999999999992</v>
      </c>
    </row>
    <row r="719" spans="1:43" s="6" customFormat="1" x14ac:dyDescent="0.25">
      <c r="A719" s="6" t="str">
        <f>IF(Q719=0,"comment","")</f>
        <v>comment</v>
      </c>
      <c r="B719" s="111" t="str">
        <f t="shared" si="50"/>
        <v/>
      </c>
      <c r="C719" s="101" t="str">
        <f t="shared" si="51"/>
        <v>2018032710000062</v>
      </c>
      <c r="D719" s="113" t="str">
        <f>D713</f>
        <v>2018032610000029</v>
      </c>
      <c r="E719" s="111" t="str">
        <f t="shared" si="52"/>
        <v>6001</v>
      </c>
      <c r="F719" s="111" t="str">
        <f t="shared" si="100"/>
        <v>B00102</v>
      </c>
      <c r="G719" s="111" t="str">
        <f t="shared" si="54"/>
        <v>6001</v>
      </c>
      <c r="H719" s="112">
        <v>10000062</v>
      </c>
      <c r="I719" s="104">
        <f t="shared" si="74"/>
        <v>20180327</v>
      </c>
      <c r="J719" s="113">
        <f>'day1'!G716</f>
        <v>20180326</v>
      </c>
      <c r="K719" s="111" t="str">
        <f t="shared" si="55"/>
        <v>CZCE</v>
      </c>
      <c r="L719" s="111" t="str">
        <f t="shared" si="102"/>
        <v>PTA807</v>
      </c>
      <c r="M719" s="111">
        <f t="shared" si="43"/>
        <v>5</v>
      </c>
      <c r="N719" s="111">
        <v>1</v>
      </c>
      <c r="O719" s="111">
        <v>0</v>
      </c>
      <c r="P719" s="111">
        <v>1</v>
      </c>
      <c r="Q719" s="111">
        <v>0</v>
      </c>
      <c r="R719" s="111">
        <f>R713</f>
        <v>6119</v>
      </c>
      <c r="S719" s="111">
        <v>6122</v>
      </c>
      <c r="T719" s="111">
        <f t="shared" si="44"/>
        <v>6165</v>
      </c>
      <c r="U719" s="12">
        <f t="shared" si="56"/>
        <v>4.0000000000000002E-4</v>
      </c>
      <c r="V719" s="111">
        <f t="shared" si="57"/>
        <v>4</v>
      </c>
      <c r="W719" s="111">
        <f t="shared" si="58"/>
        <v>2.9999999999999997E-4</v>
      </c>
      <c r="X719" s="111">
        <f t="shared" si="59"/>
        <v>3</v>
      </c>
      <c r="Y719" s="12">
        <f t="shared" si="60"/>
        <v>0</v>
      </c>
      <c r="Z719" s="12">
        <f t="shared" si="61"/>
        <v>0</v>
      </c>
      <c r="AA719" s="248">
        <f t="shared" si="62"/>
        <v>0</v>
      </c>
      <c r="AB719" s="248">
        <f t="shared" si="63"/>
        <v>0</v>
      </c>
      <c r="AC719" s="12">
        <f t="shared" si="64"/>
        <v>0</v>
      </c>
      <c r="AD719" s="12">
        <f t="shared" si="65"/>
        <v>0</v>
      </c>
      <c r="AE719" s="111">
        <f t="shared" si="66"/>
        <v>0</v>
      </c>
      <c r="AF719" s="101" t="str">
        <f t="shared" si="45"/>
        <v>PTA80711</v>
      </c>
      <c r="AG719" s="12" t="s">
        <v>2010</v>
      </c>
      <c r="AH719" s="111" t="str">
        <f t="shared" si="67"/>
        <v>9999</v>
      </c>
      <c r="AI719" s="111" t="str">
        <f t="shared" si="46"/>
        <v>50010002</v>
      </c>
      <c r="AJ719" s="111">
        <f t="shared" si="68"/>
        <v>0</v>
      </c>
      <c r="AK719" s="111">
        <f t="shared" si="69"/>
        <v>0</v>
      </c>
      <c r="AL719" s="111">
        <f t="shared" si="97"/>
        <v>1</v>
      </c>
      <c r="AM719" s="111">
        <f t="shared" si="98"/>
        <v>0</v>
      </c>
      <c r="AN719" s="111" t="str">
        <f t="shared" si="70"/>
        <v>CNY</v>
      </c>
      <c r="AO719" s="6">
        <f t="shared" si="71"/>
        <v>2.0000000000000001E-4</v>
      </c>
      <c r="AP719" s="6">
        <f t="shared" si="72"/>
        <v>2</v>
      </c>
      <c r="AQ719" s="6">
        <f t="shared" si="73"/>
        <v>0</v>
      </c>
    </row>
    <row r="720" spans="1:43" s="6" customFormat="1" x14ac:dyDescent="0.25">
      <c r="A720" s="6" t="str">
        <f t="shared" si="49"/>
        <v>comment</v>
      </c>
      <c r="B720" s="111" t="str">
        <f t="shared" si="50"/>
        <v/>
      </c>
      <c r="C720" s="101" t="str">
        <f t="shared" si="51"/>
        <v>2018032710000063</v>
      </c>
      <c r="D720" s="113" t="str">
        <f>C715</f>
        <v>2018032710000053</v>
      </c>
      <c r="E720" s="111" t="str">
        <f t="shared" si="52"/>
        <v>6001</v>
      </c>
      <c r="F720" s="111" t="str">
        <f t="shared" si="100"/>
        <v>B00102</v>
      </c>
      <c r="G720" s="111" t="str">
        <f t="shared" si="54"/>
        <v>6001</v>
      </c>
      <c r="H720" s="112">
        <v>10000063</v>
      </c>
      <c r="I720" s="104">
        <f t="shared" si="74"/>
        <v>20180327</v>
      </c>
      <c r="J720" s="113">
        <f t="shared" si="76"/>
        <v>20180327</v>
      </c>
      <c r="K720" s="111" t="str">
        <f t="shared" si="55"/>
        <v>CZCE</v>
      </c>
      <c r="L720" s="111" t="str">
        <f t="shared" si="102"/>
        <v>PTA807</v>
      </c>
      <c r="M720" s="111">
        <f t="shared" si="43"/>
        <v>5</v>
      </c>
      <c r="N720" s="111">
        <v>1</v>
      </c>
      <c r="O720" s="111">
        <v>0</v>
      </c>
      <c r="P720" s="111">
        <v>3</v>
      </c>
      <c r="Q720" s="111">
        <v>0</v>
      </c>
      <c r="R720" s="111">
        <f>R715</f>
        <v>6116</v>
      </c>
      <c r="S720" s="111">
        <v>6122</v>
      </c>
      <c r="T720" s="111">
        <f t="shared" si="44"/>
        <v>6165</v>
      </c>
      <c r="U720" s="12">
        <f t="shared" si="56"/>
        <v>4.0000000000000002E-4</v>
      </c>
      <c r="V720" s="111">
        <f t="shared" si="57"/>
        <v>4</v>
      </c>
      <c r="W720" s="111">
        <f t="shared" si="58"/>
        <v>3.9999999999999996E-4</v>
      </c>
      <c r="X720" s="111">
        <f t="shared" si="59"/>
        <v>4</v>
      </c>
      <c r="Y720" s="12">
        <f t="shared" si="60"/>
        <v>0</v>
      </c>
      <c r="Z720" s="12">
        <f t="shared" si="61"/>
        <v>0</v>
      </c>
      <c r="AA720" s="248">
        <f t="shared" si="62"/>
        <v>0</v>
      </c>
      <c r="AB720" s="248">
        <f t="shared" si="63"/>
        <v>0</v>
      </c>
      <c r="AC720" s="12">
        <f t="shared" si="64"/>
        <v>0</v>
      </c>
      <c r="AD720" s="12">
        <f t="shared" si="65"/>
        <v>0</v>
      </c>
      <c r="AE720" s="111">
        <f t="shared" si="66"/>
        <v>0</v>
      </c>
      <c r="AF720" s="101" t="str">
        <f t="shared" si="45"/>
        <v>PTA80731</v>
      </c>
      <c r="AG720" s="12" t="s">
        <v>2010</v>
      </c>
      <c r="AH720" s="111" t="str">
        <f t="shared" si="67"/>
        <v>9999</v>
      </c>
      <c r="AI720" s="111" t="str">
        <f t="shared" si="46"/>
        <v>50010002</v>
      </c>
      <c r="AJ720" s="111">
        <f t="shared" si="68"/>
        <v>0</v>
      </c>
      <c r="AK720" s="111">
        <f t="shared" si="69"/>
        <v>0</v>
      </c>
      <c r="AL720" s="111">
        <f t="shared" si="97"/>
        <v>1</v>
      </c>
      <c r="AM720" s="111">
        <f t="shared" si="98"/>
        <v>0</v>
      </c>
      <c r="AN720" s="111" t="str">
        <f t="shared" si="70"/>
        <v>CNY</v>
      </c>
      <c r="AO720" s="6">
        <f t="shared" si="71"/>
        <v>2.0000000000000001E-4</v>
      </c>
      <c r="AP720" s="6">
        <f t="shared" si="72"/>
        <v>2</v>
      </c>
      <c r="AQ720" s="6">
        <f t="shared" si="73"/>
        <v>0</v>
      </c>
    </row>
    <row r="721" spans="1:43" s="13" customFormat="1" ht="15" customHeight="1" x14ac:dyDescent="0.25">
      <c r="A721" s="13" t="str">
        <f t="shared" si="49"/>
        <v/>
      </c>
      <c r="B721" s="131"/>
      <c r="C721" s="132" t="str">
        <f t="shared" si="51"/>
        <v>2018032710000064</v>
      </c>
      <c r="D721" s="134"/>
      <c r="E721" s="131" t="str">
        <f t="shared" si="52"/>
        <v>6001</v>
      </c>
      <c r="F721" s="131" t="str">
        <f t="shared" ref="F721" si="103">VLOOKUP(E721,$B$6:$C$6,2)</f>
        <v>B00102</v>
      </c>
      <c r="G721" s="131" t="str">
        <f t="shared" ref="G721" si="104">VLOOKUP(F721,$C$5:$D$6,2)</f>
        <v>6001</v>
      </c>
      <c r="H721" s="481">
        <v>10000064</v>
      </c>
      <c r="I721" s="133">
        <f t="shared" si="74"/>
        <v>20180327</v>
      </c>
      <c r="J721" s="134">
        <f t="shared" ref="J721" si="105">I721</f>
        <v>20180327</v>
      </c>
      <c r="K721" s="131" t="str">
        <f t="shared" si="55"/>
        <v>CZCE</v>
      </c>
      <c r="L721" s="131" t="str">
        <f>$C$23</f>
        <v>PTA809</v>
      </c>
      <c r="M721" s="131">
        <f t="shared" si="43"/>
        <v>5</v>
      </c>
      <c r="N721" s="131">
        <v>0</v>
      </c>
      <c r="O721" s="131">
        <v>1</v>
      </c>
      <c r="P721" s="131">
        <v>1</v>
      </c>
      <c r="Q721" s="131">
        <v>2</v>
      </c>
      <c r="R721" s="111">
        <f>S721</f>
        <v>6123</v>
      </c>
      <c r="S721" s="131">
        <v>6123</v>
      </c>
      <c r="T721" s="111">
        <f t="shared" si="44"/>
        <v>6170</v>
      </c>
      <c r="U721" s="100">
        <f t="shared" si="56"/>
        <v>5.0000000000000001E-4</v>
      </c>
      <c r="V721" s="131">
        <f t="shared" si="57"/>
        <v>5</v>
      </c>
      <c r="W721" s="131">
        <f t="shared" si="58"/>
        <v>4.0000000000000002E-4</v>
      </c>
      <c r="X721" s="131">
        <f t="shared" si="59"/>
        <v>4</v>
      </c>
      <c r="Y721" s="100">
        <f t="shared" si="60"/>
        <v>40.615000000000002</v>
      </c>
      <c r="Z721" s="100">
        <f t="shared" si="61"/>
        <v>32.492000000000004</v>
      </c>
      <c r="AA721" s="314">
        <f t="shared" si="62"/>
        <v>40.615000000000002</v>
      </c>
      <c r="AB721" s="314">
        <f t="shared" si="63"/>
        <v>32.491999999999997</v>
      </c>
      <c r="AC721" s="12">
        <f t="shared" ref="AC721" si="106">IF(N721=0,0,IF(I721=J721,IF(O721=1,M721*Q721*(S721-R721),-M721*Q721*(S721-R721)),IF(O721=1,M721*Q721*(S721-T721),-M721*Q721*(S721-T721))))</f>
        <v>0</v>
      </c>
      <c r="AD721" s="12">
        <f t="shared" ref="AD721" si="107">IF(N721=0,0,(IF(O721=1,M721*Q721*(S721-R721),-M721*Q721*(S721-R721))))</f>
        <v>0</v>
      </c>
      <c r="AE721" s="131">
        <f t="shared" si="66"/>
        <v>61230</v>
      </c>
      <c r="AF721" s="132" t="str">
        <f t="shared" si="45"/>
        <v>PTA80910</v>
      </c>
      <c r="AG721" s="12" t="s">
        <v>2010</v>
      </c>
      <c r="AH721" s="111" t="str">
        <f t="shared" si="67"/>
        <v>9999</v>
      </c>
      <c r="AI721" s="111" t="str">
        <f t="shared" ref="AI721" si="108">VLOOKUP(F721,$C$5:$G$6,5,FALSE)</f>
        <v>50010002</v>
      </c>
      <c r="AJ721" s="111">
        <f t="shared" ref="AJ721" si="109">IF(AM721=0,0,IF(O721=1,M721*Q721*S721,0))</f>
        <v>0</v>
      </c>
      <c r="AK721" s="111">
        <f t="shared" ref="AK721" si="110">IF(AM721=0,0,IF(O721=0,M721*Q721*S721,0))</f>
        <v>0</v>
      </c>
      <c r="AL721" s="111">
        <f t="shared" ref="AL721" si="111" xml:space="preserve"> VLOOKUP(L721,$C$19:$K$29,9,FALSE)</f>
        <v>1</v>
      </c>
      <c r="AM721" s="111">
        <f t="shared" ref="AM721" si="112">VLOOKUP(L721,$C$19:$L$29,10,FALSE)</f>
        <v>0</v>
      </c>
      <c r="AN721" s="111" t="str">
        <f t="shared" si="70"/>
        <v>CNY</v>
      </c>
      <c r="AO721" s="13">
        <f t="shared" si="71"/>
        <v>2.0000000000000001E-4</v>
      </c>
      <c r="AP721" s="13">
        <f t="shared" si="72"/>
        <v>2</v>
      </c>
      <c r="AQ721" s="13">
        <f t="shared" si="73"/>
        <v>16.25</v>
      </c>
    </row>
    <row r="722" spans="1:43" s="498" customFormat="1" ht="15" customHeight="1" x14ac:dyDescent="0.25">
      <c r="A722" s="498" t="str">
        <f t="shared" si="49"/>
        <v>comment</v>
      </c>
      <c r="B722" s="499" t="str">
        <f t="shared" si="50"/>
        <v/>
      </c>
      <c r="C722" s="500" t="str">
        <f t="shared" si="51"/>
        <v>2018032710000070</v>
      </c>
      <c r="D722" s="501"/>
      <c r="E722" s="499" t="str">
        <f t="shared" si="52"/>
        <v>6001</v>
      </c>
      <c r="F722" s="499" t="str">
        <f t="shared" si="53"/>
        <v>B00101</v>
      </c>
      <c r="G722" s="499" t="str">
        <f t="shared" si="54"/>
        <v>6001</v>
      </c>
      <c r="H722" s="499">
        <v>10000070</v>
      </c>
      <c r="I722" s="502">
        <f t="shared" si="74"/>
        <v>20180327</v>
      </c>
      <c r="J722" s="503">
        <f t="shared" si="76"/>
        <v>20180327</v>
      </c>
      <c r="K722" s="499" t="str">
        <f t="shared" si="55"/>
        <v>CZCE</v>
      </c>
      <c r="L722" s="499" t="str">
        <f>$C$19</f>
        <v>SR807</v>
      </c>
      <c r="M722" s="499">
        <f t="shared" si="43"/>
        <v>10</v>
      </c>
      <c r="N722" s="499">
        <v>0</v>
      </c>
      <c r="O722" s="499">
        <v>0</v>
      </c>
      <c r="P722" s="499">
        <v>1</v>
      </c>
      <c r="Q722" s="499">
        <f t="shared" ref="Q722:Q738" si="113">SUMPRODUCT(($AC$842:$AC$869=L722)*($Z$842:$Z$869=O722)*($L$842:$L$869=P722)*($P$842:$P$869=S722)*($AA$842:$AA$869))</f>
        <v>0</v>
      </c>
      <c r="R722" s="499">
        <f t="shared" ref="R722:R729" si="114">IF(N722=0,S722,VLOOKUP(D722,$C$693:$S$761,16,FALSE))</f>
        <v>6400</v>
      </c>
      <c r="S722" s="499">
        <f>J29</f>
        <v>6400</v>
      </c>
      <c r="T722" s="499">
        <f t="shared" si="44"/>
        <v>6150</v>
      </c>
      <c r="U722" s="504">
        <f t="shared" si="56"/>
        <v>5.0000000000000001E-4</v>
      </c>
      <c r="V722" s="499">
        <f t="shared" si="57"/>
        <v>5</v>
      </c>
      <c r="W722" s="499">
        <f t="shared" si="58"/>
        <v>4.0000000000000002E-4</v>
      </c>
      <c r="X722" s="499">
        <f t="shared" si="59"/>
        <v>4</v>
      </c>
      <c r="Y722" s="504">
        <f t="shared" si="60"/>
        <v>0</v>
      </c>
      <c r="Z722" s="504">
        <f t="shared" si="61"/>
        <v>0</v>
      </c>
      <c r="AA722" s="505">
        <f t="shared" si="62"/>
        <v>0</v>
      </c>
      <c r="AB722" s="505">
        <f t="shared" si="63"/>
        <v>0</v>
      </c>
      <c r="AC722" s="504">
        <f t="shared" si="64"/>
        <v>0</v>
      </c>
      <c r="AD722" s="504">
        <f t="shared" si="65"/>
        <v>0</v>
      </c>
      <c r="AE722" s="499">
        <f t="shared" si="66"/>
        <v>0</v>
      </c>
      <c r="AF722" s="500" t="str">
        <f t="shared" si="45"/>
        <v>SR80710</v>
      </c>
      <c r="AG722" s="499" t="s">
        <v>312</v>
      </c>
      <c r="AH722" s="499" t="str">
        <f t="shared" si="67"/>
        <v>9999</v>
      </c>
      <c r="AI722" s="499" t="str">
        <f t="shared" si="46"/>
        <v>50010001</v>
      </c>
      <c r="AJ722" s="499">
        <f t="shared" si="68"/>
        <v>0</v>
      </c>
      <c r="AK722" s="499">
        <f t="shared" si="69"/>
        <v>0</v>
      </c>
      <c r="AL722" s="499">
        <f t="shared" si="97"/>
        <v>0</v>
      </c>
      <c r="AM722" s="499">
        <f t="shared" si="98"/>
        <v>0</v>
      </c>
      <c r="AN722" s="499" t="str">
        <f t="shared" si="70"/>
        <v>CNY</v>
      </c>
      <c r="AO722" s="498">
        <f t="shared" si="71"/>
        <v>2.0000000000000001E-4</v>
      </c>
      <c r="AP722" s="498">
        <f t="shared" si="72"/>
        <v>2</v>
      </c>
      <c r="AQ722" s="498">
        <f t="shared" si="73"/>
        <v>0</v>
      </c>
    </row>
    <row r="723" spans="1:43" s="498" customFormat="1" ht="15" customHeight="1" x14ac:dyDescent="0.25">
      <c r="A723" s="498" t="str">
        <f t="shared" si="49"/>
        <v>comment</v>
      </c>
      <c r="B723" s="499" t="str">
        <f t="shared" si="50"/>
        <v/>
      </c>
      <c r="C723" s="500" t="str">
        <f t="shared" si="51"/>
        <v>2018032710000071</v>
      </c>
      <c r="D723" s="499"/>
      <c r="E723" s="499" t="str">
        <f t="shared" si="52"/>
        <v>6001</v>
      </c>
      <c r="F723" s="499" t="str">
        <f t="shared" si="53"/>
        <v>B00101</v>
      </c>
      <c r="G723" s="499" t="str">
        <f t="shared" si="54"/>
        <v>6001</v>
      </c>
      <c r="H723" s="499">
        <v>10000071</v>
      </c>
      <c r="I723" s="502">
        <f t="shared" si="74"/>
        <v>20180327</v>
      </c>
      <c r="J723" s="503">
        <f t="shared" si="76"/>
        <v>20180327</v>
      </c>
      <c r="K723" s="499" t="str">
        <f t="shared" si="55"/>
        <v>CZCE</v>
      </c>
      <c r="L723" s="499" t="str">
        <f t="shared" ref="L723:L729" si="115">$C$19</f>
        <v>SR807</v>
      </c>
      <c r="M723" s="499">
        <f t="shared" si="43"/>
        <v>10</v>
      </c>
      <c r="N723" s="499">
        <v>0</v>
      </c>
      <c r="O723" s="499">
        <v>0</v>
      </c>
      <c r="P723" s="499">
        <v>3</v>
      </c>
      <c r="Q723" s="499">
        <f t="shared" si="113"/>
        <v>0</v>
      </c>
      <c r="R723" s="499">
        <f t="shared" si="114"/>
        <v>6400</v>
      </c>
      <c r="S723" s="499">
        <f>S722</f>
        <v>6400</v>
      </c>
      <c r="T723" s="499">
        <f t="shared" si="44"/>
        <v>6150</v>
      </c>
      <c r="U723" s="504">
        <f t="shared" si="56"/>
        <v>5.0000000000000001E-4</v>
      </c>
      <c r="V723" s="499">
        <f t="shared" si="57"/>
        <v>5</v>
      </c>
      <c r="W723" s="499">
        <f t="shared" si="58"/>
        <v>5.0000000000000001E-4</v>
      </c>
      <c r="X723" s="499">
        <f t="shared" si="59"/>
        <v>5</v>
      </c>
      <c r="Y723" s="504">
        <f t="shared" si="60"/>
        <v>0</v>
      </c>
      <c r="Z723" s="504">
        <f t="shared" si="61"/>
        <v>0</v>
      </c>
      <c r="AA723" s="505">
        <f t="shared" si="62"/>
        <v>0</v>
      </c>
      <c r="AB723" s="505">
        <f t="shared" si="63"/>
        <v>0</v>
      </c>
      <c r="AC723" s="504">
        <f t="shared" si="64"/>
        <v>0</v>
      </c>
      <c r="AD723" s="504">
        <f t="shared" si="65"/>
        <v>0</v>
      </c>
      <c r="AE723" s="499">
        <f t="shared" si="66"/>
        <v>0</v>
      </c>
      <c r="AF723" s="500" t="str">
        <f t="shared" si="45"/>
        <v>SR80730</v>
      </c>
      <c r="AG723" s="499" t="s">
        <v>312</v>
      </c>
      <c r="AH723" s="499" t="str">
        <f t="shared" si="67"/>
        <v>9999</v>
      </c>
      <c r="AI723" s="499" t="str">
        <f t="shared" si="46"/>
        <v>50010001</v>
      </c>
      <c r="AJ723" s="499">
        <f t="shared" si="68"/>
        <v>0</v>
      </c>
      <c r="AK723" s="499">
        <f t="shared" si="69"/>
        <v>0</v>
      </c>
      <c r="AL723" s="499">
        <f t="shared" si="97"/>
        <v>0</v>
      </c>
      <c r="AM723" s="499">
        <f t="shared" si="98"/>
        <v>0</v>
      </c>
      <c r="AN723" s="499" t="str">
        <f t="shared" si="70"/>
        <v>CNY</v>
      </c>
      <c r="AO723" s="498">
        <f t="shared" si="71"/>
        <v>2.0000000000000001E-4</v>
      </c>
      <c r="AP723" s="498">
        <f t="shared" si="72"/>
        <v>2</v>
      </c>
      <c r="AQ723" s="498">
        <f t="shared" si="73"/>
        <v>0</v>
      </c>
    </row>
    <row r="724" spans="1:43" s="498" customFormat="1" ht="15" customHeight="1" x14ac:dyDescent="0.25">
      <c r="A724" s="498" t="str">
        <f t="shared" si="49"/>
        <v/>
      </c>
      <c r="B724" s="499" t="str">
        <f t="shared" si="50"/>
        <v/>
      </c>
      <c r="C724" s="500" t="str">
        <f t="shared" si="51"/>
        <v>2018032710000072</v>
      </c>
      <c r="D724" s="499"/>
      <c r="E724" s="499" t="str">
        <f t="shared" si="52"/>
        <v>6001</v>
      </c>
      <c r="F724" s="499" t="str">
        <f t="shared" si="53"/>
        <v>B00101</v>
      </c>
      <c r="G724" s="499" t="str">
        <f t="shared" si="54"/>
        <v>6001</v>
      </c>
      <c r="H724" s="499">
        <v>10000072</v>
      </c>
      <c r="I724" s="502">
        <f t="shared" si="74"/>
        <v>20180327</v>
      </c>
      <c r="J724" s="503">
        <f t="shared" si="76"/>
        <v>20180327</v>
      </c>
      <c r="K724" s="499" t="str">
        <f t="shared" si="55"/>
        <v>CZCE</v>
      </c>
      <c r="L724" s="499" t="str">
        <f t="shared" si="115"/>
        <v>SR807</v>
      </c>
      <c r="M724" s="499">
        <f t="shared" si="43"/>
        <v>10</v>
      </c>
      <c r="N724" s="499">
        <v>0</v>
      </c>
      <c r="O724" s="499">
        <v>1</v>
      </c>
      <c r="P724" s="499">
        <v>1</v>
      </c>
      <c r="Q724" s="499">
        <f t="shared" si="113"/>
        <v>2</v>
      </c>
      <c r="R724" s="499">
        <f t="shared" si="114"/>
        <v>6400</v>
      </c>
      <c r="S724" s="499">
        <f>S722</f>
        <v>6400</v>
      </c>
      <c r="T724" s="499">
        <f t="shared" si="44"/>
        <v>6150</v>
      </c>
      <c r="U724" s="504">
        <f t="shared" si="56"/>
        <v>5.0000000000000001E-4</v>
      </c>
      <c r="V724" s="499">
        <f t="shared" si="57"/>
        <v>5</v>
      </c>
      <c r="W724" s="499">
        <f t="shared" si="58"/>
        <v>4.0000000000000002E-4</v>
      </c>
      <c r="X724" s="499">
        <f t="shared" si="59"/>
        <v>4</v>
      </c>
      <c r="Y724" s="504">
        <f t="shared" si="60"/>
        <v>74</v>
      </c>
      <c r="Z724" s="504">
        <f t="shared" si="61"/>
        <v>59.2</v>
      </c>
      <c r="AA724" s="505">
        <f t="shared" si="62"/>
        <v>74</v>
      </c>
      <c r="AB724" s="505">
        <f t="shared" si="63"/>
        <v>59.2</v>
      </c>
      <c r="AC724" s="504">
        <f t="shared" si="64"/>
        <v>0</v>
      </c>
      <c r="AD724" s="504">
        <f t="shared" si="65"/>
        <v>0</v>
      </c>
      <c r="AE724" s="499">
        <f t="shared" si="66"/>
        <v>128000</v>
      </c>
      <c r="AF724" s="500" t="str">
        <f t="shared" si="45"/>
        <v>SR80710</v>
      </c>
      <c r="AG724" s="499" t="s">
        <v>312</v>
      </c>
      <c r="AH724" s="499" t="str">
        <f t="shared" si="67"/>
        <v>9999</v>
      </c>
      <c r="AI724" s="499" t="str">
        <f t="shared" si="46"/>
        <v>50010001</v>
      </c>
      <c r="AJ724" s="499">
        <f t="shared" si="68"/>
        <v>0</v>
      </c>
      <c r="AK724" s="499">
        <f t="shared" si="69"/>
        <v>0</v>
      </c>
      <c r="AL724" s="499">
        <f t="shared" si="97"/>
        <v>0</v>
      </c>
      <c r="AM724" s="499">
        <f t="shared" si="98"/>
        <v>0</v>
      </c>
      <c r="AN724" s="499" t="str">
        <f t="shared" si="70"/>
        <v>CNY</v>
      </c>
      <c r="AO724" s="498">
        <f t="shared" si="71"/>
        <v>2.0000000000000001E-4</v>
      </c>
      <c r="AP724" s="498">
        <f t="shared" si="72"/>
        <v>2</v>
      </c>
      <c r="AQ724" s="498">
        <f t="shared" si="73"/>
        <v>29.6</v>
      </c>
    </row>
    <row r="725" spans="1:43" s="498" customFormat="1" x14ac:dyDescent="0.25">
      <c r="A725" s="498" t="str">
        <f t="shared" si="49"/>
        <v>comment</v>
      </c>
      <c r="B725" s="499" t="str">
        <f t="shared" si="50"/>
        <v/>
      </c>
      <c r="C725" s="500" t="str">
        <f t="shared" si="51"/>
        <v>2018032710000073</v>
      </c>
      <c r="D725" s="499"/>
      <c r="E725" s="499" t="str">
        <f t="shared" si="52"/>
        <v>6001</v>
      </c>
      <c r="F725" s="499" t="str">
        <f t="shared" si="53"/>
        <v>B00101</v>
      </c>
      <c r="G725" s="499" t="str">
        <f t="shared" si="54"/>
        <v>6001</v>
      </c>
      <c r="H725" s="499">
        <v>10000073</v>
      </c>
      <c r="I725" s="502">
        <f t="shared" si="74"/>
        <v>20180327</v>
      </c>
      <c r="J725" s="503">
        <f t="shared" si="76"/>
        <v>20180327</v>
      </c>
      <c r="K725" s="499" t="str">
        <f t="shared" si="55"/>
        <v>CZCE</v>
      </c>
      <c r="L725" s="499" t="str">
        <f t="shared" si="115"/>
        <v>SR807</v>
      </c>
      <c r="M725" s="499">
        <f t="shared" si="43"/>
        <v>10</v>
      </c>
      <c r="N725" s="499">
        <v>0</v>
      </c>
      <c r="O725" s="499">
        <v>1</v>
      </c>
      <c r="P725" s="499">
        <v>3</v>
      </c>
      <c r="Q725" s="499">
        <f t="shared" si="113"/>
        <v>0</v>
      </c>
      <c r="R725" s="499">
        <f t="shared" si="114"/>
        <v>6400</v>
      </c>
      <c r="S725" s="499">
        <f>S722</f>
        <v>6400</v>
      </c>
      <c r="T725" s="499">
        <f t="shared" ref="T725:T761" si="116">VLOOKUP(L725,$C$230:$I$242,2,FALSE)</f>
        <v>6150</v>
      </c>
      <c r="U725" s="504">
        <f t="shared" si="56"/>
        <v>5.0000000000000001E-4</v>
      </c>
      <c r="V725" s="499">
        <f t="shared" si="57"/>
        <v>5</v>
      </c>
      <c r="W725" s="499">
        <f t="shared" si="58"/>
        <v>5.0000000000000001E-4</v>
      </c>
      <c r="X725" s="499">
        <f t="shared" si="59"/>
        <v>5</v>
      </c>
      <c r="Y725" s="504">
        <f t="shared" si="60"/>
        <v>0</v>
      </c>
      <c r="Z725" s="504">
        <f t="shared" si="61"/>
        <v>0</v>
      </c>
      <c r="AA725" s="505">
        <f t="shared" si="62"/>
        <v>0</v>
      </c>
      <c r="AB725" s="505">
        <f t="shared" si="63"/>
        <v>0</v>
      </c>
      <c r="AC725" s="504">
        <f t="shared" si="64"/>
        <v>0</v>
      </c>
      <c r="AD725" s="504">
        <f t="shared" si="65"/>
        <v>0</v>
      </c>
      <c r="AE725" s="499">
        <f t="shared" si="66"/>
        <v>0</v>
      </c>
      <c r="AF725" s="500" t="str">
        <f t="shared" si="45"/>
        <v>SR80730</v>
      </c>
      <c r="AG725" s="499" t="s">
        <v>312</v>
      </c>
      <c r="AH725" s="499" t="str">
        <f t="shared" si="67"/>
        <v>9999</v>
      </c>
      <c r="AI725" s="499" t="str">
        <f t="shared" si="46"/>
        <v>50010001</v>
      </c>
      <c r="AJ725" s="499">
        <f t="shared" si="68"/>
        <v>0</v>
      </c>
      <c r="AK725" s="499">
        <f t="shared" si="69"/>
        <v>0</v>
      </c>
      <c r="AL725" s="499">
        <f t="shared" si="97"/>
        <v>0</v>
      </c>
      <c r="AM725" s="499">
        <f t="shared" si="98"/>
        <v>0</v>
      </c>
      <c r="AN725" s="499" t="str">
        <f t="shared" si="70"/>
        <v>CNY</v>
      </c>
      <c r="AO725" s="498">
        <f t="shared" si="71"/>
        <v>2.0000000000000001E-4</v>
      </c>
      <c r="AP725" s="498">
        <f t="shared" si="72"/>
        <v>2</v>
      </c>
      <c r="AQ725" s="498">
        <f t="shared" si="73"/>
        <v>0</v>
      </c>
    </row>
    <row r="726" spans="1:43" s="498" customFormat="1" x14ac:dyDescent="0.25">
      <c r="A726" s="498" t="str">
        <f t="shared" si="49"/>
        <v/>
      </c>
      <c r="B726" s="499" t="str">
        <f t="shared" si="50"/>
        <v/>
      </c>
      <c r="C726" s="500" t="str">
        <f t="shared" si="51"/>
        <v>2018032710000074</v>
      </c>
      <c r="D726" s="499"/>
      <c r="E726" s="499" t="str">
        <f t="shared" si="52"/>
        <v>6001</v>
      </c>
      <c r="F726" s="499" t="str">
        <f t="shared" si="53"/>
        <v>B00101</v>
      </c>
      <c r="G726" s="499" t="str">
        <f t="shared" si="54"/>
        <v>6001</v>
      </c>
      <c r="H726" s="499">
        <v>10000074</v>
      </c>
      <c r="I726" s="502">
        <f t="shared" si="74"/>
        <v>20180327</v>
      </c>
      <c r="J726" s="503">
        <f t="shared" si="76"/>
        <v>20180327</v>
      </c>
      <c r="K726" s="499" t="str">
        <f t="shared" si="55"/>
        <v>CZCE</v>
      </c>
      <c r="L726" s="499" t="str">
        <f t="shared" si="115"/>
        <v>SR807</v>
      </c>
      <c r="M726" s="499">
        <f t="shared" si="43"/>
        <v>10</v>
      </c>
      <c r="N726" s="499">
        <v>0</v>
      </c>
      <c r="O726" s="499">
        <v>0</v>
      </c>
      <c r="P726" s="499">
        <v>1</v>
      </c>
      <c r="Q726" s="499">
        <f t="shared" si="113"/>
        <v>15</v>
      </c>
      <c r="R726" s="499">
        <f t="shared" si="114"/>
        <v>6500</v>
      </c>
      <c r="S726" s="499">
        <f>$J$28</f>
        <v>6500</v>
      </c>
      <c r="T726" s="499">
        <f t="shared" si="116"/>
        <v>6150</v>
      </c>
      <c r="U726" s="504">
        <f t="shared" si="56"/>
        <v>5.0000000000000001E-4</v>
      </c>
      <c r="V726" s="499">
        <f t="shared" si="57"/>
        <v>5</v>
      </c>
      <c r="W726" s="499">
        <f t="shared" si="58"/>
        <v>4.0000000000000002E-4</v>
      </c>
      <c r="X726" s="499">
        <f t="shared" si="59"/>
        <v>4</v>
      </c>
      <c r="Y726" s="504">
        <f t="shared" si="60"/>
        <v>562.5</v>
      </c>
      <c r="Z726" s="504">
        <f t="shared" si="61"/>
        <v>450</v>
      </c>
      <c r="AA726" s="505">
        <f t="shared" si="62"/>
        <v>562.5</v>
      </c>
      <c r="AB726" s="505">
        <f t="shared" si="63"/>
        <v>450</v>
      </c>
      <c r="AC726" s="504">
        <f t="shared" si="64"/>
        <v>0</v>
      </c>
      <c r="AD726" s="504">
        <f t="shared" si="65"/>
        <v>0</v>
      </c>
      <c r="AE726" s="499">
        <f t="shared" si="66"/>
        <v>975000</v>
      </c>
      <c r="AF726" s="500" t="str">
        <f t="shared" si="45"/>
        <v>SR80710</v>
      </c>
      <c r="AG726" s="499" t="s">
        <v>312</v>
      </c>
      <c r="AH726" s="499" t="str">
        <f t="shared" si="67"/>
        <v>9999</v>
      </c>
      <c r="AI726" s="499" t="str">
        <f t="shared" si="46"/>
        <v>50010001</v>
      </c>
      <c r="AJ726" s="499">
        <f t="shared" si="68"/>
        <v>0</v>
      </c>
      <c r="AK726" s="499">
        <f t="shared" si="69"/>
        <v>0</v>
      </c>
      <c r="AL726" s="499">
        <f t="shared" si="97"/>
        <v>0</v>
      </c>
      <c r="AM726" s="499">
        <f t="shared" si="98"/>
        <v>0</v>
      </c>
      <c r="AN726" s="499" t="str">
        <f t="shared" si="70"/>
        <v>CNY</v>
      </c>
      <c r="AO726" s="498">
        <f t="shared" si="71"/>
        <v>2.0000000000000001E-4</v>
      </c>
      <c r="AP726" s="498">
        <f t="shared" si="72"/>
        <v>2</v>
      </c>
      <c r="AQ726" s="498">
        <f t="shared" si="73"/>
        <v>225</v>
      </c>
    </row>
    <row r="727" spans="1:43" s="498" customFormat="1" x14ac:dyDescent="0.25">
      <c r="A727" s="498" t="str">
        <f t="shared" si="49"/>
        <v>comment</v>
      </c>
      <c r="B727" s="499" t="str">
        <f t="shared" si="50"/>
        <v/>
      </c>
      <c r="C727" s="500" t="str">
        <f t="shared" si="51"/>
        <v>2018032710000075</v>
      </c>
      <c r="D727" s="499"/>
      <c r="E727" s="499" t="str">
        <f t="shared" si="52"/>
        <v>6001</v>
      </c>
      <c r="F727" s="499" t="str">
        <f t="shared" si="53"/>
        <v>B00101</v>
      </c>
      <c r="G727" s="499" t="str">
        <f t="shared" si="54"/>
        <v>6001</v>
      </c>
      <c r="H727" s="499">
        <v>10000075</v>
      </c>
      <c r="I727" s="502">
        <f t="shared" si="74"/>
        <v>20180327</v>
      </c>
      <c r="J727" s="503">
        <f t="shared" si="76"/>
        <v>20180327</v>
      </c>
      <c r="K727" s="499" t="str">
        <f t="shared" si="55"/>
        <v>CZCE</v>
      </c>
      <c r="L727" s="499" t="str">
        <f t="shared" si="115"/>
        <v>SR807</v>
      </c>
      <c r="M727" s="499">
        <f t="shared" si="43"/>
        <v>10</v>
      </c>
      <c r="N727" s="499">
        <v>0</v>
      </c>
      <c r="O727" s="499">
        <v>0</v>
      </c>
      <c r="P727" s="499">
        <v>3</v>
      </c>
      <c r="Q727" s="499">
        <f t="shared" si="113"/>
        <v>0</v>
      </c>
      <c r="R727" s="499">
        <f t="shared" si="114"/>
        <v>6500</v>
      </c>
      <c r="S727" s="499">
        <f t="shared" ref="S727:S728" si="117">$J$28</f>
        <v>6500</v>
      </c>
      <c r="T727" s="499">
        <f t="shared" si="116"/>
        <v>6150</v>
      </c>
      <c r="U727" s="504">
        <f t="shared" si="56"/>
        <v>5.0000000000000001E-4</v>
      </c>
      <c r="V727" s="499">
        <f t="shared" si="57"/>
        <v>5</v>
      </c>
      <c r="W727" s="499">
        <f t="shared" si="58"/>
        <v>5.0000000000000001E-4</v>
      </c>
      <c r="X727" s="499">
        <f t="shared" si="59"/>
        <v>5</v>
      </c>
      <c r="Y727" s="504">
        <f t="shared" si="60"/>
        <v>0</v>
      </c>
      <c r="Z727" s="504">
        <f t="shared" si="61"/>
        <v>0</v>
      </c>
      <c r="AA727" s="505">
        <f t="shared" si="62"/>
        <v>0</v>
      </c>
      <c r="AB727" s="505">
        <f t="shared" si="63"/>
        <v>0</v>
      </c>
      <c r="AC727" s="504">
        <f t="shared" si="64"/>
        <v>0</v>
      </c>
      <c r="AD727" s="504">
        <f t="shared" si="65"/>
        <v>0</v>
      </c>
      <c r="AE727" s="499">
        <f t="shared" si="66"/>
        <v>0</v>
      </c>
      <c r="AF727" s="500" t="str">
        <f t="shared" si="45"/>
        <v>SR80730</v>
      </c>
      <c r="AG727" s="499" t="s">
        <v>312</v>
      </c>
      <c r="AH727" s="499" t="str">
        <f t="shared" si="67"/>
        <v>9999</v>
      </c>
      <c r="AI727" s="499" t="str">
        <f t="shared" si="46"/>
        <v>50010001</v>
      </c>
      <c r="AJ727" s="499">
        <f t="shared" si="68"/>
        <v>0</v>
      </c>
      <c r="AK727" s="499">
        <f t="shared" si="69"/>
        <v>0</v>
      </c>
      <c r="AL727" s="499">
        <f t="shared" si="97"/>
        <v>0</v>
      </c>
      <c r="AM727" s="499">
        <f t="shared" si="98"/>
        <v>0</v>
      </c>
      <c r="AN727" s="499" t="str">
        <f t="shared" si="70"/>
        <v>CNY</v>
      </c>
      <c r="AO727" s="498">
        <f t="shared" si="71"/>
        <v>2.0000000000000001E-4</v>
      </c>
      <c r="AP727" s="498">
        <f t="shared" si="72"/>
        <v>2</v>
      </c>
      <c r="AQ727" s="498">
        <f t="shared" si="73"/>
        <v>0</v>
      </c>
    </row>
    <row r="728" spans="1:43" s="498" customFormat="1" x14ac:dyDescent="0.25">
      <c r="A728" s="498" t="str">
        <f>IF(Q728=0,"comment","")</f>
        <v>comment</v>
      </c>
      <c r="B728" s="499" t="str">
        <f t="shared" si="50"/>
        <v/>
      </c>
      <c r="C728" s="500" t="str">
        <f t="shared" si="51"/>
        <v>2018032710000076</v>
      </c>
      <c r="D728" s="499"/>
      <c r="E728" s="499" t="str">
        <f t="shared" si="52"/>
        <v>6001</v>
      </c>
      <c r="F728" s="499" t="str">
        <f t="shared" si="53"/>
        <v>B00101</v>
      </c>
      <c r="G728" s="499" t="str">
        <f t="shared" si="54"/>
        <v>6001</v>
      </c>
      <c r="H728" s="499">
        <v>10000076</v>
      </c>
      <c r="I728" s="502">
        <f t="shared" si="74"/>
        <v>20180327</v>
      </c>
      <c r="J728" s="503">
        <f t="shared" si="76"/>
        <v>20180327</v>
      </c>
      <c r="K728" s="499" t="str">
        <f t="shared" si="55"/>
        <v>CZCE</v>
      </c>
      <c r="L728" s="499" t="str">
        <f t="shared" si="115"/>
        <v>SR807</v>
      </c>
      <c r="M728" s="499">
        <f t="shared" si="43"/>
        <v>10</v>
      </c>
      <c r="N728" s="499">
        <v>0</v>
      </c>
      <c r="O728" s="499">
        <v>1</v>
      </c>
      <c r="P728" s="499">
        <v>1</v>
      </c>
      <c r="Q728" s="499">
        <f t="shared" si="113"/>
        <v>0</v>
      </c>
      <c r="R728" s="499">
        <f t="shared" si="114"/>
        <v>6500</v>
      </c>
      <c r="S728" s="499">
        <f t="shared" si="117"/>
        <v>6500</v>
      </c>
      <c r="T728" s="499">
        <f t="shared" si="116"/>
        <v>6150</v>
      </c>
      <c r="U728" s="504">
        <f t="shared" si="56"/>
        <v>5.0000000000000001E-4</v>
      </c>
      <c r="V728" s="499">
        <f t="shared" si="57"/>
        <v>5</v>
      </c>
      <c r="W728" s="499">
        <f t="shared" si="58"/>
        <v>4.0000000000000002E-4</v>
      </c>
      <c r="X728" s="499">
        <f t="shared" si="59"/>
        <v>4</v>
      </c>
      <c r="Y728" s="504">
        <f t="shared" si="60"/>
        <v>0</v>
      </c>
      <c r="Z728" s="504">
        <f t="shared" si="61"/>
        <v>0</v>
      </c>
      <c r="AA728" s="505">
        <f t="shared" si="62"/>
        <v>0</v>
      </c>
      <c r="AB728" s="505">
        <f t="shared" si="63"/>
        <v>0</v>
      </c>
      <c r="AC728" s="504">
        <f t="shared" si="64"/>
        <v>0</v>
      </c>
      <c r="AD728" s="504">
        <f t="shared" si="65"/>
        <v>0</v>
      </c>
      <c r="AE728" s="499">
        <f t="shared" si="66"/>
        <v>0</v>
      </c>
      <c r="AF728" s="500" t="str">
        <f t="shared" si="45"/>
        <v>SR80710</v>
      </c>
      <c r="AG728" s="499" t="s">
        <v>312</v>
      </c>
      <c r="AH728" s="499" t="str">
        <f t="shared" si="67"/>
        <v>9999</v>
      </c>
      <c r="AI728" s="499" t="str">
        <f t="shared" si="46"/>
        <v>50010001</v>
      </c>
      <c r="AJ728" s="499">
        <f t="shared" si="68"/>
        <v>0</v>
      </c>
      <c r="AK728" s="499">
        <f t="shared" si="69"/>
        <v>0</v>
      </c>
      <c r="AL728" s="499">
        <f t="shared" si="97"/>
        <v>0</v>
      </c>
      <c r="AM728" s="499">
        <f t="shared" si="98"/>
        <v>0</v>
      </c>
      <c r="AN728" s="499" t="str">
        <f t="shared" si="70"/>
        <v>CNY</v>
      </c>
      <c r="AO728" s="498">
        <f t="shared" si="71"/>
        <v>2.0000000000000001E-4</v>
      </c>
      <c r="AP728" s="498">
        <f t="shared" si="72"/>
        <v>2</v>
      </c>
      <c r="AQ728" s="498">
        <f t="shared" si="73"/>
        <v>0</v>
      </c>
    </row>
    <row r="729" spans="1:43" s="498" customFormat="1" x14ac:dyDescent="0.25">
      <c r="A729" s="498" t="str">
        <f t="shared" ref="A729:A761" si="118">IF(Q729=0,"comment","")</f>
        <v/>
      </c>
      <c r="B729" s="499" t="str">
        <f t="shared" si="50"/>
        <v/>
      </c>
      <c r="C729" s="500" t="str">
        <f t="shared" si="51"/>
        <v>2018032710000077</v>
      </c>
      <c r="D729" s="499"/>
      <c r="E729" s="499" t="str">
        <f t="shared" si="52"/>
        <v>6001</v>
      </c>
      <c r="F729" s="499" t="str">
        <f t="shared" si="53"/>
        <v>B00101</v>
      </c>
      <c r="G729" s="499" t="str">
        <f t="shared" si="54"/>
        <v>6001</v>
      </c>
      <c r="H729" s="499">
        <v>10000077</v>
      </c>
      <c r="I729" s="502">
        <f t="shared" si="74"/>
        <v>20180327</v>
      </c>
      <c r="J729" s="503">
        <f t="shared" si="76"/>
        <v>20180327</v>
      </c>
      <c r="K729" s="499" t="str">
        <f t="shared" si="55"/>
        <v>CZCE</v>
      </c>
      <c r="L729" s="499" t="str">
        <f t="shared" si="115"/>
        <v>SR807</v>
      </c>
      <c r="M729" s="499">
        <f t="shared" si="43"/>
        <v>10</v>
      </c>
      <c r="N729" s="499">
        <v>0</v>
      </c>
      <c r="O729" s="499">
        <v>1</v>
      </c>
      <c r="P729" s="499">
        <v>3</v>
      </c>
      <c r="Q729" s="499">
        <f t="shared" si="113"/>
        <v>10</v>
      </c>
      <c r="R729" s="499">
        <f t="shared" si="114"/>
        <v>6500</v>
      </c>
      <c r="S729" s="499">
        <f t="shared" ref="S729" si="119">S726</f>
        <v>6500</v>
      </c>
      <c r="T729" s="499">
        <f t="shared" si="116"/>
        <v>6150</v>
      </c>
      <c r="U729" s="504">
        <f t="shared" si="56"/>
        <v>5.0000000000000001E-4</v>
      </c>
      <c r="V729" s="499">
        <f t="shared" si="57"/>
        <v>5</v>
      </c>
      <c r="W729" s="499">
        <f t="shared" si="58"/>
        <v>5.0000000000000001E-4</v>
      </c>
      <c r="X729" s="499">
        <f t="shared" si="59"/>
        <v>5</v>
      </c>
      <c r="Y729" s="504">
        <f t="shared" si="60"/>
        <v>375</v>
      </c>
      <c r="Z729" s="504">
        <f t="shared" si="61"/>
        <v>375</v>
      </c>
      <c r="AA729" s="505">
        <f t="shared" si="62"/>
        <v>375</v>
      </c>
      <c r="AB729" s="505">
        <f t="shared" si="63"/>
        <v>375</v>
      </c>
      <c r="AC729" s="504">
        <f t="shared" si="64"/>
        <v>0</v>
      </c>
      <c r="AD729" s="504">
        <f t="shared" si="65"/>
        <v>0</v>
      </c>
      <c r="AE729" s="499">
        <f t="shared" si="66"/>
        <v>650000</v>
      </c>
      <c r="AF729" s="500" t="str">
        <f t="shared" si="45"/>
        <v>SR80730</v>
      </c>
      <c r="AG729" s="499" t="s">
        <v>312</v>
      </c>
      <c r="AH729" s="499" t="str">
        <f t="shared" si="67"/>
        <v>9999</v>
      </c>
      <c r="AI729" s="499" t="str">
        <f t="shared" si="46"/>
        <v>50010001</v>
      </c>
      <c r="AJ729" s="499">
        <f t="shared" si="68"/>
        <v>0</v>
      </c>
      <c r="AK729" s="499">
        <f t="shared" si="69"/>
        <v>0</v>
      </c>
      <c r="AL729" s="499">
        <f t="shared" si="97"/>
        <v>0</v>
      </c>
      <c r="AM729" s="499">
        <f t="shared" si="98"/>
        <v>0</v>
      </c>
      <c r="AN729" s="499" t="str">
        <f t="shared" si="70"/>
        <v>CNY</v>
      </c>
      <c r="AO729" s="498">
        <f t="shared" si="71"/>
        <v>2.0000000000000001E-4</v>
      </c>
      <c r="AP729" s="498">
        <f t="shared" si="72"/>
        <v>2</v>
      </c>
      <c r="AQ729" s="498">
        <f t="shared" si="73"/>
        <v>150</v>
      </c>
    </row>
    <row r="730" spans="1:43" s="498" customFormat="1" x14ac:dyDescent="0.25">
      <c r="A730" s="498" t="str">
        <f t="shared" si="118"/>
        <v>comment</v>
      </c>
      <c r="B730" s="499" t="str">
        <f t="shared" si="50"/>
        <v/>
      </c>
      <c r="C730" s="500" t="str">
        <f t="shared" si="51"/>
        <v>2018032710000170</v>
      </c>
      <c r="D730" s="499"/>
      <c r="E730" s="499" t="str">
        <f t="shared" si="52"/>
        <v>6001</v>
      </c>
      <c r="F730" s="499" t="str">
        <f t="shared" ref="F730:F737" si="120">VLOOKUP(E730,$B$6:$C$6,2)</f>
        <v>B00102</v>
      </c>
      <c r="G730" s="499" t="str">
        <f t="shared" ref="G730:G738" si="121">VLOOKUP(F730,$C$5:$D$6,2)</f>
        <v>6001</v>
      </c>
      <c r="H730" s="499">
        <v>10000170</v>
      </c>
      <c r="I730" s="502">
        <f t="shared" si="74"/>
        <v>20180327</v>
      </c>
      <c r="J730" s="503">
        <f t="shared" ref="J730:J737" si="122">I730</f>
        <v>20180327</v>
      </c>
      <c r="K730" s="499" t="str">
        <f t="shared" si="55"/>
        <v>CZCE</v>
      </c>
      <c r="L730" s="499" t="str">
        <f>$C$22</f>
        <v>PTA807</v>
      </c>
      <c r="M730" s="499">
        <f t="shared" si="43"/>
        <v>5</v>
      </c>
      <c r="N730" s="499">
        <v>0</v>
      </c>
      <c r="O730" s="499">
        <v>0</v>
      </c>
      <c r="P730" s="499">
        <v>1</v>
      </c>
      <c r="Q730" s="499">
        <f t="shared" si="113"/>
        <v>0</v>
      </c>
      <c r="R730" s="499">
        <v>6500</v>
      </c>
      <c r="S730" s="499">
        <v>6500</v>
      </c>
      <c r="T730" s="499">
        <f t="shared" si="116"/>
        <v>6165</v>
      </c>
      <c r="U730" s="504">
        <f t="shared" ref="U730:U738" si="123">VLOOKUP(AF730,$G$75:$K$114,2,FALSE)</f>
        <v>5.0000000000000001E-4</v>
      </c>
      <c r="V730" s="499">
        <f t="shared" ref="V730:V738" si="124">VLOOKUP(AF730,$G$75:$K$114,3,FALSE)</f>
        <v>5</v>
      </c>
      <c r="W730" s="499">
        <f t="shared" ref="W730:W738" si="125">VLOOKUP(AF730,$G$75:$K$114,4,FALSE)</f>
        <v>4.0000000000000002E-4</v>
      </c>
      <c r="X730" s="499">
        <f t="shared" ref="X730:X738" si="126">VLOOKUP(AF730,$G$75:$K$114,5,FALSE)</f>
        <v>4</v>
      </c>
      <c r="Y730" s="504">
        <f t="shared" si="60"/>
        <v>0</v>
      </c>
      <c r="Z730" s="504">
        <f t="shared" si="61"/>
        <v>0</v>
      </c>
      <c r="AA730" s="505">
        <f t="shared" si="62"/>
        <v>0</v>
      </c>
      <c r="AB730" s="505">
        <f t="shared" ref="AB730:AB738" si="127">ROUND(Z730,3)</f>
        <v>0</v>
      </c>
      <c r="AC730" s="504">
        <f t="shared" ref="AC730:AC738" si="128">IF(N730=0,0,IF(I730=J730,IF(O730=1,M730*Q730*(S730-R730),-M730*Q730*(S730-R730)),IF(O730=1,M730*Q730*(S730-T730),-M730*Q730*(S730-T730))))</f>
        <v>0</v>
      </c>
      <c r="AD730" s="504">
        <f t="shared" ref="AD730:AD738" si="129">IF(N730=0,0,(IF(O730=1,M730*Q730*(S730-R730),-M730*Q730*(S730-R730))))</f>
        <v>0</v>
      </c>
      <c r="AE730" s="499">
        <f t="shared" ref="AE730:AE738" si="130">M730*Q730*S730</f>
        <v>0</v>
      </c>
      <c r="AF730" s="500" t="str">
        <f t="shared" ref="AF730:AF739" si="131">L730&amp;INT(P730)&amp;INT(N730)</f>
        <v>PTA80710</v>
      </c>
      <c r="AG730" s="499" t="s">
        <v>312</v>
      </c>
      <c r="AH730" s="499" t="str">
        <f t="shared" si="67"/>
        <v>9999</v>
      </c>
      <c r="AI730" s="499" t="str">
        <f t="shared" ref="AI730:AI738" si="132">VLOOKUP(F730,$C$5:$G$6,5,FALSE)</f>
        <v>50010002</v>
      </c>
      <c r="AJ730" s="499">
        <f t="shared" ref="AJ730:AJ738" si="133">IF(AM730=0,0,IF(O730=1,M730*Q730*S730,0))</f>
        <v>0</v>
      </c>
      <c r="AK730" s="499">
        <f t="shared" ref="AK730:AK738" si="134">IF(AM730=0,0,IF(O730=0,M730*Q730*S730,0))</f>
        <v>0</v>
      </c>
      <c r="AL730" s="499">
        <f t="shared" ref="AL730:AL739" si="135" xml:space="preserve"> VLOOKUP(L730,$C$19:$K$29,9,FALSE)</f>
        <v>1</v>
      </c>
      <c r="AM730" s="499">
        <f t="shared" ref="AM730:AM739" si="136">VLOOKUP(L730,$C$19:$L$29,10,FALSE)</f>
        <v>0</v>
      </c>
      <c r="AN730" s="499" t="str">
        <f t="shared" si="70"/>
        <v>CNY</v>
      </c>
      <c r="AO730" s="498">
        <f t="shared" ref="AO730:AO739" si="137">VLOOKUP(AF730,$G$75:$M$114,6,FALSE)</f>
        <v>2.0000000000000001E-4</v>
      </c>
      <c r="AP730" s="498">
        <f t="shared" ref="AP730:AP739" si="138">VLOOKUP(AF730,$G$75:$M$114,7,FALSE)</f>
        <v>2</v>
      </c>
      <c r="AQ730" s="498">
        <f t="shared" ref="AQ730:AQ738" si="139">ROUND(M730*Q730*S730*AO730+Q730*AP730,2)</f>
        <v>0</v>
      </c>
    </row>
    <row r="731" spans="1:43" s="498" customFormat="1" x14ac:dyDescent="0.25">
      <c r="A731" s="498" t="str">
        <f t="shared" si="118"/>
        <v>comment</v>
      </c>
      <c r="B731" s="499" t="str">
        <f t="shared" si="50"/>
        <v/>
      </c>
      <c r="C731" s="500" t="str">
        <f t="shared" si="51"/>
        <v>2018032710000171</v>
      </c>
      <c r="D731" s="499"/>
      <c r="E731" s="499" t="str">
        <f t="shared" si="52"/>
        <v>6001</v>
      </c>
      <c r="F731" s="499" t="str">
        <f t="shared" si="120"/>
        <v>B00102</v>
      </c>
      <c r="G731" s="499" t="str">
        <f t="shared" si="121"/>
        <v>6001</v>
      </c>
      <c r="H731" s="499">
        <v>10000171</v>
      </c>
      <c r="I731" s="502">
        <f t="shared" si="74"/>
        <v>20180327</v>
      </c>
      <c r="J731" s="503">
        <f t="shared" si="122"/>
        <v>20180327</v>
      </c>
      <c r="K731" s="499" t="str">
        <f t="shared" si="55"/>
        <v>CZCE</v>
      </c>
      <c r="L731" s="499" t="str">
        <f t="shared" ref="L731:L736" si="140">$C$22</f>
        <v>PTA807</v>
      </c>
      <c r="M731" s="499">
        <f t="shared" si="43"/>
        <v>5</v>
      </c>
      <c r="N731" s="499">
        <v>0</v>
      </c>
      <c r="O731" s="499">
        <v>0</v>
      </c>
      <c r="P731" s="499">
        <v>3</v>
      </c>
      <c r="Q731" s="499">
        <f t="shared" si="113"/>
        <v>0</v>
      </c>
      <c r="R731" s="499">
        <v>6500</v>
      </c>
      <c r="S731" s="499">
        <v>6500</v>
      </c>
      <c r="T731" s="499">
        <f t="shared" si="116"/>
        <v>6165</v>
      </c>
      <c r="U731" s="504">
        <f t="shared" si="123"/>
        <v>5.0000000000000001E-4</v>
      </c>
      <c r="V731" s="499">
        <f t="shared" si="124"/>
        <v>5</v>
      </c>
      <c r="W731" s="499">
        <f t="shared" si="125"/>
        <v>5.0000000000000001E-4</v>
      </c>
      <c r="X731" s="499">
        <f t="shared" si="126"/>
        <v>5</v>
      </c>
      <c r="Y731" s="504">
        <f t="shared" si="60"/>
        <v>0</v>
      </c>
      <c r="Z731" s="504">
        <f t="shared" si="61"/>
        <v>0</v>
      </c>
      <c r="AA731" s="505">
        <f t="shared" si="62"/>
        <v>0</v>
      </c>
      <c r="AB731" s="505">
        <f t="shared" si="127"/>
        <v>0</v>
      </c>
      <c r="AC731" s="504">
        <f t="shared" si="128"/>
        <v>0</v>
      </c>
      <c r="AD731" s="504">
        <f t="shared" si="129"/>
        <v>0</v>
      </c>
      <c r="AE731" s="499">
        <f t="shared" si="130"/>
        <v>0</v>
      </c>
      <c r="AF731" s="500" t="str">
        <f t="shared" si="131"/>
        <v>PTA80730</v>
      </c>
      <c r="AG731" s="499" t="s">
        <v>312</v>
      </c>
      <c r="AH731" s="499" t="str">
        <f t="shared" si="67"/>
        <v>9999</v>
      </c>
      <c r="AI731" s="499" t="str">
        <f t="shared" si="132"/>
        <v>50010002</v>
      </c>
      <c r="AJ731" s="499">
        <f t="shared" si="133"/>
        <v>0</v>
      </c>
      <c r="AK731" s="499">
        <f t="shared" si="134"/>
        <v>0</v>
      </c>
      <c r="AL731" s="499">
        <f t="shared" si="135"/>
        <v>1</v>
      </c>
      <c r="AM731" s="499">
        <f t="shared" si="136"/>
        <v>0</v>
      </c>
      <c r="AN731" s="499" t="str">
        <f t="shared" si="70"/>
        <v>CNY</v>
      </c>
      <c r="AO731" s="498">
        <f t="shared" si="137"/>
        <v>2.0000000000000001E-4</v>
      </c>
      <c r="AP731" s="498">
        <f t="shared" si="138"/>
        <v>2</v>
      </c>
      <c r="AQ731" s="498">
        <f t="shared" si="139"/>
        <v>0</v>
      </c>
    </row>
    <row r="732" spans="1:43" s="498" customFormat="1" x14ac:dyDescent="0.25">
      <c r="A732" s="498" t="str">
        <f t="shared" si="118"/>
        <v>comment</v>
      </c>
      <c r="B732" s="499" t="str">
        <f t="shared" si="50"/>
        <v/>
      </c>
      <c r="C732" s="500" t="str">
        <f t="shared" si="51"/>
        <v>2018032710000172</v>
      </c>
      <c r="D732" s="499"/>
      <c r="E732" s="499" t="str">
        <f t="shared" si="52"/>
        <v>6001</v>
      </c>
      <c r="F732" s="499" t="str">
        <f t="shared" si="120"/>
        <v>B00102</v>
      </c>
      <c r="G732" s="499" t="str">
        <f t="shared" si="121"/>
        <v>6001</v>
      </c>
      <c r="H732" s="499">
        <v>10000172</v>
      </c>
      <c r="I732" s="502">
        <f t="shared" si="74"/>
        <v>20180327</v>
      </c>
      <c r="J732" s="503">
        <f t="shared" si="122"/>
        <v>20180327</v>
      </c>
      <c r="K732" s="499" t="str">
        <f t="shared" si="55"/>
        <v>CZCE</v>
      </c>
      <c r="L732" s="499" t="str">
        <f t="shared" si="140"/>
        <v>PTA807</v>
      </c>
      <c r="M732" s="499">
        <f t="shared" si="43"/>
        <v>5</v>
      </c>
      <c r="N732" s="499">
        <v>0</v>
      </c>
      <c r="O732" s="499">
        <v>1</v>
      </c>
      <c r="P732" s="499">
        <v>1</v>
      </c>
      <c r="Q732" s="499">
        <f t="shared" si="113"/>
        <v>0</v>
      </c>
      <c r="R732" s="499">
        <v>6500</v>
      </c>
      <c r="S732" s="499">
        <v>6500</v>
      </c>
      <c r="T732" s="499">
        <f t="shared" si="116"/>
        <v>6165</v>
      </c>
      <c r="U732" s="504">
        <f t="shared" si="123"/>
        <v>5.0000000000000001E-4</v>
      </c>
      <c r="V732" s="499">
        <f t="shared" si="124"/>
        <v>5</v>
      </c>
      <c r="W732" s="499">
        <f t="shared" si="125"/>
        <v>4.0000000000000002E-4</v>
      </c>
      <c r="X732" s="499">
        <f t="shared" si="126"/>
        <v>4</v>
      </c>
      <c r="Y732" s="504">
        <f t="shared" si="60"/>
        <v>0</v>
      </c>
      <c r="Z732" s="504">
        <f t="shared" si="61"/>
        <v>0</v>
      </c>
      <c r="AA732" s="505">
        <f t="shared" si="62"/>
        <v>0</v>
      </c>
      <c r="AB732" s="505">
        <f t="shared" si="127"/>
        <v>0</v>
      </c>
      <c r="AC732" s="504">
        <f t="shared" si="128"/>
        <v>0</v>
      </c>
      <c r="AD732" s="504">
        <f t="shared" si="129"/>
        <v>0</v>
      </c>
      <c r="AE732" s="499">
        <f t="shared" si="130"/>
        <v>0</v>
      </c>
      <c r="AF732" s="500" t="str">
        <f t="shared" si="131"/>
        <v>PTA80710</v>
      </c>
      <c r="AG732" s="499" t="s">
        <v>312</v>
      </c>
      <c r="AH732" s="499" t="str">
        <f t="shared" si="67"/>
        <v>9999</v>
      </c>
      <c r="AI732" s="499" t="str">
        <f t="shared" si="132"/>
        <v>50010002</v>
      </c>
      <c r="AJ732" s="499">
        <f t="shared" si="133"/>
        <v>0</v>
      </c>
      <c r="AK732" s="499">
        <f t="shared" si="134"/>
        <v>0</v>
      </c>
      <c r="AL732" s="499">
        <f t="shared" si="135"/>
        <v>1</v>
      </c>
      <c r="AM732" s="499">
        <f t="shared" si="136"/>
        <v>0</v>
      </c>
      <c r="AN732" s="499" t="str">
        <f t="shared" si="70"/>
        <v>CNY</v>
      </c>
      <c r="AO732" s="498">
        <f t="shared" si="137"/>
        <v>2.0000000000000001E-4</v>
      </c>
      <c r="AP732" s="498">
        <f t="shared" si="138"/>
        <v>2</v>
      </c>
      <c r="AQ732" s="498">
        <f t="shared" si="139"/>
        <v>0</v>
      </c>
    </row>
    <row r="733" spans="1:43" s="498" customFormat="1" x14ac:dyDescent="0.25">
      <c r="A733" s="498" t="str">
        <f t="shared" si="118"/>
        <v>comment</v>
      </c>
      <c r="B733" s="499" t="str">
        <f t="shared" si="50"/>
        <v/>
      </c>
      <c r="C733" s="500" t="str">
        <f t="shared" si="51"/>
        <v>2018032710000173</v>
      </c>
      <c r="D733" s="499"/>
      <c r="E733" s="499" t="str">
        <f t="shared" si="52"/>
        <v>6001</v>
      </c>
      <c r="F733" s="499" t="str">
        <f t="shared" si="120"/>
        <v>B00102</v>
      </c>
      <c r="G733" s="499" t="str">
        <f t="shared" si="121"/>
        <v>6001</v>
      </c>
      <c r="H733" s="499">
        <v>10000173</v>
      </c>
      <c r="I733" s="502">
        <f t="shared" si="74"/>
        <v>20180327</v>
      </c>
      <c r="J733" s="503">
        <f t="shared" si="122"/>
        <v>20180327</v>
      </c>
      <c r="K733" s="499" t="str">
        <f t="shared" si="55"/>
        <v>CZCE</v>
      </c>
      <c r="L733" s="499" t="str">
        <f t="shared" si="140"/>
        <v>PTA807</v>
      </c>
      <c r="M733" s="499">
        <f t="shared" si="43"/>
        <v>5</v>
      </c>
      <c r="N733" s="499">
        <v>0</v>
      </c>
      <c r="O733" s="499">
        <v>1</v>
      </c>
      <c r="P733" s="499">
        <v>3</v>
      </c>
      <c r="Q733" s="499">
        <f t="shared" si="113"/>
        <v>0</v>
      </c>
      <c r="R733" s="499">
        <v>6500</v>
      </c>
      <c r="S733" s="499">
        <v>6500</v>
      </c>
      <c r="T733" s="499">
        <f t="shared" si="116"/>
        <v>6165</v>
      </c>
      <c r="U733" s="504">
        <f t="shared" si="123"/>
        <v>5.0000000000000001E-4</v>
      </c>
      <c r="V733" s="499">
        <f t="shared" si="124"/>
        <v>5</v>
      </c>
      <c r="W733" s="499">
        <f t="shared" si="125"/>
        <v>5.0000000000000001E-4</v>
      </c>
      <c r="X733" s="499">
        <f t="shared" si="126"/>
        <v>5</v>
      </c>
      <c r="Y733" s="504">
        <f t="shared" si="60"/>
        <v>0</v>
      </c>
      <c r="Z733" s="504">
        <f t="shared" si="61"/>
        <v>0</v>
      </c>
      <c r="AA733" s="505">
        <f t="shared" si="62"/>
        <v>0</v>
      </c>
      <c r="AB733" s="505">
        <f t="shared" si="127"/>
        <v>0</v>
      </c>
      <c r="AC733" s="504">
        <f t="shared" si="128"/>
        <v>0</v>
      </c>
      <c r="AD733" s="504">
        <f t="shared" si="129"/>
        <v>0</v>
      </c>
      <c r="AE733" s="499">
        <f t="shared" si="130"/>
        <v>0</v>
      </c>
      <c r="AF733" s="500" t="str">
        <f t="shared" si="131"/>
        <v>PTA80730</v>
      </c>
      <c r="AG733" s="499" t="s">
        <v>312</v>
      </c>
      <c r="AH733" s="499" t="str">
        <f t="shared" si="67"/>
        <v>9999</v>
      </c>
      <c r="AI733" s="499" t="str">
        <f t="shared" si="132"/>
        <v>50010002</v>
      </c>
      <c r="AJ733" s="499">
        <f t="shared" si="133"/>
        <v>0</v>
      </c>
      <c r="AK733" s="499">
        <f t="shared" si="134"/>
        <v>0</v>
      </c>
      <c r="AL733" s="499">
        <f t="shared" si="135"/>
        <v>1</v>
      </c>
      <c r="AM733" s="499">
        <f t="shared" si="136"/>
        <v>0</v>
      </c>
      <c r="AN733" s="499" t="str">
        <f t="shared" si="70"/>
        <v>CNY</v>
      </c>
      <c r="AO733" s="498">
        <f t="shared" si="137"/>
        <v>2.0000000000000001E-4</v>
      </c>
      <c r="AP733" s="498">
        <f t="shared" si="138"/>
        <v>2</v>
      </c>
      <c r="AQ733" s="498">
        <f t="shared" si="139"/>
        <v>0</v>
      </c>
    </row>
    <row r="734" spans="1:43" s="498" customFormat="1" x14ac:dyDescent="0.25">
      <c r="A734" s="498" t="str">
        <f t="shared" si="118"/>
        <v/>
      </c>
      <c r="B734" s="499" t="str">
        <f t="shared" si="50"/>
        <v/>
      </c>
      <c r="C734" s="500" t="str">
        <f t="shared" si="51"/>
        <v>2018032710000174</v>
      </c>
      <c r="D734" s="499"/>
      <c r="E734" s="499" t="str">
        <f t="shared" si="52"/>
        <v>6001</v>
      </c>
      <c r="F734" s="499" t="str">
        <f t="shared" si="120"/>
        <v>B00102</v>
      </c>
      <c r="G734" s="499" t="str">
        <f t="shared" si="121"/>
        <v>6001</v>
      </c>
      <c r="H734" s="499">
        <v>10000174</v>
      </c>
      <c r="I734" s="502">
        <f t="shared" si="74"/>
        <v>20180327</v>
      </c>
      <c r="J734" s="503">
        <f t="shared" si="122"/>
        <v>20180327</v>
      </c>
      <c r="K734" s="499" t="str">
        <f t="shared" si="55"/>
        <v>CZCE</v>
      </c>
      <c r="L734" s="499" t="str">
        <f t="shared" si="140"/>
        <v>PTA807</v>
      </c>
      <c r="M734" s="499">
        <f t="shared" si="43"/>
        <v>5</v>
      </c>
      <c r="N734" s="499">
        <v>0</v>
      </c>
      <c r="O734" s="499">
        <v>0</v>
      </c>
      <c r="P734" s="499">
        <v>1</v>
      </c>
      <c r="Q734" s="499">
        <f t="shared" si="113"/>
        <v>3</v>
      </c>
      <c r="R734" s="499">
        <v>6200</v>
      </c>
      <c r="S734" s="499">
        <v>6200</v>
      </c>
      <c r="T734" s="499">
        <f t="shared" si="116"/>
        <v>6165</v>
      </c>
      <c r="U734" s="504">
        <f t="shared" si="123"/>
        <v>5.0000000000000001E-4</v>
      </c>
      <c r="V734" s="499">
        <f t="shared" si="124"/>
        <v>5</v>
      </c>
      <c r="W734" s="499">
        <f t="shared" si="125"/>
        <v>4.0000000000000002E-4</v>
      </c>
      <c r="X734" s="499">
        <f t="shared" si="126"/>
        <v>4</v>
      </c>
      <c r="Y734" s="504">
        <f t="shared" si="60"/>
        <v>61.5</v>
      </c>
      <c r="Z734" s="504">
        <f t="shared" si="61"/>
        <v>49.2</v>
      </c>
      <c r="AA734" s="505">
        <f t="shared" si="62"/>
        <v>61.5</v>
      </c>
      <c r="AB734" s="505">
        <f t="shared" si="127"/>
        <v>49.2</v>
      </c>
      <c r="AC734" s="504">
        <f t="shared" si="128"/>
        <v>0</v>
      </c>
      <c r="AD734" s="504">
        <f t="shared" si="129"/>
        <v>0</v>
      </c>
      <c r="AE734" s="499">
        <f t="shared" si="130"/>
        <v>93000</v>
      </c>
      <c r="AF734" s="500" t="str">
        <f t="shared" si="131"/>
        <v>PTA80710</v>
      </c>
      <c r="AG734" s="499" t="s">
        <v>312</v>
      </c>
      <c r="AH734" s="499" t="str">
        <f t="shared" si="67"/>
        <v>9999</v>
      </c>
      <c r="AI734" s="499" t="str">
        <f t="shared" si="132"/>
        <v>50010002</v>
      </c>
      <c r="AJ734" s="499">
        <f t="shared" si="133"/>
        <v>0</v>
      </c>
      <c r="AK734" s="499">
        <f t="shared" si="134"/>
        <v>0</v>
      </c>
      <c r="AL734" s="499">
        <f t="shared" si="135"/>
        <v>1</v>
      </c>
      <c r="AM734" s="499">
        <f t="shared" si="136"/>
        <v>0</v>
      </c>
      <c r="AN734" s="499" t="str">
        <f t="shared" si="70"/>
        <v>CNY</v>
      </c>
      <c r="AO734" s="498">
        <f t="shared" si="137"/>
        <v>2.0000000000000001E-4</v>
      </c>
      <c r="AP734" s="498">
        <f t="shared" si="138"/>
        <v>2</v>
      </c>
      <c r="AQ734" s="498">
        <f t="shared" si="139"/>
        <v>24.6</v>
      </c>
    </row>
    <row r="735" spans="1:43" s="498" customFormat="1" x14ac:dyDescent="0.25">
      <c r="A735" s="498" t="str">
        <f t="shared" si="118"/>
        <v>comment</v>
      </c>
      <c r="B735" s="499" t="str">
        <f t="shared" si="50"/>
        <v/>
      </c>
      <c r="C735" s="500" t="str">
        <f t="shared" si="51"/>
        <v>2018032710000175</v>
      </c>
      <c r="D735" s="499"/>
      <c r="E735" s="499" t="str">
        <f t="shared" si="52"/>
        <v>6001</v>
      </c>
      <c r="F735" s="499" t="str">
        <f t="shared" si="120"/>
        <v>B00102</v>
      </c>
      <c r="G735" s="499" t="str">
        <f t="shared" si="121"/>
        <v>6001</v>
      </c>
      <c r="H735" s="499">
        <v>10000175</v>
      </c>
      <c r="I735" s="502">
        <f t="shared" si="74"/>
        <v>20180327</v>
      </c>
      <c r="J735" s="503">
        <f t="shared" si="122"/>
        <v>20180327</v>
      </c>
      <c r="K735" s="499" t="str">
        <f t="shared" si="55"/>
        <v>CZCE</v>
      </c>
      <c r="L735" s="499" t="str">
        <f t="shared" si="140"/>
        <v>PTA807</v>
      </c>
      <c r="M735" s="499">
        <f t="shared" si="43"/>
        <v>5</v>
      </c>
      <c r="N735" s="499">
        <v>0</v>
      </c>
      <c r="O735" s="499">
        <v>0</v>
      </c>
      <c r="P735" s="499">
        <v>3</v>
      </c>
      <c r="Q735" s="499">
        <f t="shared" si="113"/>
        <v>0</v>
      </c>
      <c r="R735" s="499">
        <v>6200</v>
      </c>
      <c r="S735" s="499">
        <v>6200</v>
      </c>
      <c r="T735" s="499">
        <f t="shared" si="116"/>
        <v>6165</v>
      </c>
      <c r="U735" s="504">
        <f t="shared" si="123"/>
        <v>5.0000000000000001E-4</v>
      </c>
      <c r="V735" s="499">
        <f t="shared" si="124"/>
        <v>5</v>
      </c>
      <c r="W735" s="499">
        <f t="shared" si="125"/>
        <v>5.0000000000000001E-4</v>
      </c>
      <c r="X735" s="499">
        <f t="shared" si="126"/>
        <v>5</v>
      </c>
      <c r="Y735" s="504">
        <f t="shared" si="60"/>
        <v>0</v>
      </c>
      <c r="Z735" s="504">
        <f t="shared" si="61"/>
        <v>0</v>
      </c>
      <c r="AA735" s="505">
        <f t="shared" si="62"/>
        <v>0</v>
      </c>
      <c r="AB735" s="505">
        <f t="shared" si="127"/>
        <v>0</v>
      </c>
      <c r="AC735" s="504">
        <f t="shared" si="128"/>
        <v>0</v>
      </c>
      <c r="AD735" s="504">
        <f t="shared" si="129"/>
        <v>0</v>
      </c>
      <c r="AE735" s="499">
        <f t="shared" si="130"/>
        <v>0</v>
      </c>
      <c r="AF735" s="500" t="str">
        <f t="shared" si="131"/>
        <v>PTA80730</v>
      </c>
      <c r="AG735" s="499" t="s">
        <v>312</v>
      </c>
      <c r="AH735" s="499" t="str">
        <f t="shared" si="67"/>
        <v>9999</v>
      </c>
      <c r="AI735" s="499" t="str">
        <f t="shared" si="132"/>
        <v>50010002</v>
      </c>
      <c r="AJ735" s="499">
        <f t="shared" si="133"/>
        <v>0</v>
      </c>
      <c r="AK735" s="499">
        <f t="shared" si="134"/>
        <v>0</v>
      </c>
      <c r="AL735" s="499">
        <f t="shared" si="135"/>
        <v>1</v>
      </c>
      <c r="AM735" s="499">
        <f t="shared" si="136"/>
        <v>0</v>
      </c>
      <c r="AN735" s="499" t="str">
        <f t="shared" si="70"/>
        <v>CNY</v>
      </c>
      <c r="AO735" s="498">
        <f t="shared" si="137"/>
        <v>2.0000000000000001E-4</v>
      </c>
      <c r="AP735" s="498">
        <f t="shared" si="138"/>
        <v>2</v>
      </c>
      <c r="AQ735" s="498">
        <f t="shared" si="139"/>
        <v>0</v>
      </c>
    </row>
    <row r="736" spans="1:43" s="498" customFormat="1" x14ac:dyDescent="0.25">
      <c r="A736" s="498" t="str">
        <f t="shared" si="118"/>
        <v/>
      </c>
      <c r="B736" s="499" t="str">
        <f t="shared" si="50"/>
        <v/>
      </c>
      <c r="C736" s="500" t="str">
        <f t="shared" si="51"/>
        <v>2018032710000176</v>
      </c>
      <c r="D736" s="499"/>
      <c r="E736" s="499" t="str">
        <f t="shared" si="52"/>
        <v>6001</v>
      </c>
      <c r="F736" s="499" t="str">
        <f t="shared" si="120"/>
        <v>B00102</v>
      </c>
      <c r="G736" s="499" t="str">
        <f t="shared" si="121"/>
        <v>6001</v>
      </c>
      <c r="H736" s="499">
        <v>10000176</v>
      </c>
      <c r="I736" s="502">
        <f t="shared" si="74"/>
        <v>20180327</v>
      </c>
      <c r="J736" s="503">
        <f t="shared" si="122"/>
        <v>20180327</v>
      </c>
      <c r="K736" s="499" t="str">
        <f t="shared" si="55"/>
        <v>CZCE</v>
      </c>
      <c r="L736" s="499" t="str">
        <f t="shared" si="140"/>
        <v>PTA807</v>
      </c>
      <c r="M736" s="499">
        <f t="shared" si="43"/>
        <v>5</v>
      </c>
      <c r="N736" s="499">
        <v>0</v>
      </c>
      <c r="O736" s="499">
        <v>1</v>
      </c>
      <c r="P736" s="499">
        <v>1</v>
      </c>
      <c r="Q736" s="499">
        <f t="shared" si="113"/>
        <v>1</v>
      </c>
      <c r="R736" s="499">
        <v>6200</v>
      </c>
      <c r="S736" s="499">
        <v>6200</v>
      </c>
      <c r="T736" s="499">
        <f t="shared" si="116"/>
        <v>6165</v>
      </c>
      <c r="U736" s="504">
        <f t="shared" si="123"/>
        <v>5.0000000000000001E-4</v>
      </c>
      <c r="V736" s="499">
        <f t="shared" si="124"/>
        <v>5</v>
      </c>
      <c r="W736" s="499">
        <f t="shared" si="125"/>
        <v>4.0000000000000002E-4</v>
      </c>
      <c r="X736" s="499">
        <f t="shared" si="126"/>
        <v>4</v>
      </c>
      <c r="Y736" s="504">
        <f t="shared" si="60"/>
        <v>20.5</v>
      </c>
      <c r="Z736" s="504">
        <f t="shared" si="61"/>
        <v>16.399999999999999</v>
      </c>
      <c r="AA736" s="505">
        <f t="shared" si="62"/>
        <v>20.5</v>
      </c>
      <c r="AB736" s="505">
        <f t="shared" si="127"/>
        <v>16.399999999999999</v>
      </c>
      <c r="AC736" s="504">
        <f t="shared" si="128"/>
        <v>0</v>
      </c>
      <c r="AD736" s="504">
        <f t="shared" si="129"/>
        <v>0</v>
      </c>
      <c r="AE736" s="499">
        <f t="shared" si="130"/>
        <v>31000</v>
      </c>
      <c r="AF736" s="500" t="str">
        <f t="shared" si="131"/>
        <v>PTA80710</v>
      </c>
      <c r="AG736" s="499" t="s">
        <v>312</v>
      </c>
      <c r="AH736" s="499" t="str">
        <f t="shared" si="67"/>
        <v>9999</v>
      </c>
      <c r="AI736" s="499" t="str">
        <f t="shared" si="132"/>
        <v>50010002</v>
      </c>
      <c r="AJ736" s="499">
        <f t="shared" si="133"/>
        <v>0</v>
      </c>
      <c r="AK736" s="499">
        <f t="shared" si="134"/>
        <v>0</v>
      </c>
      <c r="AL736" s="499">
        <f t="shared" si="135"/>
        <v>1</v>
      </c>
      <c r="AM736" s="499">
        <f t="shared" si="136"/>
        <v>0</v>
      </c>
      <c r="AN736" s="499" t="str">
        <f t="shared" si="70"/>
        <v>CNY</v>
      </c>
      <c r="AO736" s="498">
        <f t="shared" si="137"/>
        <v>2.0000000000000001E-4</v>
      </c>
      <c r="AP736" s="498">
        <f t="shared" si="138"/>
        <v>2</v>
      </c>
      <c r="AQ736" s="498">
        <f t="shared" si="139"/>
        <v>8.1999999999999993</v>
      </c>
    </row>
    <row r="737" spans="1:43" s="498" customFormat="1" ht="24" customHeight="1" x14ac:dyDescent="0.25">
      <c r="A737" s="498" t="str">
        <f t="shared" si="118"/>
        <v>comment</v>
      </c>
      <c r="B737" s="499" t="str">
        <f t="shared" si="50"/>
        <v/>
      </c>
      <c r="C737" s="500" t="str">
        <f t="shared" si="51"/>
        <v>2018032710000177</v>
      </c>
      <c r="D737" s="499"/>
      <c r="E737" s="499" t="str">
        <f t="shared" si="52"/>
        <v>6001</v>
      </c>
      <c r="F737" s="499" t="str">
        <f t="shared" si="120"/>
        <v>B00102</v>
      </c>
      <c r="G737" s="499" t="str">
        <f t="shared" si="121"/>
        <v>6001</v>
      </c>
      <c r="H737" s="499">
        <v>10000177</v>
      </c>
      <c r="I737" s="502">
        <f t="shared" si="74"/>
        <v>20180327</v>
      </c>
      <c r="J737" s="503">
        <f t="shared" si="122"/>
        <v>20180327</v>
      </c>
      <c r="K737" s="499" t="str">
        <f t="shared" si="55"/>
        <v>CZCE</v>
      </c>
      <c r="L737" s="499" t="str">
        <f>$C$22</f>
        <v>PTA807</v>
      </c>
      <c r="M737" s="499">
        <f t="shared" si="43"/>
        <v>5</v>
      </c>
      <c r="N737" s="499">
        <v>0</v>
      </c>
      <c r="O737" s="499">
        <v>1</v>
      </c>
      <c r="P737" s="499">
        <v>3</v>
      </c>
      <c r="Q737" s="499">
        <f t="shared" si="113"/>
        <v>0</v>
      </c>
      <c r="R737" s="499">
        <v>6200</v>
      </c>
      <c r="S737" s="499">
        <v>6200</v>
      </c>
      <c r="T737" s="499">
        <f t="shared" si="116"/>
        <v>6165</v>
      </c>
      <c r="U737" s="504">
        <f t="shared" si="123"/>
        <v>5.0000000000000001E-4</v>
      </c>
      <c r="V737" s="499">
        <f t="shared" si="124"/>
        <v>5</v>
      </c>
      <c r="W737" s="499">
        <f t="shared" si="125"/>
        <v>5.0000000000000001E-4</v>
      </c>
      <c r="X737" s="499">
        <f t="shared" si="126"/>
        <v>5</v>
      </c>
      <c r="Y737" s="504">
        <f t="shared" si="60"/>
        <v>0</v>
      </c>
      <c r="Z737" s="504">
        <f t="shared" si="61"/>
        <v>0</v>
      </c>
      <c r="AA737" s="505">
        <f t="shared" si="62"/>
        <v>0</v>
      </c>
      <c r="AB737" s="505">
        <f t="shared" si="127"/>
        <v>0</v>
      </c>
      <c r="AC737" s="504">
        <f t="shared" si="128"/>
        <v>0</v>
      </c>
      <c r="AD737" s="504">
        <f t="shared" si="129"/>
        <v>0</v>
      </c>
      <c r="AE737" s="499">
        <f t="shared" si="130"/>
        <v>0</v>
      </c>
      <c r="AF737" s="500" t="str">
        <f t="shared" si="131"/>
        <v>PTA80730</v>
      </c>
      <c r="AG737" s="499" t="s">
        <v>312</v>
      </c>
      <c r="AH737" s="499" t="str">
        <f t="shared" si="67"/>
        <v>9999</v>
      </c>
      <c r="AI737" s="499" t="str">
        <f t="shared" si="132"/>
        <v>50010002</v>
      </c>
      <c r="AJ737" s="499">
        <f t="shared" si="133"/>
        <v>0</v>
      </c>
      <c r="AK737" s="499">
        <f t="shared" si="134"/>
        <v>0</v>
      </c>
      <c r="AL737" s="499">
        <f t="shared" si="135"/>
        <v>1</v>
      </c>
      <c r="AM737" s="499">
        <f t="shared" si="136"/>
        <v>0</v>
      </c>
      <c r="AN737" s="499" t="str">
        <f t="shared" si="70"/>
        <v>CNY</v>
      </c>
      <c r="AO737" s="498">
        <f t="shared" si="137"/>
        <v>2.0000000000000001E-4</v>
      </c>
      <c r="AP737" s="498">
        <f t="shared" si="138"/>
        <v>2</v>
      </c>
      <c r="AQ737" s="498">
        <f t="shared" si="139"/>
        <v>0</v>
      </c>
    </row>
    <row r="738" spans="1:43" s="6" customFormat="1" x14ac:dyDescent="0.25">
      <c r="B738" s="111"/>
      <c r="C738" s="101" t="str">
        <f t="shared" si="51"/>
        <v>2018032710000178</v>
      </c>
      <c r="D738" s="111"/>
      <c r="E738" s="111" t="str">
        <f>E739</f>
        <v>6001</v>
      </c>
      <c r="F738" s="111" t="str">
        <f>F739</f>
        <v>B00101</v>
      </c>
      <c r="G738" s="111" t="str">
        <f t="shared" si="121"/>
        <v>6001</v>
      </c>
      <c r="H738" s="111">
        <v>10000178</v>
      </c>
      <c r="I738" s="104">
        <f t="shared" si="74"/>
        <v>20180327</v>
      </c>
      <c r="J738" s="113">
        <f t="shared" ref="J738" si="141">I738</f>
        <v>20180327</v>
      </c>
      <c r="K738" s="111" t="str">
        <f t="shared" si="55"/>
        <v>CZCE</v>
      </c>
      <c r="L738" s="111" t="str">
        <f>C20</f>
        <v>SR809</v>
      </c>
      <c r="M738" s="111">
        <f t="shared" si="43"/>
        <v>10</v>
      </c>
      <c r="N738" s="111">
        <v>0</v>
      </c>
      <c r="O738" s="111">
        <v>1</v>
      </c>
      <c r="P738" s="111">
        <v>1</v>
      </c>
      <c r="Q738" s="111">
        <f t="shared" si="113"/>
        <v>2</v>
      </c>
      <c r="R738" s="111">
        <v>6600</v>
      </c>
      <c r="S738" s="111">
        <v>6600</v>
      </c>
      <c r="T738" s="111">
        <f t="shared" si="116"/>
        <v>6155</v>
      </c>
      <c r="U738" s="12">
        <f t="shared" si="123"/>
        <v>5.0000000000000001E-4</v>
      </c>
      <c r="V738" s="111">
        <f t="shared" si="124"/>
        <v>5</v>
      </c>
      <c r="W738" s="111">
        <f t="shared" si="125"/>
        <v>4.0000000000000002E-4</v>
      </c>
      <c r="X738" s="111">
        <f t="shared" si="126"/>
        <v>4</v>
      </c>
      <c r="Y738" s="12">
        <f t="shared" si="60"/>
        <v>76</v>
      </c>
      <c r="Z738" s="12">
        <f t="shared" si="61"/>
        <v>60.800000000000004</v>
      </c>
      <c r="AA738" s="248">
        <f t="shared" si="62"/>
        <v>76</v>
      </c>
      <c r="AB738" s="248">
        <f t="shared" si="127"/>
        <v>60.8</v>
      </c>
      <c r="AC738" s="12">
        <f t="shared" si="128"/>
        <v>0</v>
      </c>
      <c r="AD738" s="12">
        <f t="shared" si="129"/>
        <v>0</v>
      </c>
      <c r="AE738" s="111">
        <f t="shared" si="130"/>
        <v>132000</v>
      </c>
      <c r="AF738" s="101" t="str">
        <f t="shared" si="131"/>
        <v>SR80910</v>
      </c>
      <c r="AG738" s="111" t="s">
        <v>312</v>
      </c>
      <c r="AH738" s="111" t="str">
        <f t="shared" si="67"/>
        <v>9999</v>
      </c>
      <c r="AI738" s="111" t="str">
        <f t="shared" si="132"/>
        <v>50010001</v>
      </c>
      <c r="AJ738" s="111">
        <f t="shared" si="133"/>
        <v>0</v>
      </c>
      <c r="AK738" s="111">
        <f t="shared" si="134"/>
        <v>0</v>
      </c>
      <c r="AL738" s="111">
        <f t="shared" si="135"/>
        <v>0</v>
      </c>
      <c r="AM738" s="111">
        <f t="shared" si="136"/>
        <v>0</v>
      </c>
      <c r="AN738" s="111" t="str">
        <f t="shared" si="70"/>
        <v>CNY</v>
      </c>
      <c r="AO738" s="6">
        <f t="shared" si="137"/>
        <v>2.0000000000000001E-4</v>
      </c>
      <c r="AP738" s="6">
        <f t="shared" si="138"/>
        <v>2</v>
      </c>
      <c r="AQ738" s="6">
        <f t="shared" si="139"/>
        <v>30.4</v>
      </c>
    </row>
    <row r="739" spans="1:43" s="6" customFormat="1" x14ac:dyDescent="0.25">
      <c r="A739" s="6" t="str">
        <f t="shared" si="118"/>
        <v/>
      </c>
      <c r="B739" s="111" t="str">
        <f t="shared" si="50"/>
        <v>999999992018032720180326100000251</v>
      </c>
      <c r="C739" s="101" t="str">
        <f t="shared" si="51"/>
        <v>9999999920180327</v>
      </c>
      <c r="D739" s="111" t="str">
        <f>'day1'!B712</f>
        <v>2018032610000025</v>
      </c>
      <c r="E739" s="111" t="str">
        <f t="shared" si="52"/>
        <v>6001</v>
      </c>
      <c r="F739" s="111" t="str">
        <f>F729</f>
        <v>B00101</v>
      </c>
      <c r="G739" s="111" t="str">
        <f t="shared" ref="G739" si="142">VLOOKUP(F739,$C$5:$D$6,2)</f>
        <v>6001</v>
      </c>
      <c r="H739" s="111">
        <v>99999999</v>
      </c>
      <c r="I739" s="104">
        <f t="shared" si="74"/>
        <v>20180327</v>
      </c>
      <c r="J739" s="113">
        <f>'day1'!F712</f>
        <v>20180326</v>
      </c>
      <c r="K739" s="111" t="str">
        <f t="shared" si="55"/>
        <v>CZCE</v>
      </c>
      <c r="L739" s="111" t="str">
        <f>C20</f>
        <v>SR809</v>
      </c>
      <c r="M739" s="111">
        <f t="shared" si="43"/>
        <v>10</v>
      </c>
      <c r="N739" s="111">
        <v>1</v>
      </c>
      <c r="O739" s="111">
        <f>IF(VLOOKUP(L739,$H$798:$M$799,3,FALSE)=2,1,0)</f>
        <v>1</v>
      </c>
      <c r="P739" s="111">
        <f>VLOOKUP(L739,$H$798:$M$799,4,FALSE)</f>
        <v>1</v>
      </c>
      <c r="Q739" s="111">
        <f>'day1'!M712+'day1'!N712</f>
        <v>6</v>
      </c>
      <c r="R739" s="111">
        <f>'day1'!Y712</f>
        <v>6115</v>
      </c>
      <c r="S739" s="248">
        <f>VLOOKUP(L739,$H$798:$M$799,6,FALSE)</f>
        <v>6135</v>
      </c>
      <c r="T739" s="111">
        <f t="shared" si="116"/>
        <v>6155</v>
      </c>
      <c r="U739" s="12">
        <v>0</v>
      </c>
      <c r="V739" s="12">
        <v>0</v>
      </c>
      <c r="W739" s="12">
        <v>0</v>
      </c>
      <c r="X739" s="12">
        <v>0</v>
      </c>
      <c r="Y739" s="12">
        <f t="shared" si="60"/>
        <v>0</v>
      </c>
      <c r="Z739" s="12">
        <f t="shared" si="61"/>
        <v>0</v>
      </c>
      <c r="AA739" s="248">
        <f>ROUND(Y739,2)</f>
        <v>0</v>
      </c>
      <c r="AB739" s="248">
        <f t="shared" si="63"/>
        <v>0</v>
      </c>
      <c r="AC739" s="12">
        <f t="shared" si="64"/>
        <v>-1200</v>
      </c>
      <c r="AD739" s="12">
        <f t="shared" si="65"/>
        <v>1200</v>
      </c>
      <c r="AE739" s="111">
        <f t="shared" si="66"/>
        <v>368100</v>
      </c>
      <c r="AF739" s="101" t="str">
        <f t="shared" si="131"/>
        <v>SR80911</v>
      </c>
      <c r="AG739" s="111" t="s">
        <v>2009</v>
      </c>
      <c r="AH739" s="111" t="str">
        <f t="shared" si="67"/>
        <v>9999</v>
      </c>
      <c r="AI739" s="111" t="str">
        <f t="shared" ref="AI739:AI741" si="143">VLOOKUP(F739,$C$5:$G$6,5,FALSE)</f>
        <v>50010001</v>
      </c>
      <c r="AJ739" s="111">
        <f t="shared" si="68"/>
        <v>0</v>
      </c>
      <c r="AK739" s="111">
        <f t="shared" si="69"/>
        <v>0</v>
      </c>
      <c r="AL739" s="111">
        <f t="shared" si="135"/>
        <v>0</v>
      </c>
      <c r="AM739" s="111">
        <f t="shared" si="136"/>
        <v>0</v>
      </c>
      <c r="AN739" s="111" t="str">
        <f t="shared" si="70"/>
        <v>CNY</v>
      </c>
      <c r="AO739" s="6">
        <f t="shared" si="137"/>
        <v>2.0000000000000001E-4</v>
      </c>
      <c r="AP739" s="6">
        <f t="shared" si="138"/>
        <v>2</v>
      </c>
      <c r="AQ739" s="6">
        <f t="shared" si="73"/>
        <v>85.62</v>
      </c>
    </row>
    <row r="740" spans="1:43" s="6" customFormat="1" x14ac:dyDescent="0.25">
      <c r="A740" s="6" t="s">
        <v>2015</v>
      </c>
      <c r="B740" s="111" t="str">
        <f t="shared" si="50"/>
        <v>999999992018032720180326100000351</v>
      </c>
      <c r="C740" s="101" t="str">
        <f t="shared" si="51"/>
        <v>9999999920180327</v>
      </c>
      <c r="D740" s="111" t="str">
        <f>'day1'!B720</f>
        <v>2018032610000035</v>
      </c>
      <c r="E740" s="111" t="str">
        <f>E737</f>
        <v>6001</v>
      </c>
      <c r="F740" s="111" t="str">
        <f t="shared" ref="F740:G740" si="144">F737</f>
        <v>B00102</v>
      </c>
      <c r="G740" s="111" t="str">
        <f t="shared" si="144"/>
        <v>6001</v>
      </c>
      <c r="H740" s="111">
        <v>99999999</v>
      </c>
      <c r="I740" s="104">
        <f t="shared" si="74"/>
        <v>20180327</v>
      </c>
      <c r="J740" s="113">
        <f>'day1'!F720</f>
        <v>20180326</v>
      </c>
      <c r="K740" s="111" t="str">
        <f t="shared" si="55"/>
        <v>CZCE</v>
      </c>
      <c r="L740" s="111" t="str">
        <f>$C$23</f>
        <v>PTA809</v>
      </c>
      <c r="M740" s="111">
        <f t="shared" si="43"/>
        <v>5</v>
      </c>
      <c r="N740" s="111">
        <v>1</v>
      </c>
      <c r="O740" s="111">
        <f>IF(VLOOKUP(L740,$H$798:$M$799,3,FALSE)=2,1,0)</f>
        <v>0</v>
      </c>
      <c r="P740" s="111">
        <f>VLOOKUP(L740,$H$798:$M$799,4,FALSE)</f>
        <v>1</v>
      </c>
      <c r="Q740" s="111">
        <v>2</v>
      </c>
      <c r="R740" s="111">
        <f>'day1'!Y720</f>
        <v>6125</v>
      </c>
      <c r="S740" s="248">
        <f>VLOOKUP(L740,$H$798:$M$799,6,FALSE)</f>
        <v>6225</v>
      </c>
      <c r="T740" s="111">
        <f t="shared" si="116"/>
        <v>6170</v>
      </c>
      <c r="U740" s="12">
        <v>0</v>
      </c>
      <c r="V740" s="12">
        <v>0</v>
      </c>
      <c r="W740" s="12">
        <v>0</v>
      </c>
      <c r="X740" s="12">
        <v>0</v>
      </c>
      <c r="Y740" s="12">
        <f t="shared" ref="Y740:Y741" si="145">M740*Q740*S740*U740+Q740*V740</f>
        <v>0</v>
      </c>
      <c r="Z740" s="12">
        <f t="shared" ref="Z740:Z741" si="146">M740*Q740*S740*W740+Q740*X740</f>
        <v>0</v>
      </c>
      <c r="AA740" s="248">
        <f t="shared" ref="AA740:AA741" si="147">ROUND(Y740,2)</f>
        <v>0</v>
      </c>
      <c r="AB740" s="248">
        <f t="shared" ref="AB740:AB741" si="148">ROUND(Z740,3)</f>
        <v>0</v>
      </c>
      <c r="AC740" s="12">
        <f t="shared" ref="AC740:AC741" si="149">IF(N740=0,0,IF(I740=J740,IF(O740=1,M740*Q740*(S740-R740),-M740*Q740*(S740-R740)),IF(O740=1,M740*Q740*(S740-T740),-M740*Q740*(S740-T740))))</f>
        <v>-550</v>
      </c>
      <c r="AD740" s="12">
        <f t="shared" ref="AD740:AD741" si="150">IF(N740=0,0,(IF(O740=1,M740*Q740*(S740-R740),-M740*Q740*(S740-R740))))</f>
        <v>-1000</v>
      </c>
      <c r="AE740" s="111">
        <f t="shared" ref="AE740:AE741" si="151">M740*Q740*S740</f>
        <v>62250</v>
      </c>
      <c r="AF740" s="101" t="str">
        <f t="shared" ref="AF740:AF741" si="152">L740&amp;INT(P740)&amp;INT(N740)</f>
        <v>PTA80911</v>
      </c>
      <c r="AG740" s="111" t="s">
        <v>2009</v>
      </c>
      <c r="AH740" s="111" t="str">
        <f t="shared" si="67"/>
        <v>9999</v>
      </c>
      <c r="AI740" s="111" t="str">
        <f t="shared" si="143"/>
        <v>50010002</v>
      </c>
      <c r="AJ740" s="111">
        <f t="shared" ref="AJ740:AJ741" si="153">IF(AM740=0,0,IF(O740=1,M740*Q740*S740,0))</f>
        <v>0</v>
      </c>
      <c r="AK740" s="111">
        <f t="shared" ref="AK740:AK741" si="154">IF(AM740=0,0,IF(O740=0,M740*Q740*S740,0))</f>
        <v>0</v>
      </c>
      <c r="AL740" s="111">
        <f t="shared" ref="AL740:AL741" si="155" xml:space="preserve"> VLOOKUP(L740,$C$19:$K$29,9,FALSE)</f>
        <v>1</v>
      </c>
      <c r="AM740" s="111">
        <f t="shared" ref="AM740:AM741" si="156">VLOOKUP(L740,$C$19:$L$29,10,FALSE)</f>
        <v>0</v>
      </c>
      <c r="AN740" s="111" t="str">
        <f t="shared" si="70"/>
        <v>CNY</v>
      </c>
      <c r="AO740" s="6">
        <f t="shared" ref="AO740:AO741" si="157">VLOOKUP(AF740,$G$75:$M$114,6,FALSE)</f>
        <v>2.0000000000000001E-4</v>
      </c>
      <c r="AP740" s="6">
        <f t="shared" ref="AP740:AP741" si="158">VLOOKUP(AF740,$G$75:$M$114,7,FALSE)</f>
        <v>2</v>
      </c>
      <c r="AQ740" s="6">
        <f t="shared" ref="AQ740:AQ741" si="159">ROUND(M740*Q740*S740*AO740+Q740*AP740,2)</f>
        <v>16.45</v>
      </c>
    </row>
    <row r="741" spans="1:43" s="6" customFormat="1" x14ac:dyDescent="0.25">
      <c r="A741" s="6" t="s">
        <v>2015</v>
      </c>
      <c r="B741" s="111" t="str">
        <f t="shared" si="50"/>
        <v>999999992018032720180327100000641</v>
      </c>
      <c r="C741" s="101" t="str">
        <f t="shared" si="51"/>
        <v>9999999920180327</v>
      </c>
      <c r="D741" s="113" t="str">
        <f>C721</f>
        <v>2018032710000064</v>
      </c>
      <c r="E741" s="111" t="str">
        <f>E740</f>
        <v>6001</v>
      </c>
      <c r="F741" s="111" t="str">
        <f t="shared" ref="F741:G741" si="160">F740</f>
        <v>B00102</v>
      </c>
      <c r="G741" s="111" t="str">
        <f t="shared" si="160"/>
        <v>6001</v>
      </c>
      <c r="H741" s="111">
        <v>99999999</v>
      </c>
      <c r="I741" s="104">
        <f t="shared" si="74"/>
        <v>20180327</v>
      </c>
      <c r="J741" s="113">
        <f>I741</f>
        <v>20180327</v>
      </c>
      <c r="K741" s="111" t="str">
        <f t="shared" si="55"/>
        <v>CZCE</v>
      </c>
      <c r="L741" s="111" t="str">
        <f>$C$23</f>
        <v>PTA809</v>
      </c>
      <c r="M741" s="111">
        <f t="shared" si="43"/>
        <v>5</v>
      </c>
      <c r="N741" s="111">
        <v>1</v>
      </c>
      <c r="O741" s="111">
        <f>IF(VLOOKUP(L741,$H$798:$M$799,3,FALSE)=2,1,0)</f>
        <v>0</v>
      </c>
      <c r="P741" s="111">
        <f>VLOOKUP(L741,$H$798:$M$799,4,FALSE)</f>
        <v>1</v>
      </c>
      <c r="Q741" s="111">
        <v>2</v>
      </c>
      <c r="R741" s="111">
        <f>S721</f>
        <v>6123</v>
      </c>
      <c r="S741" s="248">
        <f>VLOOKUP(L741,$H$798:$M$799,6,FALSE)</f>
        <v>6225</v>
      </c>
      <c r="T741" s="111">
        <f t="shared" si="116"/>
        <v>6170</v>
      </c>
      <c r="U741" s="12">
        <v>0</v>
      </c>
      <c r="V741" s="12">
        <v>0</v>
      </c>
      <c r="W741" s="12">
        <v>0</v>
      </c>
      <c r="X741" s="12">
        <v>0</v>
      </c>
      <c r="Y741" s="12">
        <f t="shared" si="145"/>
        <v>0</v>
      </c>
      <c r="Z741" s="12">
        <f t="shared" si="146"/>
        <v>0</v>
      </c>
      <c r="AA741" s="248">
        <f t="shared" si="147"/>
        <v>0</v>
      </c>
      <c r="AB741" s="248">
        <f t="shared" si="148"/>
        <v>0</v>
      </c>
      <c r="AC741" s="12">
        <f t="shared" si="149"/>
        <v>-1020</v>
      </c>
      <c r="AD741" s="12">
        <f t="shared" si="150"/>
        <v>-1020</v>
      </c>
      <c r="AE741" s="111">
        <f t="shared" si="151"/>
        <v>62250</v>
      </c>
      <c r="AF741" s="101" t="str">
        <f t="shared" si="152"/>
        <v>PTA80911</v>
      </c>
      <c r="AG741" s="111" t="s">
        <v>2009</v>
      </c>
      <c r="AH741" s="111" t="str">
        <f t="shared" si="67"/>
        <v>9999</v>
      </c>
      <c r="AI741" s="111" t="str">
        <f t="shared" si="143"/>
        <v>50010002</v>
      </c>
      <c r="AJ741" s="111">
        <f t="shared" si="153"/>
        <v>0</v>
      </c>
      <c r="AK741" s="111">
        <f t="shared" si="154"/>
        <v>0</v>
      </c>
      <c r="AL741" s="111">
        <f t="shared" si="155"/>
        <v>1</v>
      </c>
      <c r="AM741" s="111">
        <f t="shared" si="156"/>
        <v>0</v>
      </c>
      <c r="AN741" s="111" t="str">
        <f t="shared" si="70"/>
        <v>CNY</v>
      </c>
      <c r="AO741" s="6">
        <f t="shared" si="157"/>
        <v>2.0000000000000001E-4</v>
      </c>
      <c r="AP741" s="6">
        <f t="shared" si="158"/>
        <v>2</v>
      </c>
      <c r="AQ741" s="6">
        <f t="shared" si="159"/>
        <v>16.45</v>
      </c>
    </row>
    <row r="742" spans="1:43" s="6" customFormat="1" x14ac:dyDescent="0.25">
      <c r="A742" s="6" t="str">
        <f t="shared" si="118"/>
        <v/>
      </c>
      <c r="B742" s="111" t="str">
        <f t="shared" si="50"/>
        <v>201803271000018020180326100001031</v>
      </c>
      <c r="C742" s="101" t="str">
        <f t="shared" si="51"/>
        <v>2018032710000180</v>
      </c>
      <c r="D742" s="111" t="str">
        <f>'day1'!B747</f>
        <v>2018032610000103</v>
      </c>
      <c r="E742" s="111" t="str">
        <f t="shared" ref="E742:E750" si="161">$B$5</f>
        <v>6001</v>
      </c>
      <c r="F742" s="111" t="str">
        <f t="shared" ref="F742:F750" si="162">VLOOKUP(E742,$B$6:$C$6,2)</f>
        <v>B00102</v>
      </c>
      <c r="G742" s="111" t="str">
        <f t="shared" ref="G742" si="163">VLOOKUP(F742,$C$5:$D$6,2)</f>
        <v>6001</v>
      </c>
      <c r="H742" s="111">
        <v>10000180</v>
      </c>
      <c r="I742" s="104">
        <f>$B$2</f>
        <v>20180327</v>
      </c>
      <c r="J742" s="113">
        <f>'day1'!G748</f>
        <v>20180326</v>
      </c>
      <c r="K742" s="111" t="str">
        <f t="shared" si="55"/>
        <v>CZCE</v>
      </c>
      <c r="L742" s="111" t="str">
        <f>$C$24</f>
        <v>PTA807C6500</v>
      </c>
      <c r="M742" s="111">
        <f t="shared" ref="M742:M750" si="164">VLOOKUP(L742,$C$19:$E$29,3,FALSE)</f>
        <v>5</v>
      </c>
      <c r="N742" s="111">
        <v>1</v>
      </c>
      <c r="O742" s="111">
        <v>1</v>
      </c>
      <c r="P742" s="111">
        <v>1</v>
      </c>
      <c r="Q742" s="111">
        <v>8</v>
      </c>
      <c r="R742" s="111">
        <f>'day1'!Y747</f>
        <v>623</v>
      </c>
      <c r="S742" s="111">
        <v>600</v>
      </c>
      <c r="T742" s="111">
        <f t="shared" si="116"/>
        <v>600</v>
      </c>
      <c r="U742" s="12">
        <f t="shared" ref="U742:U761" si="165">VLOOKUP(AF742,$G$117:$K$186,2,FALSE)</f>
        <v>4.0000000000000002E-4</v>
      </c>
      <c r="V742" s="111">
        <f t="shared" ref="V742:V761" si="166">VLOOKUP(AF742,$G$117:$K$186,3,FALSE)</f>
        <v>4</v>
      </c>
      <c r="W742" s="111">
        <f t="shared" ref="W742:W761" si="167">VLOOKUP(AF742,$G$117:$K$186,4,FALSE)</f>
        <v>2.9999999999999997E-4</v>
      </c>
      <c r="X742" s="111">
        <f t="shared" ref="X742:X761" si="168">VLOOKUP(AF742,$G$117:$K$186,5,FALSE)</f>
        <v>3</v>
      </c>
      <c r="Y742" s="12">
        <f t="shared" si="60"/>
        <v>41.6</v>
      </c>
      <c r="Z742" s="12">
        <f t="shared" si="61"/>
        <v>31.2</v>
      </c>
      <c r="AA742" s="248">
        <f t="shared" ref="AA742:AA750" si="169">ROUND(Y742,2)</f>
        <v>41.6</v>
      </c>
      <c r="AB742" s="248">
        <f t="shared" ref="AB742:AB750" si="170">ROUND(Z742,3)</f>
        <v>31.2</v>
      </c>
      <c r="AC742" s="12"/>
      <c r="AD742" s="12"/>
      <c r="AE742" s="271">
        <f t="shared" ref="AE742:AE750" si="171">M742*Q742*S742</f>
        <v>24000</v>
      </c>
      <c r="AF742" s="101" t="str">
        <f t="shared" ref="AF742:AF750" si="172">L742&amp;INT(P742)&amp;INT(N742)</f>
        <v>PTA807C650011</v>
      </c>
      <c r="AG742" s="111" t="s">
        <v>311</v>
      </c>
      <c r="AH742" s="111" t="str">
        <f t="shared" ref="AH742:AH750" si="173">$F$5</f>
        <v>9999</v>
      </c>
      <c r="AI742" s="111" t="str">
        <f t="shared" ref="AI742:AI750" si="174">VLOOKUP(F742,$C$5:$G$6,5,FALSE)</f>
        <v>50010002</v>
      </c>
      <c r="AJ742" s="111">
        <f t="shared" ref="AJ742:AJ750" si="175">IF(AM742=0,0,IF(O742=1,M742*Q742*S742,0))</f>
        <v>24000</v>
      </c>
      <c r="AK742" s="111">
        <f t="shared" ref="AK742:AK750" si="176">IF(AM742=0,0,IF(O742=0,M742*Q742*S742,0))</f>
        <v>0</v>
      </c>
      <c r="AL742" s="111">
        <f t="shared" ref="AL742:AL750" si="177" xml:space="preserve"> VLOOKUP(L742,$C$19:$K$29,9,FALSE)</f>
        <v>0</v>
      </c>
      <c r="AM742" s="111">
        <f t="shared" ref="AM742:AM750" si="178">VLOOKUP(L742,$C$19:$L$29,10,FALSE)</f>
        <v>1</v>
      </c>
      <c r="AN742" s="111" t="str">
        <f t="shared" ref="AN742:AN750" si="179">$D$9</f>
        <v>CNY</v>
      </c>
      <c r="AO742" s="6">
        <f t="shared" ref="AO742:AO761" si="180">VLOOKUP(AF742,$G$117:$M$186,6,FALSE)</f>
        <v>2.0000000000000001E-4</v>
      </c>
      <c r="AP742" s="6">
        <f t="shared" ref="AP742:AP761" si="181">VLOOKUP(AF742,$G$117:$M$186,7,FALSE)</f>
        <v>2</v>
      </c>
      <c r="AQ742" s="6">
        <f t="shared" ref="AQ742:AQ750" si="182">ROUND(M742*Q742*S742*AO742+Q742*AP742,2)</f>
        <v>20.8</v>
      </c>
    </row>
    <row r="743" spans="1:43" s="6" customFormat="1" x14ac:dyDescent="0.25">
      <c r="A743" s="6" t="str">
        <f t="shared" si="118"/>
        <v/>
      </c>
      <c r="B743" s="111" t="str">
        <f t="shared" si="50"/>
        <v>201803271000018120180326100001051</v>
      </c>
      <c r="C743" s="101" t="str">
        <f t="shared" si="51"/>
        <v>2018032710000181</v>
      </c>
      <c r="D743" s="111" t="str">
        <f>'day1'!B749</f>
        <v>2018032610000105</v>
      </c>
      <c r="E743" s="111" t="str">
        <f t="shared" si="161"/>
        <v>6001</v>
      </c>
      <c r="F743" s="111" t="str">
        <f t="shared" si="162"/>
        <v>B00102</v>
      </c>
      <c r="G743" s="111" t="str">
        <f t="shared" ref="G743:G749" si="183">VLOOKUP(F743,$C$5:$D$6,2)</f>
        <v>6001</v>
      </c>
      <c r="H743" s="111">
        <v>10000181</v>
      </c>
      <c r="I743" s="104">
        <f>$B$2</f>
        <v>20180327</v>
      </c>
      <c r="J743" s="113">
        <f>'day1'!G750</f>
        <v>20180326</v>
      </c>
      <c r="K743" s="111" t="str">
        <f t="shared" si="55"/>
        <v>CZCE</v>
      </c>
      <c r="L743" s="111" t="str">
        <f t="shared" ref="L743:L750" si="184">$C$24</f>
        <v>PTA807C6500</v>
      </c>
      <c r="M743" s="111">
        <f t="shared" si="164"/>
        <v>5</v>
      </c>
      <c r="N743" s="111">
        <v>1</v>
      </c>
      <c r="O743" s="111">
        <v>1</v>
      </c>
      <c r="P743" s="111">
        <v>3</v>
      </c>
      <c r="Q743" s="111">
        <v>2</v>
      </c>
      <c r="R743" s="111">
        <f>'day1'!Y749</f>
        <v>625</v>
      </c>
      <c r="S743" s="111">
        <v>601</v>
      </c>
      <c r="T743" s="111">
        <f t="shared" si="116"/>
        <v>600</v>
      </c>
      <c r="U743" s="12">
        <f t="shared" si="165"/>
        <v>4.0000000000000002E-4</v>
      </c>
      <c r="V743" s="111">
        <f t="shared" si="166"/>
        <v>4</v>
      </c>
      <c r="W743" s="111">
        <f t="shared" si="167"/>
        <v>3.9999999999999996E-4</v>
      </c>
      <c r="X743" s="111">
        <f t="shared" si="168"/>
        <v>4</v>
      </c>
      <c r="Y743" s="12">
        <f t="shared" si="60"/>
        <v>10.404</v>
      </c>
      <c r="Z743" s="12">
        <f t="shared" si="61"/>
        <v>10.404</v>
      </c>
      <c r="AA743" s="248">
        <f t="shared" si="169"/>
        <v>10.4</v>
      </c>
      <c r="AB743" s="248">
        <f t="shared" si="170"/>
        <v>10.404</v>
      </c>
      <c r="AC743" s="12"/>
      <c r="AD743" s="12"/>
      <c r="AE743" s="271">
        <f t="shared" si="171"/>
        <v>6010</v>
      </c>
      <c r="AF743" s="101" t="str">
        <f t="shared" si="172"/>
        <v>PTA807C650031</v>
      </c>
      <c r="AG743" s="111" t="s">
        <v>311</v>
      </c>
      <c r="AH743" s="111" t="str">
        <f t="shared" si="173"/>
        <v>9999</v>
      </c>
      <c r="AI743" s="111" t="str">
        <f t="shared" si="174"/>
        <v>50010002</v>
      </c>
      <c r="AJ743" s="111">
        <f t="shared" si="175"/>
        <v>6010</v>
      </c>
      <c r="AK743" s="111">
        <f t="shared" si="176"/>
        <v>0</v>
      </c>
      <c r="AL743" s="111">
        <f t="shared" si="177"/>
        <v>0</v>
      </c>
      <c r="AM743" s="111">
        <f t="shared" si="178"/>
        <v>1</v>
      </c>
      <c r="AN743" s="111" t="str">
        <f t="shared" si="179"/>
        <v>CNY</v>
      </c>
      <c r="AO743" s="6">
        <f t="shared" si="180"/>
        <v>2.0000000000000001E-4</v>
      </c>
      <c r="AP743" s="6">
        <f t="shared" si="181"/>
        <v>2</v>
      </c>
      <c r="AQ743" s="6">
        <f t="shared" si="182"/>
        <v>5.2</v>
      </c>
    </row>
    <row r="744" spans="1:43" s="6" customFormat="1" x14ac:dyDescent="0.25">
      <c r="A744" s="6" t="str">
        <f t="shared" si="118"/>
        <v/>
      </c>
      <c r="B744" s="111" t="str">
        <f t="shared" si="50"/>
        <v/>
      </c>
      <c r="C744" s="101" t="str">
        <f t="shared" si="51"/>
        <v>2018032710000182</v>
      </c>
      <c r="D744" s="111"/>
      <c r="E744" s="111" t="str">
        <f t="shared" si="161"/>
        <v>6001</v>
      </c>
      <c r="F744" s="111" t="str">
        <f t="shared" si="162"/>
        <v>B00102</v>
      </c>
      <c r="G744" s="111" t="str">
        <f t="shared" si="183"/>
        <v>6001</v>
      </c>
      <c r="H744" s="111">
        <v>10000182</v>
      </c>
      <c r="I744" s="104">
        <f t="shared" ref="I744:I750" si="185">$B$2</f>
        <v>20180327</v>
      </c>
      <c r="J744" s="113">
        <f>$B$2</f>
        <v>20180327</v>
      </c>
      <c r="K744" s="111" t="str">
        <f t="shared" si="55"/>
        <v>CZCE</v>
      </c>
      <c r="L744" s="111" t="str">
        <f t="shared" si="184"/>
        <v>PTA807C6500</v>
      </c>
      <c r="M744" s="111">
        <f t="shared" si="164"/>
        <v>5</v>
      </c>
      <c r="N744" s="111">
        <v>0</v>
      </c>
      <c r="O744" s="111">
        <v>0</v>
      </c>
      <c r="P744" s="111">
        <v>1</v>
      </c>
      <c r="Q744" s="111">
        <v>2</v>
      </c>
      <c r="R744" s="111">
        <f>S744</f>
        <v>602</v>
      </c>
      <c r="S744" s="111">
        <v>602</v>
      </c>
      <c r="T744" s="111">
        <f t="shared" si="116"/>
        <v>600</v>
      </c>
      <c r="U744" s="12">
        <f t="shared" si="165"/>
        <v>5.0000000000000001E-4</v>
      </c>
      <c r="V744" s="111">
        <f t="shared" si="166"/>
        <v>5</v>
      </c>
      <c r="W744" s="111">
        <f t="shared" si="167"/>
        <v>4.0000000000000002E-4</v>
      </c>
      <c r="X744" s="111">
        <f t="shared" si="168"/>
        <v>4</v>
      </c>
      <c r="Y744" s="12">
        <f t="shared" si="60"/>
        <v>13.01</v>
      </c>
      <c r="Z744" s="12">
        <f t="shared" si="61"/>
        <v>10.407999999999999</v>
      </c>
      <c r="AA744" s="248">
        <f t="shared" si="169"/>
        <v>13.01</v>
      </c>
      <c r="AB744" s="248">
        <f t="shared" si="170"/>
        <v>10.407999999999999</v>
      </c>
      <c r="AC744" s="12"/>
      <c r="AD744" s="12"/>
      <c r="AE744" s="271">
        <f t="shared" si="171"/>
        <v>6020</v>
      </c>
      <c r="AF744" s="101" t="str">
        <f t="shared" si="172"/>
        <v>PTA807C650010</v>
      </c>
      <c r="AG744" s="111" t="s">
        <v>311</v>
      </c>
      <c r="AH744" s="111" t="str">
        <f t="shared" si="173"/>
        <v>9999</v>
      </c>
      <c r="AI744" s="111" t="str">
        <f t="shared" si="174"/>
        <v>50010002</v>
      </c>
      <c r="AJ744" s="111">
        <f t="shared" si="175"/>
        <v>0</v>
      </c>
      <c r="AK744" s="111">
        <f t="shared" si="176"/>
        <v>6020</v>
      </c>
      <c r="AL744" s="111">
        <f t="shared" si="177"/>
        <v>0</v>
      </c>
      <c r="AM744" s="111">
        <f t="shared" si="178"/>
        <v>1</v>
      </c>
      <c r="AN744" s="111" t="str">
        <f t="shared" si="179"/>
        <v>CNY</v>
      </c>
      <c r="AO744" s="6">
        <f t="shared" si="180"/>
        <v>2.0000000000000001E-4</v>
      </c>
      <c r="AP744" s="6">
        <f t="shared" si="181"/>
        <v>2</v>
      </c>
      <c r="AQ744" s="6">
        <f t="shared" si="182"/>
        <v>5.2</v>
      </c>
    </row>
    <row r="745" spans="1:43" s="6" customFormat="1" x14ac:dyDescent="0.25">
      <c r="A745" s="6" t="str">
        <f t="shared" si="118"/>
        <v/>
      </c>
      <c r="B745" s="111" t="str">
        <f t="shared" si="50"/>
        <v/>
      </c>
      <c r="C745" s="101" t="str">
        <f t="shared" si="51"/>
        <v>2018032710000183</v>
      </c>
      <c r="D745" s="111"/>
      <c r="E745" s="111" t="str">
        <f t="shared" si="161"/>
        <v>6001</v>
      </c>
      <c r="F745" s="111" t="str">
        <f t="shared" si="162"/>
        <v>B00102</v>
      </c>
      <c r="G745" s="111" t="str">
        <f t="shared" si="183"/>
        <v>6001</v>
      </c>
      <c r="H745" s="111">
        <v>10000183</v>
      </c>
      <c r="I745" s="104">
        <f t="shared" si="185"/>
        <v>20180327</v>
      </c>
      <c r="J745" s="113">
        <f>$B$2</f>
        <v>20180327</v>
      </c>
      <c r="K745" s="111" t="str">
        <f t="shared" si="55"/>
        <v>CZCE</v>
      </c>
      <c r="L745" s="111" t="str">
        <f t="shared" si="184"/>
        <v>PTA807C6500</v>
      </c>
      <c r="M745" s="111">
        <f t="shared" si="164"/>
        <v>5</v>
      </c>
      <c r="N745" s="111">
        <v>0</v>
      </c>
      <c r="O745" s="111">
        <v>0</v>
      </c>
      <c r="P745" s="111">
        <v>3</v>
      </c>
      <c r="Q745" s="111">
        <v>1</v>
      </c>
      <c r="R745" s="111">
        <f>S745</f>
        <v>603</v>
      </c>
      <c r="S745" s="111">
        <v>603</v>
      </c>
      <c r="T745" s="111">
        <f t="shared" si="116"/>
        <v>600</v>
      </c>
      <c r="U745" s="12">
        <f t="shared" si="165"/>
        <v>5.0000000000000001E-4</v>
      </c>
      <c r="V745" s="111">
        <f t="shared" si="166"/>
        <v>5</v>
      </c>
      <c r="W745" s="111">
        <f t="shared" si="167"/>
        <v>5.0000000000000001E-4</v>
      </c>
      <c r="X745" s="111">
        <f t="shared" si="168"/>
        <v>5</v>
      </c>
      <c r="Y745" s="12">
        <f t="shared" si="60"/>
        <v>6.5075000000000003</v>
      </c>
      <c r="Z745" s="12">
        <f t="shared" si="61"/>
        <v>6.5075000000000003</v>
      </c>
      <c r="AA745" s="248">
        <f t="shared" si="169"/>
        <v>6.51</v>
      </c>
      <c r="AB745" s="248">
        <f t="shared" si="170"/>
        <v>6.508</v>
      </c>
      <c r="AC745" s="12"/>
      <c r="AD745" s="12"/>
      <c r="AE745" s="271">
        <f t="shared" si="171"/>
        <v>3015</v>
      </c>
      <c r="AF745" s="101" t="str">
        <f t="shared" si="172"/>
        <v>PTA807C650030</v>
      </c>
      <c r="AG745" s="111" t="s">
        <v>311</v>
      </c>
      <c r="AH745" s="111" t="str">
        <f t="shared" si="173"/>
        <v>9999</v>
      </c>
      <c r="AI745" s="111" t="str">
        <f t="shared" si="174"/>
        <v>50010002</v>
      </c>
      <c r="AJ745" s="111">
        <f t="shared" si="175"/>
        <v>0</v>
      </c>
      <c r="AK745" s="111">
        <f t="shared" si="176"/>
        <v>3015</v>
      </c>
      <c r="AL745" s="111">
        <f t="shared" si="177"/>
        <v>0</v>
      </c>
      <c r="AM745" s="111">
        <f t="shared" si="178"/>
        <v>1</v>
      </c>
      <c r="AN745" s="111" t="str">
        <f t="shared" si="179"/>
        <v>CNY</v>
      </c>
      <c r="AO745" s="6">
        <f t="shared" si="180"/>
        <v>2.0000000000000001E-4</v>
      </c>
      <c r="AP745" s="6">
        <f t="shared" si="181"/>
        <v>2</v>
      </c>
      <c r="AQ745" s="6">
        <f t="shared" si="182"/>
        <v>2.6</v>
      </c>
    </row>
    <row r="746" spans="1:43" s="6" customFormat="1" x14ac:dyDescent="0.25">
      <c r="A746" s="6" t="str">
        <f t="shared" si="118"/>
        <v>comment</v>
      </c>
      <c r="B746" s="111" t="str">
        <f t="shared" si="50"/>
        <v/>
      </c>
      <c r="C746" s="101" t="str">
        <f t="shared" si="51"/>
        <v>2018032710000184</v>
      </c>
      <c r="D746" s="111" t="str">
        <f>D742</f>
        <v>2018032610000103</v>
      </c>
      <c r="E746" s="111" t="str">
        <f t="shared" si="161"/>
        <v>6001</v>
      </c>
      <c r="F746" s="111" t="str">
        <f t="shared" si="162"/>
        <v>B00102</v>
      </c>
      <c r="G746" s="111" t="str">
        <f t="shared" ref="G746" si="186">VLOOKUP(F746,$C$5:$D$6,2)</f>
        <v>6001</v>
      </c>
      <c r="H746" s="111">
        <v>10000184</v>
      </c>
      <c r="I746" s="104">
        <f t="shared" si="185"/>
        <v>20180327</v>
      </c>
      <c r="J746" s="113">
        <f>J742</f>
        <v>20180326</v>
      </c>
      <c r="K746" s="111" t="str">
        <f t="shared" si="55"/>
        <v>CZCE</v>
      </c>
      <c r="L746" s="111" t="str">
        <f t="shared" si="184"/>
        <v>PTA807C6500</v>
      </c>
      <c r="M746" s="111">
        <f t="shared" si="164"/>
        <v>5</v>
      </c>
      <c r="N746" s="111">
        <v>3</v>
      </c>
      <c r="O746" s="111">
        <v>1</v>
      </c>
      <c r="P746" s="111">
        <v>1</v>
      </c>
      <c r="Q746" s="111">
        <v>0</v>
      </c>
      <c r="R746" s="111">
        <f>R742</f>
        <v>623</v>
      </c>
      <c r="S746" s="111">
        <v>604</v>
      </c>
      <c r="T746" s="111">
        <f t="shared" si="116"/>
        <v>600</v>
      </c>
      <c r="U746" s="12">
        <f t="shared" si="165"/>
        <v>2.0000000000000001E-4</v>
      </c>
      <c r="V746" s="111">
        <f t="shared" si="166"/>
        <v>2</v>
      </c>
      <c r="W746" s="111">
        <f t="shared" si="167"/>
        <v>1E-4</v>
      </c>
      <c r="X746" s="111">
        <f t="shared" si="168"/>
        <v>1</v>
      </c>
      <c r="Y746" s="12">
        <f t="shared" si="60"/>
        <v>0</v>
      </c>
      <c r="Z746" s="12">
        <f t="shared" si="61"/>
        <v>0</v>
      </c>
      <c r="AA746" s="248">
        <f t="shared" si="169"/>
        <v>0</v>
      </c>
      <c r="AB746" s="248">
        <f t="shared" si="170"/>
        <v>0</v>
      </c>
      <c r="AC746" s="12"/>
      <c r="AD746" s="12"/>
      <c r="AE746" s="271">
        <f t="shared" si="171"/>
        <v>0</v>
      </c>
      <c r="AF746" s="101" t="str">
        <f t="shared" si="172"/>
        <v>PTA807C650013</v>
      </c>
      <c r="AG746" s="111" t="s">
        <v>311</v>
      </c>
      <c r="AH746" s="111" t="str">
        <f t="shared" si="173"/>
        <v>9999</v>
      </c>
      <c r="AI746" s="111" t="str">
        <f t="shared" si="174"/>
        <v>50010002</v>
      </c>
      <c r="AJ746" s="111">
        <f t="shared" si="175"/>
        <v>0</v>
      </c>
      <c r="AK746" s="111">
        <f t="shared" si="176"/>
        <v>0</v>
      </c>
      <c r="AL746" s="111">
        <f t="shared" si="177"/>
        <v>0</v>
      </c>
      <c r="AM746" s="111">
        <f t="shared" si="178"/>
        <v>1</v>
      </c>
      <c r="AN746" s="111" t="str">
        <f t="shared" si="179"/>
        <v>CNY</v>
      </c>
      <c r="AO746" s="6">
        <f t="shared" si="180"/>
        <v>2.0000000000000001E-4</v>
      </c>
      <c r="AP746" s="6">
        <f t="shared" si="181"/>
        <v>2</v>
      </c>
      <c r="AQ746" s="6">
        <f t="shared" si="182"/>
        <v>0</v>
      </c>
    </row>
    <row r="747" spans="1:43" s="6" customFormat="1" x14ac:dyDescent="0.25">
      <c r="A747" s="6" t="str">
        <f t="shared" si="118"/>
        <v/>
      </c>
      <c r="B747" s="111" t="str">
        <f t="shared" si="50"/>
        <v>201803271000018520180327100001823</v>
      </c>
      <c r="C747" s="101" t="str">
        <f t="shared" si="51"/>
        <v>2018032710000185</v>
      </c>
      <c r="D747" s="111" t="str">
        <f>C744</f>
        <v>2018032710000182</v>
      </c>
      <c r="E747" s="111" t="str">
        <f t="shared" si="161"/>
        <v>6001</v>
      </c>
      <c r="F747" s="111" t="str">
        <f t="shared" si="162"/>
        <v>B00102</v>
      </c>
      <c r="G747" s="111" t="str">
        <f t="shared" si="183"/>
        <v>6001</v>
      </c>
      <c r="H747" s="111">
        <v>10000185</v>
      </c>
      <c r="I747" s="104">
        <f t="shared" si="185"/>
        <v>20180327</v>
      </c>
      <c r="J747" s="113">
        <f>J744</f>
        <v>20180327</v>
      </c>
      <c r="K747" s="111" t="str">
        <f t="shared" si="55"/>
        <v>CZCE</v>
      </c>
      <c r="L747" s="111" t="str">
        <f t="shared" si="184"/>
        <v>PTA807C6500</v>
      </c>
      <c r="M747" s="111">
        <f t="shared" si="164"/>
        <v>5</v>
      </c>
      <c r="N747" s="111">
        <v>3</v>
      </c>
      <c r="O747" s="111">
        <v>1</v>
      </c>
      <c r="P747" s="111">
        <v>1</v>
      </c>
      <c r="Q747" s="111">
        <v>2</v>
      </c>
      <c r="R747" s="111">
        <f>R744</f>
        <v>602</v>
      </c>
      <c r="S747" s="111">
        <v>604</v>
      </c>
      <c r="T747" s="111">
        <f t="shared" si="116"/>
        <v>600</v>
      </c>
      <c r="U747" s="12">
        <f t="shared" si="165"/>
        <v>2.0000000000000001E-4</v>
      </c>
      <c r="V747" s="111">
        <f t="shared" si="166"/>
        <v>2</v>
      </c>
      <c r="W747" s="111">
        <f t="shared" si="167"/>
        <v>1E-4</v>
      </c>
      <c r="X747" s="111">
        <f t="shared" si="168"/>
        <v>1</v>
      </c>
      <c r="Y747" s="12">
        <f t="shared" si="60"/>
        <v>5.2080000000000002</v>
      </c>
      <c r="Z747" s="12">
        <f t="shared" si="61"/>
        <v>2.6040000000000001</v>
      </c>
      <c r="AA747" s="248">
        <f t="shared" si="169"/>
        <v>5.21</v>
      </c>
      <c r="AB747" s="248">
        <f t="shared" si="170"/>
        <v>2.6040000000000001</v>
      </c>
      <c r="AC747" s="12"/>
      <c r="AD747" s="12"/>
      <c r="AE747" s="271">
        <f t="shared" si="171"/>
        <v>6040</v>
      </c>
      <c r="AF747" s="101" t="str">
        <f t="shared" si="172"/>
        <v>PTA807C650013</v>
      </c>
      <c r="AG747" s="111" t="s">
        <v>311</v>
      </c>
      <c r="AH747" s="111" t="str">
        <f t="shared" si="173"/>
        <v>9999</v>
      </c>
      <c r="AI747" s="111" t="str">
        <f t="shared" si="174"/>
        <v>50010002</v>
      </c>
      <c r="AJ747" s="111">
        <f t="shared" si="175"/>
        <v>6040</v>
      </c>
      <c r="AK747" s="111">
        <f t="shared" si="176"/>
        <v>0</v>
      </c>
      <c r="AL747" s="111">
        <f t="shared" si="177"/>
        <v>0</v>
      </c>
      <c r="AM747" s="111">
        <f t="shared" si="178"/>
        <v>1</v>
      </c>
      <c r="AN747" s="111" t="str">
        <f t="shared" si="179"/>
        <v>CNY</v>
      </c>
      <c r="AO747" s="6">
        <f t="shared" si="180"/>
        <v>2.0000000000000001E-4</v>
      </c>
      <c r="AP747" s="6">
        <f t="shared" si="181"/>
        <v>2</v>
      </c>
      <c r="AQ747" s="6">
        <f t="shared" si="182"/>
        <v>5.21</v>
      </c>
    </row>
    <row r="748" spans="1:43" s="6" customFormat="1" x14ac:dyDescent="0.25">
      <c r="A748" s="6" t="str">
        <f t="shared" si="118"/>
        <v/>
      </c>
      <c r="B748" s="111" t="str">
        <f t="shared" si="50"/>
        <v>201803271000018620180326100001053</v>
      </c>
      <c r="C748" s="101" t="str">
        <f t="shared" si="51"/>
        <v>2018032710000186</v>
      </c>
      <c r="D748" s="111" t="str">
        <f>D743</f>
        <v>2018032610000105</v>
      </c>
      <c r="E748" s="111" t="str">
        <f t="shared" si="161"/>
        <v>6001</v>
      </c>
      <c r="F748" s="111" t="str">
        <f t="shared" si="162"/>
        <v>B00102</v>
      </c>
      <c r="G748" s="111" t="str">
        <f t="shared" si="183"/>
        <v>6001</v>
      </c>
      <c r="H748" s="111">
        <v>10000186</v>
      </c>
      <c r="I748" s="104">
        <f t="shared" si="185"/>
        <v>20180327</v>
      </c>
      <c r="J748" s="113">
        <f>J743</f>
        <v>20180326</v>
      </c>
      <c r="K748" s="111" t="str">
        <f t="shared" si="55"/>
        <v>CZCE</v>
      </c>
      <c r="L748" s="111" t="str">
        <f>$C$24</f>
        <v>PTA807C6500</v>
      </c>
      <c r="M748" s="111">
        <f t="shared" si="164"/>
        <v>5</v>
      </c>
      <c r="N748" s="111">
        <v>3</v>
      </c>
      <c r="O748" s="111">
        <v>1</v>
      </c>
      <c r="P748" s="111">
        <v>3</v>
      </c>
      <c r="Q748" s="111">
        <v>1</v>
      </c>
      <c r="R748" s="111">
        <f>R743</f>
        <v>625</v>
      </c>
      <c r="S748" s="111">
        <v>604</v>
      </c>
      <c r="T748" s="111">
        <f t="shared" si="116"/>
        <v>600</v>
      </c>
      <c r="U748" s="12">
        <f t="shared" si="165"/>
        <v>2.0000000000000001E-4</v>
      </c>
      <c r="V748" s="111">
        <f t="shared" si="166"/>
        <v>2</v>
      </c>
      <c r="W748" s="111">
        <f t="shared" si="167"/>
        <v>2.0000000000000001E-4</v>
      </c>
      <c r="X748" s="111">
        <f t="shared" si="168"/>
        <v>2</v>
      </c>
      <c r="Y748" s="12">
        <f t="shared" si="60"/>
        <v>2.6040000000000001</v>
      </c>
      <c r="Z748" s="12">
        <f t="shared" si="61"/>
        <v>2.6040000000000001</v>
      </c>
      <c r="AA748" s="248">
        <f t="shared" si="169"/>
        <v>2.6</v>
      </c>
      <c r="AB748" s="248">
        <f t="shared" si="170"/>
        <v>2.6040000000000001</v>
      </c>
      <c r="AC748" s="12"/>
      <c r="AD748" s="12"/>
      <c r="AE748" s="271">
        <f t="shared" si="171"/>
        <v>3020</v>
      </c>
      <c r="AF748" s="101" t="str">
        <f t="shared" si="172"/>
        <v>PTA807C650033</v>
      </c>
      <c r="AG748" s="111" t="s">
        <v>311</v>
      </c>
      <c r="AH748" s="111" t="str">
        <f t="shared" si="173"/>
        <v>9999</v>
      </c>
      <c r="AI748" s="111" t="str">
        <f t="shared" si="174"/>
        <v>50010002</v>
      </c>
      <c r="AJ748" s="111">
        <f t="shared" si="175"/>
        <v>3020</v>
      </c>
      <c r="AK748" s="111">
        <f t="shared" si="176"/>
        <v>0</v>
      </c>
      <c r="AL748" s="111">
        <f t="shared" si="177"/>
        <v>0</v>
      </c>
      <c r="AM748" s="111">
        <f t="shared" si="178"/>
        <v>1</v>
      </c>
      <c r="AN748" s="111" t="str">
        <f t="shared" si="179"/>
        <v>CNY</v>
      </c>
      <c r="AO748" s="6">
        <f t="shared" si="180"/>
        <v>2.0000000000000001E-4</v>
      </c>
      <c r="AP748" s="6">
        <f t="shared" si="181"/>
        <v>2</v>
      </c>
      <c r="AQ748" s="6">
        <f t="shared" si="182"/>
        <v>2.6</v>
      </c>
    </row>
    <row r="749" spans="1:43" s="6" customFormat="1" x14ac:dyDescent="0.25">
      <c r="A749" s="6" t="str">
        <f t="shared" si="118"/>
        <v/>
      </c>
      <c r="B749" s="111" t="str">
        <f t="shared" si="50"/>
        <v>201803271000018620180326100001051</v>
      </c>
      <c r="C749" s="101" t="str">
        <f t="shared" si="51"/>
        <v>2018032710000186</v>
      </c>
      <c r="D749" s="111" t="str">
        <f>D748</f>
        <v>2018032610000105</v>
      </c>
      <c r="E749" s="111" t="str">
        <f t="shared" si="161"/>
        <v>6001</v>
      </c>
      <c r="F749" s="111" t="str">
        <f t="shared" si="162"/>
        <v>B00102</v>
      </c>
      <c r="G749" s="111" t="str">
        <f t="shared" si="183"/>
        <v>6001</v>
      </c>
      <c r="H749" s="111">
        <v>10000186</v>
      </c>
      <c r="I749" s="104">
        <f t="shared" si="185"/>
        <v>20180327</v>
      </c>
      <c r="J749" s="113">
        <f>J748</f>
        <v>20180326</v>
      </c>
      <c r="K749" s="111" t="str">
        <f t="shared" si="55"/>
        <v>CZCE</v>
      </c>
      <c r="L749" s="111" t="str">
        <f t="shared" si="184"/>
        <v>PTA807C6500</v>
      </c>
      <c r="M749" s="111">
        <f t="shared" si="164"/>
        <v>5</v>
      </c>
      <c r="N749" s="111">
        <v>1</v>
      </c>
      <c r="O749" s="111">
        <v>1</v>
      </c>
      <c r="P749" s="111">
        <v>3</v>
      </c>
      <c r="Q749" s="111">
        <v>2</v>
      </c>
      <c r="R749" s="111">
        <f>R748</f>
        <v>625</v>
      </c>
      <c r="S749" s="111">
        <v>604</v>
      </c>
      <c r="T749" s="111">
        <f t="shared" si="116"/>
        <v>600</v>
      </c>
      <c r="U749" s="12">
        <f t="shared" si="165"/>
        <v>4.0000000000000002E-4</v>
      </c>
      <c r="V749" s="111">
        <f t="shared" si="166"/>
        <v>4</v>
      </c>
      <c r="W749" s="111">
        <f t="shared" si="167"/>
        <v>3.9999999999999996E-4</v>
      </c>
      <c r="X749" s="111">
        <f t="shared" si="168"/>
        <v>4</v>
      </c>
      <c r="Y749" s="12">
        <f t="shared" si="60"/>
        <v>10.416</v>
      </c>
      <c r="Z749" s="12">
        <f t="shared" si="61"/>
        <v>10.416</v>
      </c>
      <c r="AA749" s="248">
        <f t="shared" si="169"/>
        <v>10.42</v>
      </c>
      <c r="AB749" s="248">
        <f t="shared" si="170"/>
        <v>10.416</v>
      </c>
      <c r="AC749" s="12"/>
      <c r="AD749" s="12"/>
      <c r="AE749" s="271">
        <f t="shared" si="171"/>
        <v>6040</v>
      </c>
      <c r="AF749" s="101" t="str">
        <f t="shared" si="172"/>
        <v>PTA807C650031</v>
      </c>
      <c r="AG749" s="111" t="s">
        <v>311</v>
      </c>
      <c r="AH749" s="111" t="str">
        <f t="shared" si="173"/>
        <v>9999</v>
      </c>
      <c r="AI749" s="111" t="str">
        <f t="shared" si="174"/>
        <v>50010002</v>
      </c>
      <c r="AJ749" s="111">
        <f t="shared" si="175"/>
        <v>6040</v>
      </c>
      <c r="AK749" s="111">
        <f t="shared" si="176"/>
        <v>0</v>
      </c>
      <c r="AL749" s="111">
        <f t="shared" si="177"/>
        <v>0</v>
      </c>
      <c r="AM749" s="111">
        <f t="shared" si="178"/>
        <v>1</v>
      </c>
      <c r="AN749" s="111" t="str">
        <f t="shared" si="179"/>
        <v>CNY</v>
      </c>
      <c r="AO749" s="6">
        <f t="shared" si="180"/>
        <v>2.0000000000000001E-4</v>
      </c>
      <c r="AP749" s="6">
        <f t="shared" si="181"/>
        <v>2</v>
      </c>
      <c r="AQ749" s="6">
        <f t="shared" si="182"/>
        <v>5.21</v>
      </c>
    </row>
    <row r="750" spans="1:43" s="6" customFormat="1" x14ac:dyDescent="0.25">
      <c r="A750" s="6" t="str">
        <f t="shared" si="118"/>
        <v>comment</v>
      </c>
      <c r="B750" s="111" t="str">
        <f t="shared" si="50"/>
        <v/>
      </c>
      <c r="C750" s="101" t="str">
        <f t="shared" si="51"/>
        <v>2018032710000188</v>
      </c>
      <c r="D750" s="111" t="str">
        <f>C745</f>
        <v>2018032710000183</v>
      </c>
      <c r="E750" s="111" t="str">
        <f t="shared" si="161"/>
        <v>6001</v>
      </c>
      <c r="F750" s="111" t="str">
        <f t="shared" si="162"/>
        <v>B00102</v>
      </c>
      <c r="G750" s="111" t="str">
        <f t="shared" ref="G750" si="187">VLOOKUP(F750,$C$5:$D$6,2)</f>
        <v>6001</v>
      </c>
      <c r="H750" s="111">
        <v>10000188</v>
      </c>
      <c r="I750" s="104">
        <f t="shared" si="185"/>
        <v>20180327</v>
      </c>
      <c r="J750" s="113">
        <f>J745</f>
        <v>20180327</v>
      </c>
      <c r="K750" s="111" t="str">
        <f t="shared" si="55"/>
        <v>CZCE</v>
      </c>
      <c r="L750" s="111" t="str">
        <f t="shared" si="184"/>
        <v>PTA807C6500</v>
      </c>
      <c r="M750" s="111">
        <f t="shared" si="164"/>
        <v>5</v>
      </c>
      <c r="N750" s="111">
        <v>1</v>
      </c>
      <c r="O750" s="111">
        <v>1</v>
      </c>
      <c r="P750" s="111">
        <v>3</v>
      </c>
      <c r="Q750" s="111">
        <v>0</v>
      </c>
      <c r="R750" s="111">
        <f>S745</f>
        <v>603</v>
      </c>
      <c r="S750" s="111">
        <v>604</v>
      </c>
      <c r="T750" s="111">
        <f t="shared" si="116"/>
        <v>600</v>
      </c>
      <c r="U750" s="12">
        <f t="shared" si="165"/>
        <v>4.0000000000000002E-4</v>
      </c>
      <c r="V750" s="111">
        <f t="shared" si="166"/>
        <v>4</v>
      </c>
      <c r="W750" s="111">
        <f t="shared" si="167"/>
        <v>3.9999999999999996E-4</v>
      </c>
      <c r="X750" s="111">
        <f t="shared" si="168"/>
        <v>4</v>
      </c>
      <c r="Y750" s="12">
        <f t="shared" si="60"/>
        <v>0</v>
      </c>
      <c r="Z750" s="12">
        <f t="shared" si="61"/>
        <v>0</v>
      </c>
      <c r="AA750" s="248">
        <f t="shared" si="169"/>
        <v>0</v>
      </c>
      <c r="AB750" s="248">
        <f t="shared" si="170"/>
        <v>0</v>
      </c>
      <c r="AC750" s="12"/>
      <c r="AD750" s="12"/>
      <c r="AE750" s="271">
        <f t="shared" si="171"/>
        <v>0</v>
      </c>
      <c r="AF750" s="101" t="str">
        <f t="shared" si="172"/>
        <v>PTA807C650031</v>
      </c>
      <c r="AG750" s="111" t="s">
        <v>311</v>
      </c>
      <c r="AH750" s="111" t="str">
        <f t="shared" si="173"/>
        <v>9999</v>
      </c>
      <c r="AI750" s="111" t="str">
        <f t="shared" si="174"/>
        <v>50010002</v>
      </c>
      <c r="AJ750" s="111">
        <f t="shared" si="175"/>
        <v>0</v>
      </c>
      <c r="AK750" s="111">
        <f t="shared" si="176"/>
        <v>0</v>
      </c>
      <c r="AL750" s="111">
        <f t="shared" si="177"/>
        <v>0</v>
      </c>
      <c r="AM750" s="111">
        <f t="shared" si="178"/>
        <v>1</v>
      </c>
      <c r="AN750" s="111" t="str">
        <f t="shared" si="179"/>
        <v>CNY</v>
      </c>
      <c r="AO750" s="6">
        <f t="shared" si="180"/>
        <v>2.0000000000000001E-4</v>
      </c>
      <c r="AP750" s="6">
        <f t="shared" si="181"/>
        <v>2</v>
      </c>
      <c r="AQ750" s="6">
        <f t="shared" si="182"/>
        <v>0</v>
      </c>
    </row>
    <row r="751" spans="1:43" s="6" customFormat="1" x14ac:dyDescent="0.25">
      <c r="A751" s="6" t="str">
        <f t="shared" si="118"/>
        <v>comment</v>
      </c>
      <c r="B751" s="111" t="str">
        <f t="shared" si="50"/>
        <v/>
      </c>
      <c r="C751" s="101" t="str">
        <f t="shared" si="51"/>
        <v>2018032710000080</v>
      </c>
      <c r="D751" s="111" t="str">
        <f>'day1'!B737</f>
        <v>2018032610000091</v>
      </c>
      <c r="E751" s="111" t="str">
        <f t="shared" ref="E751:E761" si="188">$B$5</f>
        <v>6001</v>
      </c>
      <c r="F751" s="111" t="str">
        <f t="shared" ref="F751:F761" si="189">VLOOKUP(E751,$B$5:$C$5,2)</f>
        <v>B00101</v>
      </c>
      <c r="G751" s="111" t="str">
        <f t="shared" ref="G751:G761" si="190">VLOOKUP(F751,$C$5:$D$6,2)</f>
        <v>6001</v>
      </c>
      <c r="H751" s="111">
        <v>10000080</v>
      </c>
      <c r="I751" s="104">
        <f t="shared" si="74"/>
        <v>20180327</v>
      </c>
      <c r="J751" s="113">
        <f>'day1'!G737</f>
        <v>20180326</v>
      </c>
      <c r="K751" s="111" t="str">
        <f t="shared" si="55"/>
        <v>CZCE</v>
      </c>
      <c r="L751" s="111" t="str">
        <f>$C$27</f>
        <v>SR807C6500</v>
      </c>
      <c r="M751" s="111">
        <f t="shared" ref="M751:M761" si="191">VLOOKUP(L751,$C$19:$E$29,3,FALSE)</f>
        <v>10</v>
      </c>
      <c r="N751" s="111">
        <v>1</v>
      </c>
      <c r="O751" s="111">
        <v>0</v>
      </c>
      <c r="P751" s="111">
        <v>1</v>
      </c>
      <c r="Q751" s="111">
        <v>0</v>
      </c>
      <c r="R751" s="111">
        <f>'day1'!Y737</f>
        <v>611</v>
      </c>
      <c r="S751" s="111">
        <v>600</v>
      </c>
      <c r="T751" s="111">
        <f t="shared" si="116"/>
        <v>615</v>
      </c>
      <c r="U751" s="12">
        <f t="shared" si="165"/>
        <v>4.0000000000000002E-4</v>
      </c>
      <c r="V751" s="111">
        <f t="shared" si="166"/>
        <v>4</v>
      </c>
      <c r="W751" s="111">
        <f t="shared" si="167"/>
        <v>2.9999999999999997E-4</v>
      </c>
      <c r="X751" s="111">
        <f t="shared" si="168"/>
        <v>3</v>
      </c>
      <c r="Y751" s="12">
        <f t="shared" si="60"/>
        <v>0</v>
      </c>
      <c r="Z751" s="12">
        <f t="shared" si="61"/>
        <v>0</v>
      </c>
      <c r="AA751" s="248">
        <f t="shared" ref="AA751:AA761" si="192">ROUND(Y751,2)</f>
        <v>0</v>
      </c>
      <c r="AB751" s="248">
        <f t="shared" si="63"/>
        <v>0</v>
      </c>
      <c r="AC751" s="12"/>
      <c r="AD751" s="12"/>
      <c r="AE751" s="111">
        <f t="shared" si="66"/>
        <v>0</v>
      </c>
      <c r="AF751" s="101" t="str">
        <f t="shared" si="45"/>
        <v>SR807C650011</v>
      </c>
      <c r="AG751" s="111" t="s">
        <v>311</v>
      </c>
      <c r="AH751" s="111" t="str">
        <f t="shared" ref="AH751:AH761" si="193">$F$5</f>
        <v>9999</v>
      </c>
      <c r="AI751" s="111" t="str">
        <f t="shared" ref="AI751:AI761" si="194">VLOOKUP(F751,$C$5:$G$6,5,FALSE)</f>
        <v>50010001</v>
      </c>
      <c r="AJ751" s="111">
        <f t="shared" si="68"/>
        <v>0</v>
      </c>
      <c r="AK751" s="111">
        <f t="shared" si="69"/>
        <v>0</v>
      </c>
      <c r="AL751" s="111">
        <f t="shared" ref="AL751:AL761" si="195" xml:space="preserve"> VLOOKUP(L751,$C$19:$K$29,9,FALSE)</f>
        <v>0</v>
      </c>
      <c r="AM751" s="111">
        <f t="shared" ref="AM751:AM761" si="196">VLOOKUP(L751,$C$19:$L$29,10,FALSE)</f>
        <v>1</v>
      </c>
      <c r="AN751" s="111" t="str">
        <f>$D$9</f>
        <v>CNY</v>
      </c>
      <c r="AO751" s="6">
        <f t="shared" si="180"/>
        <v>2.0000000000000001E-4</v>
      </c>
      <c r="AP751" s="6">
        <f t="shared" si="181"/>
        <v>2</v>
      </c>
      <c r="AQ751" s="6">
        <f t="shared" si="73"/>
        <v>0</v>
      </c>
    </row>
    <row r="752" spans="1:43" s="6" customFormat="1" x14ac:dyDescent="0.25">
      <c r="A752" s="6" t="str">
        <f t="shared" si="118"/>
        <v/>
      </c>
      <c r="B752" s="111" t="str">
        <f t="shared" si="50"/>
        <v>201803271000008120180326100000921</v>
      </c>
      <c r="C752" s="101" t="str">
        <f t="shared" si="51"/>
        <v>2018032710000081</v>
      </c>
      <c r="D752" s="111" t="str">
        <f>'day1'!B738</f>
        <v>2018032610000092</v>
      </c>
      <c r="E752" s="111" t="str">
        <f t="shared" si="188"/>
        <v>6001</v>
      </c>
      <c r="F752" s="111" t="str">
        <f t="shared" si="189"/>
        <v>B00101</v>
      </c>
      <c r="G752" s="111" t="str">
        <f t="shared" si="190"/>
        <v>6001</v>
      </c>
      <c r="H752" s="111">
        <v>10000081</v>
      </c>
      <c r="I752" s="104">
        <f t="shared" si="74"/>
        <v>20180327</v>
      </c>
      <c r="J752" s="113">
        <f>'day1'!G738</f>
        <v>20180326</v>
      </c>
      <c r="K752" s="111" t="str">
        <f t="shared" si="55"/>
        <v>CZCE</v>
      </c>
      <c r="L752" s="111" t="str">
        <f t="shared" ref="L752:L761" si="197">$C$27</f>
        <v>SR807C6500</v>
      </c>
      <c r="M752" s="111">
        <f t="shared" si="191"/>
        <v>10</v>
      </c>
      <c r="N752" s="111">
        <v>1</v>
      </c>
      <c r="O752" s="111">
        <v>0</v>
      </c>
      <c r="P752" s="111">
        <v>1</v>
      </c>
      <c r="Q752" s="111">
        <v>1</v>
      </c>
      <c r="R752" s="111">
        <f>'day1'!Y738</f>
        <v>612</v>
      </c>
      <c r="S752" s="111">
        <v>601</v>
      </c>
      <c r="T752" s="111">
        <f t="shared" si="116"/>
        <v>615</v>
      </c>
      <c r="U752" s="12">
        <f t="shared" si="165"/>
        <v>4.0000000000000002E-4</v>
      </c>
      <c r="V752" s="111">
        <f t="shared" si="166"/>
        <v>4</v>
      </c>
      <c r="W752" s="111">
        <f t="shared" si="167"/>
        <v>2.9999999999999997E-4</v>
      </c>
      <c r="X752" s="111">
        <f t="shared" si="168"/>
        <v>3</v>
      </c>
      <c r="Y752" s="12">
        <f t="shared" si="60"/>
        <v>6.4039999999999999</v>
      </c>
      <c r="Z752" s="12">
        <f t="shared" si="61"/>
        <v>4.8029999999999999</v>
      </c>
      <c r="AA752" s="248">
        <f t="shared" si="192"/>
        <v>6.4</v>
      </c>
      <c r="AB752" s="248">
        <f t="shared" si="63"/>
        <v>4.8029999999999999</v>
      </c>
      <c r="AC752" s="12"/>
      <c r="AD752" s="12"/>
      <c r="AE752" s="111">
        <f t="shared" si="66"/>
        <v>6010</v>
      </c>
      <c r="AF752" s="101" t="str">
        <f t="shared" si="45"/>
        <v>SR807C650011</v>
      </c>
      <c r="AG752" s="111" t="s">
        <v>311</v>
      </c>
      <c r="AH752" s="111" t="str">
        <f t="shared" si="193"/>
        <v>9999</v>
      </c>
      <c r="AI752" s="111" t="str">
        <f t="shared" si="194"/>
        <v>50010001</v>
      </c>
      <c r="AJ752" s="111">
        <f t="shared" si="68"/>
        <v>0</v>
      </c>
      <c r="AK752" s="111">
        <f t="shared" si="69"/>
        <v>6010</v>
      </c>
      <c r="AL752" s="111">
        <f t="shared" si="195"/>
        <v>0</v>
      </c>
      <c r="AM752" s="111">
        <f t="shared" si="196"/>
        <v>1</v>
      </c>
      <c r="AN752" s="111" t="str">
        <f t="shared" ref="AN752:AN761" si="198">$D$9</f>
        <v>CNY</v>
      </c>
      <c r="AO752" s="6">
        <f t="shared" si="180"/>
        <v>2.0000000000000001E-4</v>
      </c>
      <c r="AP752" s="6">
        <f t="shared" si="181"/>
        <v>2</v>
      </c>
      <c r="AQ752" s="6">
        <f t="shared" si="73"/>
        <v>3.2</v>
      </c>
    </row>
    <row r="753" spans="1:220" s="6" customFormat="1" x14ac:dyDescent="0.25">
      <c r="A753" s="6" t="str">
        <f t="shared" si="118"/>
        <v>comment</v>
      </c>
      <c r="B753" s="111" t="str">
        <f t="shared" si="50"/>
        <v/>
      </c>
      <c r="C753" s="101" t="str">
        <f t="shared" si="51"/>
        <v>2018032710000082</v>
      </c>
      <c r="D753" s="111" t="str">
        <f>'day1'!B736</f>
        <v>2018032610000090</v>
      </c>
      <c r="E753" s="111" t="str">
        <f t="shared" si="188"/>
        <v>6001</v>
      </c>
      <c r="F753" s="111" t="str">
        <f t="shared" si="189"/>
        <v>B00101</v>
      </c>
      <c r="G753" s="111" t="str">
        <f t="shared" si="190"/>
        <v>6001</v>
      </c>
      <c r="H753" s="111">
        <v>10000082</v>
      </c>
      <c r="I753" s="104">
        <f t="shared" si="74"/>
        <v>20180327</v>
      </c>
      <c r="J753" s="113">
        <f>'day1'!G736</f>
        <v>20180326</v>
      </c>
      <c r="K753" s="111" t="str">
        <f t="shared" si="55"/>
        <v>CZCE</v>
      </c>
      <c r="L753" s="111" t="str">
        <f t="shared" si="197"/>
        <v>SR807C6500</v>
      </c>
      <c r="M753" s="111">
        <f t="shared" si="191"/>
        <v>10</v>
      </c>
      <c r="N753" s="111">
        <v>1</v>
      </c>
      <c r="O753" s="111">
        <v>0</v>
      </c>
      <c r="P753" s="111">
        <v>3</v>
      </c>
      <c r="Q753" s="111">
        <v>0</v>
      </c>
      <c r="R753" s="111">
        <f>'day1'!Y736</f>
        <v>610</v>
      </c>
      <c r="S753" s="111">
        <v>602</v>
      </c>
      <c r="T753" s="111">
        <f t="shared" si="116"/>
        <v>615</v>
      </c>
      <c r="U753" s="12">
        <f t="shared" si="165"/>
        <v>4.0000000000000002E-4</v>
      </c>
      <c r="V753" s="111">
        <f t="shared" si="166"/>
        <v>4</v>
      </c>
      <c r="W753" s="111">
        <f t="shared" si="167"/>
        <v>3.9999999999999996E-4</v>
      </c>
      <c r="X753" s="111">
        <f t="shared" si="168"/>
        <v>4</v>
      </c>
      <c r="Y753" s="12">
        <f t="shared" si="60"/>
        <v>0</v>
      </c>
      <c r="Z753" s="12">
        <f t="shared" si="61"/>
        <v>0</v>
      </c>
      <c r="AA753" s="248">
        <f t="shared" si="192"/>
        <v>0</v>
      </c>
      <c r="AB753" s="248">
        <f t="shared" si="63"/>
        <v>0</v>
      </c>
      <c r="AC753" s="12"/>
      <c r="AD753" s="12"/>
      <c r="AE753" s="111">
        <f t="shared" si="66"/>
        <v>0</v>
      </c>
      <c r="AF753" s="101" t="str">
        <f t="shared" si="45"/>
        <v>SR807C650031</v>
      </c>
      <c r="AG753" s="111" t="s">
        <v>311</v>
      </c>
      <c r="AH753" s="111" t="str">
        <f t="shared" si="193"/>
        <v>9999</v>
      </c>
      <c r="AI753" s="111" t="str">
        <f t="shared" si="194"/>
        <v>50010001</v>
      </c>
      <c r="AJ753" s="111">
        <f t="shared" si="68"/>
        <v>0</v>
      </c>
      <c r="AK753" s="111">
        <f t="shared" si="69"/>
        <v>0</v>
      </c>
      <c r="AL753" s="111">
        <f t="shared" si="195"/>
        <v>0</v>
      </c>
      <c r="AM753" s="111">
        <f t="shared" si="196"/>
        <v>1</v>
      </c>
      <c r="AN753" s="111" t="str">
        <f t="shared" si="198"/>
        <v>CNY</v>
      </c>
      <c r="AO753" s="6">
        <f t="shared" si="180"/>
        <v>2.0000000000000001E-4</v>
      </c>
      <c r="AP753" s="6">
        <f t="shared" si="181"/>
        <v>2</v>
      </c>
      <c r="AQ753" s="6">
        <f t="shared" si="73"/>
        <v>0</v>
      </c>
    </row>
    <row r="754" spans="1:220" s="6" customFormat="1" x14ac:dyDescent="0.25">
      <c r="A754" s="6" t="str">
        <f t="shared" si="118"/>
        <v/>
      </c>
      <c r="B754" s="111" t="str">
        <f t="shared" si="50"/>
        <v/>
      </c>
      <c r="C754" s="101" t="str">
        <f t="shared" si="51"/>
        <v>2018032710000083</v>
      </c>
      <c r="D754" s="111"/>
      <c r="E754" s="111" t="str">
        <f t="shared" si="188"/>
        <v>6001</v>
      </c>
      <c r="F754" s="111" t="str">
        <f t="shared" si="189"/>
        <v>B00101</v>
      </c>
      <c r="G754" s="111" t="str">
        <f t="shared" si="190"/>
        <v>6001</v>
      </c>
      <c r="H754" s="111">
        <v>10000083</v>
      </c>
      <c r="I754" s="104">
        <f t="shared" si="74"/>
        <v>20180327</v>
      </c>
      <c r="J754" s="113">
        <f t="shared" si="76"/>
        <v>20180327</v>
      </c>
      <c r="K754" s="111" t="str">
        <f t="shared" si="55"/>
        <v>CZCE</v>
      </c>
      <c r="L754" s="111" t="str">
        <f t="shared" si="197"/>
        <v>SR807C6500</v>
      </c>
      <c r="M754" s="111">
        <f t="shared" si="191"/>
        <v>10</v>
      </c>
      <c r="N754" s="111">
        <v>0</v>
      </c>
      <c r="O754" s="111">
        <v>1</v>
      </c>
      <c r="P754" s="111">
        <v>1</v>
      </c>
      <c r="Q754" s="111">
        <v>4</v>
      </c>
      <c r="R754" s="111">
        <f>IF(N754=0,S754,VLOOKUP(D754,$C$693:$S$761,16,FALSE))</f>
        <v>603</v>
      </c>
      <c r="S754" s="111">
        <v>603</v>
      </c>
      <c r="T754" s="111">
        <f t="shared" si="116"/>
        <v>615</v>
      </c>
      <c r="U754" s="12">
        <f t="shared" si="165"/>
        <v>5.0000000000000001E-4</v>
      </c>
      <c r="V754" s="111">
        <f t="shared" si="166"/>
        <v>5</v>
      </c>
      <c r="W754" s="111">
        <f t="shared" si="167"/>
        <v>4.0000000000000002E-4</v>
      </c>
      <c r="X754" s="111">
        <f t="shared" si="168"/>
        <v>4</v>
      </c>
      <c r="Y754" s="12">
        <f t="shared" si="60"/>
        <v>32.06</v>
      </c>
      <c r="Z754" s="12">
        <f t="shared" si="61"/>
        <v>25.648</v>
      </c>
      <c r="AA754" s="248">
        <f t="shared" si="192"/>
        <v>32.06</v>
      </c>
      <c r="AB754" s="248">
        <f t="shared" si="63"/>
        <v>25.648</v>
      </c>
      <c r="AC754" s="12"/>
      <c r="AD754" s="12"/>
      <c r="AE754" s="111">
        <f t="shared" si="66"/>
        <v>24120</v>
      </c>
      <c r="AF754" s="101" t="str">
        <f t="shared" si="45"/>
        <v>SR807C650010</v>
      </c>
      <c r="AG754" s="111" t="s">
        <v>311</v>
      </c>
      <c r="AH754" s="111" t="str">
        <f t="shared" si="193"/>
        <v>9999</v>
      </c>
      <c r="AI754" s="111" t="str">
        <f t="shared" si="194"/>
        <v>50010001</v>
      </c>
      <c r="AJ754" s="111">
        <f t="shared" si="68"/>
        <v>24120</v>
      </c>
      <c r="AK754" s="111">
        <f t="shared" si="69"/>
        <v>0</v>
      </c>
      <c r="AL754" s="111">
        <f t="shared" si="195"/>
        <v>0</v>
      </c>
      <c r="AM754" s="111">
        <f t="shared" si="196"/>
        <v>1</v>
      </c>
      <c r="AN754" s="111" t="str">
        <f t="shared" si="198"/>
        <v>CNY</v>
      </c>
      <c r="AO754" s="6">
        <f t="shared" si="180"/>
        <v>2.0000000000000001E-4</v>
      </c>
      <c r="AP754" s="6">
        <f t="shared" si="181"/>
        <v>2</v>
      </c>
      <c r="AQ754" s="6">
        <f t="shared" si="73"/>
        <v>12.82</v>
      </c>
    </row>
    <row r="755" spans="1:220" s="6" customFormat="1" ht="20.399999999999999" customHeight="1" x14ac:dyDescent="0.25">
      <c r="A755" s="6" t="str">
        <f t="shared" si="118"/>
        <v/>
      </c>
      <c r="B755" s="111" t="str">
        <f t="shared" si="50"/>
        <v/>
      </c>
      <c r="C755" s="101" t="str">
        <f t="shared" si="51"/>
        <v>2018032710000084</v>
      </c>
      <c r="D755" s="111"/>
      <c r="E755" s="111" t="str">
        <f t="shared" si="188"/>
        <v>6001</v>
      </c>
      <c r="F755" s="111" t="str">
        <f t="shared" si="189"/>
        <v>B00101</v>
      </c>
      <c r="G755" s="111" t="str">
        <f t="shared" si="190"/>
        <v>6001</v>
      </c>
      <c r="H755" s="111">
        <v>10000084</v>
      </c>
      <c r="I755" s="104">
        <f t="shared" si="74"/>
        <v>20180327</v>
      </c>
      <c r="J755" s="113">
        <f t="shared" si="76"/>
        <v>20180327</v>
      </c>
      <c r="K755" s="111" t="str">
        <f t="shared" si="55"/>
        <v>CZCE</v>
      </c>
      <c r="L755" s="111" t="str">
        <f t="shared" si="197"/>
        <v>SR807C6500</v>
      </c>
      <c r="M755" s="111">
        <f t="shared" si="191"/>
        <v>10</v>
      </c>
      <c r="N755" s="111">
        <v>0</v>
      </c>
      <c r="O755" s="111">
        <v>1</v>
      </c>
      <c r="P755" s="111">
        <v>3</v>
      </c>
      <c r="Q755" s="111">
        <v>1</v>
      </c>
      <c r="R755" s="111">
        <f>IF(N755=0,S755,VLOOKUP(D755,$C$693:$S$761,16,FALSE))</f>
        <v>604</v>
      </c>
      <c r="S755" s="111">
        <v>604</v>
      </c>
      <c r="T755" s="111">
        <f t="shared" si="116"/>
        <v>615</v>
      </c>
      <c r="U755" s="12">
        <f t="shared" si="165"/>
        <v>5.0000000000000001E-4</v>
      </c>
      <c r="V755" s="111">
        <f t="shared" si="166"/>
        <v>5</v>
      </c>
      <c r="W755" s="111">
        <f t="shared" si="167"/>
        <v>5.0000000000000001E-4</v>
      </c>
      <c r="X755" s="111">
        <f t="shared" si="168"/>
        <v>5</v>
      </c>
      <c r="Y755" s="12">
        <f t="shared" si="60"/>
        <v>8.02</v>
      </c>
      <c r="Z755" s="12">
        <f t="shared" si="61"/>
        <v>8.02</v>
      </c>
      <c r="AA755" s="248">
        <f t="shared" si="192"/>
        <v>8.02</v>
      </c>
      <c r="AB755" s="248">
        <f t="shared" si="63"/>
        <v>8.02</v>
      </c>
      <c r="AC755" s="12"/>
      <c r="AD755" s="12"/>
      <c r="AE755" s="111">
        <f t="shared" si="66"/>
        <v>6040</v>
      </c>
      <c r="AF755" s="101" t="str">
        <f t="shared" si="45"/>
        <v>SR807C650030</v>
      </c>
      <c r="AG755" s="111" t="s">
        <v>311</v>
      </c>
      <c r="AH755" s="111" t="str">
        <f t="shared" si="193"/>
        <v>9999</v>
      </c>
      <c r="AI755" s="111" t="str">
        <f t="shared" si="194"/>
        <v>50010001</v>
      </c>
      <c r="AJ755" s="111">
        <f t="shared" si="68"/>
        <v>6040</v>
      </c>
      <c r="AK755" s="111">
        <f t="shared" si="69"/>
        <v>0</v>
      </c>
      <c r="AL755" s="111">
        <f t="shared" si="195"/>
        <v>0</v>
      </c>
      <c r="AM755" s="111">
        <f t="shared" si="196"/>
        <v>1</v>
      </c>
      <c r="AN755" s="111" t="str">
        <f t="shared" si="198"/>
        <v>CNY</v>
      </c>
      <c r="AO755" s="6">
        <f t="shared" si="180"/>
        <v>2.0000000000000001E-4</v>
      </c>
      <c r="AP755" s="6">
        <f t="shared" si="181"/>
        <v>2</v>
      </c>
      <c r="AQ755" s="6">
        <f t="shared" si="73"/>
        <v>3.21</v>
      </c>
    </row>
    <row r="756" spans="1:220" s="6" customFormat="1" x14ac:dyDescent="0.25">
      <c r="A756" s="6" t="str">
        <f t="shared" si="118"/>
        <v>comment</v>
      </c>
      <c r="B756" s="111" t="str">
        <f t="shared" si="50"/>
        <v/>
      </c>
      <c r="C756" s="101" t="str">
        <f t="shared" si="51"/>
        <v>2018032710000085</v>
      </c>
      <c r="D756" s="111" t="str">
        <f>D751</f>
        <v>2018032610000091</v>
      </c>
      <c r="E756" s="111" t="str">
        <f t="shared" si="188"/>
        <v>6001</v>
      </c>
      <c r="F756" s="111" t="str">
        <f t="shared" si="189"/>
        <v>B00101</v>
      </c>
      <c r="G756" s="111" t="str">
        <f t="shared" si="190"/>
        <v>6001</v>
      </c>
      <c r="H756" s="111">
        <v>10000085</v>
      </c>
      <c r="I756" s="104">
        <f t="shared" si="74"/>
        <v>20180327</v>
      </c>
      <c r="J756" s="113">
        <f>'day1'!G737</f>
        <v>20180326</v>
      </c>
      <c r="K756" s="111" t="str">
        <f t="shared" si="55"/>
        <v>CZCE</v>
      </c>
      <c r="L756" s="111" t="str">
        <f t="shared" si="197"/>
        <v>SR807C6500</v>
      </c>
      <c r="M756" s="111">
        <f t="shared" si="191"/>
        <v>10</v>
      </c>
      <c r="N756" s="111">
        <v>3</v>
      </c>
      <c r="O756" s="111">
        <v>0</v>
      </c>
      <c r="P756" s="111">
        <v>1</v>
      </c>
      <c r="Q756" s="111">
        <v>0</v>
      </c>
      <c r="R756" s="111">
        <f>R751</f>
        <v>611</v>
      </c>
      <c r="S756" s="111">
        <v>605</v>
      </c>
      <c r="T756" s="111">
        <f t="shared" si="116"/>
        <v>615</v>
      </c>
      <c r="U756" s="12">
        <f t="shared" si="165"/>
        <v>2.0000000000000001E-4</v>
      </c>
      <c r="V756" s="111">
        <f t="shared" si="166"/>
        <v>2</v>
      </c>
      <c r="W756" s="111">
        <f t="shared" si="167"/>
        <v>1E-4</v>
      </c>
      <c r="X756" s="111">
        <f t="shared" si="168"/>
        <v>1</v>
      </c>
      <c r="Y756" s="12">
        <f t="shared" si="60"/>
        <v>0</v>
      </c>
      <c r="Z756" s="12">
        <f t="shared" si="61"/>
        <v>0</v>
      </c>
      <c r="AA756" s="248">
        <f t="shared" si="192"/>
        <v>0</v>
      </c>
      <c r="AB756" s="248">
        <f t="shared" si="63"/>
        <v>0</v>
      </c>
      <c r="AC756" s="12"/>
      <c r="AD756" s="12"/>
      <c r="AE756" s="111">
        <f t="shared" si="66"/>
        <v>0</v>
      </c>
      <c r="AF756" s="101" t="str">
        <f t="shared" si="45"/>
        <v>SR807C650013</v>
      </c>
      <c r="AG756" s="111" t="s">
        <v>311</v>
      </c>
      <c r="AH756" s="111" t="str">
        <f t="shared" si="193"/>
        <v>9999</v>
      </c>
      <c r="AI756" s="111" t="str">
        <f t="shared" si="194"/>
        <v>50010001</v>
      </c>
      <c r="AJ756" s="111">
        <f t="shared" si="68"/>
        <v>0</v>
      </c>
      <c r="AK756" s="111">
        <f t="shared" si="69"/>
        <v>0</v>
      </c>
      <c r="AL756" s="111">
        <f t="shared" si="195"/>
        <v>0</v>
      </c>
      <c r="AM756" s="111">
        <f t="shared" si="196"/>
        <v>1</v>
      </c>
      <c r="AN756" s="111" t="str">
        <f t="shared" si="198"/>
        <v>CNY</v>
      </c>
      <c r="AO756" s="6">
        <f t="shared" si="180"/>
        <v>2.0000000000000001E-4</v>
      </c>
      <c r="AP756" s="6">
        <f t="shared" si="181"/>
        <v>2</v>
      </c>
      <c r="AQ756" s="6">
        <f t="shared" si="73"/>
        <v>0</v>
      </c>
    </row>
    <row r="757" spans="1:220" s="6" customFormat="1" x14ac:dyDescent="0.25">
      <c r="A757" s="6" t="str">
        <f t="shared" si="118"/>
        <v/>
      </c>
      <c r="B757" s="111" t="str">
        <f t="shared" si="50"/>
        <v>201803271000009020180326100000923</v>
      </c>
      <c r="C757" s="101" t="str">
        <f t="shared" si="51"/>
        <v>2018032710000090</v>
      </c>
      <c r="D757" s="111" t="str">
        <f>D752</f>
        <v>2018032610000092</v>
      </c>
      <c r="E757" s="111" t="str">
        <f t="shared" si="188"/>
        <v>6001</v>
      </c>
      <c r="F757" s="111" t="str">
        <f t="shared" si="189"/>
        <v>B00101</v>
      </c>
      <c r="G757" s="111" t="str">
        <f t="shared" si="190"/>
        <v>6001</v>
      </c>
      <c r="H757" s="111">
        <v>10000090</v>
      </c>
      <c r="I757" s="104">
        <f t="shared" si="74"/>
        <v>20180327</v>
      </c>
      <c r="J757" s="113">
        <f>'day1'!G738</f>
        <v>20180326</v>
      </c>
      <c r="K757" s="111" t="str">
        <f t="shared" si="55"/>
        <v>CZCE</v>
      </c>
      <c r="L757" s="111" t="str">
        <f t="shared" si="197"/>
        <v>SR807C6500</v>
      </c>
      <c r="M757" s="111">
        <f t="shared" si="191"/>
        <v>10</v>
      </c>
      <c r="N757" s="111">
        <v>3</v>
      </c>
      <c r="O757" s="111">
        <v>0</v>
      </c>
      <c r="P757" s="111">
        <v>1</v>
      </c>
      <c r="Q757" s="111">
        <v>5</v>
      </c>
      <c r="R757" s="111">
        <f>R752</f>
        <v>612</v>
      </c>
      <c r="S757" s="111">
        <v>605</v>
      </c>
      <c r="T757" s="111">
        <f t="shared" si="116"/>
        <v>615</v>
      </c>
      <c r="U757" s="12">
        <f t="shared" si="165"/>
        <v>2.0000000000000001E-4</v>
      </c>
      <c r="V757" s="111">
        <f t="shared" si="166"/>
        <v>2</v>
      </c>
      <c r="W757" s="111">
        <f t="shared" si="167"/>
        <v>1E-4</v>
      </c>
      <c r="X757" s="111">
        <f t="shared" si="168"/>
        <v>1</v>
      </c>
      <c r="Y757" s="12">
        <f t="shared" si="60"/>
        <v>16.05</v>
      </c>
      <c r="Z757" s="12">
        <f t="shared" si="61"/>
        <v>8.0250000000000004</v>
      </c>
      <c r="AA757" s="248">
        <f t="shared" si="192"/>
        <v>16.05</v>
      </c>
      <c r="AB757" s="248">
        <f t="shared" si="63"/>
        <v>8.0250000000000004</v>
      </c>
      <c r="AC757" s="12"/>
      <c r="AD757" s="12"/>
      <c r="AE757" s="111">
        <f t="shared" si="66"/>
        <v>30250</v>
      </c>
      <c r="AF757" s="101" t="str">
        <f t="shared" si="45"/>
        <v>SR807C650013</v>
      </c>
      <c r="AG757" s="111" t="s">
        <v>311</v>
      </c>
      <c r="AH757" s="111" t="str">
        <f t="shared" si="193"/>
        <v>9999</v>
      </c>
      <c r="AI757" s="111" t="str">
        <f t="shared" si="194"/>
        <v>50010001</v>
      </c>
      <c r="AJ757" s="111">
        <f t="shared" si="68"/>
        <v>0</v>
      </c>
      <c r="AK757" s="111">
        <f t="shared" si="69"/>
        <v>30250</v>
      </c>
      <c r="AL757" s="111">
        <f t="shared" si="195"/>
        <v>0</v>
      </c>
      <c r="AM757" s="111">
        <f t="shared" si="196"/>
        <v>1</v>
      </c>
      <c r="AN757" s="111" t="str">
        <f t="shared" si="198"/>
        <v>CNY</v>
      </c>
      <c r="AO757" s="6">
        <f t="shared" si="180"/>
        <v>2.0000000000000001E-4</v>
      </c>
      <c r="AP757" s="6">
        <f t="shared" si="181"/>
        <v>2</v>
      </c>
      <c r="AQ757" s="6">
        <f t="shared" si="73"/>
        <v>16.05</v>
      </c>
    </row>
    <row r="758" spans="1:220" s="6" customFormat="1" x14ac:dyDescent="0.25">
      <c r="A758" s="6" t="str">
        <f t="shared" si="118"/>
        <v/>
      </c>
      <c r="B758" s="111" t="str">
        <f t="shared" si="50"/>
        <v>201803271000009020180326100000921</v>
      </c>
      <c r="C758" s="101" t="str">
        <f t="shared" si="51"/>
        <v>2018032710000090</v>
      </c>
      <c r="D758" s="111" t="str">
        <f>D757</f>
        <v>2018032610000092</v>
      </c>
      <c r="E758" s="111" t="str">
        <f t="shared" si="188"/>
        <v>6001</v>
      </c>
      <c r="F758" s="111" t="str">
        <f t="shared" si="189"/>
        <v>B00101</v>
      </c>
      <c r="G758" s="111" t="str">
        <f t="shared" si="190"/>
        <v>6001</v>
      </c>
      <c r="H758" s="111">
        <v>10000090</v>
      </c>
      <c r="I758" s="104">
        <f t="shared" si="74"/>
        <v>20180327</v>
      </c>
      <c r="J758" s="113">
        <f>'day1'!G738</f>
        <v>20180326</v>
      </c>
      <c r="K758" s="111" t="str">
        <f t="shared" si="55"/>
        <v>CZCE</v>
      </c>
      <c r="L758" s="111" t="str">
        <f t="shared" si="197"/>
        <v>SR807C6500</v>
      </c>
      <c r="M758" s="111">
        <f t="shared" si="191"/>
        <v>10</v>
      </c>
      <c r="N758" s="111">
        <v>1</v>
      </c>
      <c r="O758" s="111">
        <v>0</v>
      </c>
      <c r="P758" s="111">
        <v>1</v>
      </c>
      <c r="Q758" s="111">
        <v>1</v>
      </c>
      <c r="R758" s="111">
        <f>R757</f>
        <v>612</v>
      </c>
      <c r="S758" s="111">
        <v>605</v>
      </c>
      <c r="T758" s="111">
        <f t="shared" si="116"/>
        <v>615</v>
      </c>
      <c r="U758" s="12">
        <f t="shared" si="165"/>
        <v>4.0000000000000002E-4</v>
      </c>
      <c r="V758" s="111">
        <f t="shared" si="166"/>
        <v>4</v>
      </c>
      <c r="W758" s="111">
        <f t="shared" si="167"/>
        <v>2.9999999999999997E-4</v>
      </c>
      <c r="X758" s="111">
        <f t="shared" si="168"/>
        <v>3</v>
      </c>
      <c r="Y758" s="12">
        <f t="shared" si="60"/>
        <v>6.42</v>
      </c>
      <c r="Z758" s="12">
        <f t="shared" si="61"/>
        <v>4.8149999999999995</v>
      </c>
      <c r="AA758" s="248">
        <f t="shared" si="192"/>
        <v>6.42</v>
      </c>
      <c r="AB758" s="248">
        <f t="shared" si="63"/>
        <v>4.8150000000000004</v>
      </c>
      <c r="AC758" s="12"/>
      <c r="AD758" s="12"/>
      <c r="AE758" s="111">
        <f t="shared" si="66"/>
        <v>6050</v>
      </c>
      <c r="AF758" s="101" t="str">
        <f t="shared" si="45"/>
        <v>SR807C650011</v>
      </c>
      <c r="AG758" s="111" t="s">
        <v>311</v>
      </c>
      <c r="AH758" s="111" t="str">
        <f t="shared" si="193"/>
        <v>9999</v>
      </c>
      <c r="AI758" s="111" t="str">
        <f t="shared" si="194"/>
        <v>50010001</v>
      </c>
      <c r="AJ758" s="111">
        <f t="shared" si="68"/>
        <v>0</v>
      </c>
      <c r="AK758" s="111">
        <f t="shared" si="69"/>
        <v>6050</v>
      </c>
      <c r="AL758" s="111">
        <f t="shared" si="195"/>
        <v>0</v>
      </c>
      <c r="AM758" s="111">
        <f t="shared" si="196"/>
        <v>1</v>
      </c>
      <c r="AN758" s="111" t="str">
        <f t="shared" si="198"/>
        <v>CNY</v>
      </c>
      <c r="AO758" s="6">
        <f t="shared" si="180"/>
        <v>2.0000000000000001E-4</v>
      </c>
      <c r="AP758" s="6">
        <f t="shared" si="181"/>
        <v>2</v>
      </c>
      <c r="AQ758" s="6">
        <f t="shared" si="73"/>
        <v>3.21</v>
      </c>
    </row>
    <row r="759" spans="1:220" s="6" customFormat="1" x14ac:dyDescent="0.25">
      <c r="A759" s="6" t="str">
        <f t="shared" si="118"/>
        <v/>
      </c>
      <c r="B759" s="111" t="str">
        <f t="shared" si="50"/>
        <v>201803271000009120180327100000831</v>
      </c>
      <c r="C759" s="101" t="str">
        <f t="shared" si="51"/>
        <v>2018032710000091</v>
      </c>
      <c r="D759" s="111" t="str">
        <f>C754</f>
        <v>2018032710000083</v>
      </c>
      <c r="E759" s="111" t="str">
        <f t="shared" si="188"/>
        <v>6001</v>
      </c>
      <c r="F759" s="111" t="str">
        <f t="shared" si="189"/>
        <v>B00101</v>
      </c>
      <c r="G759" s="111" t="str">
        <f t="shared" si="190"/>
        <v>6001</v>
      </c>
      <c r="H759" s="111">
        <v>10000091</v>
      </c>
      <c r="I759" s="104">
        <f t="shared" si="74"/>
        <v>20180327</v>
      </c>
      <c r="J759" s="113">
        <f t="shared" si="76"/>
        <v>20180327</v>
      </c>
      <c r="K759" s="111" t="str">
        <f t="shared" si="55"/>
        <v>CZCE</v>
      </c>
      <c r="L759" s="111" t="str">
        <f t="shared" si="197"/>
        <v>SR807C6500</v>
      </c>
      <c r="M759" s="111">
        <f t="shared" si="191"/>
        <v>10</v>
      </c>
      <c r="N759" s="111">
        <v>1</v>
      </c>
      <c r="O759" s="111">
        <v>0</v>
      </c>
      <c r="P759" s="111">
        <v>1</v>
      </c>
      <c r="Q759" s="111">
        <v>1</v>
      </c>
      <c r="R759" s="111">
        <f>R754</f>
        <v>603</v>
      </c>
      <c r="S759" s="111">
        <v>605</v>
      </c>
      <c r="T759" s="111">
        <f t="shared" si="116"/>
        <v>615</v>
      </c>
      <c r="U759" s="12">
        <f t="shared" si="165"/>
        <v>4.0000000000000002E-4</v>
      </c>
      <c r="V759" s="111">
        <f t="shared" si="166"/>
        <v>4</v>
      </c>
      <c r="W759" s="111">
        <f t="shared" si="167"/>
        <v>2.9999999999999997E-4</v>
      </c>
      <c r="X759" s="111">
        <f t="shared" si="168"/>
        <v>3</v>
      </c>
      <c r="Y759" s="12">
        <f t="shared" si="60"/>
        <v>6.42</v>
      </c>
      <c r="Z759" s="12">
        <f t="shared" si="61"/>
        <v>4.8149999999999995</v>
      </c>
      <c r="AA759" s="248">
        <f t="shared" si="192"/>
        <v>6.42</v>
      </c>
      <c r="AB759" s="248">
        <f t="shared" si="63"/>
        <v>4.8150000000000004</v>
      </c>
      <c r="AC759" s="12"/>
      <c r="AD759" s="12"/>
      <c r="AE759" s="111">
        <f t="shared" si="66"/>
        <v>6050</v>
      </c>
      <c r="AF759" s="101" t="str">
        <f t="shared" si="45"/>
        <v>SR807C650011</v>
      </c>
      <c r="AG759" s="111" t="s">
        <v>311</v>
      </c>
      <c r="AH759" s="111" t="str">
        <f t="shared" si="193"/>
        <v>9999</v>
      </c>
      <c r="AI759" s="111" t="str">
        <f t="shared" si="194"/>
        <v>50010001</v>
      </c>
      <c r="AJ759" s="111">
        <f t="shared" si="68"/>
        <v>0</v>
      </c>
      <c r="AK759" s="111">
        <f t="shared" si="69"/>
        <v>6050</v>
      </c>
      <c r="AL759" s="111">
        <f t="shared" si="195"/>
        <v>0</v>
      </c>
      <c r="AM759" s="111">
        <f t="shared" si="196"/>
        <v>1</v>
      </c>
      <c r="AN759" s="111" t="str">
        <f t="shared" si="198"/>
        <v>CNY</v>
      </c>
      <c r="AO759" s="6">
        <f t="shared" si="180"/>
        <v>2.0000000000000001E-4</v>
      </c>
      <c r="AP759" s="6">
        <f t="shared" si="181"/>
        <v>2</v>
      </c>
      <c r="AQ759" s="6">
        <f t="shared" si="73"/>
        <v>3.21</v>
      </c>
    </row>
    <row r="760" spans="1:220" s="6" customFormat="1" x14ac:dyDescent="0.25">
      <c r="A760" s="6" t="str">
        <f t="shared" si="118"/>
        <v>comment</v>
      </c>
      <c r="B760" s="111" t="str">
        <f t="shared" si="50"/>
        <v/>
      </c>
      <c r="C760" s="101" t="str">
        <f t="shared" si="51"/>
        <v>2018032710000092</v>
      </c>
      <c r="D760" s="111" t="str">
        <f>D753</f>
        <v>2018032610000090</v>
      </c>
      <c r="E760" s="111" t="str">
        <f t="shared" si="188"/>
        <v>6001</v>
      </c>
      <c r="F760" s="111" t="str">
        <f t="shared" si="189"/>
        <v>B00101</v>
      </c>
      <c r="G760" s="111" t="str">
        <f t="shared" si="190"/>
        <v>6001</v>
      </c>
      <c r="H760" s="111">
        <v>10000092</v>
      </c>
      <c r="I760" s="104">
        <f t="shared" si="74"/>
        <v>20180327</v>
      </c>
      <c r="J760" s="113">
        <f>'day1'!G736</f>
        <v>20180326</v>
      </c>
      <c r="K760" s="111" t="str">
        <f t="shared" si="55"/>
        <v>CZCE</v>
      </c>
      <c r="L760" s="111" t="str">
        <f t="shared" si="197"/>
        <v>SR807C6500</v>
      </c>
      <c r="M760" s="111">
        <f t="shared" si="191"/>
        <v>10</v>
      </c>
      <c r="N760" s="111">
        <v>1</v>
      </c>
      <c r="O760" s="111">
        <v>0</v>
      </c>
      <c r="P760" s="111">
        <v>3</v>
      </c>
      <c r="Q760" s="111">
        <v>0</v>
      </c>
      <c r="R760" s="111">
        <f>R753</f>
        <v>610</v>
      </c>
      <c r="S760" s="111">
        <v>605</v>
      </c>
      <c r="T760" s="111">
        <f t="shared" si="116"/>
        <v>615</v>
      </c>
      <c r="U760" s="12">
        <f t="shared" si="165"/>
        <v>4.0000000000000002E-4</v>
      </c>
      <c r="V760" s="111">
        <f t="shared" si="166"/>
        <v>4</v>
      </c>
      <c r="W760" s="111">
        <f t="shared" si="167"/>
        <v>3.9999999999999996E-4</v>
      </c>
      <c r="X760" s="111">
        <f t="shared" si="168"/>
        <v>4</v>
      </c>
      <c r="Y760" s="12">
        <f t="shared" si="60"/>
        <v>0</v>
      </c>
      <c r="Z760" s="12">
        <f t="shared" si="61"/>
        <v>0</v>
      </c>
      <c r="AA760" s="248">
        <f t="shared" si="192"/>
        <v>0</v>
      </c>
      <c r="AB760" s="248">
        <f t="shared" si="63"/>
        <v>0</v>
      </c>
      <c r="AC760" s="12"/>
      <c r="AD760" s="12"/>
      <c r="AE760" s="111">
        <f t="shared" si="66"/>
        <v>0</v>
      </c>
      <c r="AF760" s="101" t="str">
        <f t="shared" si="45"/>
        <v>SR807C650031</v>
      </c>
      <c r="AG760" s="111" t="s">
        <v>311</v>
      </c>
      <c r="AH760" s="111" t="str">
        <f t="shared" si="193"/>
        <v>9999</v>
      </c>
      <c r="AI760" s="111" t="str">
        <f t="shared" si="194"/>
        <v>50010001</v>
      </c>
      <c r="AJ760" s="111">
        <f t="shared" si="68"/>
        <v>0</v>
      </c>
      <c r="AK760" s="111">
        <f t="shared" si="69"/>
        <v>0</v>
      </c>
      <c r="AL760" s="111">
        <f t="shared" si="195"/>
        <v>0</v>
      </c>
      <c r="AM760" s="111">
        <f t="shared" si="196"/>
        <v>1</v>
      </c>
      <c r="AN760" s="111" t="str">
        <f t="shared" si="198"/>
        <v>CNY</v>
      </c>
      <c r="AO760" s="6">
        <f t="shared" si="180"/>
        <v>2.0000000000000001E-4</v>
      </c>
      <c r="AP760" s="6">
        <f t="shared" si="181"/>
        <v>2</v>
      </c>
      <c r="AQ760" s="6">
        <f t="shared" si="73"/>
        <v>0</v>
      </c>
    </row>
    <row r="761" spans="1:220" s="6" customFormat="1" x14ac:dyDescent="0.25">
      <c r="A761" s="6" t="str">
        <f t="shared" si="118"/>
        <v>comment</v>
      </c>
      <c r="B761" s="111" t="str">
        <f t="shared" si="50"/>
        <v/>
      </c>
      <c r="C761" s="101" t="str">
        <f t="shared" si="51"/>
        <v>2018032710000093</v>
      </c>
      <c r="D761" s="111" t="str">
        <f>C755</f>
        <v>2018032710000084</v>
      </c>
      <c r="E761" s="111" t="str">
        <f t="shared" si="188"/>
        <v>6001</v>
      </c>
      <c r="F761" s="111" t="str">
        <f t="shared" si="189"/>
        <v>B00101</v>
      </c>
      <c r="G761" s="111" t="str">
        <f t="shared" si="190"/>
        <v>6001</v>
      </c>
      <c r="H761" s="111">
        <v>10000093</v>
      </c>
      <c r="I761" s="104">
        <f t="shared" si="74"/>
        <v>20180327</v>
      </c>
      <c r="J761" s="113">
        <f t="shared" si="76"/>
        <v>20180327</v>
      </c>
      <c r="K761" s="111" t="str">
        <f t="shared" si="55"/>
        <v>CZCE</v>
      </c>
      <c r="L761" s="111" t="str">
        <f t="shared" si="197"/>
        <v>SR807C6500</v>
      </c>
      <c r="M761" s="111">
        <f t="shared" si="191"/>
        <v>10</v>
      </c>
      <c r="N761" s="111">
        <v>1</v>
      </c>
      <c r="O761" s="111">
        <v>0</v>
      </c>
      <c r="P761" s="111">
        <v>3</v>
      </c>
      <c r="Q761" s="111">
        <v>0</v>
      </c>
      <c r="R761" s="111">
        <f>R755</f>
        <v>604</v>
      </c>
      <c r="S761" s="111">
        <v>605</v>
      </c>
      <c r="T761" s="111">
        <f t="shared" si="116"/>
        <v>615</v>
      </c>
      <c r="U761" s="12">
        <f t="shared" si="165"/>
        <v>4.0000000000000002E-4</v>
      </c>
      <c r="V761" s="111">
        <f t="shared" si="166"/>
        <v>4</v>
      </c>
      <c r="W761" s="111">
        <f t="shared" si="167"/>
        <v>3.9999999999999996E-4</v>
      </c>
      <c r="X761" s="111">
        <f t="shared" si="168"/>
        <v>4</v>
      </c>
      <c r="Y761" s="12">
        <f t="shared" ref="Y761" si="199">M761*Q761*S761*U761+Q761*V761</f>
        <v>0</v>
      </c>
      <c r="Z761" s="12">
        <f t="shared" ref="Z761" si="200">M761*Q761*S761*W761+Q761*X761</f>
        <v>0</v>
      </c>
      <c r="AA761" s="248">
        <f t="shared" si="192"/>
        <v>0</v>
      </c>
      <c r="AB761" s="248">
        <f t="shared" si="63"/>
        <v>0</v>
      </c>
      <c r="AC761" s="12"/>
      <c r="AD761" s="12"/>
      <c r="AE761" s="111">
        <f t="shared" si="66"/>
        <v>0</v>
      </c>
      <c r="AF761" s="101" t="str">
        <f t="shared" si="45"/>
        <v>SR807C650031</v>
      </c>
      <c r="AG761" s="111" t="s">
        <v>311</v>
      </c>
      <c r="AH761" s="111" t="str">
        <f t="shared" si="193"/>
        <v>9999</v>
      </c>
      <c r="AI761" s="111" t="str">
        <f t="shared" si="194"/>
        <v>50010001</v>
      </c>
      <c r="AJ761" s="111">
        <f t="shared" si="68"/>
        <v>0</v>
      </c>
      <c r="AK761" s="111">
        <f t="shared" si="69"/>
        <v>0</v>
      </c>
      <c r="AL761" s="111">
        <f t="shared" si="195"/>
        <v>0</v>
      </c>
      <c r="AM761" s="111">
        <f t="shared" si="196"/>
        <v>1</v>
      </c>
      <c r="AN761" s="111" t="str">
        <f t="shared" si="198"/>
        <v>CNY</v>
      </c>
      <c r="AO761" s="6">
        <f t="shared" si="180"/>
        <v>2.0000000000000001E-4</v>
      </c>
      <c r="AP761" s="6">
        <f t="shared" si="181"/>
        <v>2</v>
      </c>
      <c r="AQ761" s="6">
        <f t="shared" si="73"/>
        <v>0</v>
      </c>
    </row>
    <row r="762" spans="1:220" x14ac:dyDescent="0.25">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10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c r="DJ762" s="6"/>
      <c r="DK762" s="6"/>
      <c r="DL762" s="6"/>
      <c r="DM762" s="6"/>
      <c r="DN762" s="6"/>
      <c r="DO762" s="6"/>
      <c r="DP762" s="6"/>
      <c r="DQ762" s="6"/>
      <c r="DR762" s="6"/>
      <c r="DS762" s="6"/>
      <c r="DT762" s="6"/>
      <c r="DU762" s="6"/>
      <c r="DV762" s="6"/>
      <c r="DW762" s="6"/>
      <c r="DX762" s="6"/>
      <c r="DY762" s="6"/>
      <c r="DZ762" s="6"/>
      <c r="EA762" s="6"/>
      <c r="EB762" s="6"/>
      <c r="EC762" s="6"/>
      <c r="ED762" s="6"/>
      <c r="EE762" s="6"/>
      <c r="EF762" s="6"/>
      <c r="EG762" s="6"/>
      <c r="EH762" s="6"/>
      <c r="EI762" s="6"/>
      <c r="EJ762" s="6"/>
      <c r="EK762" s="6"/>
      <c r="EL762" s="6"/>
      <c r="EM762" s="6"/>
      <c r="EN762" s="6"/>
      <c r="EO762" s="6"/>
      <c r="EP762" s="6"/>
      <c r="EQ762" s="6"/>
      <c r="ER762" s="6"/>
      <c r="ES762" s="6"/>
      <c r="ET762" s="6"/>
      <c r="EU762" s="6"/>
      <c r="EV762" s="6"/>
      <c r="EW762" s="6"/>
      <c r="EX762" s="6"/>
      <c r="EY762" s="6"/>
      <c r="EZ762" s="6"/>
      <c r="FA762" s="6"/>
      <c r="FB762" s="6"/>
      <c r="FC762" s="6"/>
      <c r="FD762" s="6"/>
      <c r="FE762" s="6"/>
      <c r="FF762" s="6"/>
      <c r="FG762" s="6"/>
      <c r="FH762" s="6"/>
      <c r="FI762" s="6"/>
      <c r="FJ762" s="6"/>
      <c r="FK762" s="6"/>
      <c r="FL762" s="6"/>
      <c r="FM762" s="6"/>
      <c r="FN762" s="6"/>
      <c r="FO762" s="6"/>
      <c r="FP762" s="6"/>
      <c r="FQ762" s="6"/>
      <c r="FR762" s="6"/>
      <c r="FS762" s="6"/>
      <c r="FT762" s="6"/>
      <c r="FU762" s="6"/>
      <c r="FV762" s="6"/>
      <c r="FW762" s="6"/>
      <c r="FX762" s="6"/>
      <c r="FY762" s="6"/>
      <c r="FZ762" s="6"/>
      <c r="GA762" s="6"/>
      <c r="GB762" s="6"/>
      <c r="GC762" s="6"/>
      <c r="GD762" s="6"/>
      <c r="GE762" s="6"/>
      <c r="GF762" s="6"/>
      <c r="GG762" s="6"/>
      <c r="GH762" s="6"/>
      <c r="GI762" s="6"/>
      <c r="GJ762" s="6"/>
      <c r="GK762" s="6"/>
      <c r="GL762" s="6"/>
      <c r="GM762" s="6"/>
      <c r="GN762" s="6"/>
      <c r="GO762" s="6"/>
      <c r="GP762" s="6"/>
      <c r="GQ762" s="6"/>
      <c r="GR762" s="6"/>
      <c r="GS762" s="6"/>
      <c r="GT762" s="6"/>
      <c r="GU762" s="6"/>
      <c r="GV762" s="6"/>
      <c r="GW762" s="6"/>
      <c r="GX762" s="6"/>
      <c r="GY762" s="6"/>
      <c r="GZ762" s="6"/>
      <c r="HA762" s="6"/>
      <c r="HB762" s="6"/>
      <c r="HC762" s="6"/>
      <c r="HD762" s="6"/>
      <c r="HE762" s="6"/>
      <c r="HF762" s="6"/>
      <c r="HG762" s="6"/>
      <c r="HH762" s="6"/>
      <c r="HI762" s="6"/>
      <c r="HJ762" s="6"/>
      <c r="HK762" s="6"/>
      <c r="HL762" s="6"/>
    </row>
    <row r="763" spans="1:220" x14ac:dyDescent="0.25">
      <c r="A763" s="6" t="s">
        <v>173</v>
      </c>
      <c r="B763" s="6" t="s">
        <v>1386</v>
      </c>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107"/>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c r="DJ763" s="6"/>
      <c r="DK763" s="6"/>
      <c r="DL763" s="6"/>
      <c r="DM763" s="6"/>
      <c r="DN763" s="6"/>
      <c r="DO763" s="6"/>
      <c r="DP763" s="6"/>
      <c r="DQ763" s="6"/>
      <c r="DR763" s="6"/>
      <c r="DS763" s="6"/>
      <c r="DT763" s="6"/>
      <c r="DU763" s="6"/>
      <c r="DV763" s="6"/>
      <c r="DW763" s="6"/>
      <c r="DX763" s="6"/>
      <c r="DY763" s="6"/>
      <c r="DZ763" s="6"/>
      <c r="EA763" s="6"/>
      <c r="EB763" s="6"/>
      <c r="EC763" s="6"/>
      <c r="ED763" s="6"/>
      <c r="EE763" s="6"/>
      <c r="EF763" s="6"/>
      <c r="EG763" s="6"/>
      <c r="EH763" s="6"/>
      <c r="EI763" s="6"/>
      <c r="EJ763" s="6"/>
      <c r="EK763" s="6"/>
      <c r="EL763" s="6"/>
      <c r="EM763" s="6"/>
      <c r="EN763" s="6"/>
      <c r="EO763" s="6"/>
      <c r="EP763" s="6"/>
      <c r="EQ763" s="6"/>
      <c r="ER763" s="6"/>
      <c r="ES763" s="6"/>
      <c r="ET763" s="6"/>
      <c r="EU763" s="6"/>
      <c r="EV763" s="6"/>
      <c r="EW763" s="6"/>
      <c r="EX763" s="6"/>
      <c r="EY763" s="6"/>
      <c r="EZ763" s="6"/>
      <c r="FA763" s="6"/>
      <c r="FB763" s="6"/>
      <c r="FC763" s="6"/>
      <c r="FD763" s="6"/>
      <c r="FE763" s="6"/>
      <c r="FF763" s="6"/>
      <c r="FG763" s="6"/>
      <c r="FH763" s="6"/>
      <c r="FI763" s="6"/>
      <c r="FJ763" s="6"/>
      <c r="FK763" s="6"/>
      <c r="FL763" s="6"/>
      <c r="FM763" s="6"/>
      <c r="FN763" s="6"/>
      <c r="FO763" s="6"/>
      <c r="FP763" s="6"/>
      <c r="FQ763" s="6"/>
      <c r="FR763" s="6"/>
      <c r="FS763" s="6"/>
      <c r="FT763" s="6"/>
      <c r="FU763" s="6"/>
      <c r="FV763" s="6"/>
      <c r="FW763" s="6"/>
      <c r="FX763" s="6"/>
      <c r="FY763" s="6"/>
      <c r="FZ763" s="6"/>
      <c r="GA763" s="6"/>
      <c r="GB763" s="6"/>
      <c r="GC763" s="6"/>
      <c r="GD763" s="6"/>
      <c r="GE763" s="6"/>
      <c r="GF763" s="6"/>
      <c r="GG763" s="6"/>
      <c r="GH763" s="6"/>
      <c r="GI763" s="6"/>
      <c r="GJ763" s="6"/>
      <c r="GK763" s="6"/>
      <c r="GL763" s="6"/>
      <c r="GM763" s="6"/>
      <c r="GN763" s="6"/>
      <c r="GO763" s="6"/>
      <c r="GP763" s="6"/>
      <c r="GQ763" s="6"/>
      <c r="GR763" s="6"/>
      <c r="GS763" s="6"/>
      <c r="GT763" s="6"/>
      <c r="GU763" s="6"/>
      <c r="GV763" s="6"/>
      <c r="GW763" s="6"/>
      <c r="GX763" s="6"/>
      <c r="GY763" s="6"/>
      <c r="GZ763" s="6"/>
      <c r="HA763" s="6"/>
      <c r="HB763" s="6"/>
      <c r="HC763" s="6"/>
      <c r="HD763" s="6"/>
      <c r="HE763" s="6"/>
      <c r="HF763" s="6"/>
      <c r="HG763" s="6"/>
      <c r="HH763" s="6"/>
      <c r="HI763" s="6"/>
      <c r="HJ763" s="6"/>
      <c r="HK763" s="6"/>
      <c r="HL763" s="6"/>
    </row>
    <row r="764" spans="1:220" x14ac:dyDescent="0.25">
      <c r="A764" s="157" t="s">
        <v>970</v>
      </c>
      <c r="B764" s="157" t="s">
        <v>971</v>
      </c>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107"/>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c r="DJ764" s="6"/>
      <c r="DK764" s="6"/>
      <c r="DL764" s="6"/>
      <c r="DM764" s="6"/>
      <c r="DN764" s="6"/>
      <c r="DO764" s="6"/>
      <c r="DP764" s="6"/>
      <c r="DQ764" s="6"/>
      <c r="DR764" s="6"/>
      <c r="DS764" s="6"/>
      <c r="DT764" s="6"/>
      <c r="DU764" s="6"/>
      <c r="DV764" s="6"/>
      <c r="DW764" s="6"/>
      <c r="DX764" s="6"/>
      <c r="DY764" s="6"/>
      <c r="DZ764" s="6"/>
      <c r="EA764" s="6"/>
      <c r="EB764" s="6"/>
      <c r="EC764" s="6"/>
      <c r="ED764" s="6"/>
      <c r="EE764" s="6"/>
      <c r="EF764" s="6"/>
      <c r="EG764" s="6"/>
      <c r="EH764" s="6"/>
      <c r="EI764" s="6"/>
      <c r="EJ764" s="6"/>
      <c r="EK764" s="6"/>
      <c r="EL764" s="6"/>
      <c r="EM764" s="6"/>
      <c r="EN764" s="6"/>
      <c r="EO764" s="6"/>
      <c r="EP764" s="6"/>
      <c r="EQ764" s="6"/>
      <c r="ER764" s="6"/>
      <c r="ES764" s="6"/>
      <c r="ET764" s="6"/>
      <c r="EU764" s="6"/>
      <c r="EV764" s="6"/>
      <c r="EW764" s="6"/>
      <c r="EX764" s="6"/>
      <c r="EY764" s="6"/>
      <c r="EZ764" s="6"/>
      <c r="FA764" s="6"/>
      <c r="FB764" s="6"/>
      <c r="FC764" s="6"/>
      <c r="FD764" s="6"/>
      <c r="FE764" s="6"/>
      <c r="FF764" s="6"/>
      <c r="FG764" s="6"/>
      <c r="FH764" s="6"/>
      <c r="FI764" s="6"/>
      <c r="FJ764" s="6"/>
      <c r="FK764" s="6"/>
      <c r="FL764" s="6"/>
      <c r="FM764" s="6"/>
      <c r="FN764" s="6"/>
      <c r="FO764" s="6"/>
      <c r="FP764" s="6"/>
      <c r="FQ764" s="6"/>
      <c r="FR764" s="6"/>
      <c r="FS764" s="6"/>
      <c r="FT764" s="6"/>
      <c r="FU764" s="6"/>
      <c r="FV764" s="6"/>
      <c r="FW764" s="6"/>
      <c r="FX764" s="6"/>
      <c r="FY764" s="6"/>
      <c r="FZ764" s="6"/>
      <c r="GA764" s="6"/>
      <c r="GB764" s="6"/>
      <c r="GC764" s="6"/>
      <c r="GD764" s="6"/>
      <c r="GE764" s="6"/>
      <c r="GF764" s="6"/>
      <c r="GG764" s="6"/>
      <c r="GH764" s="6"/>
      <c r="GI764" s="6"/>
      <c r="GJ764" s="6"/>
      <c r="GK764" s="6"/>
      <c r="GL764" s="6"/>
      <c r="GM764" s="6"/>
      <c r="GN764" s="6"/>
      <c r="GO764" s="6"/>
      <c r="GP764" s="6"/>
      <c r="GQ764" s="6"/>
      <c r="GR764" s="6"/>
      <c r="GS764" s="6"/>
      <c r="GT764" s="6"/>
      <c r="GU764" s="6"/>
      <c r="GV764" s="6"/>
      <c r="GW764" s="6"/>
      <c r="GX764" s="6"/>
      <c r="GY764" s="6"/>
      <c r="GZ764" s="6"/>
      <c r="HA764" s="6"/>
      <c r="HB764" s="6"/>
      <c r="HC764" s="6"/>
      <c r="HD764" s="6"/>
      <c r="HE764" s="6"/>
      <c r="HF764" s="6"/>
      <c r="HG764" s="6"/>
      <c r="HH764" s="6"/>
      <c r="HI764" s="6"/>
      <c r="HJ764" s="6"/>
      <c r="HK764" s="6"/>
      <c r="HL764" s="6"/>
    </row>
    <row r="765" spans="1:220" x14ac:dyDescent="0.25">
      <c r="A765" s="6" t="s">
        <v>306</v>
      </c>
      <c r="B765" s="719" t="s">
        <v>1082</v>
      </c>
      <c r="C765" s="720"/>
      <c r="D765" s="720"/>
      <c r="E765" s="720"/>
      <c r="F765" s="720"/>
      <c r="G765" s="720"/>
      <c r="H765" s="720"/>
      <c r="I765" s="720"/>
      <c r="J765" s="720"/>
      <c r="K765" s="720"/>
      <c r="L765" s="720"/>
      <c r="M765" s="720"/>
      <c r="N765" s="720"/>
      <c r="O765" s="720"/>
      <c r="P765" s="720"/>
      <c r="Q765" s="720"/>
      <c r="R765" s="720"/>
      <c r="S765" s="720"/>
      <c r="T765" s="720"/>
      <c r="U765" s="720"/>
      <c r="V765" s="720"/>
      <c r="W765" s="720"/>
      <c r="X765" s="720"/>
      <c r="Y765" s="720"/>
      <c r="Z765" s="6"/>
      <c r="AA765" s="6"/>
      <c r="AB765" s="6"/>
      <c r="AC765" s="6"/>
      <c r="AD765" s="6"/>
      <c r="AE765" s="6"/>
      <c r="AF765" s="107"/>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c r="DJ765" s="6"/>
      <c r="DK765" s="6"/>
      <c r="DL765" s="6"/>
      <c r="DM765" s="6"/>
      <c r="DN765" s="6"/>
      <c r="DO765" s="6"/>
      <c r="DP765" s="6"/>
      <c r="DQ765" s="6"/>
      <c r="DR765" s="6"/>
      <c r="DS765" s="6"/>
      <c r="DT765" s="6"/>
      <c r="DU765" s="6"/>
      <c r="DV765" s="6"/>
      <c r="DW765" s="6"/>
      <c r="DX765" s="6"/>
      <c r="DY765" s="6"/>
      <c r="DZ765" s="6"/>
      <c r="EA765" s="6"/>
      <c r="EB765" s="6"/>
      <c r="EC765" s="6"/>
      <c r="ED765" s="6"/>
      <c r="EE765" s="6"/>
      <c r="EF765" s="6"/>
      <c r="EG765" s="6"/>
      <c r="EH765" s="6"/>
      <c r="EI765" s="6"/>
      <c r="EJ765" s="6"/>
      <c r="EK765" s="6"/>
      <c r="EL765" s="6"/>
      <c r="EM765" s="6"/>
      <c r="EN765" s="6"/>
      <c r="EO765" s="6"/>
      <c r="EP765" s="6"/>
      <c r="EQ765" s="6"/>
      <c r="ER765" s="6"/>
      <c r="ES765" s="6"/>
      <c r="ET765" s="6"/>
      <c r="EU765" s="6"/>
      <c r="EV765" s="6"/>
      <c r="EW765" s="6"/>
      <c r="EX765" s="6"/>
      <c r="EY765" s="6"/>
      <c r="EZ765" s="6"/>
      <c r="FA765" s="6"/>
      <c r="FB765" s="6"/>
      <c r="FC765" s="6"/>
      <c r="FD765" s="6"/>
      <c r="FE765" s="6"/>
      <c r="FF765" s="6"/>
      <c r="FG765" s="6"/>
      <c r="FH765" s="6"/>
      <c r="FI765" s="6"/>
      <c r="FJ765" s="6"/>
      <c r="FK765" s="6"/>
      <c r="FL765" s="6"/>
      <c r="FM765" s="6"/>
      <c r="FN765" s="6"/>
      <c r="FO765" s="6"/>
      <c r="FP765" s="6"/>
      <c r="FQ765" s="6"/>
      <c r="FR765" s="6"/>
      <c r="FS765" s="6"/>
      <c r="FT765" s="6"/>
      <c r="FU765" s="6"/>
      <c r="FV765" s="6"/>
      <c r="FW765" s="6"/>
      <c r="FX765" s="6"/>
      <c r="FY765" s="6"/>
      <c r="FZ765" s="6"/>
      <c r="GA765" s="6"/>
      <c r="GB765" s="6"/>
      <c r="GC765" s="6"/>
      <c r="GD765" s="6"/>
      <c r="GE765" s="6"/>
      <c r="GF765" s="6"/>
      <c r="GG765" s="6"/>
      <c r="GH765" s="6"/>
      <c r="GI765" s="6"/>
      <c r="GJ765" s="6"/>
      <c r="GK765" s="6"/>
      <c r="GL765" s="6"/>
      <c r="GM765" s="6"/>
      <c r="GN765" s="6"/>
      <c r="GO765" s="6"/>
      <c r="GP765" s="6"/>
      <c r="GQ765" s="6"/>
      <c r="GR765" s="6"/>
      <c r="GS765" s="6"/>
      <c r="GT765" s="6"/>
      <c r="GU765" s="6"/>
      <c r="GV765" s="6"/>
      <c r="GW765" s="6"/>
      <c r="GX765" s="6"/>
      <c r="GY765" s="6"/>
      <c r="GZ765" s="6"/>
      <c r="HA765" s="6"/>
      <c r="HB765" s="6"/>
      <c r="HC765" s="6"/>
      <c r="HD765" s="6"/>
      <c r="HE765" s="6"/>
      <c r="HF765" s="6"/>
      <c r="HG765" s="6"/>
      <c r="HH765" s="6"/>
      <c r="HI765" s="6"/>
      <c r="HJ765" s="6"/>
      <c r="HK765" s="6"/>
      <c r="HL765" s="6"/>
    </row>
    <row r="766" spans="1:220" x14ac:dyDescent="0.25">
      <c r="A766" s="6" t="s">
        <v>1387</v>
      </c>
      <c r="B766" s="7" t="s">
        <v>371</v>
      </c>
      <c r="C766" s="7" t="s">
        <v>364</v>
      </c>
      <c r="D766" s="7" t="s">
        <v>363</v>
      </c>
      <c r="E766" s="7" t="s">
        <v>19</v>
      </c>
      <c r="F766" s="7" t="s">
        <v>287</v>
      </c>
      <c r="G766" s="7" t="s">
        <v>118</v>
      </c>
      <c r="H766" s="7" t="s">
        <v>365</v>
      </c>
      <c r="I766" s="404" t="s">
        <v>676</v>
      </c>
      <c r="J766" s="7" t="s">
        <v>198</v>
      </c>
      <c r="K766" s="7" t="s">
        <v>52</v>
      </c>
      <c r="L766" s="7" t="s">
        <v>7</v>
      </c>
      <c r="M766" s="7" t="s">
        <v>8</v>
      </c>
      <c r="N766" s="7" t="s">
        <v>294</v>
      </c>
      <c r="O766" s="7" t="s">
        <v>9</v>
      </c>
      <c r="P766" s="7" t="s">
        <v>10</v>
      </c>
      <c r="Q766" s="7" t="s">
        <v>1027</v>
      </c>
      <c r="R766" s="7" t="s">
        <v>11</v>
      </c>
      <c r="S766" s="7" t="s">
        <v>12</v>
      </c>
      <c r="T766" s="7" t="s">
        <v>13</v>
      </c>
      <c r="U766" s="7" t="s">
        <v>1028</v>
      </c>
      <c r="V766" s="7" t="s">
        <v>1029</v>
      </c>
      <c r="W766" s="7" t="s">
        <v>191</v>
      </c>
      <c r="X766" s="7" t="s">
        <v>347</v>
      </c>
      <c r="Y766" s="7" t="s">
        <v>1031</v>
      </c>
      <c r="Z766" s="6"/>
      <c r="AA766" s="6"/>
      <c r="AB766" s="6"/>
      <c r="AC766" s="6"/>
      <c r="AD766" s="6"/>
      <c r="AE766" s="6"/>
      <c r="AF766" s="6"/>
      <c r="AG766" s="10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c r="DJ766" s="6"/>
      <c r="DK766" s="6"/>
      <c r="DL766" s="6"/>
      <c r="DM766" s="6"/>
      <c r="DN766" s="6"/>
      <c r="DO766" s="6"/>
      <c r="DP766" s="6"/>
      <c r="DQ766" s="6"/>
      <c r="DR766" s="6"/>
      <c r="DS766" s="6"/>
      <c r="DT766" s="6"/>
      <c r="DU766" s="6"/>
      <c r="DV766" s="6"/>
      <c r="DW766" s="6"/>
      <c r="DX766" s="6"/>
      <c r="DY766" s="6"/>
      <c r="DZ766" s="6"/>
      <c r="EA766" s="6"/>
      <c r="EB766" s="6"/>
      <c r="EC766" s="6"/>
      <c r="ED766" s="6"/>
      <c r="EE766" s="6"/>
      <c r="EF766" s="6"/>
      <c r="EG766" s="6"/>
      <c r="EH766" s="6"/>
      <c r="EI766" s="6"/>
      <c r="EJ766" s="6"/>
      <c r="EK766" s="6"/>
      <c r="EL766" s="6"/>
      <c r="EM766" s="6"/>
      <c r="EN766" s="6"/>
      <c r="EO766" s="6"/>
      <c r="EP766" s="6"/>
      <c r="EQ766" s="6"/>
      <c r="ER766" s="6"/>
      <c r="ES766" s="6"/>
      <c r="ET766" s="6"/>
      <c r="EU766" s="6"/>
      <c r="EV766" s="6"/>
      <c r="EW766" s="6"/>
      <c r="EX766" s="6"/>
      <c r="EY766" s="6"/>
      <c r="EZ766" s="6"/>
      <c r="FA766" s="6"/>
      <c r="FB766" s="6"/>
      <c r="FC766" s="6"/>
      <c r="FD766" s="6"/>
      <c r="FE766" s="6"/>
      <c r="FF766" s="6"/>
      <c r="FG766" s="6"/>
      <c r="FH766" s="6"/>
      <c r="FI766" s="6"/>
      <c r="FJ766" s="6"/>
      <c r="FK766" s="6"/>
      <c r="FL766" s="6"/>
      <c r="FM766" s="6"/>
      <c r="FN766" s="6"/>
      <c r="FO766" s="6"/>
      <c r="FP766" s="6"/>
      <c r="FQ766" s="6"/>
      <c r="FR766" s="6"/>
      <c r="FS766" s="6"/>
      <c r="FT766" s="6"/>
      <c r="FU766" s="6"/>
      <c r="FV766" s="6"/>
      <c r="FW766" s="6"/>
      <c r="FX766" s="6"/>
      <c r="FY766" s="6"/>
      <c r="FZ766" s="6"/>
      <c r="GA766" s="6"/>
      <c r="GB766" s="6"/>
      <c r="GC766" s="6"/>
      <c r="GD766" s="6"/>
      <c r="GE766" s="6"/>
      <c r="GF766" s="6"/>
      <c r="GG766" s="6"/>
      <c r="GH766" s="6"/>
      <c r="GI766" s="6"/>
      <c r="GJ766" s="6"/>
      <c r="GK766" s="6"/>
      <c r="GL766" s="6"/>
      <c r="GM766" s="6"/>
      <c r="GN766" s="6"/>
      <c r="GO766" s="6"/>
      <c r="GP766" s="6"/>
      <c r="GQ766" s="6"/>
      <c r="GR766" s="6"/>
      <c r="GS766" s="6"/>
      <c r="GT766" s="6"/>
      <c r="GU766" s="6"/>
      <c r="GV766" s="6"/>
      <c r="GW766" s="6"/>
      <c r="GX766" s="6"/>
      <c r="GY766" s="6"/>
      <c r="GZ766" s="6"/>
      <c r="HA766" s="6"/>
      <c r="HB766" s="6"/>
      <c r="HC766" s="6"/>
      <c r="HD766" s="6"/>
      <c r="HE766" s="6"/>
      <c r="HF766" s="6"/>
      <c r="HG766" s="6"/>
      <c r="HH766" s="6"/>
      <c r="HI766" s="6"/>
      <c r="HJ766" s="6"/>
      <c r="HK766" s="6"/>
      <c r="HL766" s="6"/>
    </row>
    <row r="767" spans="1:220" x14ac:dyDescent="0.25">
      <c r="B767" s="7" t="s">
        <v>370</v>
      </c>
      <c r="C767" s="7" t="s">
        <v>324</v>
      </c>
      <c r="D767" s="7" t="s">
        <v>1032</v>
      </c>
      <c r="E767" s="7" t="s">
        <v>321</v>
      </c>
      <c r="F767" s="7" t="s">
        <v>322</v>
      </c>
      <c r="G767" s="7" t="s">
        <v>323</v>
      </c>
      <c r="H767" s="7" t="s">
        <v>325</v>
      </c>
      <c r="I767" s="404" t="s">
        <v>1033</v>
      </c>
      <c r="J767" s="7" t="s">
        <v>327</v>
      </c>
      <c r="K767" s="7" t="s">
        <v>328</v>
      </c>
      <c r="L767" s="7" t="s">
        <v>329</v>
      </c>
      <c r="M767" s="7" t="s">
        <v>330</v>
      </c>
      <c r="N767" s="7" t="s">
        <v>331</v>
      </c>
      <c r="O767" s="7" t="s">
        <v>332</v>
      </c>
      <c r="P767" s="7" t="s">
        <v>333</v>
      </c>
      <c r="Q767" s="7" t="s">
        <v>1039</v>
      </c>
      <c r="R767" s="7" t="s">
        <v>366</v>
      </c>
      <c r="S767" s="7" t="s">
        <v>1041</v>
      </c>
      <c r="T767" s="7" t="s">
        <v>1042</v>
      </c>
      <c r="U767" s="7" t="s">
        <v>1043</v>
      </c>
      <c r="V767" s="7" t="s">
        <v>1044</v>
      </c>
      <c r="W767" s="7" t="s">
        <v>346</v>
      </c>
      <c r="X767" s="7" t="s">
        <v>345</v>
      </c>
      <c r="Y767" s="7" t="s">
        <v>1031</v>
      </c>
      <c r="AG767" s="106"/>
    </row>
    <row r="768" spans="1:220" x14ac:dyDescent="0.25">
      <c r="B768" s="92" t="str">
        <f>B694</f>
        <v>201803271000001120180326100000201</v>
      </c>
      <c r="C768" s="109" t="str">
        <f t="shared" ref="C768:C777" si="201">VLOOKUP(B768,$B$693:$AN$761,2,FALSE)</f>
        <v>2018032710000011</v>
      </c>
      <c r="D768" s="109" t="str">
        <f t="shared" ref="D768:D777" si="202">VLOOKUP(B768,$B$693:$AN$761,3,FALSE)</f>
        <v>2018032610000020</v>
      </c>
      <c r="E768" s="92" t="str">
        <f t="shared" ref="E768:E777" si="203">VLOOKUP(B768,$B$693:$AN$761,4,FALSE)</f>
        <v>6001</v>
      </c>
      <c r="F768" s="92" t="str">
        <f t="shared" ref="F768:F777" si="204">VLOOKUP(B768,$B$693:$AN$761,5,FALSE)</f>
        <v>B00101</v>
      </c>
      <c r="G768" s="92" t="str">
        <f t="shared" ref="G768:G777" si="205">VLOOKUP(B768,$B$693:$AN$761,6,FALSE)</f>
        <v>6001</v>
      </c>
      <c r="H768" s="92">
        <f>$B$2</f>
        <v>20180327</v>
      </c>
      <c r="I768" s="92">
        <f t="shared" ref="I768:I777" si="206">VLOOKUP(B768,$B$693:$AN$761,9,FALSE)</f>
        <v>20180326</v>
      </c>
      <c r="J768" s="92" t="str">
        <f>$B$19</f>
        <v>CZCE</v>
      </c>
      <c r="K768" s="92" t="str">
        <f t="shared" ref="K768:K777" si="207">VLOOKUP(B768,$B$693:$AN$761,11,FALSE)</f>
        <v>SR807</v>
      </c>
      <c r="L768" s="92">
        <f>VLOOKUP(B768,$B$693:$AN$761,12,FALSE)</f>
        <v>10</v>
      </c>
      <c r="M768" s="92">
        <f t="shared" ref="M768:M777" si="208">VLOOKUP(B768,$B$693:$AN$761,13,FALSE)</f>
        <v>1</v>
      </c>
      <c r="N768" s="92">
        <f t="shared" ref="N768:N777" si="209">VLOOKUP(B768,$B$693:$AN$761,14,FALSE)</f>
        <v>1</v>
      </c>
      <c r="O768" s="92">
        <f t="shared" ref="O768:O777" si="210">VLOOKUP(B768,$B$693:$AN$761,15,FALSE)</f>
        <v>1</v>
      </c>
      <c r="P768" s="92">
        <f t="shared" ref="P768:P777" si="211">VLOOKUP(B768,$B$693:$AN$761,16,FALSE)</f>
        <v>8</v>
      </c>
      <c r="Q768" s="92">
        <f t="shared" ref="Q768:Q777" si="212">VLOOKUP(B768,$B$693:$AN$761,17,FALSE)</f>
        <v>6110</v>
      </c>
      <c r="R768" s="92">
        <f t="shared" ref="R768:R777" si="213">VLOOKUP(B768,$B$693:$AN$761,18,FALSE)</f>
        <v>6110</v>
      </c>
      <c r="S768" s="92">
        <f t="shared" ref="S768:S777" si="214">VLOOKUP(B768,$B$693:$AN$761,19,FALSE)</f>
        <v>6150</v>
      </c>
      <c r="T768" s="92">
        <f t="shared" ref="T768:T777" si="215">VLOOKUP(K768,$C$230:$E$242,3,FALSE)</f>
        <v>6155</v>
      </c>
      <c r="U768" s="92">
        <f t="shared" ref="U768:U777" si="216">VLOOKUP(B768,$B$693:$AN$761,28,FALSE)</f>
        <v>-3200</v>
      </c>
      <c r="V768" s="92">
        <f>VLOOKUP(B768,$B$693:$AN$761,29,FALSE)</f>
        <v>0</v>
      </c>
      <c r="W768" s="92" t="str">
        <f>$F$5</f>
        <v>9999</v>
      </c>
      <c r="X768" s="92" t="str">
        <f t="shared" ref="X768:X777" si="217">VLOOKUP(B768,$B$693:$AN$761,34,FALSE)</f>
        <v>50010001</v>
      </c>
      <c r="Y768" s="92" t="str">
        <f t="shared" ref="Y768:Y777" si="218">VLOOKUP(B768,$B$693:$AN$761,32,FALSE)</f>
        <v>N</v>
      </c>
      <c r="AF768" s="106"/>
    </row>
    <row r="769" spans="2:32" x14ac:dyDescent="0.25">
      <c r="B769" s="92" t="str">
        <f>B697</f>
        <v>201803271000001420180326100000181</v>
      </c>
      <c r="C769" s="109" t="str">
        <f t="shared" si="201"/>
        <v>2018032710000014</v>
      </c>
      <c r="D769" s="109" t="str">
        <f t="shared" si="202"/>
        <v>2018032610000018</v>
      </c>
      <c r="E769" s="92" t="str">
        <f t="shared" si="203"/>
        <v>6001</v>
      </c>
      <c r="F769" s="92" t="str">
        <f t="shared" si="204"/>
        <v>B00101</v>
      </c>
      <c r="G769" s="92" t="str">
        <f t="shared" si="205"/>
        <v>6001</v>
      </c>
      <c r="H769" s="92">
        <f t="shared" ref="H769:H789" si="219">$B$2</f>
        <v>20180327</v>
      </c>
      <c r="I769" s="92">
        <f t="shared" si="206"/>
        <v>20180326</v>
      </c>
      <c r="J769" s="92" t="str">
        <f t="shared" ref="J769:J789" si="220">$B$19</f>
        <v>CZCE</v>
      </c>
      <c r="K769" s="92" t="str">
        <f t="shared" si="207"/>
        <v>SR807</v>
      </c>
      <c r="L769" s="92">
        <f t="shared" ref="L769:L777" si="221">VLOOKUP(K769,$C$19:$E$29,3,FALSE)</f>
        <v>10</v>
      </c>
      <c r="M769" s="92">
        <f t="shared" si="208"/>
        <v>1</v>
      </c>
      <c r="N769" s="92">
        <f t="shared" si="209"/>
        <v>1</v>
      </c>
      <c r="O769" s="92">
        <f t="shared" si="210"/>
        <v>3</v>
      </c>
      <c r="P769" s="92">
        <f t="shared" si="211"/>
        <v>2</v>
      </c>
      <c r="Q769" s="92">
        <f t="shared" si="212"/>
        <v>6108</v>
      </c>
      <c r="R769" s="92">
        <f t="shared" si="213"/>
        <v>6110</v>
      </c>
      <c r="S769" s="92">
        <f t="shared" si="214"/>
        <v>6150</v>
      </c>
      <c r="T769" s="92">
        <f t="shared" si="215"/>
        <v>6155</v>
      </c>
      <c r="U769" s="92">
        <f t="shared" si="216"/>
        <v>-800</v>
      </c>
      <c r="V769" s="92">
        <f>VLOOKUP(B769,$B$693:$AN$761,29,FALSE)</f>
        <v>40</v>
      </c>
      <c r="W769" s="92" t="str">
        <f t="shared" ref="W769:W789" si="222">$F$5</f>
        <v>9999</v>
      </c>
      <c r="X769" s="92" t="str">
        <f t="shared" si="217"/>
        <v>50010001</v>
      </c>
      <c r="Y769" s="92" t="str">
        <f t="shared" si="218"/>
        <v>N</v>
      </c>
      <c r="AF769" s="106"/>
    </row>
    <row r="770" spans="2:32" x14ac:dyDescent="0.25">
      <c r="B770" s="92" t="str">
        <f>B706</f>
        <v>201803271000003420180327100000173</v>
      </c>
      <c r="C770" s="109" t="str">
        <f t="shared" si="201"/>
        <v>2018032710000034</v>
      </c>
      <c r="D770" s="109" t="str">
        <f t="shared" si="202"/>
        <v>2018032710000017</v>
      </c>
      <c r="E770" s="92" t="str">
        <f t="shared" si="203"/>
        <v>6001</v>
      </c>
      <c r="F770" s="92" t="str">
        <f t="shared" si="204"/>
        <v>B00101</v>
      </c>
      <c r="G770" s="92" t="str">
        <f t="shared" si="205"/>
        <v>6001</v>
      </c>
      <c r="H770" s="92">
        <f t="shared" si="219"/>
        <v>20180327</v>
      </c>
      <c r="I770" s="92">
        <f t="shared" si="206"/>
        <v>20180327</v>
      </c>
      <c r="J770" s="92" t="str">
        <f t="shared" si="220"/>
        <v>CZCE</v>
      </c>
      <c r="K770" s="92" t="str">
        <f t="shared" si="207"/>
        <v>SR807</v>
      </c>
      <c r="L770" s="92">
        <f t="shared" si="221"/>
        <v>10</v>
      </c>
      <c r="M770" s="92">
        <f t="shared" si="208"/>
        <v>3</v>
      </c>
      <c r="N770" s="92">
        <f t="shared" si="209"/>
        <v>1</v>
      </c>
      <c r="O770" s="92">
        <f t="shared" si="210"/>
        <v>1</v>
      </c>
      <c r="P770" s="92">
        <f t="shared" si="211"/>
        <v>3</v>
      </c>
      <c r="Q770" s="92">
        <f t="shared" si="212"/>
        <v>6111</v>
      </c>
      <c r="R770" s="92">
        <f t="shared" si="213"/>
        <v>6113</v>
      </c>
      <c r="S770" s="92">
        <f t="shared" si="214"/>
        <v>6150</v>
      </c>
      <c r="T770" s="92">
        <f t="shared" si="215"/>
        <v>6155</v>
      </c>
      <c r="U770" s="92">
        <f t="shared" si="216"/>
        <v>60</v>
      </c>
      <c r="V770" s="92">
        <f>VLOOKUP(B770,$B$693:$AN$761,29,FALSE)</f>
        <v>60</v>
      </c>
      <c r="W770" s="92" t="str">
        <f t="shared" si="222"/>
        <v>9999</v>
      </c>
      <c r="X770" s="92" t="str">
        <f t="shared" si="217"/>
        <v>50010001</v>
      </c>
      <c r="Y770" s="92" t="str">
        <f t="shared" si="218"/>
        <v>N</v>
      </c>
      <c r="AF770" s="106"/>
    </row>
    <row r="771" spans="2:32" x14ac:dyDescent="0.25">
      <c r="B771" s="92" t="str">
        <f>B707</f>
        <v>201803271000003520180326100000183</v>
      </c>
      <c r="C771" s="109" t="str">
        <f t="shared" si="201"/>
        <v>2018032710000035</v>
      </c>
      <c r="D771" s="109" t="str">
        <f t="shared" si="202"/>
        <v>2018032610000018</v>
      </c>
      <c r="E771" s="92" t="str">
        <f t="shared" si="203"/>
        <v>6001</v>
      </c>
      <c r="F771" s="92" t="str">
        <f t="shared" si="204"/>
        <v>B00101</v>
      </c>
      <c r="G771" s="92" t="str">
        <f t="shared" si="205"/>
        <v>6001</v>
      </c>
      <c r="H771" s="92">
        <f t="shared" si="219"/>
        <v>20180327</v>
      </c>
      <c r="I771" s="92">
        <f t="shared" si="206"/>
        <v>20180326</v>
      </c>
      <c r="J771" s="92" t="str">
        <f t="shared" si="220"/>
        <v>CZCE</v>
      </c>
      <c r="K771" s="92" t="str">
        <f t="shared" si="207"/>
        <v>SR807</v>
      </c>
      <c r="L771" s="92">
        <f t="shared" si="221"/>
        <v>10</v>
      </c>
      <c r="M771" s="92">
        <f t="shared" si="208"/>
        <v>3</v>
      </c>
      <c r="N771" s="92">
        <f t="shared" si="209"/>
        <v>1</v>
      </c>
      <c r="O771" s="92">
        <f t="shared" si="210"/>
        <v>3</v>
      </c>
      <c r="P771" s="92">
        <f t="shared" si="211"/>
        <v>3</v>
      </c>
      <c r="Q771" s="92">
        <f t="shared" si="212"/>
        <v>6108</v>
      </c>
      <c r="R771" s="92">
        <f t="shared" si="213"/>
        <v>6113</v>
      </c>
      <c r="S771" s="92">
        <f t="shared" si="214"/>
        <v>6150</v>
      </c>
      <c r="T771" s="92">
        <f t="shared" si="215"/>
        <v>6155</v>
      </c>
      <c r="U771" s="92">
        <f t="shared" si="216"/>
        <v>-1110</v>
      </c>
      <c r="V771" s="92">
        <f>VLOOKUP(B771,$B$693:$AN$761,29,FALSE)</f>
        <v>150</v>
      </c>
      <c r="W771" s="92" t="str">
        <f t="shared" si="222"/>
        <v>9999</v>
      </c>
      <c r="X771" s="92" t="str">
        <f t="shared" si="217"/>
        <v>50010001</v>
      </c>
      <c r="Y771" s="92" t="str">
        <f t="shared" si="218"/>
        <v>N</v>
      </c>
      <c r="AF771" s="106"/>
    </row>
    <row r="772" spans="2:32" s="403" customFormat="1" x14ac:dyDescent="0.25">
      <c r="B772" s="405" t="str">
        <f>B709</f>
        <v>201803271000003720180326100000553</v>
      </c>
      <c r="C772" s="406" t="str">
        <f t="shared" si="201"/>
        <v>2018032710000037</v>
      </c>
      <c r="D772" s="406" t="str">
        <f t="shared" si="202"/>
        <v>2018032610000055</v>
      </c>
      <c r="E772" s="405" t="str">
        <f t="shared" si="203"/>
        <v>6001</v>
      </c>
      <c r="F772" s="405" t="str">
        <f t="shared" si="204"/>
        <v>B00101</v>
      </c>
      <c r="G772" s="405" t="str">
        <f t="shared" si="205"/>
        <v>6001</v>
      </c>
      <c r="H772" s="405">
        <f t="shared" si="219"/>
        <v>20180327</v>
      </c>
      <c r="I772" s="405">
        <f t="shared" si="206"/>
        <v>20180326</v>
      </c>
      <c r="J772" s="405" t="str">
        <f t="shared" si="220"/>
        <v>CZCE</v>
      </c>
      <c r="K772" s="405" t="str">
        <f t="shared" si="207"/>
        <v>SR807</v>
      </c>
      <c r="L772" s="405">
        <f t="shared" si="221"/>
        <v>10</v>
      </c>
      <c r="M772" s="405">
        <f t="shared" si="208"/>
        <v>3</v>
      </c>
      <c r="N772" s="405">
        <f t="shared" si="209"/>
        <v>1</v>
      </c>
      <c r="O772" s="405">
        <f t="shared" si="210"/>
        <v>3</v>
      </c>
      <c r="P772" s="405">
        <f t="shared" si="211"/>
        <v>1</v>
      </c>
      <c r="Q772" s="405">
        <f t="shared" si="212"/>
        <v>6500</v>
      </c>
      <c r="R772" s="405">
        <f t="shared" si="213"/>
        <v>6113</v>
      </c>
      <c r="S772" s="405">
        <f t="shared" si="214"/>
        <v>6150</v>
      </c>
      <c r="T772" s="405">
        <f t="shared" si="215"/>
        <v>6155</v>
      </c>
      <c r="U772" s="405">
        <f t="shared" si="216"/>
        <v>-370</v>
      </c>
      <c r="V772" s="407">
        <f>VLOOKUP(B772,$B$693:$AN$761,29,FALSE)</f>
        <v>-3870</v>
      </c>
      <c r="W772" s="405" t="str">
        <f t="shared" si="222"/>
        <v>9999</v>
      </c>
      <c r="X772" s="405" t="str">
        <f t="shared" si="217"/>
        <v>50010001</v>
      </c>
      <c r="Y772" s="405" t="str">
        <f t="shared" si="218"/>
        <v>N</v>
      </c>
      <c r="AF772" s="408"/>
    </row>
    <row r="773" spans="2:32" s="6" customFormat="1" x14ac:dyDescent="0.25">
      <c r="B773" s="111" t="str">
        <f>B710</f>
        <v>201803271000003720180326100000551</v>
      </c>
      <c r="C773" s="113" t="str">
        <f t="shared" si="201"/>
        <v>2018032710000037</v>
      </c>
      <c r="D773" s="113" t="str">
        <f t="shared" si="202"/>
        <v>2018032610000055</v>
      </c>
      <c r="E773" s="111" t="str">
        <f t="shared" si="203"/>
        <v>6001</v>
      </c>
      <c r="F773" s="111" t="str">
        <f t="shared" si="204"/>
        <v>B00101</v>
      </c>
      <c r="G773" s="111" t="str">
        <f t="shared" si="205"/>
        <v>6001</v>
      </c>
      <c r="H773" s="111">
        <f t="shared" si="219"/>
        <v>20180327</v>
      </c>
      <c r="I773" s="92">
        <f t="shared" si="206"/>
        <v>20180326</v>
      </c>
      <c r="J773" s="111" t="str">
        <f t="shared" si="220"/>
        <v>CZCE</v>
      </c>
      <c r="K773" s="111" t="str">
        <f t="shared" si="207"/>
        <v>SR807</v>
      </c>
      <c r="L773" s="111">
        <f t="shared" si="221"/>
        <v>10</v>
      </c>
      <c r="M773" s="111">
        <f t="shared" si="208"/>
        <v>1</v>
      </c>
      <c r="N773" s="111">
        <f t="shared" si="209"/>
        <v>1</v>
      </c>
      <c r="O773" s="111">
        <f t="shared" si="210"/>
        <v>3</v>
      </c>
      <c r="P773" s="244">
        <f t="shared" si="211"/>
        <v>2</v>
      </c>
      <c r="Q773" s="111">
        <f t="shared" si="212"/>
        <v>6500</v>
      </c>
      <c r="R773" s="111">
        <f t="shared" si="213"/>
        <v>6113</v>
      </c>
      <c r="S773" s="111">
        <f t="shared" si="214"/>
        <v>6150</v>
      </c>
      <c r="T773" s="92">
        <f t="shared" si="215"/>
        <v>6155</v>
      </c>
      <c r="U773" s="92">
        <f t="shared" si="216"/>
        <v>-740</v>
      </c>
      <c r="V773" s="248">
        <f>AD710</f>
        <v>-7740</v>
      </c>
      <c r="W773" s="111" t="str">
        <f t="shared" si="222"/>
        <v>9999</v>
      </c>
      <c r="X773" s="111" t="str">
        <f t="shared" si="217"/>
        <v>50010001</v>
      </c>
      <c r="Y773" s="111" t="str">
        <f t="shared" si="218"/>
        <v>N</v>
      </c>
      <c r="AF773" s="106"/>
    </row>
    <row r="774" spans="2:32" s="6" customFormat="1" x14ac:dyDescent="0.25">
      <c r="B774" s="111" t="str">
        <f>B712</f>
        <v>201803271000005020180326100000311</v>
      </c>
      <c r="C774" s="113" t="str">
        <f t="shared" si="201"/>
        <v>2018032710000050</v>
      </c>
      <c r="D774" s="113" t="str">
        <f t="shared" si="202"/>
        <v>2018032610000031</v>
      </c>
      <c r="E774" s="111" t="str">
        <f t="shared" si="203"/>
        <v>6001</v>
      </c>
      <c r="F774" s="111" t="str">
        <f t="shared" si="204"/>
        <v>B00102</v>
      </c>
      <c r="G774" s="111" t="str">
        <f t="shared" si="205"/>
        <v>6001</v>
      </c>
      <c r="H774" s="111">
        <f t="shared" si="219"/>
        <v>20180327</v>
      </c>
      <c r="I774" s="92">
        <f t="shared" si="206"/>
        <v>20180326</v>
      </c>
      <c r="J774" s="111" t="str">
        <f t="shared" si="220"/>
        <v>CZCE</v>
      </c>
      <c r="K774" s="111" t="str">
        <f t="shared" si="207"/>
        <v>PTA807</v>
      </c>
      <c r="L774" s="111">
        <f t="shared" si="221"/>
        <v>5</v>
      </c>
      <c r="M774" s="111">
        <f t="shared" si="208"/>
        <v>1</v>
      </c>
      <c r="N774" s="111">
        <f t="shared" si="209"/>
        <v>0</v>
      </c>
      <c r="O774" s="111">
        <f t="shared" si="210"/>
        <v>1</v>
      </c>
      <c r="P774" s="111">
        <f t="shared" si="211"/>
        <v>3</v>
      </c>
      <c r="Q774" s="111">
        <f t="shared" si="212"/>
        <v>6121</v>
      </c>
      <c r="R774" s="111">
        <f t="shared" si="213"/>
        <v>6114</v>
      </c>
      <c r="S774" s="111">
        <f t="shared" si="214"/>
        <v>6165</v>
      </c>
      <c r="T774" s="92">
        <f t="shared" si="215"/>
        <v>6160</v>
      </c>
      <c r="U774" s="92">
        <f t="shared" si="216"/>
        <v>765</v>
      </c>
      <c r="V774" s="111">
        <f>VLOOKUP(B774,$B$693:$AN$761,29,FALSE)</f>
        <v>105</v>
      </c>
      <c r="W774" s="111" t="str">
        <f t="shared" si="222"/>
        <v>9999</v>
      </c>
      <c r="X774" s="111" t="str">
        <f t="shared" si="217"/>
        <v>50010002</v>
      </c>
      <c r="Y774" s="111" t="str">
        <f t="shared" si="218"/>
        <v>N</v>
      </c>
      <c r="AF774" s="106"/>
    </row>
    <row r="775" spans="2:32" s="6" customFormat="1" x14ac:dyDescent="0.25">
      <c r="B775" s="111" t="str">
        <f>B716</f>
        <v>201803271000006020180326100000313</v>
      </c>
      <c r="C775" s="113" t="str">
        <f t="shared" si="201"/>
        <v>2018032710000060</v>
      </c>
      <c r="D775" s="113" t="str">
        <f t="shared" si="202"/>
        <v>2018032610000031</v>
      </c>
      <c r="E775" s="111" t="str">
        <f t="shared" si="203"/>
        <v>6001</v>
      </c>
      <c r="F775" s="111" t="str">
        <f t="shared" si="204"/>
        <v>B00102</v>
      </c>
      <c r="G775" s="111" t="str">
        <f t="shared" si="205"/>
        <v>6001</v>
      </c>
      <c r="H775" s="111">
        <f t="shared" si="219"/>
        <v>20180327</v>
      </c>
      <c r="I775" s="92">
        <f t="shared" si="206"/>
        <v>20180326</v>
      </c>
      <c r="J775" s="111" t="str">
        <f t="shared" si="220"/>
        <v>CZCE</v>
      </c>
      <c r="K775" s="111" t="str">
        <f t="shared" si="207"/>
        <v>PTA807</v>
      </c>
      <c r="L775" s="111">
        <f t="shared" si="221"/>
        <v>5</v>
      </c>
      <c r="M775" s="111">
        <f t="shared" si="208"/>
        <v>3</v>
      </c>
      <c r="N775" s="111">
        <f t="shared" si="209"/>
        <v>0</v>
      </c>
      <c r="O775" s="111">
        <f t="shared" si="210"/>
        <v>1</v>
      </c>
      <c r="P775" s="111">
        <f t="shared" si="211"/>
        <v>4</v>
      </c>
      <c r="Q775" s="111">
        <f t="shared" si="212"/>
        <v>6121</v>
      </c>
      <c r="R775" s="111">
        <f t="shared" si="213"/>
        <v>6122</v>
      </c>
      <c r="S775" s="111">
        <f t="shared" si="214"/>
        <v>6165</v>
      </c>
      <c r="T775" s="92">
        <f t="shared" si="215"/>
        <v>6160</v>
      </c>
      <c r="U775" s="92">
        <f t="shared" si="216"/>
        <v>860</v>
      </c>
      <c r="V775" s="248">
        <f>VLOOKUP(B775,$B$693:$AN$761,29,FALSE)</f>
        <v>-20</v>
      </c>
      <c r="W775" s="111" t="str">
        <f t="shared" si="222"/>
        <v>9999</v>
      </c>
      <c r="X775" s="111" t="str">
        <f t="shared" si="217"/>
        <v>50010002</v>
      </c>
      <c r="Y775" s="111" t="str">
        <f t="shared" si="218"/>
        <v>N</v>
      </c>
      <c r="AF775" s="106"/>
    </row>
    <row r="776" spans="2:32" s="6" customFormat="1" x14ac:dyDescent="0.25">
      <c r="B776" s="111" t="str">
        <f>B717</f>
        <v>201803271000006020180326100000311</v>
      </c>
      <c r="C776" s="113" t="str">
        <f t="shared" si="201"/>
        <v>2018032710000060</v>
      </c>
      <c r="D776" s="113" t="str">
        <f t="shared" si="202"/>
        <v>2018032610000031</v>
      </c>
      <c r="E776" s="111" t="str">
        <f t="shared" si="203"/>
        <v>6001</v>
      </c>
      <c r="F776" s="111" t="str">
        <f t="shared" si="204"/>
        <v>B00102</v>
      </c>
      <c r="G776" s="111" t="str">
        <f t="shared" si="205"/>
        <v>6001</v>
      </c>
      <c r="H776" s="111">
        <f t="shared" si="219"/>
        <v>20180327</v>
      </c>
      <c r="I776" s="92">
        <f t="shared" si="206"/>
        <v>20180326</v>
      </c>
      <c r="J776" s="111" t="str">
        <f t="shared" si="220"/>
        <v>CZCE</v>
      </c>
      <c r="K776" s="111" t="str">
        <f t="shared" si="207"/>
        <v>PTA807</v>
      </c>
      <c r="L776" s="111">
        <f t="shared" si="221"/>
        <v>5</v>
      </c>
      <c r="M776" s="111">
        <f t="shared" si="208"/>
        <v>1</v>
      </c>
      <c r="N776" s="111">
        <f t="shared" si="209"/>
        <v>0</v>
      </c>
      <c r="O776" s="111">
        <f t="shared" si="210"/>
        <v>1</v>
      </c>
      <c r="P776" s="111">
        <f t="shared" si="211"/>
        <v>1</v>
      </c>
      <c r="Q776" s="111">
        <f t="shared" si="212"/>
        <v>6121</v>
      </c>
      <c r="R776" s="111">
        <f t="shared" si="213"/>
        <v>6122</v>
      </c>
      <c r="S776" s="111">
        <f t="shared" si="214"/>
        <v>6165</v>
      </c>
      <c r="T776" s="92">
        <f t="shared" si="215"/>
        <v>6160</v>
      </c>
      <c r="U776" s="92">
        <f t="shared" si="216"/>
        <v>215</v>
      </c>
      <c r="V776" s="248">
        <f>AD717</f>
        <v>-5</v>
      </c>
      <c r="W776" s="111" t="str">
        <f t="shared" si="222"/>
        <v>9999</v>
      </c>
      <c r="X776" s="111" t="str">
        <f t="shared" si="217"/>
        <v>50010002</v>
      </c>
      <c r="Y776" s="111" t="str">
        <f t="shared" si="218"/>
        <v>N</v>
      </c>
      <c r="AF776" s="106"/>
    </row>
    <row r="777" spans="2:32" s="6" customFormat="1" x14ac:dyDescent="0.25">
      <c r="B777" s="111" t="str">
        <f>B718</f>
        <v>201803271000006120180327100000521</v>
      </c>
      <c r="C777" s="113" t="str">
        <f t="shared" si="201"/>
        <v>2018032710000061</v>
      </c>
      <c r="D777" s="113" t="str">
        <f t="shared" si="202"/>
        <v>2018032710000052</v>
      </c>
      <c r="E777" s="111" t="str">
        <f t="shared" si="203"/>
        <v>6001</v>
      </c>
      <c r="F777" s="111" t="str">
        <f t="shared" si="204"/>
        <v>B00102</v>
      </c>
      <c r="G777" s="111" t="str">
        <f t="shared" si="205"/>
        <v>6001</v>
      </c>
      <c r="H777" s="111">
        <f t="shared" si="219"/>
        <v>20180327</v>
      </c>
      <c r="I777" s="92">
        <f t="shared" si="206"/>
        <v>20180327</v>
      </c>
      <c r="J777" s="111" t="str">
        <f t="shared" si="220"/>
        <v>CZCE</v>
      </c>
      <c r="K777" s="111" t="str">
        <f t="shared" si="207"/>
        <v>PTA807</v>
      </c>
      <c r="L777" s="111">
        <f t="shared" si="221"/>
        <v>5</v>
      </c>
      <c r="M777" s="111">
        <f t="shared" si="208"/>
        <v>1</v>
      </c>
      <c r="N777" s="111">
        <f t="shared" si="209"/>
        <v>0</v>
      </c>
      <c r="O777" s="111">
        <f t="shared" si="210"/>
        <v>1</v>
      </c>
      <c r="P777" s="111">
        <f t="shared" si="211"/>
        <v>1</v>
      </c>
      <c r="Q777" s="111">
        <f t="shared" si="212"/>
        <v>6115</v>
      </c>
      <c r="R777" s="111">
        <f t="shared" si="213"/>
        <v>6122</v>
      </c>
      <c r="S777" s="111">
        <f t="shared" si="214"/>
        <v>6165</v>
      </c>
      <c r="T777" s="92">
        <f t="shared" si="215"/>
        <v>6160</v>
      </c>
      <c r="U777" s="92">
        <f t="shared" si="216"/>
        <v>-35</v>
      </c>
      <c r="V777" s="111">
        <f>VLOOKUP(B777,$B$693:$AN$761,29,FALSE)</f>
        <v>-35</v>
      </c>
      <c r="W777" s="111" t="str">
        <f t="shared" si="222"/>
        <v>9999</v>
      </c>
      <c r="X777" s="111" t="str">
        <f t="shared" si="217"/>
        <v>50010002</v>
      </c>
      <c r="Y777" s="111" t="str">
        <f t="shared" si="218"/>
        <v>N</v>
      </c>
      <c r="AF777" s="106"/>
    </row>
    <row r="778" spans="2:32" s="6" customFormat="1" x14ac:dyDescent="0.25">
      <c r="B778" s="111" t="str">
        <f>B739</f>
        <v>999999992018032720180326100000251</v>
      </c>
      <c r="C778" s="113" t="str">
        <f t="shared" ref="C778" si="223">VLOOKUP(B778,$B$693:$AN$761,2,FALSE)</f>
        <v>9999999920180327</v>
      </c>
      <c r="D778" s="113" t="str">
        <f t="shared" ref="D778" si="224">VLOOKUP(B778,$B$693:$AN$761,3,FALSE)</f>
        <v>2018032610000025</v>
      </c>
      <c r="E778" s="111" t="str">
        <f t="shared" ref="E778" si="225">VLOOKUP(B778,$B$693:$AN$761,4,FALSE)</f>
        <v>6001</v>
      </c>
      <c r="F778" s="111" t="str">
        <f t="shared" ref="F778" si="226">VLOOKUP(B778,$B$693:$AN$761,5,FALSE)</f>
        <v>B00101</v>
      </c>
      <c r="G778" s="111" t="str">
        <f t="shared" ref="G778" si="227">VLOOKUP(B778,$B$693:$AN$761,6,FALSE)</f>
        <v>6001</v>
      </c>
      <c r="H778" s="111">
        <f t="shared" si="219"/>
        <v>20180327</v>
      </c>
      <c r="I778" s="111">
        <f t="shared" ref="I778" si="228">VLOOKUP(B778,$B$693:$AN$761,9,FALSE)</f>
        <v>20180326</v>
      </c>
      <c r="J778" s="111" t="str">
        <f t="shared" si="220"/>
        <v>CZCE</v>
      </c>
      <c r="K778" s="111" t="str">
        <f t="shared" ref="K778" si="229">VLOOKUP(B778,$B$693:$AN$761,11,FALSE)</f>
        <v>SR809</v>
      </c>
      <c r="L778" s="111">
        <f t="shared" ref="L778" si="230">VLOOKUP(K778,$C$19:$E$29,3,FALSE)</f>
        <v>10</v>
      </c>
      <c r="M778" s="111">
        <f t="shared" ref="M778" si="231">VLOOKUP(B778,$B$693:$AN$761,13,FALSE)</f>
        <v>1</v>
      </c>
      <c r="N778" s="111">
        <f t="shared" ref="N778" si="232">VLOOKUP(B778,$B$693:$AN$761,14,FALSE)</f>
        <v>1</v>
      </c>
      <c r="O778" s="111">
        <f t="shared" ref="O778" si="233">VLOOKUP(B778,$B$693:$AN$761,15,FALSE)</f>
        <v>1</v>
      </c>
      <c r="P778" s="111">
        <f t="shared" ref="P778" si="234">VLOOKUP(B778,$B$693:$AN$761,16,FALSE)</f>
        <v>6</v>
      </c>
      <c r="Q778" s="111">
        <f t="shared" ref="Q778" si="235">VLOOKUP(B778,$B$693:$AN$761,17,FALSE)</f>
        <v>6115</v>
      </c>
      <c r="R778" s="111">
        <f t="shared" ref="R778" si="236">VLOOKUP(B778,$B$693:$AN$761,18,FALSE)</f>
        <v>6135</v>
      </c>
      <c r="S778" s="111">
        <f t="shared" ref="S778" si="237">VLOOKUP(B778,$B$693:$AN$761,19,FALSE)</f>
        <v>6155</v>
      </c>
      <c r="T778" s="111">
        <f t="shared" ref="T778" si="238">VLOOKUP(K778,$C$230:$E$242,3,FALSE)</f>
        <v>6156</v>
      </c>
      <c r="U778" s="111">
        <f t="shared" ref="U778" si="239">VLOOKUP(B778,$B$693:$AN$761,28,FALSE)</f>
        <v>-1200</v>
      </c>
      <c r="V778" s="111">
        <f>VLOOKUP(B778,$B$693:$AN$761,29,FALSE)</f>
        <v>1200</v>
      </c>
      <c r="W778" s="111" t="str">
        <f t="shared" si="222"/>
        <v>9999</v>
      </c>
      <c r="X778" s="111" t="str">
        <f t="shared" ref="X778" si="240">VLOOKUP(B778,$B$693:$AN$761,34,FALSE)</f>
        <v>50010001</v>
      </c>
      <c r="Y778" s="111" t="str">
        <f t="shared" ref="Y778" si="241">VLOOKUP(B778,$B$693:$AN$761,32,FALSE)</f>
        <v>S</v>
      </c>
      <c r="AF778" s="106"/>
    </row>
    <row r="779" spans="2:32" s="6" customFormat="1" x14ac:dyDescent="0.25">
      <c r="B779" s="111" t="str">
        <f>B740</f>
        <v>999999992018032720180326100000351</v>
      </c>
      <c r="C779" s="113" t="str">
        <f t="shared" ref="C779:C780" si="242">VLOOKUP(B779,$B$693:$AN$761,2,FALSE)</f>
        <v>9999999920180327</v>
      </c>
      <c r="D779" s="113" t="str">
        <f t="shared" ref="D779:D780" si="243">VLOOKUP(B779,$B$693:$AN$761,3,FALSE)</f>
        <v>2018032610000035</v>
      </c>
      <c r="E779" s="111" t="str">
        <f t="shared" ref="E779:E780" si="244">VLOOKUP(B779,$B$693:$AN$761,4,FALSE)</f>
        <v>6001</v>
      </c>
      <c r="F779" s="111" t="str">
        <f t="shared" ref="F779:F780" si="245">VLOOKUP(B779,$B$693:$AN$761,5,FALSE)</f>
        <v>B00102</v>
      </c>
      <c r="G779" s="111" t="str">
        <f t="shared" ref="G779:G780" si="246">VLOOKUP(B779,$B$693:$AN$761,6,FALSE)</f>
        <v>6001</v>
      </c>
      <c r="H779" s="111">
        <f t="shared" si="219"/>
        <v>20180327</v>
      </c>
      <c r="I779" s="111">
        <f t="shared" ref="I779:I780" si="247">VLOOKUP(B779,$B$693:$AN$761,9,FALSE)</f>
        <v>20180326</v>
      </c>
      <c r="J779" s="111" t="str">
        <f t="shared" si="220"/>
        <v>CZCE</v>
      </c>
      <c r="K779" s="111" t="str">
        <f t="shared" ref="K779:K780" si="248">VLOOKUP(B779,$B$693:$AN$761,11,FALSE)</f>
        <v>PTA809</v>
      </c>
      <c r="L779" s="111">
        <f t="shared" ref="L779:L780" si="249">VLOOKUP(K779,$C$19:$E$29,3,FALSE)</f>
        <v>5</v>
      </c>
      <c r="M779" s="111">
        <f t="shared" ref="M779:M780" si="250">VLOOKUP(B779,$B$693:$AN$761,13,FALSE)</f>
        <v>1</v>
      </c>
      <c r="N779" s="111">
        <f t="shared" ref="N779:N780" si="251">VLOOKUP(B779,$B$693:$AN$761,14,FALSE)</f>
        <v>0</v>
      </c>
      <c r="O779" s="111">
        <f t="shared" ref="O779:O780" si="252">VLOOKUP(B779,$B$693:$AN$761,15,FALSE)</f>
        <v>1</v>
      </c>
      <c r="P779" s="111">
        <f t="shared" ref="P779:P780" si="253">VLOOKUP(B779,$B$693:$AN$761,16,FALSE)</f>
        <v>2</v>
      </c>
      <c r="Q779" s="111">
        <f t="shared" ref="Q779:Q780" si="254">VLOOKUP(B779,$B$693:$AN$761,17,FALSE)</f>
        <v>6125</v>
      </c>
      <c r="R779" s="111">
        <f t="shared" ref="R779:R780" si="255">VLOOKUP(B779,$B$693:$AN$761,18,FALSE)</f>
        <v>6225</v>
      </c>
      <c r="S779" s="111">
        <f t="shared" ref="S779:S780" si="256">VLOOKUP(B779,$B$693:$AN$761,19,FALSE)</f>
        <v>6170</v>
      </c>
      <c r="T779" s="111">
        <f t="shared" ref="T779:T789" si="257">VLOOKUP(K779,$C$230:$E$242,3,FALSE)</f>
        <v>6165</v>
      </c>
      <c r="U779" s="111">
        <f t="shared" ref="U779:U780" si="258">VLOOKUP(B779,$B$693:$AN$761,28,FALSE)</f>
        <v>-550</v>
      </c>
      <c r="V779" s="111">
        <f t="shared" ref="V779:V780" si="259">VLOOKUP(B779,$B$693:$AN$761,29,FALSE)</f>
        <v>-1000</v>
      </c>
      <c r="W779" s="111" t="str">
        <f t="shared" si="222"/>
        <v>9999</v>
      </c>
      <c r="X779" s="111" t="str">
        <f t="shared" ref="X779:X780" si="260">VLOOKUP(B779,$B$693:$AN$761,34,FALSE)</f>
        <v>50010002</v>
      </c>
      <c r="Y779" s="111" t="str">
        <f t="shared" ref="Y779:Y780" si="261">VLOOKUP(B779,$B$693:$AN$761,32,FALSE)</f>
        <v>S</v>
      </c>
      <c r="AF779" s="106"/>
    </row>
    <row r="780" spans="2:32" s="6" customFormat="1" x14ac:dyDescent="0.25">
      <c r="B780" s="111" t="str">
        <f>B741</f>
        <v>999999992018032720180327100000641</v>
      </c>
      <c r="C780" s="113" t="str">
        <f t="shared" si="242"/>
        <v>9999999920180327</v>
      </c>
      <c r="D780" s="113" t="str">
        <f t="shared" si="243"/>
        <v>2018032710000064</v>
      </c>
      <c r="E780" s="111" t="str">
        <f t="shared" si="244"/>
        <v>6001</v>
      </c>
      <c r="F780" s="111" t="str">
        <f t="shared" si="245"/>
        <v>B00102</v>
      </c>
      <c r="G780" s="111" t="str">
        <f t="shared" si="246"/>
        <v>6001</v>
      </c>
      <c r="H780" s="111">
        <f t="shared" si="219"/>
        <v>20180327</v>
      </c>
      <c r="I780" s="111">
        <f t="shared" si="247"/>
        <v>20180327</v>
      </c>
      <c r="J780" s="111" t="str">
        <f t="shared" si="220"/>
        <v>CZCE</v>
      </c>
      <c r="K780" s="111" t="str">
        <f t="shared" si="248"/>
        <v>PTA809</v>
      </c>
      <c r="L780" s="111">
        <f t="shared" si="249"/>
        <v>5</v>
      </c>
      <c r="M780" s="111">
        <f t="shared" si="250"/>
        <v>1</v>
      </c>
      <c r="N780" s="111">
        <f t="shared" si="251"/>
        <v>0</v>
      </c>
      <c r="O780" s="111">
        <f t="shared" si="252"/>
        <v>1</v>
      </c>
      <c r="P780" s="111">
        <f t="shared" si="253"/>
        <v>2</v>
      </c>
      <c r="Q780" s="111">
        <f t="shared" si="254"/>
        <v>6123</v>
      </c>
      <c r="R780" s="111">
        <f t="shared" si="255"/>
        <v>6225</v>
      </c>
      <c r="S780" s="111">
        <f t="shared" si="256"/>
        <v>6170</v>
      </c>
      <c r="T780" s="111">
        <f t="shared" si="257"/>
        <v>6165</v>
      </c>
      <c r="U780" s="111">
        <f t="shared" si="258"/>
        <v>-1020</v>
      </c>
      <c r="V780" s="111">
        <f t="shared" si="259"/>
        <v>-1020</v>
      </c>
      <c r="W780" s="111" t="str">
        <f t="shared" si="222"/>
        <v>9999</v>
      </c>
      <c r="X780" s="111" t="str">
        <f t="shared" si="260"/>
        <v>50010002</v>
      </c>
      <c r="Y780" s="111" t="str">
        <f t="shared" si="261"/>
        <v>S</v>
      </c>
      <c r="AF780" s="106"/>
    </row>
    <row r="781" spans="2:32" s="6" customFormat="1" x14ac:dyDescent="0.25">
      <c r="B781" s="111" t="str">
        <f>B742</f>
        <v>201803271000018020180326100001031</v>
      </c>
      <c r="C781" s="113" t="str">
        <f t="shared" ref="C781:C789" si="262">VLOOKUP(B781,$B$693:$AN$761,2,FALSE)</f>
        <v>2018032710000180</v>
      </c>
      <c r="D781" s="113" t="str">
        <f t="shared" ref="D781:D789" si="263">VLOOKUP(B781,$B$693:$AN$761,3,FALSE)</f>
        <v>2018032610000103</v>
      </c>
      <c r="E781" s="111" t="str">
        <f t="shared" ref="E781:E789" si="264">VLOOKUP(B781,$B$693:$AN$761,4,FALSE)</f>
        <v>6001</v>
      </c>
      <c r="F781" s="111" t="str">
        <f t="shared" ref="F781:F789" si="265">VLOOKUP(B781,$B$693:$AN$761,5,FALSE)</f>
        <v>B00102</v>
      </c>
      <c r="G781" s="111" t="str">
        <f t="shared" ref="G781:G789" si="266">VLOOKUP(B781,$B$693:$AN$761,6,FALSE)</f>
        <v>6001</v>
      </c>
      <c r="H781" s="111">
        <f t="shared" si="219"/>
        <v>20180327</v>
      </c>
      <c r="I781" s="111">
        <f t="shared" ref="I781:I789" si="267">VLOOKUP(B781,$B$693:$AN$761,9,FALSE)</f>
        <v>20180326</v>
      </c>
      <c r="J781" s="111" t="str">
        <f t="shared" si="220"/>
        <v>CZCE</v>
      </c>
      <c r="K781" s="111" t="str">
        <f t="shared" ref="K781:K789" si="268">VLOOKUP(B781,$B$693:$AN$761,11,FALSE)</f>
        <v>PTA807C6500</v>
      </c>
      <c r="L781" s="111">
        <f t="shared" ref="L781:L785" si="269">VLOOKUP(K781,$C$19:$E$29,3,FALSE)</f>
        <v>5</v>
      </c>
      <c r="M781" s="111">
        <f t="shared" ref="M781:M789" si="270">VLOOKUP(B781,$B$693:$AN$761,13,FALSE)</f>
        <v>1</v>
      </c>
      <c r="N781" s="111">
        <f t="shared" ref="N781:N789" si="271">VLOOKUP(B781,$B$693:$AN$761,14,FALSE)</f>
        <v>1</v>
      </c>
      <c r="O781" s="111">
        <f t="shared" ref="O781:O789" si="272">VLOOKUP(B781,$B$693:$AN$761,15,FALSE)</f>
        <v>1</v>
      </c>
      <c r="P781" s="111">
        <f t="shared" ref="P781:P789" si="273">VLOOKUP(B781,$B$693:$AN$761,16,FALSE)</f>
        <v>8</v>
      </c>
      <c r="Q781" s="111">
        <f t="shared" ref="Q781:Q789" si="274">VLOOKUP(B781,$B$693:$AN$761,17,FALSE)</f>
        <v>623</v>
      </c>
      <c r="R781" s="111">
        <f t="shared" ref="R781:R789" si="275">VLOOKUP(B781,$B$693:$AN$761,18,FALSE)</f>
        <v>600</v>
      </c>
      <c r="S781" s="111">
        <f t="shared" ref="S781:S789" si="276">VLOOKUP(B781,$B$693:$AN$761,19,FALSE)</f>
        <v>600</v>
      </c>
      <c r="T781" s="111">
        <f t="shared" si="257"/>
        <v>580</v>
      </c>
      <c r="U781" s="111">
        <f t="shared" ref="U781:U786" si="277">VLOOKUP(B781,$B$693:$AN$761,28,FALSE)</f>
        <v>0</v>
      </c>
      <c r="V781" s="111">
        <f t="shared" ref="V781:V786" si="278">VLOOKUP(B781,$B$693:$AN$761,29,FALSE)</f>
        <v>0</v>
      </c>
      <c r="W781" s="111" t="str">
        <f t="shared" si="222"/>
        <v>9999</v>
      </c>
      <c r="X781" s="111" t="str">
        <f t="shared" ref="X781:X789" si="279">VLOOKUP(B781,$B$693:$AN$761,34,FALSE)</f>
        <v>50010002</v>
      </c>
      <c r="Y781" s="111" t="str">
        <f t="shared" ref="Y781:Y789" si="280">VLOOKUP(B781,$B$693:$AN$761,32,FALSE)</f>
        <v>N</v>
      </c>
      <c r="AF781" s="106"/>
    </row>
    <row r="782" spans="2:32" s="6" customFormat="1" x14ac:dyDescent="0.25">
      <c r="B782" s="111" t="str">
        <f>B743</f>
        <v>201803271000018120180326100001051</v>
      </c>
      <c r="C782" s="113" t="str">
        <f t="shared" si="262"/>
        <v>2018032710000181</v>
      </c>
      <c r="D782" s="113" t="str">
        <f t="shared" si="263"/>
        <v>2018032610000105</v>
      </c>
      <c r="E782" s="111" t="str">
        <f t="shared" si="264"/>
        <v>6001</v>
      </c>
      <c r="F782" s="111" t="str">
        <f t="shared" si="265"/>
        <v>B00102</v>
      </c>
      <c r="G782" s="111" t="str">
        <f t="shared" si="266"/>
        <v>6001</v>
      </c>
      <c r="H782" s="111">
        <f t="shared" si="219"/>
        <v>20180327</v>
      </c>
      <c r="I782" s="111">
        <f t="shared" si="267"/>
        <v>20180326</v>
      </c>
      <c r="J782" s="111" t="str">
        <f t="shared" si="220"/>
        <v>CZCE</v>
      </c>
      <c r="K782" s="111" t="str">
        <f t="shared" si="268"/>
        <v>PTA807C6500</v>
      </c>
      <c r="L782" s="111">
        <f t="shared" si="269"/>
        <v>5</v>
      </c>
      <c r="M782" s="111">
        <f t="shared" si="270"/>
        <v>1</v>
      </c>
      <c r="N782" s="111">
        <f t="shared" si="271"/>
        <v>1</v>
      </c>
      <c r="O782" s="111">
        <f t="shared" si="272"/>
        <v>3</v>
      </c>
      <c r="P782" s="111">
        <f t="shared" si="273"/>
        <v>2</v>
      </c>
      <c r="Q782" s="111">
        <f t="shared" si="274"/>
        <v>625</v>
      </c>
      <c r="R782" s="111">
        <f t="shared" si="275"/>
        <v>601</v>
      </c>
      <c r="S782" s="111">
        <f t="shared" si="276"/>
        <v>600</v>
      </c>
      <c r="T782" s="111">
        <f t="shared" si="257"/>
        <v>580</v>
      </c>
      <c r="U782" s="111">
        <f t="shared" si="277"/>
        <v>0</v>
      </c>
      <c r="V782" s="111">
        <f t="shared" si="278"/>
        <v>0</v>
      </c>
      <c r="W782" s="111" t="str">
        <f t="shared" si="222"/>
        <v>9999</v>
      </c>
      <c r="X782" s="111" t="str">
        <f t="shared" si="279"/>
        <v>50010002</v>
      </c>
      <c r="Y782" s="111" t="str">
        <f t="shared" si="280"/>
        <v>N</v>
      </c>
      <c r="AF782" s="106"/>
    </row>
    <row r="783" spans="2:32" s="6" customFormat="1" x14ac:dyDescent="0.25">
      <c r="B783" s="111" t="str">
        <f>B747</f>
        <v>201803271000018520180327100001823</v>
      </c>
      <c r="C783" s="113" t="str">
        <f t="shared" si="262"/>
        <v>2018032710000185</v>
      </c>
      <c r="D783" s="113" t="str">
        <f t="shared" si="263"/>
        <v>2018032710000182</v>
      </c>
      <c r="E783" s="111" t="str">
        <f t="shared" si="264"/>
        <v>6001</v>
      </c>
      <c r="F783" s="111" t="str">
        <f t="shared" si="265"/>
        <v>B00102</v>
      </c>
      <c r="G783" s="111" t="str">
        <f t="shared" si="266"/>
        <v>6001</v>
      </c>
      <c r="H783" s="111">
        <f t="shared" si="219"/>
        <v>20180327</v>
      </c>
      <c r="I783" s="111">
        <f t="shared" si="267"/>
        <v>20180327</v>
      </c>
      <c r="J783" s="111" t="str">
        <f t="shared" si="220"/>
        <v>CZCE</v>
      </c>
      <c r="K783" s="111" t="str">
        <f t="shared" si="268"/>
        <v>PTA807C6500</v>
      </c>
      <c r="L783" s="111">
        <f t="shared" si="269"/>
        <v>5</v>
      </c>
      <c r="M783" s="111">
        <f t="shared" si="270"/>
        <v>3</v>
      </c>
      <c r="N783" s="111">
        <f t="shared" si="271"/>
        <v>1</v>
      </c>
      <c r="O783" s="111">
        <f t="shared" si="272"/>
        <v>1</v>
      </c>
      <c r="P783" s="111">
        <f t="shared" si="273"/>
        <v>2</v>
      </c>
      <c r="Q783" s="111">
        <f t="shared" si="274"/>
        <v>602</v>
      </c>
      <c r="R783" s="111">
        <f t="shared" si="275"/>
        <v>604</v>
      </c>
      <c r="S783" s="111">
        <f t="shared" si="276"/>
        <v>600</v>
      </c>
      <c r="T783" s="111">
        <f t="shared" si="257"/>
        <v>580</v>
      </c>
      <c r="U783" s="111">
        <f t="shared" si="277"/>
        <v>0</v>
      </c>
      <c r="V783" s="111">
        <f t="shared" si="278"/>
        <v>0</v>
      </c>
      <c r="W783" s="111" t="str">
        <f t="shared" si="222"/>
        <v>9999</v>
      </c>
      <c r="X783" s="111" t="str">
        <f t="shared" si="279"/>
        <v>50010002</v>
      </c>
      <c r="Y783" s="111" t="str">
        <f t="shared" si="280"/>
        <v>N</v>
      </c>
      <c r="AF783" s="106"/>
    </row>
    <row r="784" spans="2:32" s="6" customFormat="1" x14ac:dyDescent="0.25">
      <c r="B784" s="111" t="str">
        <f>B748</f>
        <v>201803271000018620180326100001053</v>
      </c>
      <c r="C784" s="113" t="str">
        <f t="shared" si="262"/>
        <v>2018032710000186</v>
      </c>
      <c r="D784" s="113" t="str">
        <f t="shared" si="263"/>
        <v>2018032610000105</v>
      </c>
      <c r="E784" s="111" t="str">
        <f t="shared" si="264"/>
        <v>6001</v>
      </c>
      <c r="F784" s="111" t="str">
        <f t="shared" si="265"/>
        <v>B00102</v>
      </c>
      <c r="G784" s="111" t="str">
        <f t="shared" si="266"/>
        <v>6001</v>
      </c>
      <c r="H784" s="111">
        <f t="shared" si="219"/>
        <v>20180327</v>
      </c>
      <c r="I784" s="111">
        <f t="shared" si="267"/>
        <v>20180326</v>
      </c>
      <c r="J784" s="111" t="str">
        <f t="shared" si="220"/>
        <v>CZCE</v>
      </c>
      <c r="K784" s="111" t="str">
        <f t="shared" si="268"/>
        <v>PTA807C6500</v>
      </c>
      <c r="L784" s="111">
        <f t="shared" si="269"/>
        <v>5</v>
      </c>
      <c r="M784" s="111">
        <f t="shared" si="270"/>
        <v>3</v>
      </c>
      <c r="N784" s="111">
        <f t="shared" si="271"/>
        <v>1</v>
      </c>
      <c r="O784" s="111">
        <f t="shared" si="272"/>
        <v>3</v>
      </c>
      <c r="P784" s="111">
        <f t="shared" si="273"/>
        <v>1</v>
      </c>
      <c r="Q784" s="111">
        <f t="shared" si="274"/>
        <v>625</v>
      </c>
      <c r="R784" s="111">
        <f t="shared" si="275"/>
        <v>604</v>
      </c>
      <c r="S784" s="111">
        <f t="shared" si="276"/>
        <v>600</v>
      </c>
      <c r="T784" s="111">
        <f t="shared" si="257"/>
        <v>580</v>
      </c>
      <c r="U784" s="111">
        <f t="shared" si="277"/>
        <v>0</v>
      </c>
      <c r="V784" s="111">
        <f t="shared" si="278"/>
        <v>0</v>
      </c>
      <c r="W784" s="111" t="str">
        <f t="shared" si="222"/>
        <v>9999</v>
      </c>
      <c r="X784" s="111" t="str">
        <f t="shared" si="279"/>
        <v>50010002</v>
      </c>
      <c r="Y784" s="111" t="str">
        <f t="shared" si="280"/>
        <v>N</v>
      </c>
      <c r="AF784" s="106"/>
    </row>
    <row r="785" spans="1:32" s="6" customFormat="1" x14ac:dyDescent="0.25">
      <c r="B785" s="111" t="str">
        <f>B749</f>
        <v>201803271000018620180326100001051</v>
      </c>
      <c r="C785" s="113" t="str">
        <f t="shared" si="262"/>
        <v>2018032710000186</v>
      </c>
      <c r="D785" s="113" t="str">
        <f t="shared" si="263"/>
        <v>2018032610000105</v>
      </c>
      <c r="E785" s="111" t="str">
        <f t="shared" si="264"/>
        <v>6001</v>
      </c>
      <c r="F785" s="111" t="str">
        <f t="shared" si="265"/>
        <v>B00102</v>
      </c>
      <c r="G785" s="111" t="str">
        <f t="shared" si="266"/>
        <v>6001</v>
      </c>
      <c r="H785" s="111">
        <f t="shared" si="219"/>
        <v>20180327</v>
      </c>
      <c r="I785" s="111">
        <f t="shared" si="267"/>
        <v>20180326</v>
      </c>
      <c r="J785" s="111" t="str">
        <f t="shared" si="220"/>
        <v>CZCE</v>
      </c>
      <c r="K785" s="111" t="str">
        <f t="shared" si="268"/>
        <v>PTA807C6500</v>
      </c>
      <c r="L785" s="111">
        <f t="shared" si="269"/>
        <v>5</v>
      </c>
      <c r="M785" s="111">
        <f t="shared" si="270"/>
        <v>1</v>
      </c>
      <c r="N785" s="111">
        <f t="shared" si="271"/>
        <v>1</v>
      </c>
      <c r="O785" s="111">
        <f t="shared" si="272"/>
        <v>3</v>
      </c>
      <c r="P785" s="111">
        <f t="shared" si="273"/>
        <v>2</v>
      </c>
      <c r="Q785" s="111">
        <f t="shared" si="274"/>
        <v>625</v>
      </c>
      <c r="R785" s="111">
        <f t="shared" si="275"/>
        <v>604</v>
      </c>
      <c r="S785" s="111">
        <f t="shared" si="276"/>
        <v>600</v>
      </c>
      <c r="T785" s="111">
        <f t="shared" si="257"/>
        <v>580</v>
      </c>
      <c r="U785" s="111">
        <f t="shared" si="277"/>
        <v>0</v>
      </c>
      <c r="V785" s="111">
        <f t="shared" si="278"/>
        <v>0</v>
      </c>
      <c r="W785" s="111" t="str">
        <f t="shared" si="222"/>
        <v>9999</v>
      </c>
      <c r="X785" s="111" t="str">
        <f t="shared" si="279"/>
        <v>50010002</v>
      </c>
      <c r="Y785" s="111" t="str">
        <f t="shared" si="280"/>
        <v>N</v>
      </c>
      <c r="AF785" s="106"/>
    </row>
    <row r="786" spans="1:32" s="6" customFormat="1" x14ac:dyDescent="0.25">
      <c r="B786" s="111" t="str">
        <f>B752</f>
        <v>201803271000008120180326100000921</v>
      </c>
      <c r="C786" s="113" t="str">
        <f t="shared" si="262"/>
        <v>2018032710000081</v>
      </c>
      <c r="D786" s="113" t="str">
        <f t="shared" si="263"/>
        <v>2018032610000092</v>
      </c>
      <c r="E786" s="111" t="str">
        <f t="shared" si="264"/>
        <v>6001</v>
      </c>
      <c r="F786" s="111" t="str">
        <f t="shared" si="265"/>
        <v>B00101</v>
      </c>
      <c r="G786" s="111" t="str">
        <f t="shared" si="266"/>
        <v>6001</v>
      </c>
      <c r="H786" s="111">
        <f t="shared" si="219"/>
        <v>20180327</v>
      </c>
      <c r="I786" s="92">
        <f t="shared" si="267"/>
        <v>20180326</v>
      </c>
      <c r="J786" s="111" t="str">
        <f t="shared" si="220"/>
        <v>CZCE</v>
      </c>
      <c r="K786" s="111" t="str">
        <f t="shared" si="268"/>
        <v>SR807C6500</v>
      </c>
      <c r="L786" s="111">
        <f>VLOOKUP(K786,$C$19:$E$29,3,FALSE)</f>
        <v>10</v>
      </c>
      <c r="M786" s="111">
        <f t="shared" si="270"/>
        <v>1</v>
      </c>
      <c r="N786" s="111">
        <f t="shared" si="271"/>
        <v>0</v>
      </c>
      <c r="O786" s="111">
        <f t="shared" si="272"/>
        <v>1</v>
      </c>
      <c r="P786" s="111">
        <f t="shared" si="273"/>
        <v>1</v>
      </c>
      <c r="Q786" s="111">
        <f t="shared" si="274"/>
        <v>612</v>
      </c>
      <c r="R786" s="111">
        <f t="shared" si="275"/>
        <v>601</v>
      </c>
      <c r="S786" s="111">
        <f t="shared" si="276"/>
        <v>615</v>
      </c>
      <c r="T786" s="92">
        <f t="shared" si="257"/>
        <v>610</v>
      </c>
      <c r="U786" s="111">
        <f t="shared" si="277"/>
        <v>0</v>
      </c>
      <c r="V786" s="111">
        <f t="shared" si="278"/>
        <v>0</v>
      </c>
      <c r="W786" s="111" t="str">
        <f t="shared" si="222"/>
        <v>9999</v>
      </c>
      <c r="X786" s="111" t="str">
        <f t="shared" si="279"/>
        <v>50010001</v>
      </c>
      <c r="Y786" s="111" t="str">
        <f t="shared" si="280"/>
        <v>N</v>
      </c>
      <c r="AF786" s="106"/>
    </row>
    <row r="787" spans="1:32" s="6" customFormat="1" x14ac:dyDescent="0.25">
      <c r="B787" s="111" t="str">
        <f>B757</f>
        <v>201803271000009020180326100000923</v>
      </c>
      <c r="C787" s="113" t="str">
        <f t="shared" si="262"/>
        <v>2018032710000090</v>
      </c>
      <c r="D787" s="113" t="str">
        <f t="shared" si="263"/>
        <v>2018032610000092</v>
      </c>
      <c r="E787" s="111" t="str">
        <f t="shared" si="264"/>
        <v>6001</v>
      </c>
      <c r="F787" s="111" t="str">
        <f t="shared" si="265"/>
        <v>B00101</v>
      </c>
      <c r="G787" s="111" t="str">
        <f t="shared" si="266"/>
        <v>6001</v>
      </c>
      <c r="H787" s="111">
        <f t="shared" si="219"/>
        <v>20180327</v>
      </c>
      <c r="I787" s="92">
        <f t="shared" si="267"/>
        <v>20180326</v>
      </c>
      <c r="J787" s="111" t="str">
        <f t="shared" si="220"/>
        <v>CZCE</v>
      </c>
      <c r="K787" s="111" t="str">
        <f t="shared" si="268"/>
        <v>SR807C6500</v>
      </c>
      <c r="L787" s="111">
        <f>VLOOKUP(K787,$C$19:$E$29,3,FALSE)</f>
        <v>10</v>
      </c>
      <c r="M787" s="111">
        <f t="shared" si="270"/>
        <v>3</v>
      </c>
      <c r="N787" s="111">
        <f t="shared" si="271"/>
        <v>0</v>
      </c>
      <c r="O787" s="111">
        <f t="shared" si="272"/>
        <v>1</v>
      </c>
      <c r="P787" s="111">
        <f t="shared" si="273"/>
        <v>5</v>
      </c>
      <c r="Q787" s="111">
        <f t="shared" si="274"/>
        <v>612</v>
      </c>
      <c r="R787" s="111">
        <f t="shared" si="275"/>
        <v>605</v>
      </c>
      <c r="S787" s="111">
        <f t="shared" si="276"/>
        <v>615</v>
      </c>
      <c r="T787" s="92">
        <f t="shared" si="257"/>
        <v>610</v>
      </c>
      <c r="U787" s="248">
        <f>VLOOKUP(B787,$B$693:$AN$761,28,FALSE)+AC758</f>
        <v>0</v>
      </c>
      <c r="V787" s="248">
        <f>VLOOKUP(B787,$B$693:$AN$761,29,FALSE)+AD758</f>
        <v>0</v>
      </c>
      <c r="W787" s="111" t="str">
        <f t="shared" si="222"/>
        <v>9999</v>
      </c>
      <c r="X787" s="111" t="str">
        <f t="shared" si="279"/>
        <v>50010001</v>
      </c>
      <c r="Y787" s="111" t="str">
        <f t="shared" si="280"/>
        <v>N</v>
      </c>
      <c r="AF787" s="106"/>
    </row>
    <row r="788" spans="1:32" s="6" customFormat="1" x14ac:dyDescent="0.25">
      <c r="B788" s="111" t="str">
        <f>B758</f>
        <v>201803271000009020180326100000921</v>
      </c>
      <c r="C788" s="113" t="str">
        <f t="shared" si="262"/>
        <v>2018032710000090</v>
      </c>
      <c r="D788" s="113" t="str">
        <f t="shared" si="263"/>
        <v>2018032610000092</v>
      </c>
      <c r="E788" s="111" t="str">
        <f t="shared" si="264"/>
        <v>6001</v>
      </c>
      <c r="F788" s="111" t="str">
        <f t="shared" si="265"/>
        <v>B00101</v>
      </c>
      <c r="G788" s="111" t="str">
        <f t="shared" si="266"/>
        <v>6001</v>
      </c>
      <c r="H788" s="111">
        <f t="shared" si="219"/>
        <v>20180327</v>
      </c>
      <c r="I788" s="92">
        <f t="shared" si="267"/>
        <v>20180326</v>
      </c>
      <c r="J788" s="111" t="str">
        <f t="shared" si="220"/>
        <v>CZCE</v>
      </c>
      <c r="K788" s="111" t="str">
        <f t="shared" si="268"/>
        <v>SR807C6500</v>
      </c>
      <c r="L788" s="111">
        <f>VLOOKUP(K788,$C$19:$E$29,3,FALSE)</f>
        <v>10</v>
      </c>
      <c r="M788" s="111">
        <f t="shared" si="270"/>
        <v>1</v>
      </c>
      <c r="N788" s="111">
        <f t="shared" si="271"/>
        <v>0</v>
      </c>
      <c r="O788" s="111">
        <f t="shared" si="272"/>
        <v>1</v>
      </c>
      <c r="P788" s="111">
        <f t="shared" si="273"/>
        <v>1</v>
      </c>
      <c r="Q788" s="111">
        <f t="shared" si="274"/>
        <v>612</v>
      </c>
      <c r="R788" s="111">
        <f t="shared" si="275"/>
        <v>605</v>
      </c>
      <c r="S788" s="111">
        <f t="shared" si="276"/>
        <v>615</v>
      </c>
      <c r="T788" s="92">
        <f t="shared" si="257"/>
        <v>610</v>
      </c>
      <c r="U788" s="111">
        <f>VLOOKUP(B788,$B$693:$AN$761,28,FALSE)</f>
        <v>0</v>
      </c>
      <c r="V788" s="111">
        <f>VLOOKUP(B788,$B$693:$AN$761,29,FALSE)</f>
        <v>0</v>
      </c>
      <c r="W788" s="111" t="str">
        <f t="shared" si="222"/>
        <v>9999</v>
      </c>
      <c r="X788" s="111" t="str">
        <f t="shared" si="279"/>
        <v>50010001</v>
      </c>
      <c r="Y788" s="111" t="str">
        <f t="shared" si="280"/>
        <v>N</v>
      </c>
      <c r="AF788" s="106"/>
    </row>
    <row r="789" spans="1:32" x14ac:dyDescent="0.25">
      <c r="B789" s="92" t="str">
        <f>B759</f>
        <v>201803271000009120180327100000831</v>
      </c>
      <c r="C789" s="109" t="str">
        <f t="shared" si="262"/>
        <v>2018032710000091</v>
      </c>
      <c r="D789" s="109" t="str">
        <f t="shared" si="263"/>
        <v>2018032710000083</v>
      </c>
      <c r="E789" s="92" t="str">
        <f t="shared" si="264"/>
        <v>6001</v>
      </c>
      <c r="F789" s="92" t="str">
        <f t="shared" si="265"/>
        <v>B00101</v>
      </c>
      <c r="G789" s="92" t="str">
        <f t="shared" si="266"/>
        <v>6001</v>
      </c>
      <c r="H789" s="92">
        <f t="shared" si="219"/>
        <v>20180327</v>
      </c>
      <c r="I789" s="92">
        <f t="shared" si="267"/>
        <v>20180327</v>
      </c>
      <c r="J789" s="115" t="str">
        <f t="shared" si="220"/>
        <v>CZCE</v>
      </c>
      <c r="K789" s="115" t="str">
        <f t="shared" si="268"/>
        <v>SR807C6500</v>
      </c>
      <c r="L789" s="115">
        <f>VLOOKUP(K789,$C$19:$E$29,3,FALSE)</f>
        <v>10</v>
      </c>
      <c r="M789" s="92">
        <f t="shared" si="270"/>
        <v>1</v>
      </c>
      <c r="N789" s="92">
        <f t="shared" si="271"/>
        <v>0</v>
      </c>
      <c r="O789" s="92">
        <f t="shared" si="272"/>
        <v>1</v>
      </c>
      <c r="P789" s="111">
        <f t="shared" si="273"/>
        <v>1</v>
      </c>
      <c r="Q789" s="92">
        <f t="shared" si="274"/>
        <v>603</v>
      </c>
      <c r="R789" s="92">
        <f t="shared" si="275"/>
        <v>605</v>
      </c>
      <c r="S789" s="92">
        <f t="shared" si="276"/>
        <v>615</v>
      </c>
      <c r="T789" s="92">
        <f t="shared" si="257"/>
        <v>610</v>
      </c>
      <c r="U789" s="92">
        <f>VLOOKUP(B789,$B$693:$AN$761,28,FALSE)</f>
        <v>0</v>
      </c>
      <c r="V789" s="92">
        <f>VLOOKUP(B789,$B$693:$AN$761,29,FALSE)</f>
        <v>0</v>
      </c>
      <c r="W789" s="115" t="str">
        <f t="shared" si="222"/>
        <v>9999</v>
      </c>
      <c r="X789" s="115" t="str">
        <f t="shared" si="279"/>
        <v>50010001</v>
      </c>
      <c r="Y789" s="115" t="str">
        <f t="shared" si="280"/>
        <v>N</v>
      </c>
      <c r="AF789" s="106"/>
    </row>
    <row r="790" spans="1:32" x14ac:dyDescent="0.25">
      <c r="B790" s="126"/>
      <c r="C790" s="160"/>
      <c r="D790" s="160"/>
      <c r="E790" s="126"/>
      <c r="F790" s="126"/>
      <c r="G790" s="126"/>
      <c r="H790" s="126"/>
      <c r="I790" s="126"/>
      <c r="J790" s="197"/>
      <c r="K790" s="197"/>
      <c r="L790" s="197"/>
      <c r="M790" s="126"/>
      <c r="N790" s="126"/>
      <c r="O790" s="126"/>
      <c r="P790" s="126"/>
      <c r="Q790" s="126"/>
      <c r="R790" s="126"/>
      <c r="S790" s="126"/>
      <c r="T790" s="126"/>
      <c r="U790" s="126"/>
      <c r="V790" s="126"/>
      <c r="W790" s="197"/>
      <c r="X790" s="197"/>
      <c r="Y790" s="197"/>
      <c r="AF790" s="106"/>
    </row>
    <row r="791" spans="1:32" x14ac:dyDescent="0.25">
      <c r="AF791" s="106"/>
    </row>
    <row r="792" spans="1:32" x14ac:dyDescent="0.25">
      <c r="A792" t="s">
        <v>173</v>
      </c>
      <c r="B792" t="s">
        <v>376</v>
      </c>
      <c r="C792" s="105"/>
      <c r="D792" s="105"/>
      <c r="E792" s="105"/>
      <c r="AF792" s="106"/>
    </row>
    <row r="793" spans="1:32" x14ac:dyDescent="0.25">
      <c r="A793" t="s">
        <v>173</v>
      </c>
      <c r="B793" t="s">
        <v>406</v>
      </c>
      <c r="C793" s="105"/>
      <c r="D793" s="105"/>
      <c r="E793" s="105"/>
      <c r="AF793" s="106"/>
    </row>
    <row r="794" spans="1:32" x14ac:dyDescent="0.25">
      <c r="A794" s="57" t="s">
        <v>124</v>
      </c>
      <c r="B794" s="57" t="s">
        <v>2016</v>
      </c>
      <c r="C794" s="105"/>
      <c r="D794" s="105"/>
      <c r="AE794" s="106"/>
    </row>
    <row r="795" spans="1:32" x14ac:dyDescent="0.25">
      <c r="A795" t="s">
        <v>306</v>
      </c>
      <c r="B795" s="732" t="s">
        <v>387</v>
      </c>
      <c r="C795" s="721"/>
      <c r="D795" s="721"/>
      <c r="E795" s="721"/>
      <c r="F795" s="721"/>
      <c r="G795" s="721"/>
      <c r="H795" s="721"/>
      <c r="I795" s="721"/>
      <c r="J795" s="721"/>
      <c r="K795" s="721"/>
      <c r="L795" s="721"/>
      <c r="M795" s="721"/>
      <c r="N795" s="721"/>
      <c r="O795" s="721"/>
      <c r="P795" s="721"/>
      <c r="Q795" s="721"/>
      <c r="R795" s="721"/>
      <c r="AE795" s="106"/>
    </row>
    <row r="796" spans="1:32" x14ac:dyDescent="0.25">
      <c r="A796" t="s">
        <v>2014</v>
      </c>
      <c r="B796" s="7" t="s">
        <v>407</v>
      </c>
      <c r="C796" s="7" t="s">
        <v>19</v>
      </c>
      <c r="D796" s="7" t="s">
        <v>287</v>
      </c>
      <c r="E796" s="7" t="s">
        <v>118</v>
      </c>
      <c r="F796" s="7" t="s">
        <v>365</v>
      </c>
      <c r="G796" s="7" t="s">
        <v>5</v>
      </c>
      <c r="H796" s="7" t="s">
        <v>52</v>
      </c>
      <c r="I796" s="7" t="s">
        <v>403</v>
      </c>
      <c r="J796" s="7" t="s">
        <v>294</v>
      </c>
      <c r="K796" s="7" t="s">
        <v>9</v>
      </c>
      <c r="L796" s="7" t="s">
        <v>18</v>
      </c>
      <c r="M796" s="7" t="s">
        <v>385</v>
      </c>
      <c r="N796" s="7" t="s">
        <v>386</v>
      </c>
      <c r="O796" s="121" t="s">
        <v>297</v>
      </c>
      <c r="P796" s="7" t="s">
        <v>298</v>
      </c>
      <c r="Q796" s="12" t="s">
        <v>191</v>
      </c>
      <c r="R796" s="7" t="s">
        <v>226</v>
      </c>
      <c r="AF796" s="106"/>
    </row>
    <row r="797" spans="1:32" x14ac:dyDescent="0.25">
      <c r="B797" s="7" t="s">
        <v>400</v>
      </c>
      <c r="C797" s="7" t="s">
        <v>321</v>
      </c>
      <c r="D797" s="7" t="s">
        <v>322</v>
      </c>
      <c r="E797" s="7" t="s">
        <v>710</v>
      </c>
      <c r="F797" s="7" t="s">
        <v>399</v>
      </c>
      <c r="G797" s="7" t="s">
        <v>327</v>
      </c>
      <c r="H797" s="7" t="s">
        <v>328</v>
      </c>
      <c r="I797" s="7" t="s">
        <v>405</v>
      </c>
      <c r="J797" s="7" t="s">
        <v>331</v>
      </c>
      <c r="K797" s="7" t="s">
        <v>332</v>
      </c>
      <c r="L797" s="7" t="s">
        <v>395</v>
      </c>
      <c r="M797" s="7" t="s">
        <v>394</v>
      </c>
      <c r="N797" s="7" t="s">
        <v>393</v>
      </c>
      <c r="O797" s="121" t="s">
        <v>337</v>
      </c>
      <c r="P797" s="92" t="s">
        <v>338</v>
      </c>
      <c r="Q797" s="7" t="s">
        <v>346</v>
      </c>
      <c r="R797" s="7" t="s">
        <v>362</v>
      </c>
      <c r="AF797" s="107"/>
    </row>
    <row r="798" spans="1:32" x14ac:dyDescent="0.25">
      <c r="A798" s="451"/>
      <c r="B798" s="92">
        <f>$B$2</f>
        <v>20180327</v>
      </c>
      <c r="C798" s="124" t="str">
        <f>B5</f>
        <v>6001</v>
      </c>
      <c r="D798" s="124" t="str">
        <f>C5</f>
        <v>B00101</v>
      </c>
      <c r="E798" s="124" t="str">
        <f>D5</f>
        <v>6001</v>
      </c>
      <c r="F798" s="484">
        <f>B798</f>
        <v>20180327</v>
      </c>
      <c r="G798" s="484" t="str">
        <f>J789</f>
        <v>CZCE</v>
      </c>
      <c r="H798" s="485" t="str">
        <f xml:space="preserve"> $C$20</f>
        <v>SR809</v>
      </c>
      <c r="I798" s="101">
        <f>VLOOKUP(H798,$C$19:$E$29,3,FALSE)</f>
        <v>10</v>
      </c>
      <c r="J798" s="485">
        <v>2</v>
      </c>
      <c r="K798" s="486">
        <v>1</v>
      </c>
      <c r="L798" s="486">
        <v>6</v>
      </c>
      <c r="M798" s="487">
        <v>6135</v>
      </c>
      <c r="N798" s="488">
        <v>3</v>
      </c>
      <c r="O798" s="488">
        <v>0</v>
      </c>
      <c r="P798" s="488">
        <v>0</v>
      </c>
      <c r="Q798" s="92" t="str">
        <f t="shared" ref="Q798" si="281">$F$5</f>
        <v>9999</v>
      </c>
      <c r="R798" s="92" t="str">
        <f t="shared" ref="R798" si="282">$D$9</f>
        <v>CNY</v>
      </c>
    </row>
    <row r="799" spans="1:32" s="451" customFormat="1" x14ac:dyDescent="0.25">
      <c r="B799" s="126">
        <f>B798</f>
        <v>20180327</v>
      </c>
      <c r="C799" s="126" t="str">
        <f>C798</f>
        <v>6001</v>
      </c>
      <c r="D799" s="127" t="str">
        <f>C6</f>
        <v>B00102</v>
      </c>
      <c r="E799" s="127" t="str">
        <f>E798</f>
        <v>6001</v>
      </c>
      <c r="F799" s="127">
        <f>B799</f>
        <v>20180327</v>
      </c>
      <c r="G799" s="127" t="str">
        <f>G798</f>
        <v>CZCE</v>
      </c>
      <c r="H799" s="3" t="str">
        <f>C23</f>
        <v>PTA809</v>
      </c>
      <c r="I799" s="101">
        <f>VLOOKUP(H799,$C$19:$E$29,3,FALSE)</f>
        <v>5</v>
      </c>
      <c r="J799" s="3">
        <v>3</v>
      </c>
      <c r="K799" s="107">
        <v>1</v>
      </c>
      <c r="L799" s="107">
        <v>4</v>
      </c>
      <c r="M799" s="122">
        <v>6225</v>
      </c>
      <c r="N799" s="128">
        <v>3</v>
      </c>
      <c r="O799" s="128">
        <v>0</v>
      </c>
      <c r="P799" s="128">
        <v>0</v>
      </c>
      <c r="Q799" s="122" t="str">
        <f>Q798</f>
        <v>9999</v>
      </c>
      <c r="R799" s="122" t="str">
        <f>R798</f>
        <v>CNY</v>
      </c>
    </row>
    <row r="800" spans="1:32" x14ac:dyDescent="0.25">
      <c r="A800" t="s">
        <v>173</v>
      </c>
      <c r="B800" t="s">
        <v>427</v>
      </c>
    </row>
    <row r="801" spans="1:30" s="6" customFormat="1" x14ac:dyDescent="0.25">
      <c r="A801" s="323" t="s">
        <v>1393</v>
      </c>
      <c r="B801" s="189" t="s">
        <v>2114</v>
      </c>
      <c r="C801" s="253"/>
      <c r="D801" s="253"/>
      <c r="E801" s="253"/>
      <c r="F801" s="189"/>
      <c r="G801" s="253"/>
      <c r="H801" s="253"/>
      <c r="I801" s="253"/>
      <c r="J801" s="253"/>
      <c r="K801" s="253"/>
      <c r="L801" s="253"/>
      <c r="M801" s="253"/>
      <c r="N801" s="253"/>
      <c r="O801" s="253"/>
      <c r="P801" s="253"/>
      <c r="Q801" s="253"/>
      <c r="R801" s="253"/>
      <c r="S801" s="253"/>
      <c r="T801" s="253"/>
      <c r="U801" s="253"/>
      <c r="V801" s="253"/>
      <c r="W801" s="253"/>
      <c r="X801" s="253"/>
    </row>
    <row r="802" spans="1:30" x14ac:dyDescent="0.25">
      <c r="A802" s="157" t="s">
        <v>970</v>
      </c>
      <c r="B802" s="157" t="s">
        <v>971</v>
      </c>
    </row>
    <row r="803" spans="1:30" x14ac:dyDescent="0.25">
      <c r="A803" t="s">
        <v>306</v>
      </c>
      <c r="B803" s="732" t="s">
        <v>408</v>
      </c>
      <c r="C803" s="721"/>
      <c r="D803" s="721"/>
      <c r="E803" s="721"/>
      <c r="F803" s="721"/>
      <c r="G803" s="721"/>
      <c r="H803" s="721"/>
      <c r="I803" s="721"/>
      <c r="J803" s="721"/>
      <c r="K803" s="721"/>
      <c r="L803" s="721"/>
      <c r="M803" s="721"/>
      <c r="N803" s="721"/>
      <c r="O803" s="721"/>
      <c r="P803" s="721"/>
      <c r="Q803" s="721"/>
      <c r="R803" s="721"/>
      <c r="S803" s="721"/>
      <c r="T803" s="721"/>
      <c r="U803" s="721"/>
      <c r="V803" s="721"/>
      <c r="W803" s="721"/>
      <c r="X803" s="721"/>
      <c r="Y803" s="721"/>
      <c r="Z803" s="721"/>
    </row>
    <row r="804" spans="1:30" x14ac:dyDescent="0.25">
      <c r="A804" s="639" t="s">
        <v>2117</v>
      </c>
      <c r="B804" s="7" t="s">
        <v>2120</v>
      </c>
      <c r="C804" s="7" t="s">
        <v>407</v>
      </c>
      <c r="D804" s="7" t="s">
        <v>19</v>
      </c>
      <c r="E804" s="7" t="s">
        <v>287</v>
      </c>
      <c r="F804" s="7" t="s">
        <v>118</v>
      </c>
      <c r="G804" s="7" t="s">
        <v>1422</v>
      </c>
      <c r="H804" s="7" t="s">
        <v>5</v>
      </c>
      <c r="I804" s="7" t="s">
        <v>52</v>
      </c>
      <c r="J804" s="7" t="s">
        <v>403</v>
      </c>
      <c r="K804" s="7" t="s">
        <v>294</v>
      </c>
      <c r="L804" s="7" t="s">
        <v>9</v>
      </c>
      <c r="M804" s="7" t="s">
        <v>18</v>
      </c>
      <c r="N804" s="7" t="s">
        <v>385</v>
      </c>
      <c r="O804" s="7" t="s">
        <v>426</v>
      </c>
      <c r="P804" s="121" t="s">
        <v>409</v>
      </c>
      <c r="Q804" s="7" t="s">
        <v>410</v>
      </c>
      <c r="R804" s="7" t="s">
        <v>411</v>
      </c>
      <c r="S804" s="7" t="s">
        <v>412</v>
      </c>
      <c r="T804" s="7" t="s">
        <v>413</v>
      </c>
      <c r="U804" s="7" t="s">
        <v>414</v>
      </c>
      <c r="V804" s="7" t="s">
        <v>425</v>
      </c>
      <c r="W804" s="7" t="s">
        <v>415</v>
      </c>
      <c r="X804" s="12" t="s">
        <v>191</v>
      </c>
      <c r="Y804" s="7" t="s">
        <v>226</v>
      </c>
      <c r="Z804" s="7" t="s">
        <v>428</v>
      </c>
      <c r="AA804" s="7" t="s">
        <v>429</v>
      </c>
      <c r="AB804" s="123" t="s">
        <v>1768</v>
      </c>
      <c r="AC804" s="123" t="s">
        <v>1769</v>
      </c>
    </row>
    <row r="805" spans="1:30" x14ac:dyDescent="0.25">
      <c r="A805" s="639"/>
      <c r="B805" s="7" t="s">
        <v>2120</v>
      </c>
      <c r="C805" s="7" t="s">
        <v>400</v>
      </c>
      <c r="D805" s="7" t="s">
        <v>321</v>
      </c>
      <c r="E805" s="7" t="s">
        <v>322</v>
      </c>
      <c r="F805" s="7" t="s">
        <v>710</v>
      </c>
      <c r="G805" s="7" t="s">
        <v>399</v>
      </c>
      <c r="H805" s="7" t="s">
        <v>327</v>
      </c>
      <c r="I805" s="7" t="s">
        <v>328</v>
      </c>
      <c r="J805" s="7" t="s">
        <v>405</v>
      </c>
      <c r="K805" s="7" t="s">
        <v>331</v>
      </c>
      <c r="L805" s="7" t="s">
        <v>332</v>
      </c>
      <c r="M805" s="7" t="s">
        <v>333</v>
      </c>
      <c r="N805" s="7" t="s">
        <v>394</v>
      </c>
      <c r="O805" s="7" t="s">
        <v>416</v>
      </c>
      <c r="P805" s="121" t="s">
        <v>417</v>
      </c>
      <c r="Q805" s="92" t="s">
        <v>418</v>
      </c>
      <c r="R805" s="7" t="s">
        <v>419</v>
      </c>
      <c r="S805" s="7" t="s">
        <v>420</v>
      </c>
      <c r="T805" s="7" t="s">
        <v>421</v>
      </c>
      <c r="U805" s="7" t="s">
        <v>422</v>
      </c>
      <c r="V805" s="7" t="s">
        <v>424</v>
      </c>
      <c r="W805" s="7" t="s">
        <v>423</v>
      </c>
      <c r="X805" s="7" t="s">
        <v>346</v>
      </c>
      <c r="Y805" s="7" t="s">
        <v>362</v>
      </c>
      <c r="Z805" s="7" t="s">
        <v>428</v>
      </c>
      <c r="AA805" s="7" t="s">
        <v>429</v>
      </c>
      <c r="AB805" s="123" t="s">
        <v>1768</v>
      </c>
      <c r="AC805" s="123" t="s">
        <v>1769</v>
      </c>
      <c r="AD805" s="123" t="s">
        <v>1857</v>
      </c>
    </row>
    <row r="806" spans="1:30" x14ac:dyDescent="0.25">
      <c r="A806" s="639"/>
      <c r="B806" s="115" t="str">
        <f>IF(P806&gt;0,C806&amp;E806&amp;I806&amp;K806&amp;L806,"")</f>
        <v>20180326B00101SR80731</v>
      </c>
      <c r="C806" s="92">
        <f>'day1'!B596</f>
        <v>20180326</v>
      </c>
      <c r="D806" s="92" t="str">
        <f>'day1'!C596</f>
        <v>6001</v>
      </c>
      <c r="E806" s="92" t="str">
        <f>'day1'!D596</f>
        <v>B00101</v>
      </c>
      <c r="F806" s="92" t="str">
        <f>'day1'!E596</f>
        <v>6001</v>
      </c>
      <c r="G806" s="92">
        <f>'day1'!F596</f>
        <v>20180326</v>
      </c>
      <c r="H806" s="92" t="str">
        <f>'day1'!G596</f>
        <v>CZCE</v>
      </c>
      <c r="I806" s="92" t="str">
        <f>'day1'!H596</f>
        <v>SR807</v>
      </c>
      <c r="J806" s="109">
        <f>VLOOKUP(I806,$C$19:$E$29,3,FALSE)</f>
        <v>10</v>
      </c>
      <c r="K806" s="109">
        <f>'day1'!J596</f>
        <v>3</v>
      </c>
      <c r="L806" s="109">
        <f>'day1'!K596</f>
        <v>1</v>
      </c>
      <c r="M806" s="109">
        <f>'day1'!L596</f>
        <v>2</v>
      </c>
      <c r="N806" s="109">
        <f>'day1'!M596</f>
        <v>6130</v>
      </c>
      <c r="O806" s="109">
        <f>'day1'!N596</f>
        <v>1</v>
      </c>
      <c r="P806" s="109">
        <f>M806</f>
        <v>2</v>
      </c>
      <c r="Q806" s="109">
        <f>P806</f>
        <v>2</v>
      </c>
      <c r="R806" s="109">
        <f>M806-Q806</f>
        <v>0</v>
      </c>
      <c r="S806" s="92">
        <f>IF(O806=1,VLOOKUP(AA806,$G$75:$K$114,4,FALSE),VLOOKUP(AA806,$G$75:$K$114,2,FALSE))</f>
        <v>2.0000000000000001E-4</v>
      </c>
      <c r="T806" s="92">
        <f>IF(O806=1,VLOOKUP(AA806,$G$75:$K$114,5,FALSE),VLOOKUP(AA806,$G$75:$K$114,3,FALSE))</f>
        <v>2</v>
      </c>
      <c r="U806" s="92">
        <f>ROUND(J806*N806*P806*S806+P806*T806,2)</f>
        <v>28.52</v>
      </c>
      <c r="V806" s="92">
        <v>1</v>
      </c>
      <c r="W806" s="92">
        <v>2</v>
      </c>
      <c r="X806" s="92" t="str">
        <f>$F$5</f>
        <v>9999</v>
      </c>
      <c r="Y806" s="92" t="str">
        <f>$D$9</f>
        <v>CNY</v>
      </c>
      <c r="Z806" s="92">
        <v>2</v>
      </c>
      <c r="AA806" s="92" t="str">
        <f>I806&amp;L806&amp;Z806</f>
        <v>SR80712</v>
      </c>
      <c r="AB806">
        <f>$B$2</f>
        <v>20180327</v>
      </c>
      <c r="AC806">
        <f>IF(C806=AB806,1,0)</f>
        <v>0</v>
      </c>
      <c r="AD806">
        <f>VLOOKUP(I806,$C$19:$L$29,9,FALSE)</f>
        <v>0</v>
      </c>
    </row>
    <row r="807" spans="1:30" x14ac:dyDescent="0.25">
      <c r="A807" s="639"/>
      <c r="B807" s="92" t="str">
        <f t="shared" ref="B807:B815" si="283">IF(P807&gt;0,C807&amp;E807&amp;I807&amp;K807&amp;L807,"")</f>
        <v/>
      </c>
      <c r="C807" s="92">
        <f>'day1'!B597</f>
        <v>20180326</v>
      </c>
      <c r="D807" s="92" t="str">
        <f>'day1'!C597</f>
        <v>6001</v>
      </c>
      <c r="E807" s="92" t="str">
        <f>'day1'!D597</f>
        <v>B00102</v>
      </c>
      <c r="F807" s="92" t="str">
        <f>'day1'!E597</f>
        <v>6001</v>
      </c>
      <c r="G807" s="92">
        <f>'day1'!F597</f>
        <v>20180326</v>
      </c>
      <c r="H807" s="92" t="str">
        <f>'day1'!G597</f>
        <v>CZCE</v>
      </c>
      <c r="I807" s="92" t="str">
        <f>'day1'!H597</f>
        <v>PTA807</v>
      </c>
      <c r="J807" s="109">
        <f t="shared" ref="J807:J815" si="284">VLOOKUP(I807,$C$19:$E$29,3,FALSE)</f>
        <v>5</v>
      </c>
      <c r="K807" s="109">
        <f>'day1'!J597</f>
        <v>2</v>
      </c>
      <c r="L807" s="109">
        <f>'day1'!K597</f>
        <v>1</v>
      </c>
      <c r="M807" s="109">
        <f>'day1'!L597</f>
        <v>5</v>
      </c>
      <c r="N807" s="109">
        <f>'day1'!M597</f>
        <v>6120</v>
      </c>
      <c r="O807" s="109">
        <f>'day1'!N597</f>
        <v>1</v>
      </c>
      <c r="P807" s="109">
        <v>0</v>
      </c>
      <c r="Q807" s="109">
        <f t="shared" ref="Q807:Q815" si="285">P807</f>
        <v>0</v>
      </c>
      <c r="R807" s="109">
        <f t="shared" ref="R807:R815" si="286">M807-Q807</f>
        <v>5</v>
      </c>
      <c r="S807" s="92">
        <f t="shared" ref="S807:S815" si="287">IF(O807=1,VLOOKUP(AA807,$G$75:$K$114,4,FALSE),VLOOKUP(AA807,$G$75:$K$114,2,FALSE))</f>
        <v>2.0000000000000001E-4</v>
      </c>
      <c r="T807" s="92">
        <f t="shared" ref="T807:T815" si="288">IF(O807=1,VLOOKUP(AA807,$G$75:$K$114,5,FALSE),VLOOKUP(AA807,$G$75:$K$114,3,FALSE))</f>
        <v>2</v>
      </c>
      <c r="U807" s="92">
        <f t="shared" ref="U807:U815" si="289">ROUND(J807*N807*P807*S807+P807*T807,2)</f>
        <v>0</v>
      </c>
      <c r="V807" s="92">
        <v>1</v>
      </c>
      <c r="W807" s="92">
        <v>1</v>
      </c>
      <c r="X807" s="92" t="str">
        <f t="shared" ref="X807:X815" si="290">$F$5</f>
        <v>9999</v>
      </c>
      <c r="Y807" s="92" t="str">
        <f t="shared" ref="Y807:Y815" si="291">$D$9</f>
        <v>CNY</v>
      </c>
      <c r="Z807" s="92">
        <v>2</v>
      </c>
      <c r="AA807" s="92" t="str">
        <f t="shared" ref="AA807:AA815" si="292">I807&amp;L807&amp;Z807</f>
        <v>PTA80712</v>
      </c>
      <c r="AB807">
        <f t="shared" ref="AB807:AB815" si="293">$B$2</f>
        <v>20180327</v>
      </c>
      <c r="AC807">
        <f t="shared" ref="AC807:AC815" si="294">IF(C807=AB807,1,0)</f>
        <v>0</v>
      </c>
      <c r="AD807">
        <f t="shared" ref="AD807:AD815" si="295">VLOOKUP(I807,$C$19:$L$29,9,FALSE)</f>
        <v>1</v>
      </c>
    </row>
    <row r="808" spans="1:30" x14ac:dyDescent="0.25">
      <c r="A808" s="639"/>
      <c r="B808" s="176" t="str">
        <f t="shared" si="283"/>
        <v>20180326B00102PTA80723</v>
      </c>
      <c r="C808" s="92">
        <f>'day1'!B598</f>
        <v>20180326</v>
      </c>
      <c r="D808" s="92" t="str">
        <f>'day1'!C598</f>
        <v>6001</v>
      </c>
      <c r="E808" s="92" t="str">
        <f>'day1'!D598</f>
        <v>B00102</v>
      </c>
      <c r="F808" s="92" t="str">
        <f>'day1'!E598</f>
        <v>6001</v>
      </c>
      <c r="G808" s="92">
        <f>'day1'!F598</f>
        <v>20180326</v>
      </c>
      <c r="H808" s="92" t="str">
        <f>'day1'!G598</f>
        <v>CZCE</v>
      </c>
      <c r="I808" s="92" t="str">
        <f>'day1'!H598</f>
        <v>PTA807</v>
      </c>
      <c r="J808" s="109">
        <f t="shared" si="284"/>
        <v>5</v>
      </c>
      <c r="K808" s="109">
        <f>'day1'!J598</f>
        <v>2</v>
      </c>
      <c r="L808" s="109">
        <f>'day1'!K598</f>
        <v>3</v>
      </c>
      <c r="M808" s="109">
        <f>'day1'!L598</f>
        <v>4</v>
      </c>
      <c r="N808" s="109">
        <f>'day1'!M598</f>
        <v>6120</v>
      </c>
      <c r="O808" s="109">
        <f>'day1'!N598</f>
        <v>1</v>
      </c>
      <c r="P808" s="109">
        <v>3</v>
      </c>
      <c r="Q808" s="109">
        <f t="shared" si="285"/>
        <v>3</v>
      </c>
      <c r="R808" s="109">
        <f t="shared" si="286"/>
        <v>1</v>
      </c>
      <c r="S808" s="92">
        <f t="shared" si="287"/>
        <v>3.0000000000000003E-4</v>
      </c>
      <c r="T808" s="92">
        <f t="shared" si="288"/>
        <v>3</v>
      </c>
      <c r="U808" s="92">
        <f t="shared" si="289"/>
        <v>36.54</v>
      </c>
      <c r="V808" s="92">
        <v>1</v>
      </c>
      <c r="W808" s="92">
        <v>1</v>
      </c>
      <c r="X808" s="92" t="str">
        <f t="shared" si="290"/>
        <v>9999</v>
      </c>
      <c r="Y808" s="92" t="str">
        <f t="shared" si="291"/>
        <v>CNY</v>
      </c>
      <c r="Z808" s="92">
        <v>2</v>
      </c>
      <c r="AA808" s="92" t="str">
        <f t="shared" si="292"/>
        <v>PTA80732</v>
      </c>
      <c r="AB808">
        <f t="shared" si="293"/>
        <v>20180327</v>
      </c>
      <c r="AC808">
        <f t="shared" si="294"/>
        <v>0</v>
      </c>
      <c r="AD808">
        <f t="shared" si="295"/>
        <v>1</v>
      </c>
    </row>
    <row r="809" spans="1:30" s="6" customFormat="1" x14ac:dyDescent="0.25">
      <c r="B809" s="92" t="str">
        <f t="shared" si="283"/>
        <v>20180327B00101SR80921</v>
      </c>
      <c r="C809" s="111">
        <f>$B$2</f>
        <v>20180327</v>
      </c>
      <c r="D809" s="111" t="str">
        <f>'day1'!C599</f>
        <v>6001</v>
      </c>
      <c r="E809" s="270" t="str">
        <f>D798</f>
        <v>B00101</v>
      </c>
      <c r="F809" s="111" t="str">
        <f>'day1'!E599</f>
        <v>6001</v>
      </c>
      <c r="G809" s="111">
        <f>$B$2</f>
        <v>20180327</v>
      </c>
      <c r="H809" s="111" t="str">
        <f>'day1'!G599</f>
        <v>CZCE</v>
      </c>
      <c r="I809" s="248" t="str">
        <f>H798</f>
        <v>SR809</v>
      </c>
      <c r="J809" s="113">
        <f t="shared" si="284"/>
        <v>10</v>
      </c>
      <c r="K809" s="113">
        <f>J798</f>
        <v>2</v>
      </c>
      <c r="L809" s="113">
        <f>K798</f>
        <v>1</v>
      </c>
      <c r="M809" s="113">
        <f>L798</f>
        <v>6</v>
      </c>
      <c r="N809" s="113">
        <f>M798</f>
        <v>6135</v>
      </c>
      <c r="O809" s="113">
        <v>1</v>
      </c>
      <c r="P809" s="113">
        <v>4</v>
      </c>
      <c r="Q809" s="113">
        <f t="shared" ref="Q809:Q812" si="296">P809</f>
        <v>4</v>
      </c>
      <c r="R809" s="113">
        <f t="shared" ref="R809:R812" si="297">M809-Q809</f>
        <v>2</v>
      </c>
      <c r="S809" s="111">
        <f>IF(O809=1,VLOOKUP(AA809,$G$75:$K$114,4,FALSE),VLOOKUP(AA809,$G$75:$K$114,2,FALSE))</f>
        <v>2.0000000000000001E-4</v>
      </c>
      <c r="T809" s="111">
        <f t="shared" ref="T809:T810" si="298">IF(O809=1,VLOOKUP(AA809,$G$75:$K$114,5,FALSE),VLOOKUP(AA809,$G$75:$K$114,3,FALSE))</f>
        <v>2</v>
      </c>
      <c r="U809" s="111">
        <f t="shared" ref="U809:U810" si="299">ROUND(J809*N809*P809*S809+P809*T809,2)</f>
        <v>57.08</v>
      </c>
      <c r="V809" s="111">
        <v>1</v>
      </c>
      <c r="W809" s="111">
        <v>1</v>
      </c>
      <c r="X809" s="111" t="str">
        <f t="shared" si="290"/>
        <v>9999</v>
      </c>
      <c r="Y809" s="111" t="str">
        <f t="shared" si="291"/>
        <v>CNY</v>
      </c>
      <c r="Z809" s="111">
        <v>2</v>
      </c>
      <c r="AA809" s="111" t="str">
        <f t="shared" ref="AA809:AA810" si="300">I809&amp;L809&amp;Z809</f>
        <v>SR80912</v>
      </c>
      <c r="AB809" s="6">
        <f t="shared" si="293"/>
        <v>20180327</v>
      </c>
      <c r="AC809" s="6">
        <f t="shared" ref="AC809:AC810" si="301">IF(C809=AB809,1,0)</f>
        <v>1</v>
      </c>
      <c r="AD809" s="6">
        <f t="shared" ref="AD809:AD810" si="302">VLOOKUP(I809,$C$19:$L$29,9,FALSE)</f>
        <v>0</v>
      </c>
    </row>
    <row r="810" spans="1:30" s="6" customFormat="1" x14ac:dyDescent="0.25">
      <c r="B810" s="92" t="str">
        <f t="shared" si="283"/>
        <v/>
      </c>
      <c r="C810" s="111">
        <f>$B$2</f>
        <v>20180327</v>
      </c>
      <c r="D810" s="111" t="str">
        <f>'day1'!C600</f>
        <v>6001</v>
      </c>
      <c r="E810" s="270" t="str">
        <f>D798</f>
        <v>B00101</v>
      </c>
      <c r="F810" s="111" t="str">
        <f>'day1'!E600</f>
        <v>6001</v>
      </c>
      <c r="G810" s="111">
        <f>$B$2</f>
        <v>20180327</v>
      </c>
      <c r="H810" s="111" t="str">
        <f>'day1'!G600</f>
        <v>CZCE</v>
      </c>
      <c r="I810" s="248" t="str">
        <f>H798</f>
        <v>SR809</v>
      </c>
      <c r="J810" s="113">
        <f t="shared" si="284"/>
        <v>10</v>
      </c>
      <c r="K810" s="113">
        <f t="shared" ref="K810:N811" si="303">J798</f>
        <v>2</v>
      </c>
      <c r="L810" s="113">
        <f t="shared" si="303"/>
        <v>1</v>
      </c>
      <c r="M810" s="113">
        <f t="shared" si="303"/>
        <v>6</v>
      </c>
      <c r="N810" s="113">
        <f t="shared" si="303"/>
        <v>6135</v>
      </c>
      <c r="O810" s="113">
        <v>2</v>
      </c>
      <c r="P810" s="113">
        <v>0</v>
      </c>
      <c r="Q810" s="113">
        <f t="shared" si="296"/>
        <v>0</v>
      </c>
      <c r="R810" s="113">
        <f t="shared" si="297"/>
        <v>6</v>
      </c>
      <c r="S810" s="111">
        <f t="shared" ref="S810" si="304">IF(O810=1,VLOOKUP(AA810,$G$75:$K$114,4,FALSE),VLOOKUP(AA810,$G$75:$K$114,2,FALSE))</f>
        <v>2.9999999999999997E-4</v>
      </c>
      <c r="T810" s="111">
        <f t="shared" si="298"/>
        <v>3</v>
      </c>
      <c r="U810" s="111">
        <f t="shared" si="299"/>
        <v>0</v>
      </c>
      <c r="V810" s="111">
        <v>1</v>
      </c>
      <c r="W810" s="111">
        <v>1</v>
      </c>
      <c r="X810" s="111" t="str">
        <f t="shared" si="290"/>
        <v>9999</v>
      </c>
      <c r="Y810" s="111" t="str">
        <f t="shared" si="291"/>
        <v>CNY</v>
      </c>
      <c r="Z810" s="111">
        <v>2</v>
      </c>
      <c r="AA810" s="111" t="str">
        <f t="shared" si="300"/>
        <v>SR80912</v>
      </c>
      <c r="AB810" s="6">
        <f t="shared" si="293"/>
        <v>20180327</v>
      </c>
      <c r="AC810" s="6">
        <f t="shared" si="301"/>
        <v>1</v>
      </c>
      <c r="AD810" s="6">
        <f t="shared" si="302"/>
        <v>0</v>
      </c>
    </row>
    <row r="811" spans="1:30" s="6" customFormat="1" x14ac:dyDescent="0.25">
      <c r="B811" s="92" t="str">
        <f t="shared" si="283"/>
        <v/>
      </c>
      <c r="C811" s="111">
        <f>B799</f>
        <v>20180327</v>
      </c>
      <c r="D811" s="111" t="str">
        <f>C799</f>
        <v>6001</v>
      </c>
      <c r="E811" s="111" t="str">
        <f>D799</f>
        <v>B00102</v>
      </c>
      <c r="F811" s="111" t="str">
        <f>E799</f>
        <v>6001</v>
      </c>
      <c r="G811" s="111">
        <f>F799</f>
        <v>20180327</v>
      </c>
      <c r="H811" s="111" t="str">
        <f>G799</f>
        <v>CZCE</v>
      </c>
      <c r="I811" s="111" t="str">
        <f>H799</f>
        <v>PTA809</v>
      </c>
      <c r="J811" s="113">
        <f t="shared" si="284"/>
        <v>5</v>
      </c>
      <c r="K811" s="113">
        <f t="shared" si="303"/>
        <v>3</v>
      </c>
      <c r="L811" s="113">
        <f t="shared" si="303"/>
        <v>1</v>
      </c>
      <c r="M811" s="113">
        <f t="shared" si="303"/>
        <v>4</v>
      </c>
      <c r="N811" s="113">
        <f t="shared" si="303"/>
        <v>6225</v>
      </c>
      <c r="O811" s="113">
        <v>1</v>
      </c>
      <c r="P811" s="113">
        <v>0</v>
      </c>
      <c r="Q811" s="113">
        <f t="shared" si="296"/>
        <v>0</v>
      </c>
      <c r="R811" s="113">
        <f t="shared" si="297"/>
        <v>4</v>
      </c>
      <c r="S811" s="111">
        <f t="shared" ref="S811:S812" si="305">IF(O811=1,VLOOKUP(AA811,$G$75:$K$114,4,FALSE),VLOOKUP(AA811,$G$75:$K$114,2,FALSE))</f>
        <v>2.0000000000000001E-4</v>
      </c>
      <c r="T811" s="111">
        <f t="shared" ref="T811:T812" si="306">IF(O811=1,VLOOKUP(AA811,$G$75:$K$114,5,FALSE),VLOOKUP(AA811,$G$75:$K$114,3,FALSE))</f>
        <v>2</v>
      </c>
      <c r="U811" s="111">
        <f t="shared" ref="U811:U812" si="307">ROUND(J811*N811*P811*S811+P811*T811,2)</f>
        <v>0</v>
      </c>
      <c r="V811" s="111">
        <v>1</v>
      </c>
      <c r="W811" s="111">
        <v>1</v>
      </c>
      <c r="X811" s="111" t="str">
        <f t="shared" si="290"/>
        <v>9999</v>
      </c>
      <c r="Y811" s="111" t="str">
        <f t="shared" si="291"/>
        <v>CNY</v>
      </c>
      <c r="Z811" s="111">
        <v>2</v>
      </c>
      <c r="AA811" s="111" t="str">
        <f t="shared" ref="AA811:AA812" si="308">I811&amp;L811&amp;Z811</f>
        <v>PTA80912</v>
      </c>
      <c r="AB811" s="6">
        <f t="shared" si="293"/>
        <v>20180327</v>
      </c>
      <c r="AC811" s="6">
        <f t="shared" ref="AC811:AC812" si="309">IF(C811=AB811,1,0)</f>
        <v>1</v>
      </c>
      <c r="AD811" s="6">
        <f t="shared" ref="AD811:AD812" si="310">VLOOKUP(I811,$C$19:$L$29,9,FALSE)</f>
        <v>1</v>
      </c>
    </row>
    <row r="812" spans="1:30" s="6" customFormat="1" x14ac:dyDescent="0.25">
      <c r="B812" s="92" t="str">
        <f t="shared" si="283"/>
        <v>20180327B00102PTA80931</v>
      </c>
      <c r="C812" s="111">
        <f>C811</f>
        <v>20180327</v>
      </c>
      <c r="D812" s="111" t="str">
        <f t="shared" ref="D812:I812" si="311">D811</f>
        <v>6001</v>
      </c>
      <c r="E812" s="111" t="str">
        <f t="shared" si="311"/>
        <v>B00102</v>
      </c>
      <c r="F812" s="111" t="str">
        <f t="shared" si="311"/>
        <v>6001</v>
      </c>
      <c r="G812" s="111">
        <f t="shared" si="311"/>
        <v>20180327</v>
      </c>
      <c r="H812" s="111" t="str">
        <f t="shared" si="311"/>
        <v>CZCE</v>
      </c>
      <c r="I812" s="111" t="str">
        <f t="shared" si="311"/>
        <v>PTA809</v>
      </c>
      <c r="J812" s="113">
        <f t="shared" si="284"/>
        <v>5</v>
      </c>
      <c r="K812" s="113">
        <f>K811</f>
        <v>3</v>
      </c>
      <c r="L812" s="113">
        <f t="shared" ref="L812:N812" si="312">L811</f>
        <v>1</v>
      </c>
      <c r="M812" s="113">
        <f t="shared" si="312"/>
        <v>4</v>
      </c>
      <c r="N812" s="113">
        <f t="shared" si="312"/>
        <v>6225</v>
      </c>
      <c r="O812" s="113">
        <v>2</v>
      </c>
      <c r="P812" s="113">
        <v>1</v>
      </c>
      <c r="Q812" s="113">
        <f t="shared" si="296"/>
        <v>1</v>
      </c>
      <c r="R812" s="113">
        <f t="shared" si="297"/>
        <v>3</v>
      </c>
      <c r="S812" s="111">
        <f t="shared" si="305"/>
        <v>2.9999999999999997E-4</v>
      </c>
      <c r="T812" s="111">
        <f t="shared" si="306"/>
        <v>3</v>
      </c>
      <c r="U812" s="111">
        <f t="shared" si="307"/>
        <v>12.34</v>
      </c>
      <c r="V812" s="111">
        <v>1</v>
      </c>
      <c r="W812" s="111">
        <v>1</v>
      </c>
      <c r="X812" s="111" t="str">
        <f t="shared" si="290"/>
        <v>9999</v>
      </c>
      <c r="Y812" s="111" t="str">
        <f t="shared" si="291"/>
        <v>CNY</v>
      </c>
      <c r="Z812" s="111">
        <v>2</v>
      </c>
      <c r="AA812" s="111" t="str">
        <f t="shared" si="308"/>
        <v>PTA80912</v>
      </c>
      <c r="AB812" s="6">
        <f t="shared" si="293"/>
        <v>20180327</v>
      </c>
      <c r="AC812" s="6">
        <f t="shared" si="309"/>
        <v>1</v>
      </c>
      <c r="AD812" s="6">
        <f t="shared" si="310"/>
        <v>1</v>
      </c>
    </row>
    <row r="813" spans="1:30" x14ac:dyDescent="0.25">
      <c r="A813" s="639"/>
      <c r="B813" s="115" t="str">
        <f t="shared" si="283"/>
        <v>20180326B00101SR80731</v>
      </c>
      <c r="C813" s="92">
        <f>'day1'!B599</f>
        <v>20180326</v>
      </c>
      <c r="D813" s="92" t="str">
        <f>'day1'!C599</f>
        <v>6001</v>
      </c>
      <c r="E813" s="92" t="str">
        <f>'day1'!D599</f>
        <v>B00101</v>
      </c>
      <c r="F813" s="92" t="str">
        <f>'day1'!E599</f>
        <v>6001</v>
      </c>
      <c r="G813" s="92">
        <f>'day1'!F599</f>
        <v>20180326</v>
      </c>
      <c r="H813" s="92" t="str">
        <f>'day1'!G599</f>
        <v>CZCE</v>
      </c>
      <c r="I813" s="92" t="str">
        <f>'day1'!H599</f>
        <v>SR807</v>
      </c>
      <c r="J813" s="109">
        <f t="shared" si="284"/>
        <v>10</v>
      </c>
      <c r="K813" s="109">
        <f>'day1'!J599</f>
        <v>3</v>
      </c>
      <c r="L813" s="109">
        <f>'day1'!K599</f>
        <v>1</v>
      </c>
      <c r="M813" s="109">
        <f>'day1'!L599</f>
        <v>2</v>
      </c>
      <c r="N813" s="109">
        <f>'day1'!M599</f>
        <v>6130</v>
      </c>
      <c r="O813" s="109">
        <f>'day1'!N599</f>
        <v>2</v>
      </c>
      <c r="P813" s="109">
        <f>M813</f>
        <v>2</v>
      </c>
      <c r="Q813" s="109">
        <f t="shared" si="285"/>
        <v>2</v>
      </c>
      <c r="R813" s="109">
        <f t="shared" si="286"/>
        <v>0</v>
      </c>
      <c r="S813" s="92">
        <f t="shared" si="287"/>
        <v>2.9999999999999997E-4</v>
      </c>
      <c r="T813" s="92">
        <f t="shared" si="288"/>
        <v>3</v>
      </c>
      <c r="U813" s="92">
        <f t="shared" si="289"/>
        <v>42.78</v>
      </c>
      <c r="V813" s="92">
        <v>1</v>
      </c>
      <c r="W813" s="92">
        <v>2</v>
      </c>
      <c r="X813" s="92" t="str">
        <f t="shared" si="290"/>
        <v>9999</v>
      </c>
      <c r="Y813" s="92" t="str">
        <f t="shared" si="291"/>
        <v>CNY</v>
      </c>
      <c r="Z813" s="92">
        <v>2</v>
      </c>
      <c r="AA813" s="92" t="str">
        <f t="shared" si="292"/>
        <v>SR80712</v>
      </c>
      <c r="AB813">
        <f t="shared" si="293"/>
        <v>20180327</v>
      </c>
      <c r="AC813">
        <f t="shared" si="294"/>
        <v>0</v>
      </c>
      <c r="AD813">
        <f t="shared" si="295"/>
        <v>0</v>
      </c>
    </row>
    <row r="814" spans="1:30" x14ac:dyDescent="0.25">
      <c r="A814" s="639"/>
      <c r="B814" s="92" t="str">
        <f t="shared" si="283"/>
        <v/>
      </c>
      <c r="C814" s="92">
        <f>'day1'!B600</f>
        <v>20180326</v>
      </c>
      <c r="D814" s="92" t="str">
        <f>'day1'!C600</f>
        <v>6001</v>
      </c>
      <c r="E814" s="92" t="str">
        <f>'day1'!D600</f>
        <v>B00102</v>
      </c>
      <c r="F814" s="92" t="str">
        <f>'day1'!E600</f>
        <v>6001</v>
      </c>
      <c r="G814" s="92">
        <f>'day1'!F600</f>
        <v>20180326</v>
      </c>
      <c r="H814" s="92" t="str">
        <f>'day1'!G600</f>
        <v>CZCE</v>
      </c>
      <c r="I814" s="92" t="str">
        <f>'day1'!H600</f>
        <v>PTA807</v>
      </c>
      <c r="J814" s="109">
        <f t="shared" si="284"/>
        <v>5</v>
      </c>
      <c r="K814" s="109">
        <f>'day1'!J600</f>
        <v>2</v>
      </c>
      <c r="L814" s="109">
        <f>'day1'!K600</f>
        <v>1</v>
      </c>
      <c r="M814" s="109">
        <f>'day1'!L600</f>
        <v>5</v>
      </c>
      <c r="N814" s="109">
        <f>'day1'!M600</f>
        <v>6120</v>
      </c>
      <c r="O814" s="109">
        <f>'day1'!N600</f>
        <v>2</v>
      </c>
      <c r="P814" s="109">
        <v>0</v>
      </c>
      <c r="Q814" s="109">
        <f t="shared" si="285"/>
        <v>0</v>
      </c>
      <c r="R814" s="109">
        <f t="shared" si="286"/>
        <v>5</v>
      </c>
      <c r="S814" s="92">
        <f t="shared" si="287"/>
        <v>2.9999999999999997E-4</v>
      </c>
      <c r="T814" s="92">
        <f t="shared" si="288"/>
        <v>3</v>
      </c>
      <c r="U814" s="92">
        <f t="shared" si="289"/>
        <v>0</v>
      </c>
      <c r="V814" s="92">
        <v>1</v>
      </c>
      <c r="W814" s="92">
        <v>1</v>
      </c>
      <c r="X814" s="92" t="str">
        <f t="shared" si="290"/>
        <v>9999</v>
      </c>
      <c r="Y814" s="92" t="str">
        <f t="shared" si="291"/>
        <v>CNY</v>
      </c>
      <c r="Z814" s="92">
        <v>2</v>
      </c>
      <c r="AA814" s="92" t="str">
        <f t="shared" si="292"/>
        <v>PTA80712</v>
      </c>
      <c r="AB814">
        <f t="shared" si="293"/>
        <v>20180327</v>
      </c>
      <c r="AC814">
        <f t="shared" si="294"/>
        <v>0</v>
      </c>
      <c r="AD814">
        <f t="shared" si="295"/>
        <v>1</v>
      </c>
    </row>
    <row r="815" spans="1:30" x14ac:dyDescent="0.25">
      <c r="A815" s="639"/>
      <c r="B815" s="176" t="str">
        <f t="shared" si="283"/>
        <v>20180326B00102PTA80723</v>
      </c>
      <c r="C815" s="92">
        <f>'day1'!B601</f>
        <v>20180326</v>
      </c>
      <c r="D815" s="92" t="str">
        <f>'day1'!C601</f>
        <v>6001</v>
      </c>
      <c r="E815" s="92" t="str">
        <f>'day1'!D601</f>
        <v>B00102</v>
      </c>
      <c r="F815" s="92" t="str">
        <f>'day1'!E601</f>
        <v>6001</v>
      </c>
      <c r="G815" s="92">
        <f>'day1'!F601</f>
        <v>20180326</v>
      </c>
      <c r="H815" s="92" t="str">
        <f>'day1'!G601</f>
        <v>CZCE</v>
      </c>
      <c r="I815" s="92" t="str">
        <f>'day1'!H601</f>
        <v>PTA807</v>
      </c>
      <c r="J815" s="109">
        <f t="shared" si="284"/>
        <v>5</v>
      </c>
      <c r="K815" s="109">
        <f>'day1'!J601</f>
        <v>2</v>
      </c>
      <c r="L815" s="109">
        <f>'day1'!K601</f>
        <v>3</v>
      </c>
      <c r="M815" s="109">
        <f>'day1'!L601</f>
        <v>4</v>
      </c>
      <c r="N815" s="109">
        <f>'day1'!M601</f>
        <v>6120</v>
      </c>
      <c r="O815" s="109">
        <f>'day1'!N601</f>
        <v>2</v>
      </c>
      <c r="P815" s="109">
        <v>3</v>
      </c>
      <c r="Q815" s="109">
        <f t="shared" si="285"/>
        <v>3</v>
      </c>
      <c r="R815" s="109">
        <f t="shared" si="286"/>
        <v>1</v>
      </c>
      <c r="S815" s="92">
        <f t="shared" si="287"/>
        <v>2.9999999999999997E-4</v>
      </c>
      <c r="T815" s="92">
        <f t="shared" si="288"/>
        <v>3</v>
      </c>
      <c r="U815" s="92">
        <f t="shared" si="289"/>
        <v>36.54</v>
      </c>
      <c r="V815" s="92">
        <v>1</v>
      </c>
      <c r="W815" s="92">
        <v>1</v>
      </c>
      <c r="X815" s="92" t="str">
        <f t="shared" si="290"/>
        <v>9999</v>
      </c>
      <c r="Y815" s="92" t="str">
        <f t="shared" si="291"/>
        <v>CNY</v>
      </c>
      <c r="Z815" s="92">
        <v>2</v>
      </c>
      <c r="AA815" s="92" t="str">
        <f t="shared" si="292"/>
        <v>PTA80732</v>
      </c>
      <c r="AB815">
        <f t="shared" si="293"/>
        <v>20180327</v>
      </c>
      <c r="AC815">
        <f t="shared" si="294"/>
        <v>0</v>
      </c>
      <c r="AD815">
        <f t="shared" si="295"/>
        <v>1</v>
      </c>
    </row>
    <row r="816" spans="1:30" x14ac:dyDescent="0.25">
      <c r="A816" t="s">
        <v>173</v>
      </c>
      <c r="B816" s="103" t="s">
        <v>1376</v>
      </c>
      <c r="T816" s="260"/>
    </row>
    <row r="817" spans="1:30" s="639" customFormat="1" x14ac:dyDescent="0.25">
      <c r="A817" s="639" t="s">
        <v>2135</v>
      </c>
      <c r="B817" s="103" t="s">
        <v>2116</v>
      </c>
      <c r="T817" s="167"/>
    </row>
    <row r="818" spans="1:30" x14ac:dyDescent="0.25">
      <c r="A818" s="157" t="s">
        <v>970</v>
      </c>
      <c r="B818" s="157" t="s">
        <v>971</v>
      </c>
    </row>
    <row r="819" spans="1:30" x14ac:dyDescent="0.25">
      <c r="A819" t="s">
        <v>306</v>
      </c>
      <c r="B819" s="732" t="s">
        <v>1531</v>
      </c>
      <c r="C819" s="721"/>
      <c r="D819" s="721"/>
      <c r="E819" s="721"/>
      <c r="F819" s="721"/>
      <c r="G819" s="721"/>
      <c r="H819" s="721"/>
      <c r="I819" s="721"/>
      <c r="J819" s="721"/>
      <c r="K819" s="721"/>
      <c r="L819" s="721"/>
      <c r="M819" s="721"/>
      <c r="N819" s="721"/>
      <c r="O819" s="721"/>
      <c r="P819" s="721"/>
      <c r="Q819" s="721"/>
      <c r="R819" s="721"/>
      <c r="S819" s="721"/>
      <c r="T819" s="721"/>
      <c r="U819" s="721"/>
      <c r="V819" s="721"/>
      <c r="W819" s="721"/>
      <c r="X819" s="721"/>
      <c r="Y819" s="721"/>
      <c r="Z819" s="721"/>
      <c r="AA819" s="721"/>
      <c r="AB819" s="721"/>
      <c r="AC819" s="721"/>
    </row>
    <row r="820" spans="1:30" x14ac:dyDescent="0.25">
      <c r="A820" s="639" t="s">
        <v>2136</v>
      </c>
      <c r="B820" s="7" t="s">
        <v>2120</v>
      </c>
      <c r="C820" s="7" t="s">
        <v>1462</v>
      </c>
      <c r="D820" s="7" t="s">
        <v>407</v>
      </c>
      <c r="E820" s="7" t="s">
        <v>19</v>
      </c>
      <c r="F820" s="7" t="s">
        <v>287</v>
      </c>
      <c r="G820" s="7" t="s">
        <v>118</v>
      </c>
      <c r="H820" s="7" t="s">
        <v>1430</v>
      </c>
      <c r="I820" s="7" t="s">
        <v>365</v>
      </c>
      <c r="J820" s="7" t="s">
        <v>5</v>
      </c>
      <c r="K820" s="7" t="s">
        <v>52</v>
      </c>
      <c r="L820" s="7" t="s">
        <v>403</v>
      </c>
      <c r="M820" s="7" t="s">
        <v>294</v>
      </c>
      <c r="N820" s="7" t="s">
        <v>9</v>
      </c>
      <c r="O820" s="7" t="s">
        <v>18</v>
      </c>
      <c r="P820" s="7" t="s">
        <v>385</v>
      </c>
      <c r="Q820" s="7" t="s">
        <v>425</v>
      </c>
      <c r="R820" s="7" t="s">
        <v>432</v>
      </c>
      <c r="S820" s="7" t="s">
        <v>433</v>
      </c>
      <c r="T820" s="7" t="s">
        <v>434</v>
      </c>
      <c r="U820" s="7" t="s">
        <v>435</v>
      </c>
      <c r="V820" s="7"/>
      <c r="W820" s="7" t="s">
        <v>1363</v>
      </c>
      <c r="X820" s="7" t="s">
        <v>436</v>
      </c>
      <c r="Y820" s="7" t="s">
        <v>451</v>
      </c>
      <c r="Z820" s="7" t="s">
        <v>452</v>
      </c>
      <c r="AA820" s="7" t="s">
        <v>415</v>
      </c>
      <c r="AB820" s="7" t="s">
        <v>439</v>
      </c>
      <c r="AC820" s="7" t="s">
        <v>448</v>
      </c>
      <c r="AD820" s="7" t="s">
        <v>450</v>
      </c>
    </row>
    <row r="821" spans="1:30" x14ac:dyDescent="0.25">
      <c r="A821" s="639"/>
      <c r="B821" s="7" t="s">
        <v>2120</v>
      </c>
      <c r="C821" s="7" t="s">
        <v>346</v>
      </c>
      <c r="D821" s="7" t="s">
        <v>400</v>
      </c>
      <c r="E821" s="7" t="s">
        <v>321</v>
      </c>
      <c r="F821" s="7" t="s">
        <v>322</v>
      </c>
      <c r="G821" s="7" t="s">
        <v>1850</v>
      </c>
      <c r="H821" s="7" t="s">
        <v>709</v>
      </c>
      <c r="I821" s="7" t="s">
        <v>399</v>
      </c>
      <c r="J821" s="7" t="s">
        <v>327</v>
      </c>
      <c r="K821" s="7" t="s">
        <v>328</v>
      </c>
      <c r="L821" s="7" t="s">
        <v>405</v>
      </c>
      <c r="M821" s="7" t="s">
        <v>331</v>
      </c>
      <c r="N821" s="7" t="s">
        <v>332</v>
      </c>
      <c r="O821" s="7" t="s">
        <v>333</v>
      </c>
      <c r="P821" s="7" t="s">
        <v>394</v>
      </c>
      <c r="Q821" s="7" t="s">
        <v>1594</v>
      </c>
      <c r="R821" s="7" t="s">
        <v>440</v>
      </c>
      <c r="S821" s="7" t="s">
        <v>441</v>
      </c>
      <c r="T821" s="7" t="s">
        <v>442</v>
      </c>
      <c r="U821" s="7" t="s">
        <v>443</v>
      </c>
      <c r="V821" s="7" t="s">
        <v>444</v>
      </c>
      <c r="W821" s="7" t="s">
        <v>445</v>
      </c>
      <c r="X821" s="7" t="s">
        <v>446</v>
      </c>
      <c r="Y821" s="7" t="s">
        <v>453</v>
      </c>
      <c r="Z821" s="7" t="s">
        <v>454</v>
      </c>
      <c r="AA821" s="7" t="s">
        <v>423</v>
      </c>
      <c r="AB821" s="7" t="s">
        <v>447</v>
      </c>
      <c r="AC821" s="7" t="s">
        <v>448</v>
      </c>
      <c r="AD821" s="7" t="s">
        <v>450</v>
      </c>
    </row>
    <row r="822" spans="1:30" s="6" customFormat="1" x14ac:dyDescent="0.25">
      <c r="B822" s="111" t="str">
        <f>IF(R822&gt;0,D822&amp;F822&amp;K822&amp;N822&amp;M822,0)</f>
        <v>20180326B00101SR80713</v>
      </c>
      <c r="C822" s="111" t="str">
        <f>$F$5</f>
        <v>9999</v>
      </c>
      <c r="D822" s="111">
        <f>'day1'!B607</f>
        <v>20180326</v>
      </c>
      <c r="E822" s="111" t="str">
        <f>'day1'!C607</f>
        <v>6001</v>
      </c>
      <c r="F822" s="111" t="str">
        <f>'day1'!D607</f>
        <v>B00101</v>
      </c>
      <c r="G822" s="111" t="str">
        <f>'day1'!E607</f>
        <v>6001</v>
      </c>
      <c r="H822" s="111" t="s">
        <v>228</v>
      </c>
      <c r="I822" s="111">
        <f>'day1'!F607</f>
        <v>20180326</v>
      </c>
      <c r="J822" s="111" t="str">
        <f>'day1'!G607</f>
        <v>CZCE</v>
      </c>
      <c r="K822" s="111" t="str">
        <f>'day1'!H607</f>
        <v>SR807</v>
      </c>
      <c r="L822" s="111">
        <f>VLOOKUP(K822,$C$19:$E$29,3,FALSE)</f>
        <v>10</v>
      </c>
      <c r="M822" s="113">
        <f>'day1'!J607</f>
        <v>3</v>
      </c>
      <c r="N822" s="113">
        <f>'day1'!K607</f>
        <v>1</v>
      </c>
      <c r="O822" s="113">
        <f>'day1'!L607</f>
        <v>2</v>
      </c>
      <c r="P822" s="113">
        <f>'day1'!M607</f>
        <v>6130</v>
      </c>
      <c r="Q822" s="113">
        <f>'day1'!N607</f>
        <v>1</v>
      </c>
      <c r="R822" s="111">
        <v>2</v>
      </c>
      <c r="S822" s="111">
        <f>R822</f>
        <v>2</v>
      </c>
      <c r="T822" s="111">
        <f>O822-S822</f>
        <v>0</v>
      </c>
      <c r="U822" s="111">
        <v>0</v>
      </c>
      <c r="V822" s="111">
        <v>0</v>
      </c>
      <c r="W822" s="111">
        <v>0</v>
      </c>
      <c r="X822" s="111">
        <v>0</v>
      </c>
      <c r="Y822" s="111">
        <f t="shared" ref="Y822:Y823" si="313">ROUND(L822*P822*T822*U822+T822*V822,2)</f>
        <v>0</v>
      </c>
      <c r="Z822" s="111">
        <f t="shared" ref="Z822:Z823" si="314">ROUND(L822*P822*T822*W822+T822*X822,2)</f>
        <v>0</v>
      </c>
      <c r="AA822" s="111">
        <v>2</v>
      </c>
      <c r="AB822" s="111">
        <v>1</v>
      </c>
      <c r="AC822" s="111">
        <f>IF(M822=2,0,1)</f>
        <v>1</v>
      </c>
      <c r="AD822" s="111" t="str">
        <f>K822&amp;N822&amp;AC822</f>
        <v>SR80711</v>
      </c>
    </row>
    <row r="823" spans="1:30" x14ac:dyDescent="0.25">
      <c r="A823" s="639"/>
      <c r="B823" s="111">
        <f t="shared" ref="B823:B826" si="315">IF(R823&gt;0,D823&amp;F823&amp;K823&amp;N823&amp;M823,0)</f>
        <v>0</v>
      </c>
      <c r="C823" s="92" t="str">
        <f t="shared" ref="C823:C826" si="316">$F$5</f>
        <v>9999</v>
      </c>
      <c r="D823" s="92">
        <f>'day1'!B608</f>
        <v>20180326</v>
      </c>
      <c r="E823" s="92" t="str">
        <f>'day1'!C608</f>
        <v>6001</v>
      </c>
      <c r="F823" s="92" t="str">
        <f>'day1'!D608</f>
        <v>B00102</v>
      </c>
      <c r="G823" s="92" t="str">
        <f>'day1'!E608</f>
        <v>6001</v>
      </c>
      <c r="H823" s="92" t="s">
        <v>228</v>
      </c>
      <c r="I823" s="92">
        <f>'day1'!F608</f>
        <v>20180326</v>
      </c>
      <c r="J823" s="92" t="str">
        <f>'day1'!G608</f>
        <v>CZCE</v>
      </c>
      <c r="K823" s="92" t="str">
        <f>'day1'!H608</f>
        <v>PTA807</v>
      </c>
      <c r="L823" s="92">
        <f t="shared" ref="L823:L826" si="317">VLOOKUP(K823,$C$19:$E$29,3,FALSE)</f>
        <v>5</v>
      </c>
      <c r="M823" s="109">
        <f>'day1'!J608</f>
        <v>2</v>
      </c>
      <c r="N823" s="109">
        <f>'day1'!K608</f>
        <v>1</v>
      </c>
      <c r="O823" s="109">
        <f>'day1'!L608</f>
        <v>5</v>
      </c>
      <c r="P823" s="109">
        <f>'day1'!M608</f>
        <v>6120</v>
      </c>
      <c r="Q823" s="109">
        <f>'day1'!N608</f>
        <v>1</v>
      </c>
      <c r="R823" s="92">
        <v>0</v>
      </c>
      <c r="S823" s="92">
        <f>R823</f>
        <v>0</v>
      </c>
      <c r="T823" s="92">
        <f t="shared" ref="T823:T826" si="318">O823-S823</f>
        <v>5</v>
      </c>
      <c r="U823" s="92">
        <f t="shared" ref="U823:U826" si="319">VLOOKUP(AD823,$F$53:$L$72,4,FALSE)</f>
        <v>0.05</v>
      </c>
      <c r="V823" s="92">
        <f t="shared" ref="V823:V826" si="320">VLOOKUP(AD823,$F$53:$L$72,5,FALSE)</f>
        <v>5</v>
      </c>
      <c r="W823" s="92">
        <f t="shared" ref="W823:W826" si="321">VLOOKUP(AD823,$F$53:$L$72,2,FALSE)</f>
        <v>0.04</v>
      </c>
      <c r="X823" s="92">
        <f t="shared" ref="X823:X826" si="322">VLOOKUP(AD823,$F$53:$L$72,3,FALSE)</f>
        <v>4</v>
      </c>
      <c r="Y823" s="92">
        <f t="shared" si="313"/>
        <v>7675</v>
      </c>
      <c r="Z823" s="92">
        <f t="shared" si="314"/>
        <v>6140</v>
      </c>
      <c r="AA823" s="92">
        <v>1</v>
      </c>
      <c r="AB823" s="92">
        <v>1</v>
      </c>
      <c r="AC823" s="92">
        <f>IF(M823=2,0,1)</f>
        <v>0</v>
      </c>
      <c r="AD823" s="92" t="str">
        <f>K823&amp;N823&amp;AC823</f>
        <v>PTA80710</v>
      </c>
    </row>
    <row r="824" spans="1:30" s="6" customFormat="1" x14ac:dyDescent="0.25">
      <c r="B824" s="111" t="str">
        <f t="shared" si="315"/>
        <v>20180327B00101SR80912</v>
      </c>
      <c r="C824" s="111" t="str">
        <f t="shared" si="316"/>
        <v>9999</v>
      </c>
      <c r="D824" s="111">
        <f>C809</f>
        <v>20180327</v>
      </c>
      <c r="E824" s="111" t="str">
        <f>D809</f>
        <v>6001</v>
      </c>
      <c r="F824" s="111" t="str">
        <f>E809</f>
        <v>B00101</v>
      </c>
      <c r="G824" s="111" t="str">
        <f>F809</f>
        <v>6001</v>
      </c>
      <c r="H824" s="111" t="s">
        <v>228</v>
      </c>
      <c r="I824" s="111">
        <f>G809</f>
        <v>20180327</v>
      </c>
      <c r="J824" s="111" t="str">
        <f>'day1'!G609</f>
        <v>CZCE</v>
      </c>
      <c r="K824" s="248" t="str">
        <f>H798</f>
        <v>SR809</v>
      </c>
      <c r="L824" s="111">
        <f t="shared" si="317"/>
        <v>10</v>
      </c>
      <c r="M824" s="113">
        <f t="shared" ref="M824:P825" si="323">J798</f>
        <v>2</v>
      </c>
      <c r="N824" s="113">
        <f t="shared" si="323"/>
        <v>1</v>
      </c>
      <c r="O824" s="113">
        <f t="shared" si="323"/>
        <v>6</v>
      </c>
      <c r="P824" s="113">
        <f t="shared" si="323"/>
        <v>6135</v>
      </c>
      <c r="Q824" s="113">
        <v>1</v>
      </c>
      <c r="R824" s="111">
        <v>4</v>
      </c>
      <c r="S824" s="111">
        <f t="shared" ref="S824:S825" si="324">R824</f>
        <v>4</v>
      </c>
      <c r="T824" s="111">
        <f t="shared" ref="T824" si="325">O824-S824</f>
        <v>2</v>
      </c>
      <c r="U824" s="111">
        <f t="shared" ref="U824" si="326">VLOOKUP(AD824,$F$53:$L$72,4,FALSE)</f>
        <v>0.05</v>
      </c>
      <c r="V824" s="111">
        <f t="shared" ref="V824" si="327">VLOOKUP(AD824,$F$53:$L$72,5,FALSE)</f>
        <v>5</v>
      </c>
      <c r="W824" s="111">
        <f t="shared" ref="W824" si="328">VLOOKUP(AD824,$F$53:$L$72,2,FALSE)</f>
        <v>0.04</v>
      </c>
      <c r="X824" s="111">
        <f t="shared" ref="X824" si="329">VLOOKUP(AD824,$F$53:$L$72,3,FALSE)</f>
        <v>4</v>
      </c>
      <c r="Y824" s="111">
        <f t="shared" ref="Y824" si="330">ROUND(L824*P824*T824*U824+T824*V824,2)</f>
        <v>6145</v>
      </c>
      <c r="Z824" s="111">
        <f t="shared" ref="Z824" si="331">ROUND(L824*P824*T824*W824+T824*X824,2)</f>
        <v>4916</v>
      </c>
      <c r="AA824" s="111">
        <v>1</v>
      </c>
      <c r="AB824" s="111">
        <v>1</v>
      </c>
      <c r="AC824" s="111">
        <f>IF(M824=2,0,1)</f>
        <v>0</v>
      </c>
      <c r="AD824" s="111" t="str">
        <f>K824&amp;N824&amp;AC824</f>
        <v>SR80910</v>
      </c>
    </row>
    <row r="825" spans="1:30" s="6" customFormat="1" x14ac:dyDescent="0.25">
      <c r="B825" s="111">
        <f t="shared" si="315"/>
        <v>0</v>
      </c>
      <c r="C825" s="111" t="str">
        <f>C824</f>
        <v>9999</v>
      </c>
      <c r="D825" s="111">
        <f>B799</f>
        <v>20180327</v>
      </c>
      <c r="E825" s="111" t="str">
        <f>C799</f>
        <v>6001</v>
      </c>
      <c r="F825" s="111" t="str">
        <f>D799</f>
        <v>B00102</v>
      </c>
      <c r="G825" s="111" t="str">
        <f>E799</f>
        <v>6001</v>
      </c>
      <c r="H825" s="111" t="s">
        <v>228</v>
      </c>
      <c r="I825" s="270">
        <f>F799</f>
        <v>20180327</v>
      </c>
      <c r="J825" s="270" t="str">
        <f>G799</f>
        <v>CZCE</v>
      </c>
      <c r="K825" s="270" t="str">
        <f>H799</f>
        <v>PTA809</v>
      </c>
      <c r="L825" s="111">
        <f t="shared" si="317"/>
        <v>5</v>
      </c>
      <c r="M825" s="113">
        <f t="shared" si="323"/>
        <v>3</v>
      </c>
      <c r="N825" s="113">
        <f t="shared" si="323"/>
        <v>1</v>
      </c>
      <c r="O825" s="113">
        <f t="shared" si="323"/>
        <v>4</v>
      </c>
      <c r="P825" s="113">
        <f t="shared" si="323"/>
        <v>6225</v>
      </c>
      <c r="Q825" s="113">
        <v>1</v>
      </c>
      <c r="R825" s="111">
        <v>0</v>
      </c>
      <c r="S825" s="111">
        <f t="shared" si="324"/>
        <v>0</v>
      </c>
      <c r="T825" s="111">
        <f t="shared" ref="T825" si="332">O825-S825</f>
        <v>4</v>
      </c>
      <c r="U825" s="111">
        <v>0</v>
      </c>
      <c r="V825" s="111">
        <v>0</v>
      </c>
      <c r="W825" s="111">
        <v>0</v>
      </c>
      <c r="X825" s="111">
        <v>0</v>
      </c>
      <c r="Y825" s="111">
        <f t="shared" ref="Y825" si="333">ROUND(L825*P825*T825*U825+T825*V825,2)</f>
        <v>0</v>
      </c>
      <c r="Z825" s="111">
        <f t="shared" ref="Z825" si="334">ROUND(L825*P825*T825*W825+T825*X825,2)</f>
        <v>0</v>
      </c>
      <c r="AA825" s="111">
        <v>1</v>
      </c>
      <c r="AB825" s="111">
        <v>1</v>
      </c>
      <c r="AC825" s="111">
        <f>IF(M825=2,0,1)</f>
        <v>1</v>
      </c>
      <c r="AD825" s="111" t="str">
        <f>K825&amp;N825&amp;AC825</f>
        <v>PTA80911</v>
      </c>
    </row>
    <row r="826" spans="1:30" x14ac:dyDescent="0.25">
      <c r="A826" s="639"/>
      <c r="B826" s="111" t="str">
        <f t="shared" si="315"/>
        <v>20180326B00102PTA80732</v>
      </c>
      <c r="C826" s="92" t="str">
        <f t="shared" si="316"/>
        <v>9999</v>
      </c>
      <c r="D826" s="92">
        <f>'day1'!B609</f>
        <v>20180326</v>
      </c>
      <c r="E826" s="92" t="str">
        <f>'day1'!C609</f>
        <v>6001</v>
      </c>
      <c r="F826" s="92" t="str">
        <f>'day1'!D609</f>
        <v>B00102</v>
      </c>
      <c r="G826" s="92" t="str">
        <f>'day1'!E609</f>
        <v>6001</v>
      </c>
      <c r="H826" s="92" t="s">
        <v>228</v>
      </c>
      <c r="I826" s="92">
        <f>'day1'!F609</f>
        <v>20180326</v>
      </c>
      <c r="J826" s="92" t="str">
        <f>'day1'!G609</f>
        <v>CZCE</v>
      </c>
      <c r="K826" s="92" t="str">
        <f>'day1'!H609</f>
        <v>PTA807</v>
      </c>
      <c r="L826" s="92">
        <f t="shared" si="317"/>
        <v>5</v>
      </c>
      <c r="M826" s="109">
        <f>'day1'!J609</f>
        <v>2</v>
      </c>
      <c r="N826" s="109">
        <f>'day1'!K609</f>
        <v>3</v>
      </c>
      <c r="O826" s="109">
        <f>'day1'!L609</f>
        <v>4</v>
      </c>
      <c r="P826" s="109">
        <f>'day1'!M609</f>
        <v>6120</v>
      </c>
      <c r="Q826" s="109">
        <f>'day1'!N609</f>
        <v>1</v>
      </c>
      <c r="R826" s="92">
        <v>3</v>
      </c>
      <c r="S826" s="92">
        <v>3</v>
      </c>
      <c r="T826" s="92">
        <f t="shared" si="318"/>
        <v>1</v>
      </c>
      <c r="U826" s="92">
        <f t="shared" si="319"/>
        <v>5.1999999999999998E-2</v>
      </c>
      <c r="V826" s="92">
        <f t="shared" si="320"/>
        <v>5.2</v>
      </c>
      <c r="W826" s="92">
        <f t="shared" si="321"/>
        <v>4.2000000000000003E-2</v>
      </c>
      <c r="X826" s="92">
        <f t="shared" si="322"/>
        <v>4.2</v>
      </c>
      <c r="Y826" s="92">
        <f>ROUND(L826*P826*T826*U826+T826*V826,2)</f>
        <v>1596.4</v>
      </c>
      <c r="Z826" s="92">
        <f>ROUND(L826*P826*T826*W826+T826*X826,2)</f>
        <v>1289.4000000000001</v>
      </c>
      <c r="AA826" s="92">
        <v>1</v>
      </c>
      <c r="AB826" s="92">
        <v>1</v>
      </c>
      <c r="AC826" s="92">
        <f>IF(M826=2,0,1)</f>
        <v>0</v>
      </c>
      <c r="AD826" s="92" t="str">
        <f>K826&amp;N826&amp;AC826</f>
        <v>PTA80730</v>
      </c>
    </row>
    <row r="827" spans="1:30" x14ac:dyDescent="0.25">
      <c r="A827" s="126" t="s">
        <v>1018</v>
      </c>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spans="1:30" x14ac:dyDescent="0.25">
      <c r="A828" s="157" t="s">
        <v>970</v>
      </c>
      <c r="B828" s="169" t="s">
        <v>971</v>
      </c>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row>
    <row r="829" spans="1:30" x14ac:dyDescent="0.25">
      <c r="A829" s="168" t="s">
        <v>306</v>
      </c>
      <c r="B829" s="719" t="s">
        <v>1085</v>
      </c>
      <c r="C829" s="720"/>
      <c r="D829" s="720"/>
      <c r="E829" s="720"/>
      <c r="F829" s="720"/>
      <c r="G829" s="720"/>
      <c r="H829" s="720"/>
      <c r="I829" s="720"/>
      <c r="J829" s="720"/>
      <c r="K829" s="720"/>
      <c r="L829" s="720"/>
      <c r="M829" s="720"/>
      <c r="N829" s="720"/>
      <c r="O829" s="720"/>
      <c r="P829" s="720"/>
      <c r="Q829" s="720"/>
      <c r="R829" s="720"/>
      <c r="S829" s="720"/>
      <c r="T829" s="720"/>
      <c r="U829" s="720"/>
      <c r="V829" s="126"/>
      <c r="W829" s="126"/>
      <c r="X829" s="126"/>
      <c r="Y829" s="126"/>
      <c r="Z829" s="126"/>
      <c r="AA829" s="126"/>
    </row>
    <row r="830" spans="1:30" x14ac:dyDescent="0.25">
      <c r="A830" s="262" t="s">
        <v>359</v>
      </c>
      <c r="B830" s="7" t="s">
        <v>843</v>
      </c>
      <c r="C830" s="7" t="s">
        <v>1054</v>
      </c>
      <c r="D830" s="7" t="s">
        <v>1055</v>
      </c>
      <c r="E830" s="7" t="s">
        <v>0</v>
      </c>
      <c r="F830" s="7" t="s">
        <v>1056</v>
      </c>
      <c r="G830" s="7" t="s">
        <v>1057</v>
      </c>
      <c r="H830" s="7" t="s">
        <v>1058</v>
      </c>
      <c r="I830" s="7" t="s">
        <v>198</v>
      </c>
      <c r="J830" s="7" t="s">
        <v>57</v>
      </c>
      <c r="K830" s="7" t="s">
        <v>199</v>
      </c>
      <c r="L830" s="7" t="s">
        <v>1053</v>
      </c>
      <c r="M830" s="7" t="s">
        <v>1061</v>
      </c>
      <c r="N830" s="7" t="s">
        <v>18</v>
      </c>
      <c r="O830" s="7" t="s">
        <v>385</v>
      </c>
      <c r="P830" s="7" t="s">
        <v>1063</v>
      </c>
      <c r="Q830" s="7" t="s">
        <v>1064</v>
      </c>
      <c r="R830" s="7" t="s">
        <v>1065</v>
      </c>
      <c r="S830" s="7" t="s">
        <v>1066</v>
      </c>
      <c r="T830" s="7" t="s">
        <v>1067</v>
      </c>
      <c r="U830" s="7" t="s">
        <v>425</v>
      </c>
      <c r="W830" s="126"/>
      <c r="X830" s="126"/>
      <c r="Y830" s="126"/>
      <c r="Z830" s="126"/>
      <c r="AA830" s="126"/>
      <c r="AB830" s="126"/>
    </row>
    <row r="831" spans="1:30" x14ac:dyDescent="0.25">
      <c r="A831" s="262"/>
      <c r="B831" s="7" t="s">
        <v>845</v>
      </c>
      <c r="C831" s="7" t="s">
        <v>1069</v>
      </c>
      <c r="D831" s="7" t="s">
        <v>1070</v>
      </c>
      <c r="E831" s="7" t="s">
        <v>1071</v>
      </c>
      <c r="F831" s="7" t="s">
        <v>1072</v>
      </c>
      <c r="G831" s="7" t="s">
        <v>710</v>
      </c>
      <c r="H831" s="7" t="s">
        <v>709</v>
      </c>
      <c r="I831" s="7" t="s">
        <v>652</v>
      </c>
      <c r="J831" s="7" t="s">
        <v>651</v>
      </c>
      <c r="K831" s="7" t="s">
        <v>650</v>
      </c>
      <c r="L831" s="7" t="s">
        <v>1053</v>
      </c>
      <c r="M831" s="7" t="s">
        <v>1073</v>
      </c>
      <c r="N831" s="7" t="s">
        <v>1074</v>
      </c>
      <c r="O831" s="7" t="s">
        <v>1075</v>
      </c>
      <c r="P831" s="7" t="s">
        <v>649</v>
      </c>
      <c r="Q831" s="7" t="s">
        <v>1076</v>
      </c>
      <c r="R831" s="7" t="s">
        <v>1077</v>
      </c>
      <c r="S831" s="7" t="s">
        <v>1078</v>
      </c>
      <c r="T831" s="7" t="s">
        <v>2011</v>
      </c>
      <c r="U831" s="7" t="s">
        <v>1080</v>
      </c>
      <c r="W831" s="126"/>
      <c r="X831" s="126"/>
      <c r="Y831" s="126"/>
      <c r="Z831" s="126"/>
      <c r="AA831" s="126"/>
      <c r="AB831" s="126"/>
    </row>
    <row r="832" spans="1:30" s="6" customFormat="1" x14ac:dyDescent="0.25">
      <c r="A832" s="262"/>
      <c r="B832" s="111" t="str">
        <f>$F$5</f>
        <v>9999</v>
      </c>
      <c r="C832" s="111">
        <f>B798</f>
        <v>20180327</v>
      </c>
      <c r="D832" s="111">
        <f>$B$2</f>
        <v>20180327</v>
      </c>
      <c r="E832" s="270" t="str">
        <f>C798</f>
        <v>6001</v>
      </c>
      <c r="F832" s="270" t="str">
        <f t="shared" ref="F832:G832" si="335">D798</f>
        <v>B00101</v>
      </c>
      <c r="G832" s="270" t="str">
        <f t="shared" si="335"/>
        <v>6001</v>
      </c>
      <c r="H832" s="111" t="s">
        <v>228</v>
      </c>
      <c r="I832" s="113" t="str">
        <f>G798</f>
        <v>CZCE</v>
      </c>
      <c r="J832" s="248" t="str">
        <f>H798</f>
        <v>SR809</v>
      </c>
      <c r="K832" s="248">
        <f>N822</f>
        <v>1</v>
      </c>
      <c r="L832" s="248">
        <f>IF(M832=3,0,1)</f>
        <v>1</v>
      </c>
      <c r="M832" s="248">
        <f>J798</f>
        <v>2</v>
      </c>
      <c r="N832" s="248">
        <f>L798</f>
        <v>6</v>
      </c>
      <c r="O832" s="248">
        <f>M798</f>
        <v>6135</v>
      </c>
      <c r="P832" s="111">
        <f>VLOOKUP(J832,$C$19:$E$29,3,FALSE)</f>
        <v>10</v>
      </c>
      <c r="Q832" s="111">
        <f>SUMPRODUCT(($F$693:$F$761=F832)*($G$693:$G$761=G832)*($L$693:$L$761=J832)*($P$693:$P$761=K832)*($O$693:$O$761=L832)*($AG$693:$AG$761="S")*($AC$693:$AC$761))</f>
        <v>-1200</v>
      </c>
      <c r="R832" s="111">
        <f>SUMPRODUCT(($F$693:$F$761=F832)*($G$693:$G$761=G832)*($L$693:$L$761=J832)*($P$693:$P$761=K832)*($O$693:$O$761=L832)*($AG$693:$AG$761="S")*($AD$693:$AD$761))</f>
        <v>1200</v>
      </c>
      <c r="S832" s="111">
        <v>0</v>
      </c>
      <c r="T832" s="111">
        <f>F20</f>
        <v>20180333</v>
      </c>
      <c r="U832" s="111">
        <v>1</v>
      </c>
      <c r="V832" s="167"/>
      <c r="W832" s="167"/>
      <c r="X832" s="167"/>
      <c r="Y832" s="167"/>
      <c r="Z832" s="167"/>
      <c r="AA832" s="167"/>
      <c r="AB832" s="167"/>
    </row>
    <row r="833" spans="1:31" s="6" customFormat="1" x14ac:dyDescent="0.25">
      <c r="B833" s="167" t="str">
        <f>B832</f>
        <v>9999</v>
      </c>
      <c r="C833" s="167">
        <f t="shared" ref="C833:D833" si="336">C832</f>
        <v>20180327</v>
      </c>
      <c r="D833" s="167">
        <f t="shared" si="336"/>
        <v>20180327</v>
      </c>
      <c r="E833" s="167" t="str">
        <f>C799</f>
        <v>6001</v>
      </c>
      <c r="F833" s="167" t="str">
        <f t="shared" ref="F833:G833" si="337">D799</f>
        <v>B00102</v>
      </c>
      <c r="G833" s="167" t="str">
        <f t="shared" si="337"/>
        <v>6001</v>
      </c>
      <c r="H833" s="111" t="s">
        <v>228</v>
      </c>
      <c r="I833" s="657" t="str">
        <f>G799</f>
        <v>CZCE</v>
      </c>
      <c r="J833" s="657" t="str">
        <f t="shared" ref="J833" si="338">H799</f>
        <v>PTA809</v>
      </c>
      <c r="K833" s="657">
        <f>K799</f>
        <v>1</v>
      </c>
      <c r="L833" s="248">
        <f>IF(M833=3,0,1)</f>
        <v>0</v>
      </c>
      <c r="M833" s="248">
        <f>J799</f>
        <v>3</v>
      </c>
      <c r="N833" s="248">
        <f>L799</f>
        <v>4</v>
      </c>
      <c r="O833" s="248">
        <f>M799</f>
        <v>6225</v>
      </c>
      <c r="P833" s="111">
        <f>VLOOKUP(J833,$C$19:$E$29,3,FALSE)</f>
        <v>5</v>
      </c>
      <c r="Q833" s="111">
        <f>SUMPRODUCT(($F$693:$F$761=F833)*($G$693:$G$761=G833)*($L$693:$L$761=J833)*($P$693:$P$761=K833)*($O$693:$O$761=L833)*($AG$693:$AG$761="S")*($AC$693:$AC$761))</f>
        <v>-1570</v>
      </c>
      <c r="R833" s="111">
        <f>SUMPRODUCT(($F$693:$F$761=F833)*($G$693:$G$761=G833)*($L$693:$L$761=J833)*($P$693:$P$761=K833)*($O$693:$O$761=L833)*($AG$693:$AG$761="S")*($AD$693:$AD$761))</f>
        <v>-2020</v>
      </c>
      <c r="S833" s="111">
        <v>0</v>
      </c>
      <c r="T833" s="111">
        <f>F21</f>
        <v>20180333</v>
      </c>
      <c r="U833" s="111">
        <v>1</v>
      </c>
      <c r="V833" s="167"/>
      <c r="W833" s="167"/>
      <c r="X833" s="167"/>
      <c r="Y833" s="167"/>
      <c r="Z833" s="167"/>
      <c r="AA833" s="167"/>
    </row>
    <row r="834" spans="1:31" x14ac:dyDescent="0.25">
      <c r="A834" t="s">
        <v>173</v>
      </c>
      <c r="B834" t="s">
        <v>1021</v>
      </c>
    </row>
    <row r="835" spans="1:31" x14ac:dyDescent="0.25">
      <c r="A835" t="s">
        <v>173</v>
      </c>
      <c r="B835" t="s">
        <v>1050</v>
      </c>
    </row>
    <row r="836" spans="1:31" x14ac:dyDescent="0.25">
      <c r="A836" t="s">
        <v>173</v>
      </c>
      <c r="B836" t="s">
        <v>1051</v>
      </c>
    </row>
    <row r="837" spans="1:31" s="451" customFormat="1" x14ac:dyDescent="0.25">
      <c r="A837" s="451" t="s">
        <v>2007</v>
      </c>
      <c r="B837" s="451" t="s">
        <v>2013</v>
      </c>
    </row>
    <row r="838" spans="1:31" x14ac:dyDescent="0.25">
      <c r="A838" s="157" t="s">
        <v>970</v>
      </c>
      <c r="B838" s="157" t="s">
        <v>971</v>
      </c>
    </row>
    <row r="839" spans="1:31" x14ac:dyDescent="0.25">
      <c r="A839" t="s">
        <v>306</v>
      </c>
      <c r="B839" s="719" t="s">
        <v>1596</v>
      </c>
      <c r="C839" s="720"/>
      <c r="D839" s="720"/>
      <c r="E839" s="720"/>
      <c r="F839" s="720"/>
      <c r="G839" s="720"/>
      <c r="H839" s="720"/>
      <c r="I839" s="720"/>
      <c r="J839" s="720"/>
      <c r="K839" s="720"/>
      <c r="L839" s="720"/>
      <c r="M839" s="720"/>
      <c r="N839" s="720"/>
      <c r="O839" s="720"/>
      <c r="P839" s="720"/>
      <c r="Q839" s="720"/>
      <c r="R839" s="720"/>
      <c r="S839" s="720"/>
      <c r="T839" s="720"/>
      <c r="U839" s="720"/>
      <c r="V839" s="720"/>
      <c r="W839" s="720"/>
      <c r="X839" s="720"/>
      <c r="Y839" s="720"/>
      <c r="Z839" s="720"/>
      <c r="AA839" s="720"/>
      <c r="AB839" s="720"/>
      <c r="AC839" s="720"/>
      <c r="AD839" s="720"/>
    </row>
    <row r="840" spans="1:31" x14ac:dyDescent="0.25">
      <c r="A840" t="s">
        <v>359</v>
      </c>
      <c r="B840" s="7" t="s">
        <v>364</v>
      </c>
      <c r="C840" s="7" t="s">
        <v>19</v>
      </c>
      <c r="D840" s="7" t="s">
        <v>287</v>
      </c>
      <c r="E840" s="7" t="s">
        <v>118</v>
      </c>
      <c r="F840" s="7" t="s">
        <v>365</v>
      </c>
      <c r="G840" s="7" t="s">
        <v>5</v>
      </c>
      <c r="H840" s="7" t="s">
        <v>52</v>
      </c>
      <c r="I840" s="7" t="s">
        <v>7</v>
      </c>
      <c r="J840" s="7" t="s">
        <v>475</v>
      </c>
      <c r="K840" s="7" t="s">
        <v>294</v>
      </c>
      <c r="L840" s="7" t="s">
        <v>9</v>
      </c>
      <c r="M840" s="7" t="s">
        <v>465</v>
      </c>
      <c r="N840" s="7" t="s">
        <v>464</v>
      </c>
      <c r="O840" s="130" t="s">
        <v>1776</v>
      </c>
      <c r="P840" s="7" t="s">
        <v>458</v>
      </c>
      <c r="Q840" s="129" t="s">
        <v>459</v>
      </c>
      <c r="R840" s="129" t="s">
        <v>460</v>
      </c>
      <c r="S840" s="129" t="s">
        <v>461</v>
      </c>
      <c r="T840" s="129" t="s">
        <v>473</v>
      </c>
      <c r="U840" s="130" t="s">
        <v>462</v>
      </c>
      <c r="V840" s="130" t="s">
        <v>463</v>
      </c>
      <c r="W840" s="130" t="s">
        <v>675</v>
      </c>
      <c r="X840" s="130" t="s">
        <v>483</v>
      </c>
      <c r="Y840" s="130" t="s">
        <v>488</v>
      </c>
      <c r="Z840" s="130" t="s">
        <v>486</v>
      </c>
      <c r="AA840" s="130" t="s">
        <v>485</v>
      </c>
      <c r="AB840" s="130" t="s">
        <v>355</v>
      </c>
      <c r="AC840" s="130" t="s">
        <v>490</v>
      </c>
      <c r="AD840" s="130" t="s">
        <v>1384</v>
      </c>
      <c r="AE840" s="129" t="s">
        <v>484</v>
      </c>
    </row>
    <row r="841" spans="1:31" x14ac:dyDescent="0.25">
      <c r="B841" s="7" t="s">
        <v>324</v>
      </c>
      <c r="C841" s="7" t="s">
        <v>321</v>
      </c>
      <c r="D841" s="7" t="s">
        <v>322</v>
      </c>
      <c r="E841" s="7" t="s">
        <v>1774</v>
      </c>
      <c r="F841" s="7" t="s">
        <v>325</v>
      </c>
      <c r="G841" s="7" t="s">
        <v>327</v>
      </c>
      <c r="H841" s="7" t="s">
        <v>328</v>
      </c>
      <c r="I841" s="7" t="s">
        <v>329</v>
      </c>
      <c r="J841" s="7" t="s">
        <v>474</v>
      </c>
      <c r="K841" s="7" t="s">
        <v>331</v>
      </c>
      <c r="L841" s="7" t="s">
        <v>332</v>
      </c>
      <c r="M841" s="7" t="s">
        <v>465</v>
      </c>
      <c r="N841" s="7" t="s">
        <v>333</v>
      </c>
      <c r="O841" s="123" t="s">
        <v>1775</v>
      </c>
      <c r="P841" s="7" t="s">
        <v>1595</v>
      </c>
      <c r="Q841" s="123" t="s">
        <v>469</v>
      </c>
      <c r="R841" s="123" t="s">
        <v>470</v>
      </c>
      <c r="S841" s="123" t="s">
        <v>471</v>
      </c>
      <c r="T841" s="123" t="s">
        <v>472</v>
      </c>
      <c r="U841" s="123" t="s">
        <v>477</v>
      </c>
      <c r="V841" s="123" t="s">
        <v>478</v>
      </c>
      <c r="W841" s="130" t="s">
        <v>675</v>
      </c>
      <c r="X841" s="123" t="s">
        <v>484</v>
      </c>
      <c r="Y841" s="130" t="s">
        <v>488</v>
      </c>
      <c r="Z841" s="130" t="s">
        <v>486</v>
      </c>
      <c r="AA841" s="130" t="s">
        <v>487</v>
      </c>
      <c r="AB841" s="130" t="s">
        <v>355</v>
      </c>
      <c r="AC841" s="130" t="s">
        <v>490</v>
      </c>
      <c r="AD841" s="130" t="s">
        <v>1384</v>
      </c>
      <c r="AE841" s="129" t="s">
        <v>1772</v>
      </c>
    </row>
    <row r="842" spans="1:31" s="6" customFormat="1" x14ac:dyDescent="0.25">
      <c r="A842" s="6" t="str">
        <f>IF( OR(N842=0,O842=2),"comment","")</f>
        <v>comment</v>
      </c>
      <c r="B842" s="6" t="str">
        <f>'day1'!B731</f>
        <v>2018032610000080</v>
      </c>
      <c r="C842" s="6" t="str">
        <f>'day1'!C731</f>
        <v>6001</v>
      </c>
      <c r="D842" s="6" t="str">
        <f>'day1'!D731</f>
        <v>B00101</v>
      </c>
      <c r="E842" s="6" t="str">
        <f>'day1'!E731</f>
        <v>6001</v>
      </c>
      <c r="F842" s="6">
        <f>$B$2</f>
        <v>20180327</v>
      </c>
      <c r="G842" s="6" t="str">
        <f>$B$19</f>
        <v>CZCE</v>
      </c>
      <c r="H842" s="6" t="str">
        <f>'day1'!I731</f>
        <v>SR807C6500</v>
      </c>
      <c r="I842" s="6">
        <f t="shared" ref="I842:I856" si="339">VLOOKUP(H842,$C$19:$E$29,3,FALSE)</f>
        <v>10</v>
      </c>
      <c r="J842" s="6">
        <v>4</v>
      </c>
      <c r="K842" s="6">
        <f>'day1'!J731</f>
        <v>0</v>
      </c>
      <c r="L842" s="6">
        <f>'day1'!L731</f>
        <v>3</v>
      </c>
      <c r="M842" s="6">
        <f t="shared" ref="M842:M869" si="340">SUMPRODUCT(($C$693:$C$761=B842)*($F$693:$F$761=D842)*($G$693:$G$761=E842)*($L$693:$L$761=H842)*($O$693:$O$761=K842)*($P$693:$P$761=L842)*($N$693:$N$761=0)*($Q$693:$Q$761))-SUMPRODUCT(($D$693:$D$761=B842)*($F$693:$F$761=D842)*($G$693:$G$761=E842)*($L$693:$L$761=H842)*($O$693:$O$761&lt;&gt;K842)*($P$693:$P$761=L842)*($N$693:$N$761&lt;&gt;0)*($Q$693:$Q$761))+AD842</f>
        <v>0</v>
      </c>
      <c r="N842" s="6">
        <v>0</v>
      </c>
      <c r="O842" s="6">
        <v>1</v>
      </c>
      <c r="P842" s="6">
        <f>VLOOKUP(H842,$C$19:$J$34,8,FALSE)</f>
        <v>6500</v>
      </c>
      <c r="Q842" s="6">
        <f t="shared" ref="Q842:Q869" si="341">VLOOKUP(X842,$G$117:$K$186,2,FALSE)</f>
        <v>4.2000000000000002E-4</v>
      </c>
      <c r="R842" s="6">
        <f t="shared" ref="R842:R869" si="342">VLOOKUP(X842,$G$117:$K$186,3,FALSE)</f>
        <v>4.2</v>
      </c>
      <c r="S842" s="6">
        <f t="shared" ref="S842:S869" si="343">VLOOKUP(X842,$G$117:$K$186,4,FALSE)</f>
        <v>4.2000000000000002E-4</v>
      </c>
      <c r="T842" s="6">
        <f t="shared" ref="T842:T869" si="344">VLOOKUP(X842,$G$117:$K$186,5,FALSE)</f>
        <v>4.2</v>
      </c>
      <c r="U842" s="6">
        <f>IF(O842=0,N842*P842*Q842*I842+N842*R842,0)</f>
        <v>0</v>
      </c>
      <c r="V842" s="6">
        <f>IF(O842=0,N842*P842*S842*I842+N842*T842,0)</f>
        <v>0</v>
      </c>
      <c r="W842" s="6">
        <f>IF(O842=0,N842*P842*I842,0)</f>
        <v>0</v>
      </c>
      <c r="X842" s="6" t="str">
        <f t="shared" ref="X842:X869" si="345">H842&amp;L842&amp;J842</f>
        <v>SR807C650034</v>
      </c>
      <c r="Y842" s="652">
        <f>VLOOKUP(H842,$C$19:$J$34,6,FALSE)</f>
        <v>0</v>
      </c>
      <c r="Z842" s="6">
        <f t="shared" ref="Z842:Z869" si="346">IF(Y842=0,IF(K842=0,0,1),IF(K842=0,1,0))</f>
        <v>0</v>
      </c>
      <c r="AA842" s="6">
        <f t="shared" ref="AA842:AA869" si="347">IF(O842=0,N842,0)</f>
        <v>0</v>
      </c>
      <c r="AB842" s="6">
        <f t="shared" ref="AB842:AB856" si="348">VLOOKUP(H842,$C$19:$L$29,9,FALSE)</f>
        <v>0</v>
      </c>
      <c r="AC842" s="6" t="str">
        <f>VLOOKUP(H842,$C$19:$L$34,7,FALSE)</f>
        <v>SR807</v>
      </c>
      <c r="AD842" s="6">
        <f>'day1'!M731+'day1'!N731</f>
        <v>0</v>
      </c>
      <c r="AE842" s="111">
        <f>IF(LEFT(B842,8)=(""&amp;$B$2),3,1)</f>
        <v>1</v>
      </c>
    </row>
    <row r="843" spans="1:31" s="6" customFormat="1" x14ac:dyDescent="0.25">
      <c r="A843" s="6" t="str">
        <f t="shared" ref="A843:A869" si="349">IF( OR(N843=0,O843=2),"comment","")</f>
        <v/>
      </c>
      <c r="B843" s="6" t="str">
        <f>'day1'!B732</f>
        <v>2018032610000081</v>
      </c>
      <c r="C843" s="6" t="str">
        <f>'day1'!C732</f>
        <v>6001</v>
      </c>
      <c r="D843" s="6" t="str">
        <f>'day1'!D732</f>
        <v>B00101</v>
      </c>
      <c r="E843" s="6" t="str">
        <f>'day1'!E732</f>
        <v>6001</v>
      </c>
      <c r="F843" s="6">
        <f t="shared" ref="F843:F869" si="350">$B$2</f>
        <v>20180327</v>
      </c>
      <c r="G843" s="6" t="str">
        <f t="shared" ref="G843:G869" si="351">$B$19</f>
        <v>CZCE</v>
      </c>
      <c r="H843" s="6" t="str">
        <f>'day1'!I732</f>
        <v>SR807C6500</v>
      </c>
      <c r="I843" s="6">
        <f t="shared" si="339"/>
        <v>10</v>
      </c>
      <c r="J843" s="6">
        <v>4</v>
      </c>
      <c r="K843" s="6">
        <f>'day1'!J732</f>
        <v>0</v>
      </c>
      <c r="L843" s="6">
        <f>'day1'!L732</f>
        <v>3</v>
      </c>
      <c r="M843" s="6">
        <f t="shared" si="340"/>
        <v>3</v>
      </c>
      <c r="N843" s="6">
        <v>3</v>
      </c>
      <c r="O843" s="6">
        <v>1</v>
      </c>
      <c r="P843" s="6">
        <f t="shared" ref="P843:P869" si="352">VLOOKUP(H843,$C$19:$J$34,8,FALSE)</f>
        <v>6500</v>
      </c>
      <c r="Q843" s="6">
        <f t="shared" si="341"/>
        <v>4.2000000000000002E-4</v>
      </c>
      <c r="R843" s="6">
        <f t="shared" si="342"/>
        <v>4.2</v>
      </c>
      <c r="S843" s="6">
        <f t="shared" si="343"/>
        <v>4.2000000000000002E-4</v>
      </c>
      <c r="T843" s="6">
        <f t="shared" si="344"/>
        <v>4.2</v>
      </c>
      <c r="U843" s="6">
        <f t="shared" ref="U843:U869" si="353">IF(O843=0,N843*P843*Q843*I843+N843*R843,0)</f>
        <v>0</v>
      </c>
      <c r="V843" s="6">
        <f t="shared" ref="V843:V869" si="354">IF(O843=0,N843*P843*S843*I843+N843*T843,0)</f>
        <v>0</v>
      </c>
      <c r="W843" s="6">
        <f t="shared" ref="W843:W869" si="355">IF(O843=0,N843*P843*I843,0)</f>
        <v>0</v>
      </c>
      <c r="X843" s="6" t="str">
        <f t="shared" si="345"/>
        <v>SR807C650034</v>
      </c>
      <c r="Y843" s="652">
        <f t="shared" ref="Y843:Y869" si="356">VLOOKUP(H843,$C$19:$J$34,6,FALSE)</f>
        <v>0</v>
      </c>
      <c r="Z843" s="6">
        <f t="shared" si="346"/>
        <v>0</v>
      </c>
      <c r="AA843" s="6">
        <f t="shared" si="347"/>
        <v>0</v>
      </c>
      <c r="AB843" s="6">
        <f t="shared" si="348"/>
        <v>0</v>
      </c>
      <c r="AC843" s="6" t="str">
        <f t="shared" ref="AC843:AC869" si="357">VLOOKUP(H843,$C$19:$L$34,7,FALSE)</f>
        <v>SR807</v>
      </c>
      <c r="AD843" s="6">
        <f>'day1'!M732+'day1'!N732</f>
        <v>3</v>
      </c>
      <c r="AE843" s="111">
        <f t="shared" ref="AE843:AE869" si="358">IF(LEFT(B843,8)=(""&amp;$B$2),3,1)</f>
        <v>1</v>
      </c>
    </row>
    <row r="844" spans="1:31" s="6" customFormat="1" x14ac:dyDescent="0.25">
      <c r="A844" s="6" t="str">
        <f t="shared" si="349"/>
        <v>comment</v>
      </c>
      <c r="B844" s="6" t="str">
        <f>'day1'!B733</f>
        <v>2018032610000082</v>
      </c>
      <c r="C844" s="6" t="str">
        <f>'day1'!C733</f>
        <v>6001</v>
      </c>
      <c r="D844" s="6" t="str">
        <f>'day1'!D733</f>
        <v>B00101</v>
      </c>
      <c r="E844" s="6" t="str">
        <f>'day1'!E733</f>
        <v>6001</v>
      </c>
      <c r="F844" s="6">
        <f t="shared" si="350"/>
        <v>20180327</v>
      </c>
      <c r="G844" s="6" t="str">
        <f t="shared" si="351"/>
        <v>CZCE</v>
      </c>
      <c r="H844" s="6" t="str">
        <f>'day1'!I733</f>
        <v>SR807C6500</v>
      </c>
      <c r="I844" s="6">
        <f t="shared" si="339"/>
        <v>10</v>
      </c>
      <c r="J844" s="6">
        <v>4</v>
      </c>
      <c r="K844" s="6">
        <f>'day1'!J733</f>
        <v>0</v>
      </c>
      <c r="L844" s="6">
        <f>'day1'!L733</f>
        <v>1</v>
      </c>
      <c r="M844" s="6">
        <f t="shared" si="340"/>
        <v>0</v>
      </c>
      <c r="N844" s="6">
        <v>0</v>
      </c>
      <c r="O844" s="6">
        <v>1</v>
      </c>
      <c r="P844" s="6">
        <f t="shared" si="352"/>
        <v>6500</v>
      </c>
      <c r="Q844" s="6">
        <f t="shared" si="341"/>
        <v>4.2000000000000002E-4</v>
      </c>
      <c r="R844" s="6">
        <f t="shared" si="342"/>
        <v>4.2</v>
      </c>
      <c r="S844" s="6">
        <f t="shared" si="343"/>
        <v>3.2000000000000003E-4</v>
      </c>
      <c r="T844" s="6">
        <f t="shared" si="344"/>
        <v>3.2</v>
      </c>
      <c r="U844" s="6">
        <f t="shared" si="353"/>
        <v>0</v>
      </c>
      <c r="V844" s="6">
        <f t="shared" si="354"/>
        <v>0</v>
      </c>
      <c r="W844" s="6">
        <f t="shared" si="355"/>
        <v>0</v>
      </c>
      <c r="X844" s="6" t="str">
        <f t="shared" si="345"/>
        <v>SR807C650014</v>
      </c>
      <c r="Y844" s="652">
        <f t="shared" si="356"/>
        <v>0</v>
      </c>
      <c r="Z844" s="6">
        <f t="shared" si="346"/>
        <v>0</v>
      </c>
      <c r="AA844" s="6">
        <f t="shared" si="347"/>
        <v>0</v>
      </c>
      <c r="AB844" s="6">
        <f t="shared" si="348"/>
        <v>0</v>
      </c>
      <c r="AC844" s="6" t="str">
        <f t="shared" si="357"/>
        <v>SR807</v>
      </c>
      <c r="AD844" s="6">
        <f>'day1'!M733+'day1'!N733</f>
        <v>0</v>
      </c>
      <c r="AE844" s="111">
        <f t="shared" si="358"/>
        <v>1</v>
      </c>
    </row>
    <row r="845" spans="1:31" s="6" customFormat="1" x14ac:dyDescent="0.25">
      <c r="A845" s="6" t="str">
        <f t="shared" si="349"/>
        <v>comment</v>
      </c>
      <c r="B845" s="6" t="str">
        <f>'day1'!B734</f>
        <v>2018032610000083</v>
      </c>
      <c r="C845" s="6" t="str">
        <f>'day1'!C734</f>
        <v>6001</v>
      </c>
      <c r="D845" s="6" t="str">
        <f>'day1'!D734</f>
        <v>B00101</v>
      </c>
      <c r="E845" s="6" t="str">
        <f>'day1'!E734</f>
        <v>6001</v>
      </c>
      <c r="F845" s="6">
        <f t="shared" si="350"/>
        <v>20180327</v>
      </c>
      <c r="G845" s="6" t="str">
        <f t="shared" si="351"/>
        <v>CZCE</v>
      </c>
      <c r="H845" s="6" t="str">
        <f>'day1'!I734</f>
        <v>SR807C6500</v>
      </c>
      <c r="I845" s="6">
        <f t="shared" si="339"/>
        <v>10</v>
      </c>
      <c r="J845" s="6">
        <v>4</v>
      </c>
      <c r="K845" s="6">
        <f>'day1'!J734</f>
        <v>0</v>
      </c>
      <c r="L845" s="6">
        <f>'day1'!L734</f>
        <v>1</v>
      </c>
      <c r="M845" s="6">
        <f t="shared" si="340"/>
        <v>0</v>
      </c>
      <c r="N845" s="6">
        <v>0</v>
      </c>
      <c r="O845" s="6">
        <v>1</v>
      </c>
      <c r="P845" s="6">
        <f t="shared" si="352"/>
        <v>6500</v>
      </c>
      <c r="Q845" s="6">
        <f t="shared" si="341"/>
        <v>4.2000000000000002E-4</v>
      </c>
      <c r="R845" s="6">
        <f t="shared" si="342"/>
        <v>4.2</v>
      </c>
      <c r="S845" s="6">
        <f t="shared" si="343"/>
        <v>3.2000000000000003E-4</v>
      </c>
      <c r="T845" s="6">
        <f t="shared" si="344"/>
        <v>3.2</v>
      </c>
      <c r="U845" s="6">
        <f t="shared" si="353"/>
        <v>0</v>
      </c>
      <c r="V845" s="6">
        <f t="shared" si="354"/>
        <v>0</v>
      </c>
      <c r="W845" s="6">
        <f t="shared" si="355"/>
        <v>0</v>
      </c>
      <c r="X845" s="6" t="str">
        <f t="shared" si="345"/>
        <v>SR807C650014</v>
      </c>
      <c r="Y845" s="652">
        <f t="shared" si="356"/>
        <v>0</v>
      </c>
      <c r="Z845" s="6">
        <f t="shared" si="346"/>
        <v>0</v>
      </c>
      <c r="AA845" s="6">
        <f t="shared" si="347"/>
        <v>0</v>
      </c>
      <c r="AB845" s="6">
        <f t="shared" si="348"/>
        <v>0</v>
      </c>
      <c r="AC845" s="6" t="str">
        <f t="shared" si="357"/>
        <v>SR807</v>
      </c>
      <c r="AD845" s="6">
        <f>'day1'!M734+'day1'!N734</f>
        <v>0</v>
      </c>
      <c r="AE845" s="111">
        <f t="shared" si="358"/>
        <v>1</v>
      </c>
    </row>
    <row r="846" spans="1:31" s="6" customFormat="1" x14ac:dyDescent="0.25">
      <c r="A846" s="6" t="str">
        <f t="shared" si="349"/>
        <v/>
      </c>
      <c r="B846" s="6" t="str">
        <f>'day1'!B735</f>
        <v>2018032610000089</v>
      </c>
      <c r="C846" s="6" t="str">
        <f>'day1'!C735</f>
        <v>6001</v>
      </c>
      <c r="D846" s="6" t="str">
        <f>'day1'!D735</f>
        <v>B00101</v>
      </c>
      <c r="E846" s="6" t="str">
        <f>'day1'!E735</f>
        <v>6001</v>
      </c>
      <c r="F846" s="6">
        <f t="shared" si="350"/>
        <v>20180327</v>
      </c>
      <c r="G846" s="6" t="str">
        <f t="shared" si="351"/>
        <v>CZCE</v>
      </c>
      <c r="H846" s="6" t="str">
        <f>'day1'!I735</f>
        <v>SR807C6500</v>
      </c>
      <c r="I846" s="6">
        <f t="shared" si="339"/>
        <v>10</v>
      </c>
      <c r="J846" s="6">
        <v>4</v>
      </c>
      <c r="K846" s="6">
        <f>'day1'!J735</f>
        <v>0</v>
      </c>
      <c r="L846" s="6">
        <f>'day1'!L735</f>
        <v>1</v>
      </c>
      <c r="M846" s="6">
        <f t="shared" si="340"/>
        <v>10</v>
      </c>
      <c r="N846" s="6">
        <v>10</v>
      </c>
      <c r="O846" s="6">
        <v>0</v>
      </c>
      <c r="P846" s="6">
        <f t="shared" si="352"/>
        <v>6500</v>
      </c>
      <c r="Q846" s="6">
        <f t="shared" si="341"/>
        <v>4.2000000000000002E-4</v>
      </c>
      <c r="R846" s="6">
        <f t="shared" si="342"/>
        <v>4.2</v>
      </c>
      <c r="S846" s="6">
        <f t="shared" si="343"/>
        <v>3.2000000000000003E-4</v>
      </c>
      <c r="T846" s="6">
        <f t="shared" si="344"/>
        <v>3.2</v>
      </c>
      <c r="U846" s="6">
        <f t="shared" si="353"/>
        <v>315</v>
      </c>
      <c r="V846" s="6">
        <f t="shared" si="354"/>
        <v>240</v>
      </c>
      <c r="W846" s="6">
        <f t="shared" si="355"/>
        <v>650000</v>
      </c>
      <c r="X846" s="6" t="str">
        <f t="shared" si="345"/>
        <v>SR807C650014</v>
      </c>
      <c r="Y846" s="652">
        <f t="shared" si="356"/>
        <v>0</v>
      </c>
      <c r="Z846" s="6">
        <f t="shared" si="346"/>
        <v>0</v>
      </c>
      <c r="AA846" s="6">
        <f t="shared" si="347"/>
        <v>10</v>
      </c>
      <c r="AB846" s="6">
        <f t="shared" si="348"/>
        <v>0</v>
      </c>
      <c r="AC846" s="6" t="str">
        <f t="shared" si="357"/>
        <v>SR807</v>
      </c>
      <c r="AD846" s="6">
        <f>'day1'!M735+'day1'!N735</f>
        <v>10</v>
      </c>
      <c r="AE846" s="111">
        <f t="shared" si="358"/>
        <v>1</v>
      </c>
    </row>
    <row r="847" spans="1:31" s="6" customFormat="1" x14ac:dyDescent="0.25">
      <c r="A847" s="6" t="str">
        <f t="shared" si="349"/>
        <v/>
      </c>
      <c r="B847" s="6" t="str">
        <f>'day1'!B736</f>
        <v>2018032610000090</v>
      </c>
      <c r="C847" s="6" t="str">
        <f>'day1'!C736</f>
        <v>6001</v>
      </c>
      <c r="D847" s="6" t="str">
        <f>'day1'!D736</f>
        <v>B00101</v>
      </c>
      <c r="E847" s="6" t="str">
        <f>'day1'!E736</f>
        <v>6001</v>
      </c>
      <c r="F847" s="6">
        <f t="shared" si="350"/>
        <v>20180327</v>
      </c>
      <c r="G847" s="6" t="str">
        <f t="shared" si="351"/>
        <v>CZCE</v>
      </c>
      <c r="H847" s="6" t="str">
        <f>'day1'!I736</f>
        <v>SR807C6500</v>
      </c>
      <c r="I847" s="6">
        <f t="shared" si="339"/>
        <v>10</v>
      </c>
      <c r="J847" s="6">
        <v>4</v>
      </c>
      <c r="K847" s="6">
        <f>'day1'!J736</f>
        <v>1</v>
      </c>
      <c r="L847" s="6">
        <f>'day1'!L736</f>
        <v>3</v>
      </c>
      <c r="M847" s="6">
        <f t="shared" si="340"/>
        <v>10</v>
      </c>
      <c r="N847" s="6">
        <v>10</v>
      </c>
      <c r="O847" s="6">
        <v>0</v>
      </c>
      <c r="P847" s="6">
        <f t="shared" si="352"/>
        <v>6500</v>
      </c>
      <c r="Q847" s="6">
        <f t="shared" si="341"/>
        <v>4.2000000000000002E-4</v>
      </c>
      <c r="R847" s="6">
        <f t="shared" si="342"/>
        <v>4.2</v>
      </c>
      <c r="S847" s="6">
        <f t="shared" si="343"/>
        <v>4.2000000000000002E-4</v>
      </c>
      <c r="T847" s="6">
        <f t="shared" si="344"/>
        <v>4.2</v>
      </c>
      <c r="U847" s="6">
        <f t="shared" si="353"/>
        <v>315</v>
      </c>
      <c r="V847" s="6">
        <f t="shared" si="354"/>
        <v>315</v>
      </c>
      <c r="W847" s="6">
        <f t="shared" si="355"/>
        <v>650000</v>
      </c>
      <c r="X847" s="6" t="str">
        <f t="shared" si="345"/>
        <v>SR807C650034</v>
      </c>
      <c r="Y847" s="652">
        <f t="shared" si="356"/>
        <v>0</v>
      </c>
      <c r="Z847" s="6">
        <f t="shared" si="346"/>
        <v>1</v>
      </c>
      <c r="AA847" s="6">
        <f t="shared" si="347"/>
        <v>10</v>
      </c>
      <c r="AB847" s="6">
        <f t="shared" si="348"/>
        <v>0</v>
      </c>
      <c r="AC847" s="6" t="str">
        <f t="shared" si="357"/>
        <v>SR807</v>
      </c>
      <c r="AD847" s="6">
        <f>'day1'!M736+'day1'!N736</f>
        <v>10</v>
      </c>
      <c r="AE847" s="111">
        <f t="shared" si="358"/>
        <v>1</v>
      </c>
    </row>
    <row r="848" spans="1:31" s="6" customFormat="1" x14ac:dyDescent="0.25">
      <c r="A848" s="6" t="str">
        <f>IF( OR(N848=0,O848=2),"comment","")</f>
        <v>comment</v>
      </c>
      <c r="B848" s="6" t="str">
        <f>'day1'!B737</f>
        <v>2018032610000091</v>
      </c>
      <c r="C848" s="6" t="str">
        <f>'day1'!C737</f>
        <v>6001</v>
      </c>
      <c r="D848" s="6" t="str">
        <f>'day1'!D737</f>
        <v>B00101</v>
      </c>
      <c r="E848" s="6" t="str">
        <f>'day1'!E737</f>
        <v>6001</v>
      </c>
      <c r="F848" s="6">
        <f t="shared" si="350"/>
        <v>20180327</v>
      </c>
      <c r="G848" s="6" t="str">
        <f t="shared" si="351"/>
        <v>CZCE</v>
      </c>
      <c r="H848" s="6" t="str">
        <f>'day1'!I737</f>
        <v>SR807C6500</v>
      </c>
      <c r="I848" s="6">
        <f t="shared" si="339"/>
        <v>10</v>
      </c>
      <c r="J848" s="6">
        <v>4</v>
      </c>
      <c r="K848" s="6">
        <f>'day1'!J737</f>
        <v>1</v>
      </c>
      <c r="L848" s="6">
        <f>'day1'!L737</f>
        <v>1</v>
      </c>
      <c r="M848" s="6">
        <f t="shared" si="340"/>
        <v>0</v>
      </c>
      <c r="N848" s="6">
        <v>0</v>
      </c>
      <c r="O848" s="6">
        <v>1</v>
      </c>
      <c r="P848" s="6">
        <f t="shared" si="352"/>
        <v>6500</v>
      </c>
      <c r="Q848" s="6">
        <f t="shared" si="341"/>
        <v>4.2000000000000002E-4</v>
      </c>
      <c r="R848" s="6">
        <f t="shared" si="342"/>
        <v>4.2</v>
      </c>
      <c r="S848" s="6">
        <f t="shared" si="343"/>
        <v>3.2000000000000003E-4</v>
      </c>
      <c r="T848" s="6">
        <f t="shared" si="344"/>
        <v>3.2</v>
      </c>
      <c r="U848" s="6">
        <f t="shared" si="353"/>
        <v>0</v>
      </c>
      <c r="V848" s="6">
        <f t="shared" si="354"/>
        <v>0</v>
      </c>
      <c r="W848" s="6">
        <f t="shared" si="355"/>
        <v>0</v>
      </c>
      <c r="X848" s="6" t="str">
        <f t="shared" si="345"/>
        <v>SR807C650014</v>
      </c>
      <c r="Y848" s="652">
        <f t="shared" si="356"/>
        <v>0</v>
      </c>
      <c r="Z848" s="6">
        <f t="shared" si="346"/>
        <v>1</v>
      </c>
      <c r="AA848" s="6">
        <f t="shared" si="347"/>
        <v>0</v>
      </c>
      <c r="AB848" s="6">
        <f t="shared" si="348"/>
        <v>0</v>
      </c>
      <c r="AC848" s="6" t="str">
        <f t="shared" si="357"/>
        <v>SR807</v>
      </c>
      <c r="AD848" s="6">
        <f>'day1'!M737+'day1'!N737</f>
        <v>0</v>
      </c>
      <c r="AE848" s="111">
        <f t="shared" si="358"/>
        <v>1</v>
      </c>
    </row>
    <row r="849" spans="1:31" s="6" customFormat="1" x14ac:dyDescent="0.25">
      <c r="A849" s="6" t="str">
        <f t="shared" si="349"/>
        <v>comment</v>
      </c>
      <c r="B849" s="6" t="str">
        <f>'day1'!B738</f>
        <v>2018032610000092</v>
      </c>
      <c r="C849" s="6" t="str">
        <f>'day1'!C738</f>
        <v>6001</v>
      </c>
      <c r="D849" s="6" t="str">
        <f>'day1'!D738</f>
        <v>B00101</v>
      </c>
      <c r="E849" s="6" t="str">
        <f>'day1'!E738</f>
        <v>6001</v>
      </c>
      <c r="F849" s="6">
        <f t="shared" si="350"/>
        <v>20180327</v>
      </c>
      <c r="G849" s="6" t="str">
        <f t="shared" si="351"/>
        <v>CZCE</v>
      </c>
      <c r="H849" s="6" t="str">
        <f>'day1'!I738</f>
        <v>SR807C6500</v>
      </c>
      <c r="I849" s="6">
        <f t="shared" si="339"/>
        <v>10</v>
      </c>
      <c r="J849" s="6">
        <v>4</v>
      </c>
      <c r="K849" s="6">
        <f>'day1'!J738</f>
        <v>1</v>
      </c>
      <c r="L849" s="6">
        <f>'day1'!L738</f>
        <v>1</v>
      </c>
      <c r="M849" s="6">
        <f t="shared" si="340"/>
        <v>0</v>
      </c>
      <c r="N849" s="6">
        <v>0</v>
      </c>
      <c r="O849" s="6">
        <v>1</v>
      </c>
      <c r="P849" s="6">
        <f t="shared" si="352"/>
        <v>6500</v>
      </c>
      <c r="Q849" s="6">
        <f t="shared" si="341"/>
        <v>4.2000000000000002E-4</v>
      </c>
      <c r="R849" s="6">
        <f t="shared" si="342"/>
        <v>4.2</v>
      </c>
      <c r="S849" s="6">
        <f t="shared" si="343"/>
        <v>3.2000000000000003E-4</v>
      </c>
      <c r="T849" s="6">
        <f t="shared" si="344"/>
        <v>3.2</v>
      </c>
      <c r="U849" s="6">
        <f t="shared" si="353"/>
        <v>0</v>
      </c>
      <c r="V849" s="6">
        <f t="shared" si="354"/>
        <v>0</v>
      </c>
      <c r="W849" s="6">
        <f t="shared" si="355"/>
        <v>0</v>
      </c>
      <c r="X849" s="6" t="str">
        <f t="shared" si="345"/>
        <v>SR807C650014</v>
      </c>
      <c r="Y849" s="652">
        <f t="shared" si="356"/>
        <v>0</v>
      </c>
      <c r="Z849" s="6">
        <f t="shared" si="346"/>
        <v>1</v>
      </c>
      <c r="AA849" s="6">
        <f t="shared" si="347"/>
        <v>0</v>
      </c>
      <c r="AB849" s="6">
        <f t="shared" si="348"/>
        <v>0</v>
      </c>
      <c r="AC849" s="6" t="str">
        <f t="shared" si="357"/>
        <v>SR807</v>
      </c>
      <c r="AD849" s="6">
        <f>'day1'!M738+'day1'!N738</f>
        <v>7</v>
      </c>
      <c r="AE849" s="111">
        <f t="shared" si="358"/>
        <v>1</v>
      </c>
    </row>
    <row r="850" spans="1:31" s="6" customFormat="1" x14ac:dyDescent="0.25">
      <c r="A850" s="6" t="str">
        <f t="shared" si="349"/>
        <v/>
      </c>
      <c r="B850" s="6" t="str">
        <f>'day1'!B739</f>
        <v>2018032610000096</v>
      </c>
      <c r="C850" s="6" t="str">
        <f>'day1'!C739</f>
        <v>6001</v>
      </c>
      <c r="D850" s="6" t="str">
        <f>'day1'!D739</f>
        <v>B00101</v>
      </c>
      <c r="E850" s="6" t="str">
        <f>'day1'!E739</f>
        <v>6001</v>
      </c>
      <c r="F850" s="6">
        <f t="shared" si="350"/>
        <v>20180327</v>
      </c>
      <c r="G850" s="6" t="str">
        <f t="shared" si="351"/>
        <v>CZCE</v>
      </c>
      <c r="H850" s="6" t="str">
        <f>'day1'!I739</f>
        <v>SR807P6500</v>
      </c>
      <c r="I850" s="6">
        <f t="shared" si="339"/>
        <v>10</v>
      </c>
      <c r="J850" s="6">
        <v>4</v>
      </c>
      <c r="K850" s="6">
        <f>'day1'!J739</f>
        <v>0</v>
      </c>
      <c r="L850" s="6">
        <f>'day1'!L739</f>
        <v>1</v>
      </c>
      <c r="M850" s="6">
        <f t="shared" si="340"/>
        <v>1</v>
      </c>
      <c r="N850" s="6">
        <v>1</v>
      </c>
      <c r="O850" s="6">
        <v>1</v>
      </c>
      <c r="P850" s="6">
        <f t="shared" si="352"/>
        <v>6500</v>
      </c>
      <c r="Q850" s="6">
        <f t="shared" si="341"/>
        <v>4.2000000000000002E-4</v>
      </c>
      <c r="R850" s="6">
        <f t="shared" si="342"/>
        <v>4.2</v>
      </c>
      <c r="S850" s="6">
        <f t="shared" si="343"/>
        <v>3.2000000000000003E-4</v>
      </c>
      <c r="T850" s="6">
        <f t="shared" si="344"/>
        <v>3.2</v>
      </c>
      <c r="U850" s="6">
        <f t="shared" si="353"/>
        <v>0</v>
      </c>
      <c r="V850" s="6">
        <f t="shared" si="354"/>
        <v>0</v>
      </c>
      <c r="W850" s="6">
        <f t="shared" si="355"/>
        <v>0</v>
      </c>
      <c r="X850" s="6" t="str">
        <f t="shared" si="345"/>
        <v>SR807P650014</v>
      </c>
      <c r="Y850" s="652">
        <f t="shared" si="356"/>
        <v>1</v>
      </c>
      <c r="Z850" s="6">
        <f t="shared" si="346"/>
        <v>1</v>
      </c>
      <c r="AA850" s="6">
        <f t="shared" si="347"/>
        <v>0</v>
      </c>
      <c r="AB850" s="6">
        <f t="shared" si="348"/>
        <v>0</v>
      </c>
      <c r="AC850" s="6" t="str">
        <f t="shared" si="357"/>
        <v>SR807</v>
      </c>
      <c r="AD850" s="6">
        <f>'day1'!M739+'day1'!N739</f>
        <v>1</v>
      </c>
      <c r="AE850" s="111">
        <f t="shared" si="358"/>
        <v>1</v>
      </c>
    </row>
    <row r="851" spans="1:31" s="6" customFormat="1" x14ac:dyDescent="0.25">
      <c r="A851" s="6" t="str">
        <f t="shared" si="349"/>
        <v/>
      </c>
      <c r="B851" s="6" t="str">
        <f>'day1'!B740</f>
        <v>2018032610000097</v>
      </c>
      <c r="C851" s="6" t="str">
        <f>'day1'!C740</f>
        <v>6001</v>
      </c>
      <c r="D851" s="6" t="str">
        <f>'day1'!D740</f>
        <v>B00101</v>
      </c>
      <c r="E851" s="6" t="str">
        <f>'day1'!E740</f>
        <v>6001</v>
      </c>
      <c r="F851" s="6">
        <f t="shared" si="350"/>
        <v>20180327</v>
      </c>
      <c r="G851" s="6" t="str">
        <f t="shared" si="351"/>
        <v>CZCE</v>
      </c>
      <c r="H851" s="6" t="str">
        <f>'day1'!I740</f>
        <v>SR807P6500</v>
      </c>
      <c r="I851" s="6">
        <f t="shared" si="339"/>
        <v>10</v>
      </c>
      <c r="J851" s="6">
        <v>4</v>
      </c>
      <c r="K851" s="6">
        <f>'day1'!J740</f>
        <v>1</v>
      </c>
      <c r="L851" s="6">
        <f>'day1'!L740</f>
        <v>1</v>
      </c>
      <c r="M851" s="6">
        <f t="shared" si="340"/>
        <v>5</v>
      </c>
      <c r="N851" s="6">
        <v>5</v>
      </c>
      <c r="O851" s="6">
        <v>0</v>
      </c>
      <c r="P851" s="6">
        <f t="shared" si="352"/>
        <v>6500</v>
      </c>
      <c r="Q851" s="6">
        <f t="shared" si="341"/>
        <v>4.2000000000000002E-4</v>
      </c>
      <c r="R851" s="6">
        <f t="shared" si="342"/>
        <v>4.2</v>
      </c>
      <c r="S851" s="6">
        <f t="shared" si="343"/>
        <v>3.2000000000000003E-4</v>
      </c>
      <c r="T851" s="6">
        <f t="shared" si="344"/>
        <v>3.2</v>
      </c>
      <c r="U851" s="6">
        <f t="shared" si="353"/>
        <v>157.5</v>
      </c>
      <c r="V851" s="6">
        <f t="shared" si="354"/>
        <v>120</v>
      </c>
      <c r="W851" s="6">
        <f t="shared" si="355"/>
        <v>325000</v>
      </c>
      <c r="X851" s="6" t="str">
        <f t="shared" si="345"/>
        <v>SR807P650014</v>
      </c>
      <c r="Y851" s="652">
        <f t="shared" si="356"/>
        <v>1</v>
      </c>
      <c r="Z851" s="6">
        <f t="shared" si="346"/>
        <v>0</v>
      </c>
      <c r="AA851" s="6">
        <f t="shared" si="347"/>
        <v>5</v>
      </c>
      <c r="AB851" s="6">
        <f t="shared" si="348"/>
        <v>0</v>
      </c>
      <c r="AC851" s="6" t="str">
        <f t="shared" si="357"/>
        <v>SR807</v>
      </c>
      <c r="AD851" s="6">
        <f>'day1'!M740+'day1'!N740</f>
        <v>5</v>
      </c>
      <c r="AE851" s="111">
        <f t="shared" si="358"/>
        <v>1</v>
      </c>
    </row>
    <row r="852" spans="1:31" s="6" customFormat="1" x14ac:dyDescent="0.25">
      <c r="A852" s="6" t="str">
        <f t="shared" si="349"/>
        <v/>
      </c>
      <c r="B852" s="6" t="str">
        <f>'day1'!B741</f>
        <v>2018032610000098</v>
      </c>
      <c r="C852" s="6" t="str">
        <f>'day1'!C741</f>
        <v>6001</v>
      </c>
      <c r="D852" s="6" t="str">
        <f>'day1'!D741</f>
        <v>B00101</v>
      </c>
      <c r="E852" s="6" t="str">
        <f>'day1'!E741</f>
        <v>6001</v>
      </c>
      <c r="F852" s="6">
        <f t="shared" si="350"/>
        <v>20180327</v>
      </c>
      <c r="G852" s="6" t="str">
        <f t="shared" si="351"/>
        <v>CZCE</v>
      </c>
      <c r="H852" s="6" t="str">
        <f>'day1'!I741</f>
        <v>SR807P6500</v>
      </c>
      <c r="I852" s="6">
        <f t="shared" si="339"/>
        <v>10</v>
      </c>
      <c r="J852" s="6">
        <v>4</v>
      </c>
      <c r="K852" s="6">
        <f>'day1'!J741</f>
        <v>0</v>
      </c>
      <c r="L852" s="6">
        <f>'day1'!L741</f>
        <v>3</v>
      </c>
      <c r="M852" s="6">
        <f t="shared" si="340"/>
        <v>2</v>
      </c>
      <c r="N852" s="6">
        <v>2</v>
      </c>
      <c r="O852" s="6">
        <v>1</v>
      </c>
      <c r="P852" s="6">
        <f t="shared" si="352"/>
        <v>6500</v>
      </c>
      <c r="Q852" s="6">
        <f t="shared" si="341"/>
        <v>4.2000000000000002E-4</v>
      </c>
      <c r="R852" s="6">
        <f t="shared" si="342"/>
        <v>4.2</v>
      </c>
      <c r="S852" s="6">
        <f t="shared" si="343"/>
        <v>4.2000000000000002E-4</v>
      </c>
      <c r="T852" s="6">
        <f t="shared" si="344"/>
        <v>4.2</v>
      </c>
      <c r="U852" s="6">
        <f t="shared" si="353"/>
        <v>0</v>
      </c>
      <c r="V852" s="6">
        <f t="shared" si="354"/>
        <v>0</v>
      </c>
      <c r="W852" s="6">
        <f t="shared" si="355"/>
        <v>0</v>
      </c>
      <c r="X852" s="6" t="str">
        <f t="shared" si="345"/>
        <v>SR807P650034</v>
      </c>
      <c r="Y852" s="652">
        <f t="shared" si="356"/>
        <v>1</v>
      </c>
      <c r="Z852" s="6">
        <f t="shared" si="346"/>
        <v>1</v>
      </c>
      <c r="AA852" s="6">
        <f t="shared" si="347"/>
        <v>0</v>
      </c>
      <c r="AB852" s="6">
        <f t="shared" si="348"/>
        <v>0</v>
      </c>
      <c r="AC852" s="6" t="str">
        <f t="shared" si="357"/>
        <v>SR807</v>
      </c>
      <c r="AD852" s="6">
        <f>'day1'!M741+'day1'!N741</f>
        <v>2</v>
      </c>
      <c r="AE852" s="111">
        <f t="shared" si="358"/>
        <v>1</v>
      </c>
    </row>
    <row r="853" spans="1:31" s="6" customFormat="1" x14ac:dyDescent="0.25">
      <c r="A853" s="6" t="str">
        <f t="shared" si="349"/>
        <v/>
      </c>
      <c r="B853" s="6" t="str">
        <f>'day1'!B742</f>
        <v>2018032610000099</v>
      </c>
      <c r="C853" s="6" t="str">
        <f>'day1'!C742</f>
        <v>6001</v>
      </c>
      <c r="D853" s="6" t="str">
        <f>'day1'!D742</f>
        <v>B00101</v>
      </c>
      <c r="E853" s="6" t="str">
        <f>'day1'!E742</f>
        <v>6001</v>
      </c>
      <c r="F853" s="6">
        <f t="shared" si="350"/>
        <v>20180327</v>
      </c>
      <c r="G853" s="6" t="str">
        <f t="shared" si="351"/>
        <v>CZCE</v>
      </c>
      <c r="H853" s="6" t="str">
        <f>'day1'!I742</f>
        <v>SR807P6500</v>
      </c>
      <c r="I853" s="6">
        <f t="shared" si="339"/>
        <v>10</v>
      </c>
      <c r="J853" s="6">
        <v>4</v>
      </c>
      <c r="K853" s="6">
        <f>'day1'!J742</f>
        <v>1</v>
      </c>
      <c r="L853" s="6">
        <f>'day1'!L742</f>
        <v>3</v>
      </c>
      <c r="M853" s="6">
        <f t="shared" si="340"/>
        <v>3</v>
      </c>
      <c r="N853" s="6">
        <v>3</v>
      </c>
      <c r="O853" s="6">
        <v>1</v>
      </c>
      <c r="P853" s="6">
        <f t="shared" si="352"/>
        <v>6500</v>
      </c>
      <c r="Q853" s="6">
        <f t="shared" si="341"/>
        <v>4.2000000000000002E-4</v>
      </c>
      <c r="R853" s="6">
        <f t="shared" si="342"/>
        <v>4.2</v>
      </c>
      <c r="S853" s="6">
        <f t="shared" si="343"/>
        <v>4.2000000000000002E-4</v>
      </c>
      <c r="T853" s="6">
        <f t="shared" si="344"/>
        <v>4.2</v>
      </c>
      <c r="U853" s="6">
        <f t="shared" si="353"/>
        <v>0</v>
      </c>
      <c r="V853" s="6">
        <f t="shared" si="354"/>
        <v>0</v>
      </c>
      <c r="W853" s="6">
        <f t="shared" si="355"/>
        <v>0</v>
      </c>
      <c r="X853" s="6" t="str">
        <f t="shared" si="345"/>
        <v>SR807P650034</v>
      </c>
      <c r="Y853" s="652">
        <f t="shared" si="356"/>
        <v>1</v>
      </c>
      <c r="Z853" s="6">
        <f t="shared" si="346"/>
        <v>0</v>
      </c>
      <c r="AA853" s="6">
        <f t="shared" si="347"/>
        <v>0</v>
      </c>
      <c r="AB853" s="6">
        <f t="shared" si="348"/>
        <v>0</v>
      </c>
      <c r="AC853" s="6" t="str">
        <f t="shared" si="357"/>
        <v>SR807</v>
      </c>
      <c r="AD853" s="6">
        <f>'day1'!M742+'day1'!N742</f>
        <v>3</v>
      </c>
      <c r="AE853" s="111">
        <f t="shared" si="358"/>
        <v>1</v>
      </c>
    </row>
    <row r="854" spans="1:31" s="6" customFormat="1" x14ac:dyDescent="0.25">
      <c r="A854" s="6" t="str">
        <f t="shared" si="349"/>
        <v/>
      </c>
      <c r="B854" s="6" t="str">
        <f>'day1'!B743</f>
        <v>2018032610000100</v>
      </c>
      <c r="C854" s="6" t="str">
        <f>'day1'!C743</f>
        <v>6001</v>
      </c>
      <c r="D854" s="6" t="str">
        <f>'day1'!D743</f>
        <v>B00101</v>
      </c>
      <c r="E854" s="6" t="str">
        <f>'day1'!E743</f>
        <v>6001</v>
      </c>
      <c r="F854" s="6">
        <f t="shared" si="350"/>
        <v>20180327</v>
      </c>
      <c r="G854" s="6" t="str">
        <f t="shared" si="351"/>
        <v>CZCE</v>
      </c>
      <c r="H854" s="6" t="str">
        <f>'day1'!I743</f>
        <v>SR807P6400</v>
      </c>
      <c r="I854" s="6">
        <f t="shared" si="339"/>
        <v>10</v>
      </c>
      <c r="J854" s="6">
        <v>4</v>
      </c>
      <c r="K854" s="6">
        <f>'day1'!J743</f>
        <v>0</v>
      </c>
      <c r="L854" s="6">
        <f>'day1'!L743</f>
        <v>1</v>
      </c>
      <c r="M854" s="6">
        <f t="shared" si="340"/>
        <v>1</v>
      </c>
      <c r="N854" s="6">
        <v>1</v>
      </c>
      <c r="O854" s="6">
        <v>0</v>
      </c>
      <c r="P854" s="6">
        <f t="shared" si="352"/>
        <v>6400</v>
      </c>
      <c r="Q854" s="6">
        <f t="shared" si="341"/>
        <v>4.2000000000000002E-4</v>
      </c>
      <c r="R854" s="6">
        <f t="shared" si="342"/>
        <v>4.2</v>
      </c>
      <c r="S854" s="6">
        <f t="shared" si="343"/>
        <v>3.2000000000000003E-4</v>
      </c>
      <c r="T854" s="6">
        <f t="shared" si="344"/>
        <v>3.2</v>
      </c>
      <c r="U854" s="6">
        <f t="shared" si="353"/>
        <v>31.080000000000002</v>
      </c>
      <c r="V854" s="6">
        <f t="shared" si="354"/>
        <v>23.68</v>
      </c>
      <c r="W854" s="6">
        <f t="shared" si="355"/>
        <v>64000</v>
      </c>
      <c r="X854" s="6" t="str">
        <f t="shared" si="345"/>
        <v>SR807P640014</v>
      </c>
      <c r="Y854" s="652">
        <f t="shared" si="356"/>
        <v>1</v>
      </c>
      <c r="Z854" s="6">
        <f t="shared" si="346"/>
        <v>1</v>
      </c>
      <c r="AA854" s="6">
        <f t="shared" si="347"/>
        <v>1</v>
      </c>
      <c r="AB854" s="6">
        <f t="shared" si="348"/>
        <v>0</v>
      </c>
      <c r="AC854" s="6" t="str">
        <f t="shared" si="357"/>
        <v>SR807</v>
      </c>
      <c r="AD854" s="6">
        <f>'day1'!M743+'day1'!N743</f>
        <v>1</v>
      </c>
      <c r="AE854" s="111">
        <f t="shared" si="358"/>
        <v>1</v>
      </c>
    </row>
    <row r="855" spans="1:31" s="6" customFormat="1" x14ac:dyDescent="0.25">
      <c r="A855" s="6" t="str">
        <f t="shared" si="349"/>
        <v/>
      </c>
      <c r="B855" s="6" t="str">
        <f>'day1'!B744</f>
        <v>2018032610000101</v>
      </c>
      <c r="C855" s="6" t="str">
        <f>'day1'!C744</f>
        <v>6001</v>
      </c>
      <c r="D855" s="6" t="str">
        <f>'day1'!D744</f>
        <v>B00101</v>
      </c>
      <c r="E855" s="6" t="str">
        <f>'day1'!E744</f>
        <v>6001</v>
      </c>
      <c r="F855" s="6">
        <f t="shared" si="350"/>
        <v>20180327</v>
      </c>
      <c r="G855" s="6" t="str">
        <f t="shared" si="351"/>
        <v>CZCE</v>
      </c>
      <c r="H855" s="6" t="str">
        <f>'day1'!I744</f>
        <v>SR807P6400</v>
      </c>
      <c r="I855" s="6">
        <f t="shared" si="339"/>
        <v>10</v>
      </c>
      <c r="J855" s="6">
        <v>4</v>
      </c>
      <c r="K855" s="6">
        <f>'day1'!J744</f>
        <v>0</v>
      </c>
      <c r="L855" s="6">
        <f>'day1'!L744</f>
        <v>1</v>
      </c>
      <c r="M855" s="6">
        <f t="shared" si="340"/>
        <v>1</v>
      </c>
      <c r="N855" s="6">
        <v>1</v>
      </c>
      <c r="O855" s="6">
        <v>0</v>
      </c>
      <c r="P855" s="6">
        <f t="shared" si="352"/>
        <v>6400</v>
      </c>
      <c r="Q855" s="6">
        <f t="shared" si="341"/>
        <v>4.2000000000000002E-4</v>
      </c>
      <c r="R855" s="6">
        <f t="shared" si="342"/>
        <v>4.2</v>
      </c>
      <c r="S855" s="6">
        <f t="shared" si="343"/>
        <v>3.2000000000000003E-4</v>
      </c>
      <c r="T855" s="6">
        <f t="shared" si="344"/>
        <v>3.2</v>
      </c>
      <c r="U855" s="6">
        <f t="shared" si="353"/>
        <v>31.080000000000002</v>
      </c>
      <c r="V855" s="6">
        <f t="shared" si="354"/>
        <v>23.68</v>
      </c>
      <c r="W855" s="6">
        <f t="shared" si="355"/>
        <v>64000</v>
      </c>
      <c r="X855" s="6" t="str">
        <f t="shared" si="345"/>
        <v>SR807P640014</v>
      </c>
      <c r="Y855" s="652">
        <f t="shared" si="356"/>
        <v>1</v>
      </c>
      <c r="Z855" s="6">
        <f t="shared" si="346"/>
        <v>1</v>
      </c>
      <c r="AA855" s="6">
        <f t="shared" si="347"/>
        <v>1</v>
      </c>
      <c r="AB855" s="6">
        <f t="shared" si="348"/>
        <v>0</v>
      </c>
      <c r="AC855" s="6" t="str">
        <f t="shared" si="357"/>
        <v>SR807</v>
      </c>
      <c r="AD855" s="6">
        <f>'day1'!M744+'day1'!N744</f>
        <v>1</v>
      </c>
      <c r="AE855" s="111">
        <f t="shared" si="358"/>
        <v>1</v>
      </c>
    </row>
    <row r="856" spans="1:31" s="6" customFormat="1" x14ac:dyDescent="0.25">
      <c r="A856" s="6" t="str">
        <f t="shared" si="349"/>
        <v/>
      </c>
      <c r="B856" s="6" t="str">
        <f>'day1'!B745</f>
        <v>2018032610000102</v>
      </c>
      <c r="C856" s="6" t="str">
        <f>'day1'!C745</f>
        <v>6001</v>
      </c>
      <c r="D856" s="6" t="str">
        <f>'day1'!D745</f>
        <v>B00101</v>
      </c>
      <c r="E856" s="6" t="str">
        <f>'day1'!E745</f>
        <v>6001</v>
      </c>
      <c r="F856" s="6">
        <f t="shared" si="350"/>
        <v>20180327</v>
      </c>
      <c r="G856" s="6" t="str">
        <f t="shared" si="351"/>
        <v>CZCE</v>
      </c>
      <c r="H856" s="6" t="str">
        <f>'day1'!I745</f>
        <v>SR807P6400</v>
      </c>
      <c r="I856" s="6">
        <f t="shared" si="339"/>
        <v>10</v>
      </c>
      <c r="J856" s="6">
        <v>4</v>
      </c>
      <c r="K856" s="6">
        <f>'day1'!J745</f>
        <v>1</v>
      </c>
      <c r="L856" s="6">
        <f>'day1'!L745</f>
        <v>1</v>
      </c>
      <c r="M856" s="6">
        <f t="shared" si="340"/>
        <v>1</v>
      </c>
      <c r="N856" s="6">
        <v>1</v>
      </c>
      <c r="O856" s="6">
        <v>1</v>
      </c>
      <c r="P856" s="6">
        <f t="shared" si="352"/>
        <v>6400</v>
      </c>
      <c r="Q856" s="6">
        <f t="shared" si="341"/>
        <v>4.2000000000000002E-4</v>
      </c>
      <c r="R856" s="6">
        <f t="shared" si="342"/>
        <v>4.2</v>
      </c>
      <c r="S856" s="6">
        <f t="shared" si="343"/>
        <v>3.2000000000000003E-4</v>
      </c>
      <c r="T856" s="6">
        <f t="shared" si="344"/>
        <v>3.2</v>
      </c>
      <c r="U856" s="6">
        <f t="shared" si="353"/>
        <v>0</v>
      </c>
      <c r="V856" s="6">
        <f t="shared" si="354"/>
        <v>0</v>
      </c>
      <c r="W856" s="6">
        <f t="shared" si="355"/>
        <v>0</v>
      </c>
      <c r="X856" s="6" t="str">
        <f t="shared" si="345"/>
        <v>SR807P640014</v>
      </c>
      <c r="Y856" s="652">
        <f t="shared" si="356"/>
        <v>1</v>
      </c>
      <c r="Z856" s="6">
        <f t="shared" si="346"/>
        <v>0</v>
      </c>
      <c r="AA856" s="6">
        <f t="shared" si="347"/>
        <v>0</v>
      </c>
      <c r="AB856" s="6">
        <f t="shared" si="348"/>
        <v>0</v>
      </c>
      <c r="AC856" s="6" t="str">
        <f t="shared" si="357"/>
        <v>SR807</v>
      </c>
      <c r="AD856" s="6">
        <f>'day1'!M745+'day1'!N745</f>
        <v>1</v>
      </c>
      <c r="AE856" s="111">
        <f t="shared" si="358"/>
        <v>1</v>
      </c>
    </row>
    <row r="857" spans="1:31" s="6" customFormat="1" ht="18" customHeight="1" x14ac:dyDescent="0.25">
      <c r="A857" s="6" t="str">
        <f t="shared" si="349"/>
        <v>comment</v>
      </c>
      <c r="B857" s="6" t="str">
        <f>'day1'!B747</f>
        <v>2018032610000103</v>
      </c>
      <c r="C857" s="6" t="str">
        <f>'day1'!C747</f>
        <v>6001</v>
      </c>
      <c r="D857" s="6" t="str">
        <f>'day1'!D747</f>
        <v>B00102</v>
      </c>
      <c r="E857" s="6" t="str">
        <f>'day1'!E747</f>
        <v>6001</v>
      </c>
      <c r="F857" s="6">
        <f t="shared" si="350"/>
        <v>20180327</v>
      </c>
      <c r="G857" s="6" t="str">
        <f t="shared" si="351"/>
        <v>CZCE</v>
      </c>
      <c r="H857" s="6" t="str">
        <f>'day1'!I747</f>
        <v>PTA807C6500</v>
      </c>
      <c r="I857" s="6">
        <f t="shared" ref="I857:I867" si="359">VLOOKUP(H857,$C$19:$E$29,3,FALSE)</f>
        <v>5</v>
      </c>
      <c r="J857" s="6">
        <v>4</v>
      </c>
      <c r="K857" s="6">
        <f>'day1'!J747</f>
        <v>0</v>
      </c>
      <c r="L857" s="6">
        <f>'day1'!L747</f>
        <v>1</v>
      </c>
      <c r="M857" s="6">
        <f t="shared" si="340"/>
        <v>0</v>
      </c>
      <c r="N857" s="6">
        <v>0</v>
      </c>
      <c r="O857" s="6">
        <v>1</v>
      </c>
      <c r="P857" s="6">
        <f t="shared" si="352"/>
        <v>6500</v>
      </c>
      <c r="Q857" s="6">
        <f t="shared" si="341"/>
        <v>4.2000000000000002E-4</v>
      </c>
      <c r="R857" s="6">
        <f t="shared" si="342"/>
        <v>4.2</v>
      </c>
      <c r="S857" s="6">
        <f t="shared" si="343"/>
        <v>3.2000000000000003E-4</v>
      </c>
      <c r="T857" s="6">
        <f t="shared" si="344"/>
        <v>3.2</v>
      </c>
      <c r="U857" s="6">
        <f t="shared" ref="U857:U866" si="360">IF(O857=0,N857*P857*Q857*I857+N857*R857,0)</f>
        <v>0</v>
      </c>
      <c r="V857" s="6">
        <f t="shared" ref="V857:V866" si="361">IF(O857=0,N857*P857*S857*I857+N857*T857,0)</f>
        <v>0</v>
      </c>
      <c r="W857" s="6">
        <f t="shared" si="355"/>
        <v>0</v>
      </c>
      <c r="X857" s="6" t="str">
        <f t="shared" ref="X857:X866" si="362">H857&amp;L857&amp;J857</f>
        <v>PTA807C650014</v>
      </c>
      <c r="Y857" s="652">
        <f t="shared" si="356"/>
        <v>0</v>
      </c>
      <c r="Z857" s="6">
        <f t="shared" ref="Z857:Z866" si="363">IF(Y857=0,IF(K857=0,0,1),IF(K857=0,1,0))</f>
        <v>0</v>
      </c>
      <c r="AA857" s="6">
        <f>IF(O857=0,N857,0)</f>
        <v>0</v>
      </c>
      <c r="AB857" s="6">
        <f t="shared" ref="AB857:AB866" si="364">VLOOKUP(H857,$C$19:$L$29,9,FALSE)</f>
        <v>0</v>
      </c>
      <c r="AC857" s="6" t="str">
        <f t="shared" si="357"/>
        <v>PTA807</v>
      </c>
      <c r="AD857" s="6">
        <f>'day1'!M747+'day1'!N747</f>
        <v>8</v>
      </c>
      <c r="AE857" s="111">
        <f t="shared" si="358"/>
        <v>1</v>
      </c>
    </row>
    <row r="858" spans="1:31" s="6" customFormat="1" ht="18" customHeight="1" x14ac:dyDescent="0.25">
      <c r="A858" s="6" t="str">
        <f t="shared" si="349"/>
        <v/>
      </c>
      <c r="B858" s="6" t="str">
        <f>'day1'!B748</f>
        <v>2018032610000104</v>
      </c>
      <c r="C858" s="6" t="str">
        <f>'day1'!C748</f>
        <v>6001</v>
      </c>
      <c r="D858" s="6" t="str">
        <f>'day1'!D748</f>
        <v>B00102</v>
      </c>
      <c r="E858" s="6" t="str">
        <f>'day1'!E748</f>
        <v>6001</v>
      </c>
      <c r="F858" s="6">
        <f t="shared" si="350"/>
        <v>20180327</v>
      </c>
      <c r="G858" s="6" t="str">
        <f t="shared" si="351"/>
        <v>CZCE</v>
      </c>
      <c r="H858" s="6" t="str">
        <f>'day1'!I748</f>
        <v>PTA807C6500</v>
      </c>
      <c r="I858" s="6">
        <f t="shared" si="359"/>
        <v>5</v>
      </c>
      <c r="J858" s="6">
        <v>4</v>
      </c>
      <c r="K858" s="6">
        <f>'day1'!J748</f>
        <v>1</v>
      </c>
      <c r="L858" s="6">
        <f>'day1'!L748</f>
        <v>1</v>
      </c>
      <c r="M858" s="6">
        <f t="shared" si="340"/>
        <v>8</v>
      </c>
      <c r="N858" s="6">
        <v>8</v>
      </c>
      <c r="O858" s="6">
        <v>1</v>
      </c>
      <c r="P858" s="6">
        <f t="shared" si="352"/>
        <v>6500</v>
      </c>
      <c r="Q858" s="6">
        <f t="shared" si="341"/>
        <v>4.2000000000000002E-4</v>
      </c>
      <c r="R858" s="6">
        <f t="shared" si="342"/>
        <v>4.2</v>
      </c>
      <c r="S858" s="6">
        <f t="shared" si="343"/>
        <v>3.2000000000000003E-4</v>
      </c>
      <c r="T858" s="6">
        <f t="shared" si="344"/>
        <v>3.2</v>
      </c>
      <c r="U858" s="6">
        <f t="shared" si="360"/>
        <v>0</v>
      </c>
      <c r="V858" s="6">
        <f t="shared" si="361"/>
        <v>0</v>
      </c>
      <c r="W858" s="6">
        <f t="shared" si="355"/>
        <v>0</v>
      </c>
      <c r="X858" s="6" t="str">
        <f t="shared" si="362"/>
        <v>PTA807C650014</v>
      </c>
      <c r="Y858" s="652">
        <f t="shared" si="356"/>
        <v>0</v>
      </c>
      <c r="Z858" s="6">
        <f t="shared" si="363"/>
        <v>1</v>
      </c>
      <c r="AA858" s="6">
        <f t="shared" ref="AA858:AA866" si="365">IF(O858=0,N858,0)</f>
        <v>0</v>
      </c>
      <c r="AB858" s="6">
        <f t="shared" si="364"/>
        <v>0</v>
      </c>
      <c r="AC858" s="6" t="str">
        <f t="shared" si="357"/>
        <v>PTA807</v>
      </c>
      <c r="AD858" s="6">
        <f>'day1'!M748+'day1'!N748</f>
        <v>8</v>
      </c>
      <c r="AE858" s="111">
        <f t="shared" si="358"/>
        <v>1</v>
      </c>
    </row>
    <row r="859" spans="1:31" s="6" customFormat="1" ht="18" customHeight="1" x14ac:dyDescent="0.25">
      <c r="A859" s="6" t="str">
        <f t="shared" si="349"/>
        <v>comment</v>
      </c>
      <c r="B859" s="6" t="str">
        <f>'day1'!B749</f>
        <v>2018032610000105</v>
      </c>
      <c r="C859" s="6" t="str">
        <f>'day1'!C749</f>
        <v>6001</v>
      </c>
      <c r="D859" s="6" t="str">
        <f>'day1'!D749</f>
        <v>B00102</v>
      </c>
      <c r="E859" s="6" t="str">
        <f>'day1'!E749</f>
        <v>6001</v>
      </c>
      <c r="F859" s="6">
        <f t="shared" si="350"/>
        <v>20180327</v>
      </c>
      <c r="G859" s="6" t="str">
        <f t="shared" si="351"/>
        <v>CZCE</v>
      </c>
      <c r="H859" s="6" t="str">
        <f>'day1'!I749</f>
        <v>PTA807C6500</v>
      </c>
      <c r="I859" s="6">
        <f t="shared" si="359"/>
        <v>5</v>
      </c>
      <c r="J859" s="6">
        <v>4</v>
      </c>
      <c r="K859" s="6">
        <f>'day1'!J749</f>
        <v>0</v>
      </c>
      <c r="L859" s="6">
        <f>'day1'!L749</f>
        <v>3</v>
      </c>
      <c r="M859" s="6">
        <f t="shared" si="340"/>
        <v>0</v>
      </c>
      <c r="N859" s="6">
        <v>0</v>
      </c>
      <c r="O859" s="6">
        <v>1</v>
      </c>
      <c r="P859" s="6">
        <f t="shared" si="352"/>
        <v>6500</v>
      </c>
      <c r="Q859" s="6">
        <f t="shared" si="341"/>
        <v>4.2000000000000002E-4</v>
      </c>
      <c r="R859" s="6">
        <f t="shared" si="342"/>
        <v>4.2</v>
      </c>
      <c r="S859" s="6">
        <f t="shared" si="343"/>
        <v>4.2000000000000002E-4</v>
      </c>
      <c r="T859" s="6">
        <f t="shared" si="344"/>
        <v>4.2</v>
      </c>
      <c r="U859" s="6">
        <f t="shared" si="360"/>
        <v>0</v>
      </c>
      <c r="V859" s="6">
        <f t="shared" si="361"/>
        <v>0</v>
      </c>
      <c r="W859" s="6">
        <f t="shared" si="355"/>
        <v>0</v>
      </c>
      <c r="X859" s="6" t="str">
        <f t="shared" si="362"/>
        <v>PTA807C650034</v>
      </c>
      <c r="Y859" s="652">
        <f t="shared" si="356"/>
        <v>0</v>
      </c>
      <c r="Z859" s="6">
        <f t="shared" si="363"/>
        <v>0</v>
      </c>
      <c r="AA859" s="6">
        <f t="shared" si="365"/>
        <v>0</v>
      </c>
      <c r="AB859" s="6">
        <f t="shared" si="364"/>
        <v>0</v>
      </c>
      <c r="AC859" s="6" t="str">
        <f t="shared" si="357"/>
        <v>PTA807</v>
      </c>
      <c r="AD859" s="6">
        <f>'day1'!M749+'day1'!N749</f>
        <v>5</v>
      </c>
      <c r="AE859" s="111">
        <f t="shared" si="358"/>
        <v>1</v>
      </c>
    </row>
    <row r="860" spans="1:31" s="6" customFormat="1" x14ac:dyDescent="0.25">
      <c r="A860" s="6" t="str">
        <f t="shared" si="349"/>
        <v/>
      </c>
      <c r="B860" s="6" t="str">
        <f>'day1'!B750</f>
        <v>2018032610000106</v>
      </c>
      <c r="C860" s="6" t="str">
        <f>'day1'!C750</f>
        <v>6001</v>
      </c>
      <c r="D860" s="6" t="str">
        <f>'day1'!D750</f>
        <v>B00102</v>
      </c>
      <c r="E860" s="6" t="str">
        <f>'day1'!E750</f>
        <v>6001</v>
      </c>
      <c r="F860" s="6">
        <f t="shared" si="350"/>
        <v>20180327</v>
      </c>
      <c r="G860" s="6" t="str">
        <f t="shared" si="351"/>
        <v>CZCE</v>
      </c>
      <c r="H860" s="6" t="str">
        <f>'day1'!I750</f>
        <v>PTA807C6500</v>
      </c>
      <c r="I860" s="6">
        <f t="shared" si="359"/>
        <v>5</v>
      </c>
      <c r="J860" s="6">
        <v>4</v>
      </c>
      <c r="K860" s="6">
        <f>'day1'!J750</f>
        <v>1</v>
      </c>
      <c r="L860" s="6">
        <f>'day1'!L750</f>
        <v>3</v>
      </c>
      <c r="M860" s="6">
        <f t="shared" si="340"/>
        <v>10</v>
      </c>
      <c r="N860" s="6">
        <v>10</v>
      </c>
      <c r="O860" s="6">
        <v>1</v>
      </c>
      <c r="P860" s="6">
        <f t="shared" si="352"/>
        <v>6500</v>
      </c>
      <c r="Q860" s="6">
        <f t="shared" si="341"/>
        <v>4.2000000000000002E-4</v>
      </c>
      <c r="R860" s="6">
        <f t="shared" si="342"/>
        <v>4.2</v>
      </c>
      <c r="S860" s="6">
        <f t="shared" si="343"/>
        <v>4.2000000000000002E-4</v>
      </c>
      <c r="T860" s="6">
        <f t="shared" si="344"/>
        <v>4.2</v>
      </c>
      <c r="U860" s="6">
        <f t="shared" si="360"/>
        <v>0</v>
      </c>
      <c r="V860" s="6">
        <f t="shared" si="361"/>
        <v>0</v>
      </c>
      <c r="W860" s="6">
        <f t="shared" si="355"/>
        <v>0</v>
      </c>
      <c r="X860" s="6" t="str">
        <f t="shared" si="362"/>
        <v>PTA807C650034</v>
      </c>
      <c r="Y860" s="652">
        <f t="shared" si="356"/>
        <v>0</v>
      </c>
      <c r="Z860" s="6">
        <f t="shared" si="363"/>
        <v>1</v>
      </c>
      <c r="AA860" s="6">
        <f t="shared" si="365"/>
        <v>0</v>
      </c>
      <c r="AB860" s="6">
        <f t="shared" si="364"/>
        <v>0</v>
      </c>
      <c r="AC860" s="6" t="str">
        <f t="shared" si="357"/>
        <v>PTA807</v>
      </c>
      <c r="AD860" s="6">
        <f>'day1'!M750+'day1'!N750</f>
        <v>10</v>
      </c>
      <c r="AE860" s="111">
        <f t="shared" si="358"/>
        <v>1</v>
      </c>
    </row>
    <row r="861" spans="1:31" s="6" customFormat="1" x14ac:dyDescent="0.25">
      <c r="A861" s="6" t="str">
        <f t="shared" si="349"/>
        <v/>
      </c>
      <c r="B861" s="6" t="str">
        <f>'day1'!B751</f>
        <v>2018032610000109</v>
      </c>
      <c r="C861" s="6" t="str">
        <f>'day1'!C751</f>
        <v>6001</v>
      </c>
      <c r="D861" s="6" t="str">
        <f>'day1'!D751</f>
        <v>B00102</v>
      </c>
      <c r="E861" s="6" t="str">
        <f>'day1'!E751</f>
        <v>6001</v>
      </c>
      <c r="F861" s="6">
        <f t="shared" si="350"/>
        <v>20180327</v>
      </c>
      <c r="G861" s="6" t="str">
        <f t="shared" si="351"/>
        <v>CZCE</v>
      </c>
      <c r="H861" s="6" t="str">
        <f>'day1'!I751</f>
        <v>PTA807P6200</v>
      </c>
      <c r="I861" s="6">
        <f t="shared" si="359"/>
        <v>5</v>
      </c>
      <c r="J861" s="6">
        <v>4</v>
      </c>
      <c r="K861" s="6">
        <f>'day1'!J751</f>
        <v>0</v>
      </c>
      <c r="L861" s="6">
        <f>'day1'!L751</f>
        <v>1</v>
      </c>
      <c r="M861" s="6">
        <f t="shared" si="340"/>
        <v>1</v>
      </c>
      <c r="N861" s="6">
        <v>1</v>
      </c>
      <c r="O861" s="6">
        <v>0</v>
      </c>
      <c r="P861" s="6">
        <f t="shared" si="352"/>
        <v>6200</v>
      </c>
      <c r="Q861" s="6">
        <f t="shared" si="341"/>
        <v>4.2000000000000002E-4</v>
      </c>
      <c r="R861" s="6">
        <f t="shared" si="342"/>
        <v>4.2</v>
      </c>
      <c r="S861" s="6">
        <f t="shared" si="343"/>
        <v>3.2000000000000003E-4</v>
      </c>
      <c r="T861" s="6">
        <f t="shared" si="344"/>
        <v>3.2</v>
      </c>
      <c r="U861" s="6">
        <f>IF(O861=0,N861*P861*Q861*I861+N861*R861,0)</f>
        <v>17.22</v>
      </c>
      <c r="V861" s="6">
        <f t="shared" si="361"/>
        <v>13.120000000000001</v>
      </c>
      <c r="W861" s="6">
        <f t="shared" si="355"/>
        <v>31000</v>
      </c>
      <c r="X861" s="6" t="str">
        <f t="shared" si="362"/>
        <v>PTA807P620014</v>
      </c>
      <c r="Y861" s="652">
        <f t="shared" si="356"/>
        <v>1</v>
      </c>
      <c r="Z861" s="6">
        <f t="shared" si="363"/>
        <v>1</v>
      </c>
      <c r="AA861" s="6">
        <f t="shared" si="365"/>
        <v>1</v>
      </c>
      <c r="AB861" s="6">
        <f t="shared" si="364"/>
        <v>0</v>
      </c>
      <c r="AC861" s="6" t="str">
        <f t="shared" si="357"/>
        <v>PTA807</v>
      </c>
      <c r="AD861" s="6">
        <f>'day1'!M751+'day1'!N751</f>
        <v>1</v>
      </c>
      <c r="AE861" s="111">
        <f t="shared" si="358"/>
        <v>1</v>
      </c>
    </row>
    <row r="862" spans="1:31" s="6" customFormat="1" x14ac:dyDescent="0.25">
      <c r="A862" s="6" t="str">
        <f t="shared" si="349"/>
        <v/>
      </c>
      <c r="B862" s="6" t="str">
        <f>'day1'!B752</f>
        <v>2018032610000110</v>
      </c>
      <c r="C862" s="6" t="str">
        <f>'day1'!C752</f>
        <v>6001</v>
      </c>
      <c r="D862" s="6" t="str">
        <f>'day1'!D752</f>
        <v>B00102</v>
      </c>
      <c r="E862" s="6" t="str">
        <f>'day1'!E752</f>
        <v>6001</v>
      </c>
      <c r="F862" s="6">
        <f t="shared" si="350"/>
        <v>20180327</v>
      </c>
      <c r="G862" s="6" t="str">
        <f t="shared" si="351"/>
        <v>CZCE</v>
      </c>
      <c r="H862" s="6" t="str">
        <f>'day1'!I752</f>
        <v>PTA807P6200</v>
      </c>
      <c r="I862" s="6">
        <f t="shared" si="359"/>
        <v>5</v>
      </c>
      <c r="J862" s="6">
        <v>4</v>
      </c>
      <c r="K862" s="6">
        <f>'day1'!J752</f>
        <v>1</v>
      </c>
      <c r="L862" s="6">
        <f>'day1'!L752</f>
        <v>1</v>
      </c>
      <c r="M862" s="6">
        <f t="shared" si="340"/>
        <v>3</v>
      </c>
      <c r="N862" s="6">
        <v>3</v>
      </c>
      <c r="O862" s="6">
        <v>0</v>
      </c>
      <c r="P862" s="6">
        <f t="shared" si="352"/>
        <v>6200</v>
      </c>
      <c r="Q862" s="6">
        <f t="shared" si="341"/>
        <v>4.2000000000000002E-4</v>
      </c>
      <c r="R862" s="6">
        <f t="shared" si="342"/>
        <v>4.2</v>
      </c>
      <c r="S862" s="6">
        <f t="shared" si="343"/>
        <v>3.2000000000000003E-4</v>
      </c>
      <c r="T862" s="6">
        <f t="shared" si="344"/>
        <v>3.2</v>
      </c>
      <c r="U862" s="6">
        <f t="shared" si="360"/>
        <v>51.660000000000004</v>
      </c>
      <c r="V862" s="6">
        <f t="shared" si="361"/>
        <v>39.360000000000007</v>
      </c>
      <c r="W862" s="6">
        <f t="shared" si="355"/>
        <v>93000</v>
      </c>
      <c r="X862" s="6" t="str">
        <f t="shared" si="362"/>
        <v>PTA807P620014</v>
      </c>
      <c r="Y862" s="652">
        <f t="shared" si="356"/>
        <v>1</v>
      </c>
      <c r="Z862" s="6">
        <f t="shared" si="363"/>
        <v>0</v>
      </c>
      <c r="AA862" s="6">
        <f t="shared" si="365"/>
        <v>3</v>
      </c>
      <c r="AB862" s="6">
        <f t="shared" si="364"/>
        <v>0</v>
      </c>
      <c r="AC862" s="6" t="str">
        <f t="shared" si="357"/>
        <v>PTA807</v>
      </c>
      <c r="AD862" s="6">
        <f>'day1'!M752+'day1'!N752</f>
        <v>3</v>
      </c>
      <c r="AE862" s="111">
        <f t="shared" si="358"/>
        <v>1</v>
      </c>
    </row>
    <row r="863" spans="1:31" s="6" customFormat="1" x14ac:dyDescent="0.25">
      <c r="A863" s="6" t="str">
        <f t="shared" si="349"/>
        <v/>
      </c>
      <c r="B863" s="6" t="str">
        <f>'day1'!B753</f>
        <v>2018032610000111</v>
      </c>
      <c r="C863" s="6" t="str">
        <f>'day1'!C753</f>
        <v>6001</v>
      </c>
      <c r="D863" s="6" t="str">
        <f>'day1'!D753</f>
        <v>B00102</v>
      </c>
      <c r="E863" s="6" t="str">
        <f>'day1'!E753</f>
        <v>6001</v>
      </c>
      <c r="F863" s="6">
        <f t="shared" si="350"/>
        <v>20180327</v>
      </c>
      <c r="G863" s="6" t="str">
        <f t="shared" si="351"/>
        <v>CZCE</v>
      </c>
      <c r="H863" s="6" t="str">
        <f>'day1'!I753</f>
        <v>PTA807P6500</v>
      </c>
      <c r="I863" s="6">
        <f t="shared" si="359"/>
        <v>5</v>
      </c>
      <c r="J863" s="6">
        <v>4</v>
      </c>
      <c r="K863" s="6">
        <f>'day1'!J753</f>
        <v>0</v>
      </c>
      <c r="L863" s="6">
        <f>'day1'!L753</f>
        <v>1</v>
      </c>
      <c r="M863" s="6">
        <f t="shared" si="340"/>
        <v>1</v>
      </c>
      <c r="N863" s="6">
        <v>1</v>
      </c>
      <c r="O863" s="6">
        <v>1</v>
      </c>
      <c r="P863" s="6">
        <f t="shared" si="352"/>
        <v>6500</v>
      </c>
      <c r="Q863" s="6">
        <f t="shared" si="341"/>
        <v>4.2000000000000002E-4</v>
      </c>
      <c r="R863" s="6">
        <f t="shared" si="342"/>
        <v>4.2</v>
      </c>
      <c r="S863" s="6">
        <f t="shared" si="343"/>
        <v>3.2000000000000003E-4</v>
      </c>
      <c r="T863" s="6">
        <f t="shared" si="344"/>
        <v>3.2</v>
      </c>
      <c r="U863" s="6">
        <f t="shared" si="360"/>
        <v>0</v>
      </c>
      <c r="V863" s="6">
        <f t="shared" si="361"/>
        <v>0</v>
      </c>
      <c r="W863" s="6">
        <f t="shared" si="355"/>
        <v>0</v>
      </c>
      <c r="X863" s="6" t="str">
        <f t="shared" si="362"/>
        <v>PTA807P650014</v>
      </c>
      <c r="Y863" s="652">
        <f t="shared" si="356"/>
        <v>1</v>
      </c>
      <c r="Z863" s="6">
        <f t="shared" si="363"/>
        <v>1</v>
      </c>
      <c r="AA863" s="6">
        <f t="shared" si="365"/>
        <v>0</v>
      </c>
      <c r="AB863" s="6">
        <f t="shared" si="364"/>
        <v>0</v>
      </c>
      <c r="AC863" s="6" t="str">
        <f t="shared" si="357"/>
        <v>PTA807</v>
      </c>
      <c r="AD863" s="6">
        <f>'day1'!M753+'day1'!N753</f>
        <v>1</v>
      </c>
      <c r="AE863" s="111">
        <f t="shared" si="358"/>
        <v>1</v>
      </c>
    </row>
    <row r="864" spans="1:31" s="6" customFormat="1" x14ac:dyDescent="0.25">
      <c r="A864" s="6" t="str">
        <f t="shared" si="349"/>
        <v/>
      </c>
      <c r="B864" s="6" t="str">
        <f>'day1'!B754</f>
        <v>2018032610000112</v>
      </c>
      <c r="C864" s="6" t="str">
        <f>'day1'!C754</f>
        <v>6001</v>
      </c>
      <c r="D864" s="6" t="str">
        <f>'day1'!D754</f>
        <v>B00102</v>
      </c>
      <c r="E864" s="6" t="str">
        <f>'day1'!E754</f>
        <v>6001</v>
      </c>
      <c r="F864" s="6">
        <f t="shared" si="350"/>
        <v>20180327</v>
      </c>
      <c r="G864" s="6" t="str">
        <f t="shared" si="351"/>
        <v>CZCE</v>
      </c>
      <c r="H864" s="6" t="str">
        <f>'day1'!I754</f>
        <v>PTA807P6500</v>
      </c>
      <c r="I864" s="6">
        <f t="shared" si="359"/>
        <v>5</v>
      </c>
      <c r="J864" s="6">
        <v>4</v>
      </c>
      <c r="K864" s="6">
        <f>'day1'!J754</f>
        <v>1</v>
      </c>
      <c r="L864" s="6">
        <f>'day1'!L754</f>
        <v>1</v>
      </c>
      <c r="M864" s="6">
        <f t="shared" si="340"/>
        <v>1</v>
      </c>
      <c r="N864" s="6">
        <v>1</v>
      </c>
      <c r="O864" s="6">
        <v>1</v>
      </c>
      <c r="P864" s="6">
        <f t="shared" si="352"/>
        <v>6500</v>
      </c>
      <c r="Q864" s="6">
        <f t="shared" si="341"/>
        <v>4.2000000000000002E-4</v>
      </c>
      <c r="R864" s="6">
        <f t="shared" si="342"/>
        <v>4.2</v>
      </c>
      <c r="S864" s="6">
        <f t="shared" si="343"/>
        <v>3.2000000000000003E-4</v>
      </c>
      <c r="T864" s="6">
        <f t="shared" si="344"/>
        <v>3.2</v>
      </c>
      <c r="U864" s="6">
        <f t="shared" si="360"/>
        <v>0</v>
      </c>
      <c r="V864" s="6">
        <f t="shared" si="361"/>
        <v>0</v>
      </c>
      <c r="W864" s="6">
        <f t="shared" si="355"/>
        <v>0</v>
      </c>
      <c r="X864" s="6" t="str">
        <f t="shared" si="362"/>
        <v>PTA807P650014</v>
      </c>
      <c r="Y864" s="652">
        <f t="shared" si="356"/>
        <v>1</v>
      </c>
      <c r="Z864" s="6">
        <f t="shared" si="363"/>
        <v>0</v>
      </c>
      <c r="AA864" s="6">
        <f t="shared" si="365"/>
        <v>0</v>
      </c>
      <c r="AB864" s="6">
        <f t="shared" si="364"/>
        <v>0</v>
      </c>
      <c r="AC864" s="6" t="str">
        <f t="shared" si="357"/>
        <v>PTA807</v>
      </c>
      <c r="AD864" s="6">
        <f>'day1'!M754+'day1'!N754</f>
        <v>1</v>
      </c>
      <c r="AE864" s="111">
        <f t="shared" si="358"/>
        <v>1</v>
      </c>
    </row>
    <row r="865" spans="1:50" s="6" customFormat="1" x14ac:dyDescent="0.25">
      <c r="A865" s="6" t="str">
        <f t="shared" si="349"/>
        <v>comment</v>
      </c>
      <c r="B865" s="6" t="str">
        <f>C744</f>
        <v>2018032710000182</v>
      </c>
      <c r="C865" s="6" t="str">
        <f>C864</f>
        <v>6001</v>
      </c>
      <c r="D865" s="6" t="str">
        <f t="shared" ref="D865:E865" si="366">D864</f>
        <v>B00102</v>
      </c>
      <c r="E865" s="6" t="str">
        <f t="shared" si="366"/>
        <v>6001</v>
      </c>
      <c r="F865" s="6">
        <f t="shared" si="350"/>
        <v>20180327</v>
      </c>
      <c r="G865" s="6" t="str">
        <f t="shared" si="351"/>
        <v>CZCE</v>
      </c>
      <c r="H865" s="6" t="str">
        <f>L744</f>
        <v>PTA807C6500</v>
      </c>
      <c r="I865" s="6">
        <f t="shared" si="359"/>
        <v>5</v>
      </c>
      <c r="J865" s="6">
        <v>4</v>
      </c>
      <c r="K865" s="6">
        <f>VLOOKUP(B865,$C$693:$AN$761,13,FALSE)</f>
        <v>0</v>
      </c>
      <c r="L865" s="6">
        <f>VLOOKUP(B865,$C$693:$AN$761,14,FALSE)</f>
        <v>1</v>
      </c>
      <c r="M865" s="6">
        <f t="shared" si="340"/>
        <v>0</v>
      </c>
      <c r="N865" s="6">
        <v>0</v>
      </c>
      <c r="O865" s="6">
        <v>1</v>
      </c>
      <c r="P865" s="6">
        <f t="shared" si="352"/>
        <v>6500</v>
      </c>
      <c r="Q865" s="6">
        <f t="shared" si="341"/>
        <v>4.2000000000000002E-4</v>
      </c>
      <c r="R865" s="6">
        <f t="shared" si="342"/>
        <v>4.2</v>
      </c>
      <c r="S865" s="6">
        <f t="shared" si="343"/>
        <v>3.2000000000000003E-4</v>
      </c>
      <c r="T865" s="6">
        <f t="shared" si="344"/>
        <v>3.2</v>
      </c>
      <c r="U865" s="6">
        <f t="shared" si="360"/>
        <v>0</v>
      </c>
      <c r="V865" s="6">
        <f t="shared" si="361"/>
        <v>0</v>
      </c>
      <c r="W865" s="6">
        <f t="shared" si="355"/>
        <v>0</v>
      </c>
      <c r="X865" s="6" t="str">
        <f t="shared" si="362"/>
        <v>PTA807C650014</v>
      </c>
      <c r="Y865" s="652">
        <f t="shared" si="356"/>
        <v>0</v>
      </c>
      <c r="Z865" s="6">
        <f t="shared" si="363"/>
        <v>0</v>
      </c>
      <c r="AA865" s="6">
        <f t="shared" si="365"/>
        <v>0</v>
      </c>
      <c r="AB865" s="6">
        <f t="shared" si="364"/>
        <v>0</v>
      </c>
      <c r="AC865" s="6" t="str">
        <f t="shared" si="357"/>
        <v>PTA807</v>
      </c>
      <c r="AD865" s="6">
        <v>0</v>
      </c>
      <c r="AE865" s="111">
        <f t="shared" si="358"/>
        <v>3</v>
      </c>
    </row>
    <row r="866" spans="1:50" s="6" customFormat="1" x14ac:dyDescent="0.25">
      <c r="A866" s="6" t="str">
        <f t="shared" si="349"/>
        <v/>
      </c>
      <c r="B866" s="6" t="str">
        <f>C745</f>
        <v>2018032710000183</v>
      </c>
      <c r="C866" s="6" t="str">
        <f>C865</f>
        <v>6001</v>
      </c>
      <c r="D866" s="6" t="str">
        <f t="shared" ref="D866" si="367">D865</f>
        <v>B00102</v>
      </c>
      <c r="E866" s="6" t="str">
        <f t="shared" ref="E866" si="368">E865</f>
        <v>6001</v>
      </c>
      <c r="F866" s="6">
        <f t="shared" si="350"/>
        <v>20180327</v>
      </c>
      <c r="G866" s="6" t="str">
        <f t="shared" si="351"/>
        <v>CZCE</v>
      </c>
      <c r="H866" s="6" t="str">
        <f>L745</f>
        <v>PTA807C6500</v>
      </c>
      <c r="I866" s="6">
        <f t="shared" si="359"/>
        <v>5</v>
      </c>
      <c r="J866" s="6">
        <v>4</v>
      </c>
      <c r="K866" s="6">
        <f>VLOOKUP(B866,$C$693:$AN$761,13,FALSE)</f>
        <v>0</v>
      </c>
      <c r="L866" s="6">
        <f>VLOOKUP(B866,$C$693:$AN$761,14,FALSE)</f>
        <v>3</v>
      </c>
      <c r="M866" s="6">
        <f t="shared" si="340"/>
        <v>1</v>
      </c>
      <c r="N866" s="6">
        <v>1</v>
      </c>
      <c r="O866" s="6">
        <v>1</v>
      </c>
      <c r="P866" s="6">
        <f t="shared" si="352"/>
        <v>6500</v>
      </c>
      <c r="Q866" s="6">
        <f t="shared" si="341"/>
        <v>4.2000000000000002E-4</v>
      </c>
      <c r="R866" s="6">
        <f t="shared" si="342"/>
        <v>4.2</v>
      </c>
      <c r="S866" s="6">
        <f t="shared" si="343"/>
        <v>4.2000000000000002E-4</v>
      </c>
      <c r="T866" s="6">
        <f t="shared" si="344"/>
        <v>4.2</v>
      </c>
      <c r="U866" s="6">
        <f t="shared" si="360"/>
        <v>0</v>
      </c>
      <c r="V866" s="6">
        <f t="shared" si="361"/>
        <v>0</v>
      </c>
      <c r="W866" s="6">
        <f t="shared" si="355"/>
        <v>0</v>
      </c>
      <c r="X866" s="6" t="str">
        <f t="shared" si="362"/>
        <v>PTA807C650034</v>
      </c>
      <c r="Y866" s="652">
        <f t="shared" si="356"/>
        <v>0</v>
      </c>
      <c r="Z866" s="6">
        <f t="shared" si="363"/>
        <v>0</v>
      </c>
      <c r="AA866" s="6">
        <f t="shared" si="365"/>
        <v>0</v>
      </c>
      <c r="AB866" s="6">
        <f t="shared" si="364"/>
        <v>0</v>
      </c>
      <c r="AC866" s="6" t="str">
        <f t="shared" si="357"/>
        <v>PTA807</v>
      </c>
      <c r="AD866" s="6">
        <v>0</v>
      </c>
      <c r="AE866" s="111">
        <f t="shared" si="358"/>
        <v>3</v>
      </c>
    </row>
    <row r="867" spans="1:50" s="6" customFormat="1" x14ac:dyDescent="0.25">
      <c r="A867" s="6" t="str">
        <f t="shared" si="349"/>
        <v/>
      </c>
      <c r="B867" s="6" t="str">
        <f>C754</f>
        <v>2018032710000083</v>
      </c>
      <c r="C867" s="6" t="str">
        <f>C856</f>
        <v>6001</v>
      </c>
      <c r="D867" s="6" t="str">
        <f>D856</f>
        <v>B00101</v>
      </c>
      <c r="E867" s="6" t="str">
        <f>E856</f>
        <v>6001</v>
      </c>
      <c r="F867" s="6">
        <f t="shared" si="350"/>
        <v>20180327</v>
      </c>
      <c r="G867" s="6" t="str">
        <f t="shared" si="351"/>
        <v>CZCE</v>
      </c>
      <c r="H867" s="6" t="str">
        <f>VLOOKUP(B867,$C$751:$AN$761,10,FALSE)</f>
        <v>SR807C6500</v>
      </c>
      <c r="I867" s="6">
        <f t="shared" si="359"/>
        <v>10</v>
      </c>
      <c r="J867" s="6">
        <v>4</v>
      </c>
      <c r="K867" s="6">
        <f>VLOOKUP(B867,$C$693:$AN$761,13,FALSE)</f>
        <v>1</v>
      </c>
      <c r="L867" s="6">
        <f>VLOOKUP(B867,$C$693:$AN$761,14,FALSE)</f>
        <v>1</v>
      </c>
      <c r="M867" s="6">
        <f t="shared" si="340"/>
        <v>3</v>
      </c>
      <c r="N867" s="6">
        <v>3</v>
      </c>
      <c r="O867" s="6">
        <v>1</v>
      </c>
      <c r="P867" s="6">
        <f t="shared" si="352"/>
        <v>6500</v>
      </c>
      <c r="Q867" s="6">
        <f t="shared" si="341"/>
        <v>4.2000000000000002E-4</v>
      </c>
      <c r="R867" s="6">
        <f t="shared" si="342"/>
        <v>4.2</v>
      </c>
      <c r="S867" s="6">
        <f t="shared" si="343"/>
        <v>3.2000000000000003E-4</v>
      </c>
      <c r="T867" s="6">
        <f t="shared" si="344"/>
        <v>3.2</v>
      </c>
      <c r="U867" s="6">
        <f t="shared" si="353"/>
        <v>0</v>
      </c>
      <c r="V867" s="6">
        <f t="shared" si="354"/>
        <v>0</v>
      </c>
      <c r="W867" s="6">
        <f t="shared" si="355"/>
        <v>0</v>
      </c>
      <c r="X867" s="6" t="str">
        <f t="shared" si="345"/>
        <v>SR807C650014</v>
      </c>
      <c r="Y867" s="652">
        <f t="shared" si="356"/>
        <v>0</v>
      </c>
      <c r="Z867" s="6">
        <f t="shared" si="346"/>
        <v>1</v>
      </c>
      <c r="AA867" s="6">
        <f t="shared" si="347"/>
        <v>0</v>
      </c>
      <c r="AB867" s="6">
        <f>VLOOKUP(H867,$C$19:$L$34,9,FALSE)</f>
        <v>0</v>
      </c>
      <c r="AC867" s="6" t="str">
        <f t="shared" si="357"/>
        <v>SR807</v>
      </c>
      <c r="AD867" s="6">
        <f>'day1'!M755+'day1'!N755</f>
        <v>0</v>
      </c>
      <c r="AE867" s="111">
        <f>IF(LEFT(B867,8)=(""&amp;$B$2),3,1)</f>
        <v>3</v>
      </c>
    </row>
    <row r="868" spans="1:50" s="6" customFormat="1" x14ac:dyDescent="0.25">
      <c r="A868" s="6" t="str">
        <f t="shared" si="349"/>
        <v/>
      </c>
      <c r="B868" s="6" t="str">
        <f>'day1'!B746</f>
        <v>2018032610000150</v>
      </c>
      <c r="C868" s="6" t="str">
        <f>C857</f>
        <v>6001</v>
      </c>
      <c r="D868" s="6" t="str">
        <f>D867</f>
        <v>B00101</v>
      </c>
      <c r="E868" s="6" t="str">
        <f>E857</f>
        <v>6001</v>
      </c>
      <c r="F868" s="6">
        <f t="shared" si="350"/>
        <v>20180327</v>
      </c>
      <c r="G868" s="6" t="str">
        <f t="shared" si="351"/>
        <v>CZCE</v>
      </c>
      <c r="H868" s="6" t="str">
        <f>'day1'!I746</f>
        <v>SR809C6600</v>
      </c>
      <c r="I868" s="6">
        <f>VLOOKUP(H868,$C$19:$E$34,3,FALSE)</f>
        <v>10</v>
      </c>
      <c r="J868" s="6">
        <v>4</v>
      </c>
      <c r="K868" s="6">
        <f>'day1'!J746</f>
        <v>1</v>
      </c>
      <c r="L868" s="6">
        <f>'day1'!L746</f>
        <v>1</v>
      </c>
      <c r="M868" s="6">
        <f t="shared" si="340"/>
        <v>4</v>
      </c>
      <c r="N868" s="6">
        <v>2</v>
      </c>
      <c r="O868" s="6">
        <v>0</v>
      </c>
      <c r="P868" s="6">
        <f t="shared" si="352"/>
        <v>6600</v>
      </c>
      <c r="Q868" s="6">
        <f t="shared" si="341"/>
        <v>4.2000000000000002E-4</v>
      </c>
      <c r="R868" s="6">
        <f t="shared" si="342"/>
        <v>4.2</v>
      </c>
      <c r="S868" s="6">
        <f t="shared" si="343"/>
        <v>3.2000000000000003E-4</v>
      </c>
      <c r="T868" s="6">
        <f t="shared" si="344"/>
        <v>3.2</v>
      </c>
      <c r="U868" s="6">
        <f t="shared" ref="U868" si="369">IF(O868=0,N868*P868*Q868*I868+N868*R868,0)</f>
        <v>63.84</v>
      </c>
      <c r="V868" s="6">
        <f t="shared" ref="V868" si="370">IF(O868=0,N868*P868*S868*I868+N868*T868,0)</f>
        <v>48.64</v>
      </c>
      <c r="W868" s="6">
        <f t="shared" ref="W868" si="371">IF(O868=0,N868*P868*I868,0)</f>
        <v>132000</v>
      </c>
      <c r="X868" s="6" t="str">
        <f t="shared" si="345"/>
        <v>SR809C660014</v>
      </c>
      <c r="Y868" s="652">
        <f t="shared" si="356"/>
        <v>0</v>
      </c>
      <c r="Z868" s="6">
        <f t="shared" si="346"/>
        <v>1</v>
      </c>
      <c r="AA868" s="6">
        <f t="shared" si="347"/>
        <v>2</v>
      </c>
      <c r="AB868" s="6">
        <f>VLOOKUP(H868,$C$19:$L$34,9,FALSE)</f>
        <v>0</v>
      </c>
      <c r="AC868" s="6" t="str">
        <f t="shared" si="357"/>
        <v>SR809</v>
      </c>
      <c r="AD868" s="6">
        <f>'day1'!M746+'day1'!N746</f>
        <v>4</v>
      </c>
      <c r="AE868" s="111">
        <f>IF(LEFT(B868,8)=(""&amp;$B$2),3,1)</f>
        <v>1</v>
      </c>
    </row>
    <row r="869" spans="1:50" s="6" customFormat="1" x14ac:dyDescent="0.25">
      <c r="A869" s="6" t="str">
        <f t="shared" si="349"/>
        <v/>
      </c>
      <c r="B869" s="6" t="str">
        <f>C755</f>
        <v>2018032710000084</v>
      </c>
      <c r="C869" s="6" t="str">
        <f>C867</f>
        <v>6001</v>
      </c>
      <c r="D869" s="6" t="str">
        <f t="shared" ref="D869" si="372">D867</f>
        <v>B00101</v>
      </c>
      <c r="E869" s="6" t="str">
        <f t="shared" ref="E869" si="373">E867</f>
        <v>6001</v>
      </c>
      <c r="F869" s="6">
        <f t="shared" si="350"/>
        <v>20180327</v>
      </c>
      <c r="G869" s="6" t="str">
        <f t="shared" si="351"/>
        <v>CZCE</v>
      </c>
      <c r="H869" s="6" t="str">
        <f>VLOOKUP(B869,$C$751:$AN$761,10,FALSE)</f>
        <v>SR807C6500</v>
      </c>
      <c r="I869" s="6">
        <f>VLOOKUP(H869,$C$19:$E$29,3,FALSE)</f>
        <v>10</v>
      </c>
      <c r="J869" s="6">
        <v>4</v>
      </c>
      <c r="K869" s="6">
        <f>VLOOKUP(B869,$C$693:$AN$761,13,FALSE)</f>
        <v>1</v>
      </c>
      <c r="L869" s="6">
        <f>VLOOKUP(B869,$C$693:$AN$761,14,FALSE)</f>
        <v>3</v>
      </c>
      <c r="M869" s="6">
        <f t="shared" si="340"/>
        <v>1</v>
      </c>
      <c r="N869" s="6">
        <v>1</v>
      </c>
      <c r="O869" s="6">
        <v>1</v>
      </c>
      <c r="P869" s="6">
        <f t="shared" si="352"/>
        <v>6500</v>
      </c>
      <c r="Q869" s="6">
        <f t="shared" si="341"/>
        <v>4.2000000000000002E-4</v>
      </c>
      <c r="R869" s="6">
        <f t="shared" si="342"/>
        <v>4.2</v>
      </c>
      <c r="S869" s="6">
        <f t="shared" si="343"/>
        <v>4.2000000000000002E-4</v>
      </c>
      <c r="T869" s="6">
        <f t="shared" si="344"/>
        <v>4.2</v>
      </c>
      <c r="U869" s="6">
        <f t="shared" si="353"/>
        <v>0</v>
      </c>
      <c r="V869" s="6">
        <f t="shared" si="354"/>
        <v>0</v>
      </c>
      <c r="W869" s="6">
        <f t="shared" si="355"/>
        <v>0</v>
      </c>
      <c r="X869" s="6" t="str">
        <f t="shared" si="345"/>
        <v>SR807C650034</v>
      </c>
      <c r="Y869" s="652">
        <f t="shared" si="356"/>
        <v>0</v>
      </c>
      <c r="Z869" s="6">
        <f t="shared" si="346"/>
        <v>1</v>
      </c>
      <c r="AA869" s="6">
        <f t="shared" si="347"/>
        <v>0</v>
      </c>
      <c r="AB869" s="6">
        <f>VLOOKUP(H869,$C$19:$L$29,9,FALSE)</f>
        <v>0</v>
      </c>
      <c r="AC869" s="6" t="str">
        <f t="shared" si="357"/>
        <v>SR807</v>
      </c>
      <c r="AD869" s="6">
        <f>'day1'!M756+'day1'!N756</f>
        <v>0</v>
      </c>
      <c r="AE869" s="111">
        <f t="shared" si="358"/>
        <v>3</v>
      </c>
    </row>
    <row r="871" spans="1:50" x14ac:dyDescent="0.25">
      <c r="A871" t="s">
        <v>173</v>
      </c>
      <c r="B871" t="s">
        <v>1385</v>
      </c>
      <c r="AA871">
        <f>MAX(AE876+(P876*T876*V876+Q876)*AH876-Z876*X876,AE876+(P876*T876*V876+Q876)*AG46*Y876)*N876</f>
        <v>6165</v>
      </c>
    </row>
    <row r="872" spans="1:50" x14ac:dyDescent="0.25">
      <c r="A872" s="157" t="s">
        <v>124</v>
      </c>
      <c r="B872" s="157" t="s">
        <v>1853</v>
      </c>
    </row>
    <row r="873" spans="1:50" x14ac:dyDescent="0.25">
      <c r="A873" t="s">
        <v>306</v>
      </c>
      <c r="B873" s="719" t="s">
        <v>1083</v>
      </c>
      <c r="C873" s="720"/>
      <c r="D873" s="720"/>
      <c r="E873" s="720"/>
      <c r="F873" s="720"/>
      <c r="G873" s="720"/>
      <c r="H873" s="720"/>
      <c r="I873" s="720"/>
      <c r="J873" s="720"/>
      <c r="K873" s="720"/>
      <c r="L873" s="720"/>
      <c r="M873" s="720"/>
      <c r="N873" s="720"/>
      <c r="O873" s="720"/>
      <c r="P873" s="720"/>
      <c r="Q873" s="720"/>
      <c r="R873" s="720"/>
      <c r="S873" s="720"/>
      <c r="T873" s="720"/>
      <c r="U873" s="720"/>
      <c r="V873" s="720"/>
      <c r="W873" s="720"/>
      <c r="X873" s="720"/>
      <c r="Y873" s="720"/>
      <c r="Z873" s="720"/>
      <c r="AA873" s="720"/>
      <c r="AB873" s="720"/>
      <c r="AC873" s="720"/>
      <c r="AD873" s="720"/>
      <c r="AE873" s="720"/>
      <c r="AF873" s="720"/>
      <c r="AG873" s="720"/>
      <c r="AH873" s="720"/>
      <c r="AI873" s="720"/>
      <c r="AJ873" s="720"/>
      <c r="AK873" s="720"/>
      <c r="AL873" s="720"/>
      <c r="AM873" s="720"/>
      <c r="AN873" s="720"/>
      <c r="AO873" s="720"/>
      <c r="AP873" s="720"/>
      <c r="AQ873" s="720"/>
      <c r="AR873" s="720"/>
      <c r="AS873" s="720"/>
      <c r="AT873" s="720"/>
      <c r="AU873" s="720"/>
      <c r="AV873" s="720"/>
    </row>
    <row r="874" spans="1:50" x14ac:dyDescent="0.25">
      <c r="A874" t="s">
        <v>359</v>
      </c>
      <c r="B874" s="7" t="s">
        <v>1299</v>
      </c>
      <c r="C874" s="7" t="s">
        <v>513</v>
      </c>
      <c r="D874" s="29" t="s">
        <v>492</v>
      </c>
      <c r="E874" s="100" t="s">
        <v>364</v>
      </c>
      <c r="F874" s="7" t="s">
        <v>286</v>
      </c>
      <c r="G874" s="7" t="s">
        <v>287</v>
      </c>
      <c r="H874" s="7" t="s">
        <v>120</v>
      </c>
      <c r="I874" s="100" t="s">
        <v>52</v>
      </c>
      <c r="J874" s="100" t="s">
        <v>495</v>
      </c>
      <c r="K874" s="7" t="s">
        <v>1300</v>
      </c>
      <c r="L874" s="100" t="s">
        <v>1372</v>
      </c>
      <c r="M874" s="100" t="s">
        <v>496</v>
      </c>
      <c r="N874" s="7" t="s">
        <v>497</v>
      </c>
      <c r="O874" s="7" t="s">
        <v>1302</v>
      </c>
      <c r="P874" s="100" t="s">
        <v>531</v>
      </c>
      <c r="Q874" s="100" t="s">
        <v>532</v>
      </c>
      <c r="R874" s="100" t="s">
        <v>1273</v>
      </c>
      <c r="S874" s="100" t="s">
        <v>1274</v>
      </c>
      <c r="T874" s="100" t="s">
        <v>7</v>
      </c>
      <c r="U874" s="7" t="s">
        <v>1276</v>
      </c>
      <c r="V874" s="7" t="s">
        <v>1316</v>
      </c>
      <c r="W874" s="7" t="s">
        <v>1278</v>
      </c>
      <c r="X874" s="7" t="s">
        <v>1281</v>
      </c>
      <c r="Y874" s="7" t="s">
        <v>1282</v>
      </c>
      <c r="Z874" s="7" t="s">
        <v>1283</v>
      </c>
      <c r="AA874" s="7" t="s">
        <v>1284</v>
      </c>
      <c r="AB874" s="7" t="s">
        <v>1323</v>
      </c>
      <c r="AC874" s="7" t="s">
        <v>1320</v>
      </c>
      <c r="AD874" s="7" t="s">
        <v>1304</v>
      </c>
      <c r="AE874" s="37" t="s">
        <v>1285</v>
      </c>
      <c r="AF874" s="220" t="s">
        <v>1321</v>
      </c>
      <c r="AG874" s="220" t="s">
        <v>1322</v>
      </c>
      <c r="AH874" s="7" t="s">
        <v>1286</v>
      </c>
      <c r="AI874" s="7" t="s">
        <v>1287</v>
      </c>
      <c r="AJ874" s="7" t="s">
        <v>1306</v>
      </c>
      <c r="AK874" s="7" t="s">
        <v>355</v>
      </c>
      <c r="AL874" s="7" t="s">
        <v>1290</v>
      </c>
      <c r="AM874" s="7" t="s">
        <v>1291</v>
      </c>
      <c r="AN874" s="7" t="s">
        <v>1249</v>
      </c>
      <c r="AO874" s="7" t="s">
        <v>365</v>
      </c>
      <c r="AP874" s="7" t="s">
        <v>191</v>
      </c>
      <c r="AQ874" s="7" t="s">
        <v>849</v>
      </c>
      <c r="AR874" s="7" t="s">
        <v>1308</v>
      </c>
      <c r="AS874" s="7" t="s">
        <v>1854</v>
      </c>
      <c r="AT874" s="100" t="s">
        <v>676</v>
      </c>
      <c r="AU874" s="7" t="s">
        <v>1543</v>
      </c>
      <c r="AV874" s="7" t="s">
        <v>1533</v>
      </c>
      <c r="AW874" s="123" t="s">
        <v>1766</v>
      </c>
      <c r="AX874" s="123" t="s">
        <v>1767</v>
      </c>
    </row>
    <row r="875" spans="1:50" ht="36" x14ac:dyDescent="0.25">
      <c r="B875" s="7" t="s">
        <v>1299</v>
      </c>
      <c r="C875" s="23" t="s">
        <v>1298</v>
      </c>
      <c r="D875" s="29" t="s">
        <v>1781</v>
      </c>
      <c r="E875" s="100" t="s">
        <v>1310</v>
      </c>
      <c r="F875" s="7" t="s">
        <v>1071</v>
      </c>
      <c r="G875" s="7" t="s">
        <v>1072</v>
      </c>
      <c r="H875" s="7" t="s">
        <v>710</v>
      </c>
      <c r="I875" s="100" t="s">
        <v>1311</v>
      </c>
      <c r="J875" s="100" t="s">
        <v>1312</v>
      </c>
      <c r="K875" s="7" t="s">
        <v>1300</v>
      </c>
      <c r="L875" s="100" t="s">
        <v>1373</v>
      </c>
      <c r="M875" s="100" t="s">
        <v>1313</v>
      </c>
      <c r="N875" s="7" t="s">
        <v>1301</v>
      </c>
      <c r="O875" s="7" t="s">
        <v>1302</v>
      </c>
      <c r="P875" s="223" t="s">
        <v>1846</v>
      </c>
      <c r="Q875" s="223" t="s">
        <v>1847</v>
      </c>
      <c r="R875" s="100" t="s">
        <v>1273</v>
      </c>
      <c r="S875" s="100" t="s">
        <v>1274</v>
      </c>
      <c r="T875" s="100" t="s">
        <v>1326</v>
      </c>
      <c r="U875" s="7" t="s">
        <v>1276</v>
      </c>
      <c r="V875" s="7" t="s">
        <v>1316</v>
      </c>
      <c r="W875" s="7" t="s">
        <v>1278</v>
      </c>
      <c r="X875" s="7" t="s">
        <v>1281</v>
      </c>
      <c r="Y875" s="7" t="s">
        <v>1282</v>
      </c>
      <c r="Z875" s="7" t="s">
        <v>1283</v>
      </c>
      <c r="AA875" s="7" t="s">
        <v>1284</v>
      </c>
      <c r="AB875" s="7" t="s">
        <v>1324</v>
      </c>
      <c r="AC875" s="7" t="s">
        <v>1325</v>
      </c>
      <c r="AD875" s="7" t="s">
        <v>1304</v>
      </c>
      <c r="AE875" s="37" t="s">
        <v>1361</v>
      </c>
      <c r="AF875" s="220" t="s">
        <v>1318</v>
      </c>
      <c r="AG875" s="220" t="s">
        <v>1319</v>
      </c>
      <c r="AH875" s="7" t="s">
        <v>1286</v>
      </c>
      <c r="AI875" s="7" t="s">
        <v>1287</v>
      </c>
      <c r="AJ875" s="7" t="s">
        <v>1306</v>
      </c>
      <c r="AK875" s="7" t="s">
        <v>355</v>
      </c>
      <c r="AL875" s="7" t="s">
        <v>1290</v>
      </c>
      <c r="AM875" s="7" t="s">
        <v>1291</v>
      </c>
      <c r="AN875" s="7" t="s">
        <v>1249</v>
      </c>
      <c r="AO875" s="7" t="s">
        <v>844</v>
      </c>
      <c r="AP875" s="7" t="s">
        <v>845</v>
      </c>
      <c r="AQ875" s="7" t="s">
        <v>709</v>
      </c>
      <c r="AR875" s="7" t="s">
        <v>1309</v>
      </c>
      <c r="AS875" s="7" t="s">
        <v>1261</v>
      </c>
      <c r="AT875" s="100" t="s">
        <v>1328</v>
      </c>
      <c r="AU875" s="7" t="s">
        <v>1542</v>
      </c>
      <c r="AV875" s="7" t="s">
        <v>1541</v>
      </c>
      <c r="AW875" s="123" t="s">
        <v>1766</v>
      </c>
      <c r="AX875" s="123" t="s">
        <v>1767</v>
      </c>
    </row>
    <row r="876" spans="1:50" s="6" customFormat="1" x14ac:dyDescent="0.25">
      <c r="A876" s="6" t="str">
        <f>IF(N876=0,"comment","")</f>
        <v/>
      </c>
      <c r="B876" s="12" t="str">
        <f>C33</f>
        <v>SR807&amp;SR809</v>
      </c>
      <c r="C876" s="6" t="s">
        <v>512</v>
      </c>
      <c r="D876" s="12">
        <v>1</v>
      </c>
      <c r="E876" s="12" t="str">
        <f>C726</f>
        <v>2018032710000074</v>
      </c>
      <c r="F876" s="12" t="str">
        <f>VLOOKUP(E876,$C$692:$AN$761,3,FALSE)</f>
        <v>6001</v>
      </c>
      <c r="G876" s="12" t="str">
        <f>VLOOKUP(E876,$C$692:$AN$761,4,FALSE)</f>
        <v>B00101</v>
      </c>
      <c r="H876" s="12" t="str">
        <f>VLOOKUP(E876,$C$692:$AN$761,5,FALSE)</f>
        <v>6001</v>
      </c>
      <c r="I876" s="12" t="str">
        <f t="shared" ref="I876:I889" si="374">IF(AU876=0,VLOOKUP(B876,$C$33:$I$51,4,FALSE),VLOOKUP(B876,$C$33:$I$51,6,FALSE))</f>
        <v>SR807</v>
      </c>
      <c r="J876" s="12">
        <v>1</v>
      </c>
      <c r="K876" s="249">
        <v>0</v>
      </c>
      <c r="L876" s="12">
        <v>0</v>
      </c>
      <c r="M876" s="12">
        <f>IF(L876=0,2,3)</f>
        <v>2</v>
      </c>
      <c r="N876" s="12">
        <v>2</v>
      </c>
      <c r="O876" s="12">
        <v>1</v>
      </c>
      <c r="P876" s="12">
        <f>IF(AI876=0, VLOOKUP(AM876,$F$53:$L$72,4,FALSE),VLOOKUP(AM876,$F$53:$L$72,4,FALSE)+VLOOKUP(AM876,$F$53:$L$72,6,FALSE) )</f>
        <v>0.05</v>
      </c>
      <c r="Q876" s="12">
        <f>IF(AI876=0, VLOOKUP(AM876,$F$53:$L$72,5,FALSE),VLOOKUP(AM876,$F$53:$L$72,5,FALSE)+VLOOKUP(AM876,$F$53:$L$72,7,FALSE) )</f>
        <v>5</v>
      </c>
      <c r="R876" s="12">
        <f>VLOOKUP(AM876,$F$53:$L$72,2,FALSE)</f>
        <v>0.04</v>
      </c>
      <c r="S876" s="12">
        <f>VLOOKUP(AM876,$F$53:$L$72,3,FALSE)</f>
        <v>4</v>
      </c>
      <c r="T876" s="12">
        <f t="shared" ref="T876:T889" si="375" xml:space="preserve"> VLOOKUP(I876,$C$19:$L$31,3,FALSE)</f>
        <v>10</v>
      </c>
      <c r="U876" s="12">
        <f t="shared" ref="U876:U885" si="376" xml:space="preserve"> VLOOKUP(I876,$C$230:$F$242,4,FALSE)</f>
        <v>0</v>
      </c>
      <c r="V876" s="12">
        <f t="shared" ref="V876:V885" si="377" xml:space="preserve"> VLOOKUP(I876,$C$230:$F$242,3,FALSE)</f>
        <v>6155</v>
      </c>
      <c r="W876" s="12">
        <f t="shared" ref="W876:W885" si="378" xml:space="preserve"> VLOOKUP(I876,$C$230:$G$242,5,FALSE)</f>
        <v>0</v>
      </c>
      <c r="X876" s="12">
        <f>$F$190</f>
        <v>0.5</v>
      </c>
      <c r="Y876" s="12">
        <f>$F$190</f>
        <v>0.5</v>
      </c>
      <c r="Z876" s="12">
        <f>IF(AA876=0,MAX((U876-W876)*T876,0),MAX((W876-U876)*T876,0))</f>
        <v>0</v>
      </c>
      <c r="AA876" s="12">
        <f t="shared" ref="AA876:AA889" si="379" xml:space="preserve"> VLOOKUP(I876,$C$19:$L$31,6,FALSE)</f>
        <v>9</v>
      </c>
      <c r="AB876" s="12">
        <f>IF(AI876=0,P876*T876*V876*N876+Q876*N876,IF(L876=0,0,MAX(AE876+(P876*T876*W876+Q876)*AH876-Z876*X876,AE876+(P876*T876*W876+Q876)*Y876*AW876)*N876))</f>
        <v>6165</v>
      </c>
      <c r="AC876" s="12">
        <f>IF(AI876=0,R876*T876*V876*N876+S876*N876,IF(L876=0,0,MAX(AE876+(R876*T876*W876+S876)*AH876-Z876*X876,AE876+(R876*T876*W876+S876)*AW876*Y876)*N876))</f>
        <v>4932</v>
      </c>
      <c r="AD876" s="12" t="b">
        <f t="shared" ref="AD876:AD915" si="380">IF(AA876=9,FALSE,N876*T876*V876)</f>
        <v>0</v>
      </c>
      <c r="AE876" s="12">
        <f>IF(AI876=1,1*T876*V876,0)</f>
        <v>0</v>
      </c>
      <c r="AF876" s="12">
        <f>IF(AC876&gt;=AC877,AB876,0)</f>
        <v>0</v>
      </c>
      <c r="AG876" s="12">
        <f>IF(AC876&gt;=AC877,AC876,0)</f>
        <v>0</v>
      </c>
      <c r="AH876" s="12">
        <v>1</v>
      </c>
      <c r="AI876" s="12">
        <f t="shared" ref="AI876:AI889" si="381" xml:space="preserve"> VLOOKUP(I876,$C$19:$L$31,10,FALSE)</f>
        <v>0</v>
      </c>
      <c r="AJ876" s="12" t="e">
        <f t="shared" ref="AJ876:AJ915" si="382">VLOOKUP(AK876,$B$91:$D$93,3,FALSE)</f>
        <v>#N/A</v>
      </c>
      <c r="AK876" s="12">
        <f t="shared" ref="AK876:AK885" si="383" xml:space="preserve"> VLOOKUP(I876,$C$19:$L$31,9,FALSE)</f>
        <v>0</v>
      </c>
      <c r="AL876" s="3" t="str">
        <f t="shared" ref="AL876:AL889" si="384" xml:space="preserve"> VLOOKUP(I876,$C$19:$L$31,7,FALSE)</f>
        <v>SR807</v>
      </c>
      <c r="AM876" s="3" t="str">
        <f>IF(AI876=0,AL876&amp;J876&amp;L876,IF(AA876=0,AL876&amp;J876&amp;1,AL876&amp;J876&amp;0))</f>
        <v>SR80710</v>
      </c>
      <c r="AN876" s="6">
        <f t="shared" ref="AN876:AN889" si="385">VLOOKUP(E876,$B$922:$AC$998,24,FALSE)</f>
        <v>6500</v>
      </c>
      <c r="AO876" s="6">
        <f>$B$2</f>
        <v>20180327</v>
      </c>
      <c r="AP876" s="6" t="str">
        <f>$F$5</f>
        <v>9999</v>
      </c>
      <c r="AQ876" s="6" t="str">
        <f>$D$9</f>
        <v>CNY</v>
      </c>
      <c r="AR876" s="6" t="str">
        <f t="shared" ref="AR876:AR915" si="386">VLOOKUP(G876,$C$5:$G$6,5,FALSE)</f>
        <v>50010001</v>
      </c>
      <c r="AS876" s="6">
        <f>$B$2</f>
        <v>20180327</v>
      </c>
      <c r="AT876" s="6">
        <f t="shared" ref="AT876:AT915" si="387">VLOOKUP(E876,$B$922:$AC$998,6,FALSE)</f>
        <v>20180327</v>
      </c>
      <c r="AU876" s="6">
        <v>0</v>
      </c>
      <c r="AV876" s="6">
        <f t="shared" ref="AV876:AV915" si="388">VLOOKUP(E876,$B$922:$AV$998,24,FALSE)</f>
        <v>6500</v>
      </c>
      <c r="AW876" s="6">
        <f t="shared" ref="AW876:AW915" si="389">VLOOKUP(I876,$C$19:$M$31,11,FALSE)</f>
        <v>1</v>
      </c>
      <c r="AX876" s="6" t="str">
        <f t="shared" ref="AX876:AX915" si="390">VLOOKUP(I876,$C$19:$M$31,7,FALSE)</f>
        <v>SR807</v>
      </c>
    </row>
    <row r="877" spans="1:50" s="6" customFormat="1" x14ac:dyDescent="0.25">
      <c r="A877" s="6" t="str">
        <f t="shared" ref="A877:A915" si="391">IF(N877=0,"comment","")</f>
        <v/>
      </c>
      <c r="B877" s="12" t="str">
        <f>B876</f>
        <v>SR807&amp;SR809</v>
      </c>
      <c r="C877" s="6" t="s">
        <v>512</v>
      </c>
      <c r="D877" s="12">
        <v>1</v>
      </c>
      <c r="E877" s="12" t="str">
        <f>B929</f>
        <v>2018032610000024</v>
      </c>
      <c r="F877" s="12" t="str">
        <f>F876</f>
        <v>6001</v>
      </c>
      <c r="G877" s="12" t="str">
        <f t="shared" ref="G877:H877" si="392">G876</f>
        <v>B00101</v>
      </c>
      <c r="H877" s="12" t="str">
        <f t="shared" si="392"/>
        <v>6001</v>
      </c>
      <c r="I877" s="12" t="str">
        <f t="shared" si="374"/>
        <v>SR809</v>
      </c>
      <c r="J877" s="12">
        <v>1</v>
      </c>
      <c r="K877" s="249">
        <v>0</v>
      </c>
      <c r="L877" s="12">
        <v>1</v>
      </c>
      <c r="M877" s="12">
        <f t="shared" ref="M877:M915" si="393">IF(L877=0,2,3)</f>
        <v>3</v>
      </c>
      <c r="N877" s="12">
        <f>N876</f>
        <v>2</v>
      </c>
      <c r="O877" s="12">
        <v>1</v>
      </c>
      <c r="P877" s="12">
        <f t="shared" ref="P877:P915" si="394">IF(AI877=0, VLOOKUP(AM877,$F$53:$L$72,4,FALSE),VLOOKUP(AM877,$F$53:$L$72,4,FALSE)+VLOOKUP(AM877,$F$53:$L$72,6,FALSE) )</f>
        <v>5.0999999999999997E-2</v>
      </c>
      <c r="Q877" s="12">
        <f t="shared" ref="Q877:Q915" si="395">IF(AI877=0, VLOOKUP(AM877,$F$53:$L$72,5,FALSE),VLOOKUP(AM877,$F$53:$L$72,5,FALSE)+VLOOKUP(AM877,$F$53:$L$72,7,FALSE) )</f>
        <v>5.0999999999999996</v>
      </c>
      <c r="R877" s="12">
        <f t="shared" ref="R877:R915" si="396">VLOOKUP(AM877,$F$53:$L$72,2,FALSE)</f>
        <v>4.1000000000000002E-2</v>
      </c>
      <c r="S877" s="12">
        <f t="shared" ref="S877:S915" si="397">VLOOKUP(AM877,$F$53:$L$72,3,FALSE)</f>
        <v>4.0999999999999996</v>
      </c>
      <c r="T877" s="12">
        <f t="shared" si="375"/>
        <v>10</v>
      </c>
      <c r="U877" s="12">
        <f t="shared" si="376"/>
        <v>0</v>
      </c>
      <c r="V877" s="12">
        <f t="shared" si="377"/>
        <v>6156</v>
      </c>
      <c r="W877" s="12">
        <f t="shared" si="378"/>
        <v>0</v>
      </c>
      <c r="X877" s="12">
        <f t="shared" ref="X877:Y915" si="398">$F$190</f>
        <v>0.5</v>
      </c>
      <c r="Y877" s="12">
        <f t="shared" si="398"/>
        <v>0.5</v>
      </c>
      <c r="Z877" s="12">
        <f t="shared" ref="Z877:Z915" si="399">IF(AA877=0,MAX((U877-W877)*T877,0),MAX((W877-U877)*T877,0))</f>
        <v>0</v>
      </c>
      <c r="AA877" s="12">
        <f t="shared" si="379"/>
        <v>9</v>
      </c>
      <c r="AB877" s="12">
        <f>IF(AI877=0,P877*T877*V877*N877+Q877*N877,IF(L877=0,0,MAX(AE877+(P877*T877*W877+Q877)*AH877-Z877*X877,AE877+(P877*T877*W877+Q877)*Y877*AW877)*N877))</f>
        <v>6289.32</v>
      </c>
      <c r="AC877" s="12">
        <f>IF(AI877=0,R877*T877*V877*N877+S877*N877,IF(L877=0,0,MAX(AE877+(R877*T877*W877+S877)*AH877-Z877*X877,AE877+(R877*T877*W877+S877)*AW877*Y877)*N877))</f>
        <v>5056.12</v>
      </c>
      <c r="AD877" s="12" t="b">
        <f t="shared" si="380"/>
        <v>0</v>
      </c>
      <c r="AE877" s="12">
        <f t="shared" ref="AE877:AE915" si="400">IF(AI877=1,1*T877*V877,0)</f>
        <v>0</v>
      </c>
      <c r="AF877" s="223">
        <f>IF(AC877&gt;AC876,AB877,0)</f>
        <v>6289.32</v>
      </c>
      <c r="AG877" s="223">
        <f>IF(AC877&gt;AC876,AC877,0)</f>
        <v>5056.12</v>
      </c>
      <c r="AH877" s="12">
        <v>1</v>
      </c>
      <c r="AI877" s="12">
        <f t="shared" si="381"/>
        <v>0</v>
      </c>
      <c r="AJ877" s="12" t="e">
        <f t="shared" si="382"/>
        <v>#N/A</v>
      </c>
      <c r="AK877" s="12">
        <f t="shared" si="383"/>
        <v>0</v>
      </c>
      <c r="AL877" s="3" t="str">
        <f t="shared" si="384"/>
        <v>SR809</v>
      </c>
      <c r="AM877" s="3" t="str">
        <f t="shared" ref="AM877:AM915" si="401">IF(AI877=0,AL877&amp;J877&amp;L877,IF(AA877=0,AL877&amp;J877&amp;1,AL877&amp;J877&amp;0))</f>
        <v>SR80911</v>
      </c>
      <c r="AN877" s="6">
        <f t="shared" si="385"/>
        <v>6114</v>
      </c>
      <c r="AO877" s="6">
        <f t="shared" ref="AO877:AO915" si="402">$B$2</f>
        <v>20180327</v>
      </c>
      <c r="AP877" s="6" t="str">
        <f t="shared" ref="AP877:AP915" si="403">$F$5</f>
        <v>9999</v>
      </c>
      <c r="AQ877" s="6" t="str">
        <f t="shared" ref="AQ877:AQ915" si="404">$D$9</f>
        <v>CNY</v>
      </c>
      <c r="AR877" s="6" t="str">
        <f t="shared" si="386"/>
        <v>50010001</v>
      </c>
      <c r="AS877" s="6">
        <f t="shared" ref="AS877:AS915" si="405">$B$2</f>
        <v>20180327</v>
      </c>
      <c r="AT877" s="6">
        <f t="shared" si="387"/>
        <v>20180326</v>
      </c>
      <c r="AU877" s="6">
        <v>1</v>
      </c>
      <c r="AV877" s="6">
        <f t="shared" si="388"/>
        <v>6114</v>
      </c>
      <c r="AW877" s="6">
        <f t="shared" si="389"/>
        <v>1</v>
      </c>
      <c r="AX877" s="6" t="str">
        <f t="shared" si="390"/>
        <v>SR809</v>
      </c>
    </row>
    <row r="878" spans="1:50" s="6" customFormat="1" x14ac:dyDescent="0.25">
      <c r="A878" s="6" t="str">
        <f t="shared" si="391"/>
        <v/>
      </c>
      <c r="B878" s="12" t="str">
        <f>C35</f>
        <v>SR807&amp;OI811</v>
      </c>
      <c r="C878" s="6" t="s">
        <v>512</v>
      </c>
      <c r="D878" s="12">
        <v>2</v>
      </c>
      <c r="E878" s="12" t="str">
        <f>C726</f>
        <v>2018032710000074</v>
      </c>
      <c r="F878" s="12" t="str">
        <f>F877</f>
        <v>6001</v>
      </c>
      <c r="G878" s="12" t="str">
        <f>G877</f>
        <v>B00101</v>
      </c>
      <c r="H878" s="12" t="str">
        <f>H877</f>
        <v>6001</v>
      </c>
      <c r="I878" s="12" t="str">
        <f t="shared" si="374"/>
        <v>SR807</v>
      </c>
      <c r="J878" s="12">
        <v>1</v>
      </c>
      <c r="K878" s="249">
        <v>0</v>
      </c>
      <c r="L878" s="12">
        <v>0</v>
      </c>
      <c r="M878" s="12">
        <f t="shared" si="393"/>
        <v>2</v>
      </c>
      <c r="N878" s="12">
        <v>2</v>
      </c>
      <c r="O878" s="12">
        <v>1</v>
      </c>
      <c r="P878" s="12">
        <f t="shared" si="394"/>
        <v>0.05</v>
      </c>
      <c r="Q878" s="12">
        <f t="shared" si="395"/>
        <v>5</v>
      </c>
      <c r="R878" s="12">
        <f t="shared" si="396"/>
        <v>0.04</v>
      </c>
      <c r="S878" s="12">
        <f t="shared" si="397"/>
        <v>4</v>
      </c>
      <c r="T878" s="12">
        <f t="shared" si="375"/>
        <v>10</v>
      </c>
      <c r="U878" s="12">
        <f t="shared" si="376"/>
        <v>0</v>
      </c>
      <c r="V878" s="12">
        <f t="shared" si="377"/>
        <v>6155</v>
      </c>
      <c r="W878" s="12">
        <f t="shared" si="378"/>
        <v>0</v>
      </c>
      <c r="X878" s="12">
        <f t="shared" si="398"/>
        <v>0.5</v>
      </c>
      <c r="Y878" s="12">
        <f t="shared" si="398"/>
        <v>0.5</v>
      </c>
      <c r="Z878" s="12">
        <f t="shared" si="399"/>
        <v>0</v>
      </c>
      <c r="AA878" s="12">
        <f t="shared" si="379"/>
        <v>9</v>
      </c>
      <c r="AB878" s="12">
        <f t="shared" ref="AB878:AB915" si="406">IF(AI878=0,P878*T878*V878*N878+Q878*N878,IF(L878=0,0,MAX(AE878+(P878*T878*W878+Q878)*AH878-Z878*X878,AE878+(P878*T878*W878+Q878)*Y878*AW878)*N878))</f>
        <v>6165</v>
      </c>
      <c r="AC878" s="12">
        <f t="shared" ref="AC878:AC915" si="407">IF(AI878=0,R878*T878*V878*N878+S878*N878,IF(L878=0,0,MAX(AE878+(R878*T878*W878+S878)*AH878-Z878*X878,AE878+(R878*T878*W878+S878)*AW878*Y878)*N878))</f>
        <v>4932</v>
      </c>
      <c r="AD878" s="12" t="b">
        <f t="shared" si="380"/>
        <v>0</v>
      </c>
      <c r="AE878" s="12">
        <f t="shared" si="400"/>
        <v>0</v>
      </c>
      <c r="AF878" s="12">
        <f>IF(AC878&gt;=AC879,AB878,0)</f>
        <v>0</v>
      </c>
      <c r="AG878" s="12">
        <f>IF(AC878&gt;=AC879,AC878,0)</f>
        <v>0</v>
      </c>
      <c r="AH878" s="12">
        <v>1</v>
      </c>
      <c r="AI878" s="12">
        <f t="shared" si="381"/>
        <v>0</v>
      </c>
      <c r="AJ878" s="12" t="e">
        <f t="shared" si="382"/>
        <v>#N/A</v>
      </c>
      <c r="AK878" s="12">
        <f t="shared" si="383"/>
        <v>0</v>
      </c>
      <c r="AL878" s="3" t="str">
        <f t="shared" si="384"/>
        <v>SR807</v>
      </c>
      <c r="AM878" s="3" t="str">
        <f t="shared" si="401"/>
        <v>SR80710</v>
      </c>
      <c r="AN878" s="6">
        <f t="shared" si="385"/>
        <v>6500</v>
      </c>
      <c r="AO878" s="6">
        <f t="shared" si="402"/>
        <v>20180327</v>
      </c>
      <c r="AP878" s="6" t="str">
        <f t="shared" si="403"/>
        <v>9999</v>
      </c>
      <c r="AQ878" s="6" t="str">
        <f t="shared" si="404"/>
        <v>CNY</v>
      </c>
      <c r="AR878" s="6" t="str">
        <f t="shared" si="386"/>
        <v>50010001</v>
      </c>
      <c r="AS878" s="6">
        <f t="shared" si="405"/>
        <v>20180327</v>
      </c>
      <c r="AT878" s="6">
        <f t="shared" si="387"/>
        <v>20180327</v>
      </c>
      <c r="AU878" s="6">
        <v>0</v>
      </c>
      <c r="AV878" s="6">
        <f t="shared" si="388"/>
        <v>6500</v>
      </c>
      <c r="AW878" s="6">
        <f t="shared" si="389"/>
        <v>1</v>
      </c>
      <c r="AX878" s="6" t="str">
        <f t="shared" si="390"/>
        <v>SR807</v>
      </c>
    </row>
    <row r="879" spans="1:50" s="6" customFormat="1" x14ac:dyDescent="0.25">
      <c r="A879" s="6" t="str">
        <f t="shared" si="391"/>
        <v/>
      </c>
      <c r="B879" s="12" t="str">
        <f>B878</f>
        <v>SR807&amp;OI811</v>
      </c>
      <c r="C879" s="6" t="s">
        <v>512</v>
      </c>
      <c r="D879" s="12">
        <v>2</v>
      </c>
      <c r="E879" s="12" t="str">
        <f>B931</f>
        <v>2018032610000026</v>
      </c>
      <c r="F879" s="12" t="str">
        <f t="shared" ref="F879:F884" si="408">F878</f>
        <v>6001</v>
      </c>
      <c r="G879" s="12" t="str">
        <f t="shared" ref="G879:G885" si="409">G878</f>
        <v>B00101</v>
      </c>
      <c r="H879" s="12" t="str">
        <f t="shared" ref="H879:H889" si="410">H878</f>
        <v>6001</v>
      </c>
      <c r="I879" s="12" t="str">
        <f t="shared" si="374"/>
        <v>OI811</v>
      </c>
      <c r="J879" s="12">
        <v>1</v>
      </c>
      <c r="K879" s="249">
        <v>0</v>
      </c>
      <c r="L879" s="12">
        <v>1</v>
      </c>
      <c r="M879" s="12">
        <f t="shared" si="393"/>
        <v>3</v>
      </c>
      <c r="N879" s="12">
        <f>N878</f>
        <v>2</v>
      </c>
      <c r="O879" s="12">
        <v>1</v>
      </c>
      <c r="P879" s="12">
        <f t="shared" si="394"/>
        <v>5.0999999999999997E-2</v>
      </c>
      <c r="Q879" s="12">
        <f t="shared" si="395"/>
        <v>5.0999999999999996</v>
      </c>
      <c r="R879" s="12">
        <f t="shared" si="396"/>
        <v>4.1000000000000002E-2</v>
      </c>
      <c r="S879" s="12">
        <f t="shared" si="397"/>
        <v>4.0999999999999996</v>
      </c>
      <c r="T879" s="12">
        <f t="shared" si="375"/>
        <v>10</v>
      </c>
      <c r="U879" s="12">
        <f t="shared" si="376"/>
        <v>0</v>
      </c>
      <c r="V879" s="12">
        <f t="shared" si="377"/>
        <v>6165</v>
      </c>
      <c r="W879" s="12">
        <f t="shared" si="378"/>
        <v>0</v>
      </c>
      <c r="X879" s="12">
        <f t="shared" si="398"/>
        <v>0.5</v>
      </c>
      <c r="Y879" s="12">
        <f t="shared" si="398"/>
        <v>0.5</v>
      </c>
      <c r="Z879" s="12">
        <f t="shared" si="399"/>
        <v>0</v>
      </c>
      <c r="AA879" s="12">
        <f t="shared" si="379"/>
        <v>9</v>
      </c>
      <c r="AB879" s="12">
        <f t="shared" si="406"/>
        <v>6298.5</v>
      </c>
      <c r="AC879" s="12">
        <f t="shared" si="407"/>
        <v>5063.5</v>
      </c>
      <c r="AD879" s="12" t="b">
        <f t="shared" si="380"/>
        <v>0</v>
      </c>
      <c r="AE879" s="12">
        <f t="shared" si="400"/>
        <v>0</v>
      </c>
      <c r="AF879" s="223">
        <f>IF(AC879&gt;AC878,AB879,0)</f>
        <v>6298.5</v>
      </c>
      <c r="AG879" s="223">
        <f>IF(AC879&gt;AC878,AC879,0)</f>
        <v>5063.5</v>
      </c>
      <c r="AH879" s="12">
        <v>1</v>
      </c>
      <c r="AI879" s="12">
        <f t="shared" si="381"/>
        <v>0</v>
      </c>
      <c r="AJ879" s="12" t="e">
        <f t="shared" si="382"/>
        <v>#N/A</v>
      </c>
      <c r="AK879" s="12">
        <f t="shared" si="383"/>
        <v>0</v>
      </c>
      <c r="AL879" s="3" t="str">
        <f t="shared" si="384"/>
        <v>OI811</v>
      </c>
      <c r="AM879" s="3" t="str">
        <f t="shared" si="401"/>
        <v>OI81111</v>
      </c>
      <c r="AN879" s="6">
        <f t="shared" si="385"/>
        <v>6116</v>
      </c>
      <c r="AO879" s="6">
        <f t="shared" si="402"/>
        <v>20180327</v>
      </c>
      <c r="AP879" s="6" t="str">
        <f t="shared" si="403"/>
        <v>9999</v>
      </c>
      <c r="AQ879" s="6" t="str">
        <f t="shared" si="404"/>
        <v>CNY</v>
      </c>
      <c r="AR879" s="6" t="str">
        <f t="shared" si="386"/>
        <v>50010001</v>
      </c>
      <c r="AS879" s="6">
        <f t="shared" si="405"/>
        <v>20180327</v>
      </c>
      <c r="AT879" s="6">
        <f t="shared" si="387"/>
        <v>20180326</v>
      </c>
      <c r="AU879" s="6">
        <v>1</v>
      </c>
      <c r="AV879" s="6">
        <f t="shared" si="388"/>
        <v>6116</v>
      </c>
      <c r="AW879" s="6">
        <f t="shared" si="389"/>
        <v>1</v>
      </c>
      <c r="AX879" s="6" t="str">
        <f t="shared" si="390"/>
        <v>OI811</v>
      </c>
    </row>
    <row r="880" spans="1:50" s="13" customFormat="1" x14ac:dyDescent="0.25">
      <c r="A880" s="6" t="str">
        <f t="shared" si="391"/>
        <v>comment</v>
      </c>
      <c r="B880" s="100" t="str">
        <f>B876</f>
        <v>SR807&amp;SR809</v>
      </c>
      <c r="C880" s="13" t="s">
        <v>512</v>
      </c>
      <c r="D880" s="100">
        <v>3</v>
      </c>
      <c r="E880" s="100" t="str">
        <f>B924</f>
        <v>2018032610000012</v>
      </c>
      <c r="F880" s="100" t="str">
        <f t="shared" si="408"/>
        <v>6001</v>
      </c>
      <c r="G880" s="100" t="str">
        <f t="shared" si="409"/>
        <v>B00101</v>
      </c>
      <c r="H880" s="100" t="str">
        <f t="shared" si="410"/>
        <v>6001</v>
      </c>
      <c r="I880" s="100" t="str">
        <f t="shared" si="374"/>
        <v>SR807</v>
      </c>
      <c r="J880" s="100">
        <v>1</v>
      </c>
      <c r="K880" s="497">
        <v>1</v>
      </c>
      <c r="L880" s="100">
        <v>1</v>
      </c>
      <c r="M880" s="100">
        <f t="shared" si="393"/>
        <v>3</v>
      </c>
      <c r="N880" s="100">
        <v>0</v>
      </c>
      <c r="O880" s="100">
        <v>1</v>
      </c>
      <c r="P880" s="100">
        <f t="shared" si="394"/>
        <v>5.0999999999999997E-2</v>
      </c>
      <c r="Q880" s="100">
        <f t="shared" si="395"/>
        <v>5.0999999999999996</v>
      </c>
      <c r="R880" s="100">
        <f t="shared" si="396"/>
        <v>4.1000000000000002E-2</v>
      </c>
      <c r="S880" s="100">
        <f t="shared" si="397"/>
        <v>4.0999999999999996</v>
      </c>
      <c r="T880" s="100">
        <f t="shared" si="375"/>
        <v>10</v>
      </c>
      <c r="U880" s="100">
        <f t="shared" si="376"/>
        <v>0</v>
      </c>
      <c r="V880" s="100">
        <f t="shared" si="377"/>
        <v>6155</v>
      </c>
      <c r="W880" s="100">
        <f t="shared" si="378"/>
        <v>0</v>
      </c>
      <c r="X880" s="100">
        <f t="shared" si="398"/>
        <v>0.5</v>
      </c>
      <c r="Y880" s="100">
        <f t="shared" si="398"/>
        <v>0.5</v>
      </c>
      <c r="Z880" s="100">
        <f t="shared" si="399"/>
        <v>0</v>
      </c>
      <c r="AA880" s="100">
        <f t="shared" si="379"/>
        <v>9</v>
      </c>
      <c r="AB880" s="100">
        <f t="shared" si="406"/>
        <v>0</v>
      </c>
      <c r="AC880" s="100">
        <f t="shared" si="407"/>
        <v>0</v>
      </c>
      <c r="AD880" s="100" t="b">
        <f t="shared" si="380"/>
        <v>0</v>
      </c>
      <c r="AE880" s="100">
        <f t="shared" si="400"/>
        <v>0</v>
      </c>
      <c r="AF880" s="100">
        <f>IF(AC880&gt;=AC881,AB880,0)</f>
        <v>0</v>
      </c>
      <c r="AG880" s="100">
        <f>IF(AC880&gt;=AC881,AC880,0)</f>
        <v>0</v>
      </c>
      <c r="AH880" s="100">
        <v>1</v>
      </c>
      <c r="AI880" s="100">
        <f t="shared" si="381"/>
        <v>0</v>
      </c>
      <c r="AJ880" s="100" t="e">
        <f t="shared" si="382"/>
        <v>#N/A</v>
      </c>
      <c r="AK880" s="100">
        <f t="shared" si="383"/>
        <v>0</v>
      </c>
      <c r="AL880" s="221" t="str">
        <f t="shared" si="384"/>
        <v>SR807</v>
      </c>
      <c r="AM880" s="221" t="str">
        <f t="shared" si="401"/>
        <v>SR80711</v>
      </c>
      <c r="AN880" s="13">
        <f t="shared" si="385"/>
        <v>6102</v>
      </c>
      <c r="AO880" s="13">
        <f t="shared" si="402"/>
        <v>20180327</v>
      </c>
      <c r="AP880" s="13" t="str">
        <f t="shared" si="403"/>
        <v>9999</v>
      </c>
      <c r="AQ880" s="13" t="str">
        <f t="shared" si="404"/>
        <v>CNY</v>
      </c>
      <c r="AR880" s="13" t="str">
        <f t="shared" si="386"/>
        <v>50010001</v>
      </c>
      <c r="AS880" s="13">
        <f t="shared" si="405"/>
        <v>20180327</v>
      </c>
      <c r="AT880" s="13">
        <f t="shared" si="387"/>
        <v>20180326</v>
      </c>
      <c r="AU880" s="13">
        <v>0</v>
      </c>
      <c r="AV880" s="13">
        <f t="shared" si="388"/>
        <v>6102</v>
      </c>
      <c r="AW880" s="13">
        <f t="shared" si="389"/>
        <v>1</v>
      </c>
      <c r="AX880" s="13" t="str">
        <f t="shared" si="390"/>
        <v>SR807</v>
      </c>
    </row>
    <row r="881" spans="1:50" s="13" customFormat="1" x14ac:dyDescent="0.25">
      <c r="A881" s="6" t="str">
        <f t="shared" si="391"/>
        <v>comment</v>
      </c>
      <c r="B881" s="100" t="str">
        <f>B880</f>
        <v>SR807&amp;SR809</v>
      </c>
      <c r="C881" s="13" t="s">
        <v>512</v>
      </c>
      <c r="D881" s="100">
        <v>3</v>
      </c>
      <c r="E881" s="100" t="str">
        <f>B930</f>
        <v>2018032610000025</v>
      </c>
      <c r="F881" s="100" t="str">
        <f t="shared" si="408"/>
        <v>6001</v>
      </c>
      <c r="G881" s="100" t="str">
        <f t="shared" si="409"/>
        <v>B00101</v>
      </c>
      <c r="H881" s="100" t="str">
        <f t="shared" si="410"/>
        <v>6001</v>
      </c>
      <c r="I881" s="100" t="str">
        <f t="shared" si="374"/>
        <v>SR809</v>
      </c>
      <c r="J881" s="100">
        <v>1</v>
      </c>
      <c r="K881" s="497">
        <v>1</v>
      </c>
      <c r="L881" s="100">
        <v>0</v>
      </c>
      <c r="M881" s="100">
        <f t="shared" si="393"/>
        <v>2</v>
      </c>
      <c r="N881" s="100">
        <f>N880</f>
        <v>0</v>
      </c>
      <c r="O881" s="100">
        <v>1</v>
      </c>
      <c r="P881" s="100">
        <f t="shared" si="394"/>
        <v>0.05</v>
      </c>
      <c r="Q881" s="100">
        <f t="shared" si="395"/>
        <v>5</v>
      </c>
      <c r="R881" s="100">
        <f t="shared" si="396"/>
        <v>0.04</v>
      </c>
      <c r="S881" s="100">
        <f t="shared" si="397"/>
        <v>4</v>
      </c>
      <c r="T881" s="100">
        <f t="shared" si="375"/>
        <v>10</v>
      </c>
      <c r="U881" s="100">
        <f t="shared" si="376"/>
        <v>0</v>
      </c>
      <c r="V881" s="100">
        <f t="shared" si="377"/>
        <v>6156</v>
      </c>
      <c r="W881" s="100">
        <f t="shared" si="378"/>
        <v>0</v>
      </c>
      <c r="X881" s="100">
        <f t="shared" si="398"/>
        <v>0.5</v>
      </c>
      <c r="Y881" s="100">
        <f t="shared" si="398"/>
        <v>0.5</v>
      </c>
      <c r="Z881" s="100">
        <f t="shared" si="399"/>
        <v>0</v>
      </c>
      <c r="AA881" s="100">
        <f t="shared" si="379"/>
        <v>9</v>
      </c>
      <c r="AB881" s="100">
        <f t="shared" si="406"/>
        <v>0</v>
      </c>
      <c r="AC881" s="100">
        <f t="shared" si="407"/>
        <v>0</v>
      </c>
      <c r="AD881" s="100" t="b">
        <f t="shared" si="380"/>
        <v>0</v>
      </c>
      <c r="AE881" s="100">
        <f t="shared" si="400"/>
        <v>0</v>
      </c>
      <c r="AF881" s="100">
        <f>IF(AC881&gt;AC880,AB881,0)</f>
        <v>0</v>
      </c>
      <c r="AG881" s="100">
        <f>IF(AC881&gt;AC880,AC881,0)</f>
        <v>0</v>
      </c>
      <c r="AH881" s="100">
        <v>1</v>
      </c>
      <c r="AI881" s="100">
        <f t="shared" si="381"/>
        <v>0</v>
      </c>
      <c r="AJ881" s="100" t="e">
        <f t="shared" si="382"/>
        <v>#N/A</v>
      </c>
      <c r="AK881" s="100">
        <f t="shared" si="383"/>
        <v>0</v>
      </c>
      <c r="AL881" s="221" t="str">
        <f t="shared" si="384"/>
        <v>SR809</v>
      </c>
      <c r="AM881" s="221" t="str">
        <f t="shared" si="401"/>
        <v>SR80910</v>
      </c>
      <c r="AN881" s="13">
        <f t="shared" si="385"/>
        <v>6115</v>
      </c>
      <c r="AO881" s="13">
        <f t="shared" si="402"/>
        <v>20180327</v>
      </c>
      <c r="AP881" s="13" t="str">
        <f t="shared" si="403"/>
        <v>9999</v>
      </c>
      <c r="AQ881" s="13" t="str">
        <f t="shared" si="404"/>
        <v>CNY</v>
      </c>
      <c r="AR881" s="13" t="str">
        <f t="shared" si="386"/>
        <v>50010001</v>
      </c>
      <c r="AS881" s="13">
        <f t="shared" si="405"/>
        <v>20180327</v>
      </c>
      <c r="AT881" s="13">
        <f t="shared" si="387"/>
        <v>20180326</v>
      </c>
      <c r="AU881" s="13">
        <v>1</v>
      </c>
      <c r="AV881" s="13">
        <f t="shared" si="388"/>
        <v>6115</v>
      </c>
      <c r="AW881" s="13">
        <f t="shared" si="389"/>
        <v>1</v>
      </c>
      <c r="AX881" s="13" t="str">
        <f t="shared" si="390"/>
        <v>SR809</v>
      </c>
    </row>
    <row r="882" spans="1:50" s="13" customFormat="1" x14ac:dyDescent="0.25">
      <c r="A882" s="6" t="str">
        <f t="shared" si="391"/>
        <v>comment</v>
      </c>
      <c r="B882" s="100" t="str">
        <f>B880</f>
        <v>SR807&amp;SR809</v>
      </c>
      <c r="C882" s="13" t="s">
        <v>512</v>
      </c>
      <c r="D882" s="100">
        <v>4</v>
      </c>
      <c r="E882" s="100" t="str">
        <f>B925</f>
        <v>2018032610000013</v>
      </c>
      <c r="F882" s="100" t="str">
        <f t="shared" si="408"/>
        <v>6001</v>
      </c>
      <c r="G882" s="100" t="str">
        <f t="shared" si="409"/>
        <v>B00101</v>
      </c>
      <c r="H882" s="100" t="str">
        <f t="shared" si="410"/>
        <v>6001</v>
      </c>
      <c r="I882" s="100" t="str">
        <f t="shared" si="374"/>
        <v>SR807</v>
      </c>
      <c r="J882" s="100">
        <v>1</v>
      </c>
      <c r="K882" s="497">
        <v>1</v>
      </c>
      <c r="L882" s="100">
        <v>1</v>
      </c>
      <c r="M882" s="100">
        <f t="shared" si="393"/>
        <v>3</v>
      </c>
      <c r="N882" s="100">
        <v>0</v>
      </c>
      <c r="O882" s="100">
        <v>1</v>
      </c>
      <c r="P882" s="100">
        <f t="shared" si="394"/>
        <v>5.0999999999999997E-2</v>
      </c>
      <c r="Q882" s="100">
        <f t="shared" si="395"/>
        <v>5.0999999999999996</v>
      </c>
      <c r="R882" s="100">
        <f t="shared" si="396"/>
        <v>4.1000000000000002E-2</v>
      </c>
      <c r="S882" s="100">
        <f t="shared" si="397"/>
        <v>4.0999999999999996</v>
      </c>
      <c r="T882" s="100">
        <f t="shared" si="375"/>
        <v>10</v>
      </c>
      <c r="U882" s="100">
        <f t="shared" si="376"/>
        <v>0</v>
      </c>
      <c r="V882" s="100">
        <f t="shared" si="377"/>
        <v>6155</v>
      </c>
      <c r="W882" s="100">
        <f t="shared" si="378"/>
        <v>0</v>
      </c>
      <c r="X882" s="100">
        <f t="shared" si="398"/>
        <v>0.5</v>
      </c>
      <c r="Y882" s="100">
        <f t="shared" si="398"/>
        <v>0.5</v>
      </c>
      <c r="Z882" s="100">
        <f t="shared" si="399"/>
        <v>0</v>
      </c>
      <c r="AA882" s="100">
        <f t="shared" si="379"/>
        <v>9</v>
      </c>
      <c r="AB882" s="100">
        <f t="shared" si="406"/>
        <v>0</v>
      </c>
      <c r="AC882" s="100">
        <f t="shared" si="407"/>
        <v>0</v>
      </c>
      <c r="AD882" s="100" t="b">
        <f t="shared" si="380"/>
        <v>0</v>
      </c>
      <c r="AE882" s="100">
        <f t="shared" si="400"/>
        <v>0</v>
      </c>
      <c r="AF882" s="100">
        <f>IF(AC882&gt;=AC883,AB882,0)</f>
        <v>0</v>
      </c>
      <c r="AG882" s="100">
        <f>IF(AC882&gt;=AC883,AC882,0)</f>
        <v>0</v>
      </c>
      <c r="AH882" s="100">
        <v>1</v>
      </c>
      <c r="AI882" s="100">
        <f t="shared" si="381"/>
        <v>0</v>
      </c>
      <c r="AJ882" s="100"/>
      <c r="AK882" s="100">
        <f t="shared" si="383"/>
        <v>0</v>
      </c>
      <c r="AL882" s="221" t="str">
        <f t="shared" si="384"/>
        <v>SR807</v>
      </c>
      <c r="AM882" s="221" t="str">
        <f t="shared" si="401"/>
        <v>SR80711</v>
      </c>
      <c r="AN882" s="13">
        <f t="shared" si="385"/>
        <v>6103</v>
      </c>
      <c r="AO882" s="13">
        <f t="shared" si="402"/>
        <v>20180327</v>
      </c>
      <c r="AP882" s="13" t="str">
        <f t="shared" si="403"/>
        <v>9999</v>
      </c>
      <c r="AQ882" s="13" t="str">
        <f t="shared" si="404"/>
        <v>CNY</v>
      </c>
      <c r="AR882" s="13" t="str">
        <f t="shared" si="386"/>
        <v>50010001</v>
      </c>
      <c r="AS882" s="13">
        <f t="shared" si="405"/>
        <v>20180327</v>
      </c>
      <c r="AT882" s="13">
        <f t="shared" si="387"/>
        <v>20180326</v>
      </c>
      <c r="AU882" s="13">
        <v>0</v>
      </c>
      <c r="AV882" s="13">
        <f t="shared" si="388"/>
        <v>6103</v>
      </c>
      <c r="AW882" s="13">
        <f t="shared" si="389"/>
        <v>1</v>
      </c>
      <c r="AX882" s="13" t="str">
        <f t="shared" si="390"/>
        <v>SR807</v>
      </c>
    </row>
    <row r="883" spans="1:50" s="13" customFormat="1" x14ac:dyDescent="0.25">
      <c r="A883" s="6" t="str">
        <f t="shared" si="391"/>
        <v>comment</v>
      </c>
      <c r="B883" s="100" t="str">
        <f>B882</f>
        <v>SR807&amp;SR809</v>
      </c>
      <c r="C883" s="13" t="s">
        <v>512</v>
      </c>
      <c r="D883" s="100">
        <f>D882</f>
        <v>4</v>
      </c>
      <c r="E883" s="100" t="str">
        <f>B930</f>
        <v>2018032610000025</v>
      </c>
      <c r="F883" s="100" t="str">
        <f t="shared" si="408"/>
        <v>6001</v>
      </c>
      <c r="G883" s="100" t="str">
        <f t="shared" si="409"/>
        <v>B00101</v>
      </c>
      <c r="H883" s="100" t="str">
        <f t="shared" si="410"/>
        <v>6001</v>
      </c>
      <c r="I883" s="100" t="str">
        <f t="shared" si="374"/>
        <v>SR809</v>
      </c>
      <c r="J883" s="100">
        <v>1</v>
      </c>
      <c r="K883" s="497">
        <v>1</v>
      </c>
      <c r="L883" s="100">
        <v>0</v>
      </c>
      <c r="M883" s="100">
        <f t="shared" si="393"/>
        <v>2</v>
      </c>
      <c r="N883" s="100">
        <f>N882</f>
        <v>0</v>
      </c>
      <c r="O883" s="100">
        <v>1</v>
      </c>
      <c r="P883" s="100">
        <f t="shared" si="394"/>
        <v>0.05</v>
      </c>
      <c r="Q883" s="100">
        <f t="shared" si="395"/>
        <v>5</v>
      </c>
      <c r="R883" s="100">
        <f t="shared" si="396"/>
        <v>0.04</v>
      </c>
      <c r="S883" s="100">
        <f t="shared" si="397"/>
        <v>4</v>
      </c>
      <c r="T883" s="100">
        <f t="shared" si="375"/>
        <v>10</v>
      </c>
      <c r="U883" s="100">
        <f t="shared" si="376"/>
        <v>0</v>
      </c>
      <c r="V883" s="100">
        <f t="shared" si="377"/>
        <v>6156</v>
      </c>
      <c r="W883" s="100">
        <f t="shared" si="378"/>
        <v>0</v>
      </c>
      <c r="X883" s="100">
        <f t="shared" si="398"/>
        <v>0.5</v>
      </c>
      <c r="Y883" s="100">
        <f t="shared" si="398"/>
        <v>0.5</v>
      </c>
      <c r="Z883" s="100">
        <f t="shared" si="399"/>
        <v>0</v>
      </c>
      <c r="AA883" s="100">
        <f t="shared" si="379"/>
        <v>9</v>
      </c>
      <c r="AB883" s="100">
        <f t="shared" si="406"/>
        <v>0</v>
      </c>
      <c r="AC883" s="100">
        <f t="shared" si="407"/>
        <v>0</v>
      </c>
      <c r="AD883" s="100" t="b">
        <f t="shared" si="380"/>
        <v>0</v>
      </c>
      <c r="AE883" s="100">
        <f t="shared" si="400"/>
        <v>0</v>
      </c>
      <c r="AF883" s="100">
        <f>IF(AC883&gt;AC882,AB883,0)</f>
        <v>0</v>
      </c>
      <c r="AG883" s="100">
        <f>IF(AC883&gt;AC882,AC883,0)</f>
        <v>0</v>
      </c>
      <c r="AH883" s="100">
        <v>1</v>
      </c>
      <c r="AI883" s="100">
        <f t="shared" si="381"/>
        <v>0</v>
      </c>
      <c r="AJ883" s="100"/>
      <c r="AK883" s="100">
        <f t="shared" si="383"/>
        <v>0</v>
      </c>
      <c r="AL883" s="221" t="str">
        <f t="shared" si="384"/>
        <v>SR809</v>
      </c>
      <c r="AM883" s="221" t="str">
        <f t="shared" si="401"/>
        <v>SR80910</v>
      </c>
      <c r="AN883" s="13">
        <f t="shared" si="385"/>
        <v>6115</v>
      </c>
      <c r="AO883" s="13">
        <f t="shared" si="402"/>
        <v>20180327</v>
      </c>
      <c r="AP883" s="13" t="str">
        <f t="shared" si="403"/>
        <v>9999</v>
      </c>
      <c r="AQ883" s="13" t="str">
        <f t="shared" si="404"/>
        <v>CNY</v>
      </c>
      <c r="AR883" s="13" t="str">
        <f t="shared" si="386"/>
        <v>50010001</v>
      </c>
      <c r="AS883" s="13">
        <f t="shared" si="405"/>
        <v>20180327</v>
      </c>
      <c r="AT883" s="13">
        <f t="shared" si="387"/>
        <v>20180326</v>
      </c>
      <c r="AU883" s="13">
        <v>1</v>
      </c>
      <c r="AV883" s="13">
        <f t="shared" si="388"/>
        <v>6115</v>
      </c>
      <c r="AW883" s="13">
        <f t="shared" si="389"/>
        <v>1</v>
      </c>
      <c r="AX883" s="13" t="str">
        <f t="shared" si="390"/>
        <v>SR809</v>
      </c>
    </row>
    <row r="884" spans="1:50" s="6" customFormat="1" x14ac:dyDescent="0.25">
      <c r="A884" s="6" t="str">
        <f t="shared" si="391"/>
        <v/>
      </c>
      <c r="B884" s="12" t="str">
        <f>C35</f>
        <v>SR807&amp;OI811</v>
      </c>
      <c r="C884" s="6" t="s">
        <v>512</v>
      </c>
      <c r="D884" s="12">
        <v>5</v>
      </c>
      <c r="E884" s="12" t="str">
        <f>E882</f>
        <v>2018032610000013</v>
      </c>
      <c r="F884" s="12" t="str">
        <f t="shared" si="408"/>
        <v>6001</v>
      </c>
      <c r="G884" s="12" t="str">
        <f t="shared" si="409"/>
        <v>B00101</v>
      </c>
      <c r="H884" s="12" t="str">
        <f t="shared" si="410"/>
        <v>6001</v>
      </c>
      <c r="I884" s="12" t="str">
        <f t="shared" si="374"/>
        <v>SR807</v>
      </c>
      <c r="J884" s="12">
        <v>1</v>
      </c>
      <c r="K884" s="249">
        <v>1</v>
      </c>
      <c r="L884" s="12">
        <v>1</v>
      </c>
      <c r="M884" s="12">
        <f t="shared" si="393"/>
        <v>3</v>
      </c>
      <c r="N884" s="12">
        <v>2</v>
      </c>
      <c r="O884" s="12">
        <v>1</v>
      </c>
      <c r="P884" s="12">
        <f t="shared" si="394"/>
        <v>5.0999999999999997E-2</v>
      </c>
      <c r="Q884" s="12">
        <f t="shared" si="395"/>
        <v>5.0999999999999996</v>
      </c>
      <c r="R884" s="12">
        <f t="shared" si="396"/>
        <v>4.1000000000000002E-2</v>
      </c>
      <c r="S884" s="12">
        <f t="shared" si="397"/>
        <v>4.0999999999999996</v>
      </c>
      <c r="T884" s="12">
        <f t="shared" si="375"/>
        <v>10</v>
      </c>
      <c r="U884" s="12">
        <f t="shared" si="376"/>
        <v>0</v>
      </c>
      <c r="V884" s="12">
        <f t="shared" si="377"/>
        <v>6155</v>
      </c>
      <c r="W884" s="12">
        <f t="shared" si="378"/>
        <v>0</v>
      </c>
      <c r="X884" s="12">
        <f t="shared" si="398"/>
        <v>0.5</v>
      </c>
      <c r="Y884" s="12">
        <f t="shared" si="398"/>
        <v>0.5</v>
      </c>
      <c r="Z884" s="12">
        <f t="shared" si="399"/>
        <v>0</v>
      </c>
      <c r="AA884" s="12">
        <f t="shared" si="379"/>
        <v>9</v>
      </c>
      <c r="AB884" s="12">
        <f t="shared" si="406"/>
        <v>6288.3</v>
      </c>
      <c r="AC884" s="12">
        <f t="shared" si="407"/>
        <v>5055.3</v>
      </c>
      <c r="AD884" s="12" t="b">
        <f t="shared" si="380"/>
        <v>0</v>
      </c>
      <c r="AE884" s="12">
        <f t="shared" si="400"/>
        <v>0</v>
      </c>
      <c r="AF884" s="223">
        <f>IF(AC884&gt;=AC885,AB884,0)</f>
        <v>6288.3</v>
      </c>
      <c r="AG884" s="223">
        <f>IF(AC884&gt;=AC885,AC884,0)</f>
        <v>5055.3</v>
      </c>
      <c r="AH884" s="12">
        <v>1</v>
      </c>
      <c r="AI884" s="12">
        <f t="shared" si="381"/>
        <v>0</v>
      </c>
      <c r="AJ884" s="12" t="e">
        <f t="shared" si="382"/>
        <v>#N/A</v>
      </c>
      <c r="AK884" s="12">
        <f t="shared" si="383"/>
        <v>0</v>
      </c>
      <c r="AL884" s="3" t="str">
        <f t="shared" si="384"/>
        <v>SR807</v>
      </c>
      <c r="AM884" s="3" t="str">
        <f t="shared" si="401"/>
        <v>SR80711</v>
      </c>
      <c r="AN884" s="6">
        <f t="shared" si="385"/>
        <v>6103</v>
      </c>
      <c r="AO884" s="6">
        <f t="shared" si="402"/>
        <v>20180327</v>
      </c>
      <c r="AP884" s="6" t="str">
        <f t="shared" si="403"/>
        <v>9999</v>
      </c>
      <c r="AQ884" s="6" t="str">
        <f t="shared" si="404"/>
        <v>CNY</v>
      </c>
      <c r="AR884" s="6" t="str">
        <f t="shared" si="386"/>
        <v>50010001</v>
      </c>
      <c r="AS884" s="6">
        <f t="shared" si="405"/>
        <v>20180327</v>
      </c>
      <c r="AT884" s="6">
        <f t="shared" si="387"/>
        <v>20180326</v>
      </c>
      <c r="AU884" s="6">
        <v>0</v>
      </c>
      <c r="AV884" s="6">
        <f t="shared" si="388"/>
        <v>6103</v>
      </c>
      <c r="AW884" s="6">
        <f t="shared" si="389"/>
        <v>1</v>
      </c>
      <c r="AX884" s="6" t="str">
        <f t="shared" si="390"/>
        <v>SR807</v>
      </c>
    </row>
    <row r="885" spans="1:50" s="6" customFormat="1" x14ac:dyDescent="0.25">
      <c r="A885" s="6" t="str">
        <f t="shared" si="391"/>
        <v/>
      </c>
      <c r="B885" s="12" t="str">
        <f>B884</f>
        <v>SR807&amp;OI811</v>
      </c>
      <c r="C885" s="6" t="s">
        <v>512</v>
      </c>
      <c r="D885" s="12">
        <f>D884</f>
        <v>5</v>
      </c>
      <c r="E885" s="12" t="str">
        <f>B932</f>
        <v>2018032610000027</v>
      </c>
      <c r="F885" s="12" t="str">
        <f>F884</f>
        <v>6001</v>
      </c>
      <c r="G885" s="12" t="str">
        <f t="shared" si="409"/>
        <v>B00101</v>
      </c>
      <c r="H885" s="12" t="str">
        <f t="shared" si="410"/>
        <v>6001</v>
      </c>
      <c r="I885" s="12" t="str">
        <f t="shared" si="374"/>
        <v>OI811</v>
      </c>
      <c r="J885" s="12">
        <v>1</v>
      </c>
      <c r="K885" s="249">
        <v>1</v>
      </c>
      <c r="L885" s="12">
        <v>0</v>
      </c>
      <c r="M885" s="12">
        <f t="shared" si="393"/>
        <v>2</v>
      </c>
      <c r="N885" s="12">
        <f>N884</f>
        <v>2</v>
      </c>
      <c r="O885" s="12">
        <v>1</v>
      </c>
      <c r="P885" s="12">
        <f t="shared" si="394"/>
        <v>0.05</v>
      </c>
      <c r="Q885" s="12">
        <f t="shared" si="395"/>
        <v>5</v>
      </c>
      <c r="R885" s="12">
        <f t="shared" si="396"/>
        <v>0.04</v>
      </c>
      <c r="S885" s="12">
        <f t="shared" si="397"/>
        <v>4</v>
      </c>
      <c r="T885" s="12">
        <f t="shared" si="375"/>
        <v>10</v>
      </c>
      <c r="U885" s="12">
        <f t="shared" si="376"/>
        <v>0</v>
      </c>
      <c r="V885" s="12">
        <f t="shared" si="377"/>
        <v>6165</v>
      </c>
      <c r="W885" s="12">
        <f t="shared" si="378"/>
        <v>0</v>
      </c>
      <c r="X885" s="12">
        <f t="shared" si="398"/>
        <v>0.5</v>
      </c>
      <c r="Y885" s="12">
        <f t="shared" si="398"/>
        <v>0.5</v>
      </c>
      <c r="Z885" s="12">
        <f t="shared" si="399"/>
        <v>0</v>
      </c>
      <c r="AA885" s="12">
        <f t="shared" si="379"/>
        <v>9</v>
      </c>
      <c r="AB885" s="12">
        <f t="shared" si="406"/>
        <v>6175</v>
      </c>
      <c r="AC885" s="12">
        <f t="shared" si="407"/>
        <v>4940</v>
      </c>
      <c r="AD885" s="12" t="b">
        <f t="shared" si="380"/>
        <v>0</v>
      </c>
      <c r="AE885" s="12">
        <f t="shared" si="400"/>
        <v>0</v>
      </c>
      <c r="AF885" s="12">
        <f>IF(AC885&gt;AC884,AB885,0)</f>
        <v>0</v>
      </c>
      <c r="AG885" s="12">
        <f>IF(AC885&gt;AC884,AC885,0)</f>
        <v>0</v>
      </c>
      <c r="AH885" s="12">
        <v>1</v>
      </c>
      <c r="AI885" s="12">
        <f t="shared" si="381"/>
        <v>0</v>
      </c>
      <c r="AJ885" s="12" t="e">
        <f t="shared" si="382"/>
        <v>#N/A</v>
      </c>
      <c r="AK885" s="12">
        <f t="shared" si="383"/>
        <v>0</v>
      </c>
      <c r="AL885" s="3" t="str">
        <f t="shared" si="384"/>
        <v>OI811</v>
      </c>
      <c r="AM885" s="3" t="str">
        <f t="shared" si="401"/>
        <v>OI81110</v>
      </c>
      <c r="AN885" s="6">
        <f t="shared" si="385"/>
        <v>6117</v>
      </c>
      <c r="AO885" s="6">
        <f t="shared" si="402"/>
        <v>20180327</v>
      </c>
      <c r="AP885" s="6" t="str">
        <f t="shared" si="403"/>
        <v>9999</v>
      </c>
      <c r="AQ885" s="6" t="str">
        <f t="shared" si="404"/>
        <v>CNY</v>
      </c>
      <c r="AR885" s="6" t="str">
        <f t="shared" si="386"/>
        <v>50010001</v>
      </c>
      <c r="AS885" s="6">
        <f t="shared" si="405"/>
        <v>20180327</v>
      </c>
      <c r="AT885" s="6">
        <f t="shared" si="387"/>
        <v>20180326</v>
      </c>
      <c r="AU885" s="6">
        <v>1</v>
      </c>
      <c r="AV885" s="6">
        <f t="shared" si="388"/>
        <v>6117</v>
      </c>
      <c r="AW885" s="6">
        <f t="shared" si="389"/>
        <v>1</v>
      </c>
      <c r="AX885" s="6" t="str">
        <f t="shared" si="390"/>
        <v>OI811</v>
      </c>
    </row>
    <row r="886" spans="1:50" s="6" customFormat="1" x14ac:dyDescent="0.25">
      <c r="A886" s="6" t="str">
        <f t="shared" si="391"/>
        <v>comment</v>
      </c>
      <c r="B886" s="12" t="str">
        <f>C51</f>
        <v>PTA807&amp;PTA809</v>
      </c>
      <c r="C886" s="6" t="s">
        <v>512</v>
      </c>
      <c r="D886" s="12">
        <v>13</v>
      </c>
      <c r="E886" s="12" t="str">
        <f>B935</f>
        <v>2018032610000030</v>
      </c>
      <c r="F886" s="12" t="str">
        <f>F885</f>
        <v>6001</v>
      </c>
      <c r="G886" s="12" t="str">
        <f>C6</f>
        <v>B00102</v>
      </c>
      <c r="H886" s="12" t="str">
        <f t="shared" si="410"/>
        <v>6001</v>
      </c>
      <c r="I886" s="12" t="str">
        <f t="shared" si="374"/>
        <v>PTA807</v>
      </c>
      <c r="J886" s="12">
        <v>1</v>
      </c>
      <c r="K886" s="249">
        <v>0</v>
      </c>
      <c r="L886" s="12">
        <v>0</v>
      </c>
      <c r="M886" s="12">
        <f t="shared" si="393"/>
        <v>2</v>
      </c>
      <c r="N886" s="12">
        <v>0</v>
      </c>
      <c r="O886" s="12">
        <v>1</v>
      </c>
      <c r="P886" s="12">
        <f t="shared" si="394"/>
        <v>0.05</v>
      </c>
      <c r="Q886" s="12">
        <f t="shared" ref="Q886:Q889" si="411">IF(AI886=0, VLOOKUP(AM886,$F$55:$L$74,5,FALSE),VLOOKUP(AM886,$F$55:$L$74,5,FALSE)+VLOOKUP(AM886,$F$55:$L$74,7,FALSE) )</f>
        <v>5</v>
      </c>
      <c r="R886" s="12">
        <f t="shared" ref="R886:R889" si="412">VLOOKUP(AM886,$F$55:$L$74,2,FALSE)</f>
        <v>0.04</v>
      </c>
      <c r="S886" s="12">
        <f t="shared" ref="S886:S889" si="413">VLOOKUP(AM886,$F$55:$L$74,3,FALSE)</f>
        <v>4</v>
      </c>
      <c r="T886" s="12">
        <f t="shared" si="375"/>
        <v>5</v>
      </c>
      <c r="U886" s="12">
        <f xml:space="preserve"> VLOOKUP(I886,$C$232:$F$357,4,FALSE)</f>
        <v>0</v>
      </c>
      <c r="V886" s="12">
        <f xml:space="preserve"> VLOOKUP(I886,$C$232:$F$357,3,FALSE)</f>
        <v>6160</v>
      </c>
      <c r="W886" s="12">
        <f xml:space="preserve"> VLOOKUP(I886,$C$232:$G$357,5,FALSE)</f>
        <v>0</v>
      </c>
      <c r="X886" s="12">
        <f t="shared" ref="X886:Y889" si="414">$F$192</f>
        <v>0</v>
      </c>
      <c r="Y886" s="12">
        <f t="shared" si="414"/>
        <v>0</v>
      </c>
      <c r="Z886" s="12">
        <f t="shared" si="399"/>
        <v>0</v>
      </c>
      <c r="AA886" s="12">
        <f t="shared" si="379"/>
        <v>9</v>
      </c>
      <c r="AB886" s="12">
        <f t="shared" si="406"/>
        <v>0</v>
      </c>
      <c r="AC886" s="12">
        <f t="shared" si="407"/>
        <v>0</v>
      </c>
      <c r="AD886" s="12" t="b">
        <f t="shared" si="380"/>
        <v>0</v>
      </c>
      <c r="AE886" s="12">
        <f t="shared" si="400"/>
        <v>0</v>
      </c>
      <c r="AF886" s="12">
        <f>IF(AC886&gt;AC887,AB886,0)</f>
        <v>0</v>
      </c>
      <c r="AG886" s="12">
        <f>IF(AC886&gt;AC887,AC886,0)</f>
        <v>0</v>
      </c>
      <c r="AH886" s="12">
        <v>1</v>
      </c>
      <c r="AI886" s="12">
        <f t="shared" si="381"/>
        <v>0</v>
      </c>
      <c r="AJ886" s="12"/>
      <c r="AK886" s="12"/>
      <c r="AL886" s="3" t="str">
        <f t="shared" si="384"/>
        <v>PTA807</v>
      </c>
      <c r="AM886" s="3" t="str">
        <f t="shared" ref="AM886:AM889" si="415">IF(AI886=0,AL886&amp;J886&amp;L886,IF(AA886=0,AL886&amp;J886&amp;1,AL886&amp;J886&amp;0))</f>
        <v>PTA80710</v>
      </c>
      <c r="AN886" s="6">
        <f t="shared" si="385"/>
        <v>6120</v>
      </c>
      <c r="AO886" s="6">
        <f t="shared" si="402"/>
        <v>20180327</v>
      </c>
      <c r="AP886" s="6" t="str">
        <f t="shared" si="403"/>
        <v>9999</v>
      </c>
      <c r="AQ886" s="6" t="str">
        <f t="shared" si="404"/>
        <v>CNY</v>
      </c>
      <c r="AR886" s="6" t="str">
        <f t="shared" ref="AR886:AR902" si="416">VLOOKUP(G886,$C$5:$G$6,5,FALSE)</f>
        <v>50010002</v>
      </c>
      <c r="AS886" s="6">
        <f t="shared" si="405"/>
        <v>20180327</v>
      </c>
      <c r="AT886" s="6">
        <f t="shared" si="387"/>
        <v>20180326</v>
      </c>
      <c r="AU886" s="6">
        <v>0</v>
      </c>
      <c r="AV886" s="6">
        <f t="shared" si="388"/>
        <v>6120</v>
      </c>
      <c r="AW886" s="6">
        <f t="shared" si="389"/>
        <v>1</v>
      </c>
      <c r="AX886" s="6" t="str">
        <f t="shared" si="390"/>
        <v>PTA807</v>
      </c>
    </row>
    <row r="887" spans="1:50" s="6" customFormat="1" x14ac:dyDescent="0.25">
      <c r="A887" s="6" t="str">
        <f t="shared" si="391"/>
        <v>comment</v>
      </c>
      <c r="B887" s="12" t="str">
        <f>B886</f>
        <v>PTA807&amp;PTA809</v>
      </c>
      <c r="C887" s="6" t="s">
        <v>512</v>
      </c>
      <c r="D887" s="12">
        <v>13</v>
      </c>
      <c r="E887" s="12" t="str">
        <f>B938</f>
        <v>2018032610000035</v>
      </c>
      <c r="F887" s="12" t="str">
        <f>F886</f>
        <v>6001</v>
      </c>
      <c r="G887" s="12" t="str">
        <f>G886</f>
        <v>B00102</v>
      </c>
      <c r="H887" s="12" t="str">
        <f t="shared" si="410"/>
        <v>6001</v>
      </c>
      <c r="I887" s="12" t="str">
        <f t="shared" si="374"/>
        <v>PTA809</v>
      </c>
      <c r="J887" s="12">
        <v>1</v>
      </c>
      <c r="K887" s="249">
        <v>0</v>
      </c>
      <c r="L887" s="12">
        <v>1</v>
      </c>
      <c r="M887" s="12">
        <f t="shared" si="393"/>
        <v>3</v>
      </c>
      <c r="N887" s="12">
        <f>N886</f>
        <v>0</v>
      </c>
      <c r="O887" s="12">
        <v>1</v>
      </c>
      <c r="P887" s="12">
        <f t="shared" si="394"/>
        <v>5.0999999999999997E-2</v>
      </c>
      <c r="Q887" s="12">
        <f t="shared" si="411"/>
        <v>5.0999999999999996</v>
      </c>
      <c r="R887" s="12">
        <f t="shared" si="412"/>
        <v>4.1000000000000002E-2</v>
      </c>
      <c r="S887" s="12">
        <f t="shared" si="413"/>
        <v>4.0999999999999996</v>
      </c>
      <c r="T887" s="12">
        <f t="shared" si="375"/>
        <v>5</v>
      </c>
      <c r="U887" s="12">
        <f xml:space="preserve"> VLOOKUP(I887,$C$232:$F$357,4,FALSE)</f>
        <v>0</v>
      </c>
      <c r="V887" s="12">
        <f xml:space="preserve"> VLOOKUP(I887,$C$232:$F$357,3,FALSE)</f>
        <v>6165</v>
      </c>
      <c r="W887" s="12">
        <f xml:space="preserve"> VLOOKUP(I887,$C$232:$G$357,5,FALSE)</f>
        <v>0</v>
      </c>
      <c r="X887" s="12">
        <f t="shared" si="414"/>
        <v>0</v>
      </c>
      <c r="Y887" s="12">
        <f t="shared" si="414"/>
        <v>0</v>
      </c>
      <c r="Z887" s="12">
        <f t="shared" si="399"/>
        <v>0</v>
      </c>
      <c r="AA887" s="12">
        <f t="shared" si="379"/>
        <v>9</v>
      </c>
      <c r="AB887" s="12">
        <f t="shared" si="406"/>
        <v>0</v>
      </c>
      <c r="AC887" s="12">
        <f t="shared" si="407"/>
        <v>0</v>
      </c>
      <c r="AD887" s="12" t="b">
        <f t="shared" si="380"/>
        <v>0</v>
      </c>
      <c r="AE887" s="12">
        <f t="shared" si="400"/>
        <v>0</v>
      </c>
      <c r="AF887" s="12">
        <f>IF(AC887&gt;AC886,AB887,0)</f>
        <v>0</v>
      </c>
      <c r="AG887" s="12">
        <f>IF(AC887&gt;AC886,AC887,0)</f>
        <v>0</v>
      </c>
      <c r="AH887" s="12">
        <v>1</v>
      </c>
      <c r="AI887" s="12">
        <f t="shared" si="381"/>
        <v>0</v>
      </c>
      <c r="AJ887" s="12"/>
      <c r="AK887" s="12"/>
      <c r="AL887" s="3" t="str">
        <f t="shared" si="384"/>
        <v>PTA809</v>
      </c>
      <c r="AM887" s="3" t="str">
        <f t="shared" si="415"/>
        <v>PTA80911</v>
      </c>
      <c r="AN887" s="6">
        <f t="shared" si="385"/>
        <v>6125</v>
      </c>
      <c r="AO887" s="6">
        <f t="shared" si="402"/>
        <v>20180327</v>
      </c>
      <c r="AP887" s="6" t="str">
        <f t="shared" si="403"/>
        <v>9999</v>
      </c>
      <c r="AQ887" s="6" t="str">
        <f t="shared" si="404"/>
        <v>CNY</v>
      </c>
      <c r="AR887" s="6" t="str">
        <f t="shared" si="416"/>
        <v>50010002</v>
      </c>
      <c r="AS887" s="6">
        <f t="shared" si="405"/>
        <v>20180327</v>
      </c>
      <c r="AT887" s="6">
        <f t="shared" si="387"/>
        <v>20180326</v>
      </c>
      <c r="AU887" s="6">
        <v>1</v>
      </c>
      <c r="AV887" s="6">
        <f t="shared" si="388"/>
        <v>6125</v>
      </c>
      <c r="AW887" s="6">
        <f t="shared" si="389"/>
        <v>1</v>
      </c>
      <c r="AX887" s="6" t="str">
        <f t="shared" si="390"/>
        <v>PTA809</v>
      </c>
    </row>
    <row r="888" spans="1:50" s="6" customFormat="1" x14ac:dyDescent="0.25">
      <c r="A888" s="6" t="str">
        <f t="shared" si="391"/>
        <v/>
      </c>
      <c r="B888" s="12" t="str">
        <f>B886</f>
        <v>PTA807&amp;PTA809</v>
      </c>
      <c r="C888" s="6" t="s">
        <v>512</v>
      </c>
      <c r="D888" s="12">
        <v>14</v>
      </c>
      <c r="E888" s="12" t="str">
        <f>B975</f>
        <v>2018032710000052</v>
      </c>
      <c r="F888" s="12" t="str">
        <f t="shared" ref="F888:F889" si="417">F887</f>
        <v>6001</v>
      </c>
      <c r="G888" s="12" t="str">
        <f>G886</f>
        <v>B00102</v>
      </c>
      <c r="H888" s="12" t="str">
        <f t="shared" si="410"/>
        <v>6001</v>
      </c>
      <c r="I888" s="12" t="str">
        <f t="shared" si="374"/>
        <v>PTA807</v>
      </c>
      <c r="J888" s="12">
        <v>1</v>
      </c>
      <c r="K888" s="249">
        <v>1</v>
      </c>
      <c r="L888" s="12">
        <f>VLOOKUP(E888,$C$694:$AN$786,13,FALSE)</f>
        <v>1</v>
      </c>
      <c r="M888" s="12">
        <f t="shared" si="393"/>
        <v>3</v>
      </c>
      <c r="N888" s="12">
        <v>2</v>
      </c>
      <c r="O888" s="12">
        <v>1</v>
      </c>
      <c r="P888" s="12">
        <f t="shared" si="394"/>
        <v>5.0999999999999997E-2</v>
      </c>
      <c r="Q888" s="12">
        <f t="shared" si="411"/>
        <v>5.0999999999999996</v>
      </c>
      <c r="R888" s="12">
        <f t="shared" si="412"/>
        <v>4.1000000000000002E-2</v>
      </c>
      <c r="S888" s="12">
        <f t="shared" si="413"/>
        <v>4.0999999999999996</v>
      </c>
      <c r="T888" s="12">
        <f t="shared" si="375"/>
        <v>5</v>
      </c>
      <c r="U888" s="12">
        <f xml:space="preserve"> VLOOKUP(I888,$C$232:$F$357,4,FALSE)</f>
        <v>0</v>
      </c>
      <c r="V888" s="12">
        <f xml:space="preserve"> VLOOKUP(I888,$C$232:$F$357,3,FALSE)</f>
        <v>6160</v>
      </c>
      <c r="W888" s="12">
        <f xml:space="preserve"> VLOOKUP(I888,$C$232:$G$357,5,FALSE)</f>
        <v>0</v>
      </c>
      <c r="X888" s="12">
        <f t="shared" si="414"/>
        <v>0</v>
      </c>
      <c r="Y888" s="12">
        <f t="shared" si="414"/>
        <v>0</v>
      </c>
      <c r="Z888" s="12">
        <f t="shared" si="399"/>
        <v>0</v>
      </c>
      <c r="AA888" s="12">
        <f t="shared" si="379"/>
        <v>9</v>
      </c>
      <c r="AB888" s="12">
        <f t="shared" si="406"/>
        <v>3151.7999999999997</v>
      </c>
      <c r="AC888" s="12">
        <f t="shared" si="407"/>
        <v>2533.8000000000002</v>
      </c>
      <c r="AD888" s="12" t="b">
        <f t="shared" si="380"/>
        <v>0</v>
      </c>
      <c r="AE888" s="12">
        <f t="shared" si="400"/>
        <v>0</v>
      </c>
      <c r="AF888" s="12">
        <f>IF(AC888&gt;=AC889,AB888,0)</f>
        <v>3151.7999999999997</v>
      </c>
      <c r="AG888" s="12">
        <f>IF(AC888&gt;=AC889,AC888,0)</f>
        <v>2533.8000000000002</v>
      </c>
      <c r="AH888" s="12">
        <v>1</v>
      </c>
      <c r="AI888" s="12">
        <f t="shared" si="381"/>
        <v>0</v>
      </c>
      <c r="AJ888" s="12"/>
      <c r="AK888" s="12"/>
      <c r="AL888" s="3" t="str">
        <f t="shared" si="384"/>
        <v>PTA807</v>
      </c>
      <c r="AM888" s="3" t="str">
        <f t="shared" si="415"/>
        <v>PTA80711</v>
      </c>
      <c r="AN888" s="6">
        <f t="shared" si="385"/>
        <v>6115</v>
      </c>
      <c r="AO888" s="6">
        <f t="shared" si="402"/>
        <v>20180327</v>
      </c>
      <c r="AP888" s="6" t="str">
        <f t="shared" si="403"/>
        <v>9999</v>
      </c>
      <c r="AQ888" s="6" t="str">
        <f t="shared" si="404"/>
        <v>CNY</v>
      </c>
      <c r="AR888" s="6" t="str">
        <f t="shared" si="416"/>
        <v>50010002</v>
      </c>
      <c r="AS888" s="6">
        <f t="shared" si="405"/>
        <v>20180327</v>
      </c>
      <c r="AT888" s="6">
        <f t="shared" si="387"/>
        <v>20180327</v>
      </c>
      <c r="AU888" s="6">
        <v>0</v>
      </c>
      <c r="AV888" s="6">
        <f t="shared" si="388"/>
        <v>6115</v>
      </c>
      <c r="AW888" s="6">
        <f t="shared" si="389"/>
        <v>1</v>
      </c>
      <c r="AX888" s="6" t="str">
        <f t="shared" si="390"/>
        <v>PTA807</v>
      </c>
    </row>
    <row r="889" spans="1:50" s="6" customFormat="1" x14ac:dyDescent="0.25">
      <c r="A889" s="6" t="str">
        <f t="shared" si="391"/>
        <v/>
      </c>
      <c r="B889" s="12" t="str">
        <f>B888</f>
        <v>PTA807&amp;PTA809</v>
      </c>
      <c r="C889" s="6" t="s">
        <v>1564</v>
      </c>
      <c r="D889" s="12">
        <v>14</v>
      </c>
      <c r="E889" s="12" t="str">
        <f>B937</f>
        <v>2018032610000034</v>
      </c>
      <c r="F889" s="12" t="str">
        <f t="shared" si="417"/>
        <v>6001</v>
      </c>
      <c r="G889" s="12" t="str">
        <f>G886</f>
        <v>B00102</v>
      </c>
      <c r="H889" s="12" t="str">
        <f t="shared" si="410"/>
        <v>6001</v>
      </c>
      <c r="I889" s="12" t="str">
        <f t="shared" si="374"/>
        <v>PTA809</v>
      </c>
      <c r="J889" s="12">
        <v>1</v>
      </c>
      <c r="K889" s="249">
        <v>1</v>
      </c>
      <c r="L889" s="12">
        <v>0</v>
      </c>
      <c r="M889" s="12">
        <f t="shared" si="393"/>
        <v>2</v>
      </c>
      <c r="N889" s="12">
        <f>N888</f>
        <v>2</v>
      </c>
      <c r="O889" s="12">
        <v>1</v>
      </c>
      <c r="P889" s="12">
        <f t="shared" si="394"/>
        <v>0.05</v>
      </c>
      <c r="Q889" s="12">
        <f t="shared" si="411"/>
        <v>5</v>
      </c>
      <c r="R889" s="12">
        <f t="shared" si="412"/>
        <v>0.04</v>
      </c>
      <c r="S889" s="12">
        <f t="shared" si="413"/>
        <v>4</v>
      </c>
      <c r="T889" s="12">
        <f t="shared" si="375"/>
        <v>5</v>
      </c>
      <c r="U889" s="12">
        <f xml:space="preserve"> VLOOKUP(I889,$C$232:$F$357,4,FALSE)</f>
        <v>0</v>
      </c>
      <c r="V889" s="12">
        <f xml:space="preserve"> VLOOKUP(I889,$C$232:$F$357,3,FALSE)</f>
        <v>6165</v>
      </c>
      <c r="W889" s="12">
        <f xml:space="preserve"> VLOOKUP(I889,$C$232:$G$357,5,FALSE)</f>
        <v>0</v>
      </c>
      <c r="X889" s="12">
        <f t="shared" si="414"/>
        <v>0</v>
      </c>
      <c r="Y889" s="12">
        <f t="shared" si="414"/>
        <v>0</v>
      </c>
      <c r="Z889" s="12">
        <f t="shared" si="399"/>
        <v>0</v>
      </c>
      <c r="AA889" s="12">
        <f t="shared" si="379"/>
        <v>9</v>
      </c>
      <c r="AB889" s="12">
        <f t="shared" si="406"/>
        <v>3092.5</v>
      </c>
      <c r="AC889" s="12">
        <f t="shared" si="407"/>
        <v>2474</v>
      </c>
      <c r="AD889" s="12" t="b">
        <f t="shared" si="380"/>
        <v>0</v>
      </c>
      <c r="AE889" s="12">
        <f t="shared" si="400"/>
        <v>0</v>
      </c>
      <c r="AF889" s="12">
        <f>IF(AC889&gt;AC888,AB889,0)</f>
        <v>0</v>
      </c>
      <c r="AG889" s="12">
        <f>IF(AC889&gt;AC888,AC889,0)</f>
        <v>0</v>
      </c>
      <c r="AH889" s="12">
        <v>1</v>
      </c>
      <c r="AI889" s="12">
        <f t="shared" si="381"/>
        <v>0</v>
      </c>
      <c r="AJ889" s="12"/>
      <c r="AK889" s="12"/>
      <c r="AL889" s="3" t="str">
        <f t="shared" si="384"/>
        <v>PTA809</v>
      </c>
      <c r="AM889" s="3" t="str">
        <f t="shared" si="415"/>
        <v>PTA80910</v>
      </c>
      <c r="AN889" s="6">
        <f t="shared" si="385"/>
        <v>6124</v>
      </c>
      <c r="AO889" s="6">
        <f t="shared" si="402"/>
        <v>20180327</v>
      </c>
      <c r="AP889" s="6" t="str">
        <f t="shared" si="403"/>
        <v>9999</v>
      </c>
      <c r="AQ889" s="6" t="str">
        <f t="shared" si="404"/>
        <v>CNY</v>
      </c>
      <c r="AR889" s="6" t="str">
        <f t="shared" si="416"/>
        <v>50010002</v>
      </c>
      <c r="AS889" s="6">
        <f t="shared" si="405"/>
        <v>20180327</v>
      </c>
      <c r="AT889" s="6">
        <f t="shared" si="387"/>
        <v>20180326</v>
      </c>
      <c r="AU889" s="6">
        <v>1</v>
      </c>
      <c r="AV889" s="6">
        <f t="shared" si="388"/>
        <v>6124</v>
      </c>
      <c r="AW889" s="6">
        <f t="shared" si="389"/>
        <v>1</v>
      </c>
      <c r="AX889" s="6" t="str">
        <f t="shared" si="390"/>
        <v>PTA809</v>
      </c>
    </row>
    <row r="890" spans="1:50" s="6" customFormat="1" x14ac:dyDescent="0.25">
      <c r="A890" s="6" t="str">
        <f t="shared" si="391"/>
        <v>comment</v>
      </c>
      <c r="B890" s="12" t="str">
        <f>'day1'!B676</f>
        <v>PTA807&amp;PTA807C6500</v>
      </c>
      <c r="C890" s="12" t="str">
        <f>'day1'!C676</f>
        <v>PRT</v>
      </c>
      <c r="D890" s="12">
        <f>'day1'!D676</f>
        <v>15</v>
      </c>
      <c r="E890" s="12" t="str">
        <f>'day1'!E676</f>
        <v>2018032610000030</v>
      </c>
      <c r="F890" s="12" t="str">
        <f>'day1'!F676</f>
        <v>6001</v>
      </c>
      <c r="G890" s="12" t="str">
        <f>'day1'!G676</f>
        <v>B00102</v>
      </c>
      <c r="H890" s="12" t="str">
        <f>'day1'!H676</f>
        <v>6001</v>
      </c>
      <c r="I890" s="12" t="str">
        <f>'day1'!I676</f>
        <v>PTA807</v>
      </c>
      <c r="J890" s="12">
        <f>'day1'!J676</f>
        <v>1</v>
      </c>
      <c r="K890" s="12">
        <f>'day1'!K676</f>
        <v>0</v>
      </c>
      <c r="L890" s="12">
        <f>'day1'!L676</f>
        <v>0</v>
      </c>
      <c r="M890" s="12">
        <f>'day1'!M676</f>
        <v>2</v>
      </c>
      <c r="N890" s="12">
        <v>0</v>
      </c>
      <c r="O890" s="12">
        <f>'day1'!O676</f>
        <v>1</v>
      </c>
      <c r="P890" s="12">
        <f>'day1'!P676</f>
        <v>6.0000000000000005E-2</v>
      </c>
      <c r="Q890" s="12">
        <f>'day1'!Q676</f>
        <v>6</v>
      </c>
      <c r="R890" s="12">
        <f>'day1'!R676</f>
        <v>0.04</v>
      </c>
      <c r="S890" s="12">
        <f>'day1'!S676</f>
        <v>4</v>
      </c>
      <c r="T890" s="12">
        <f>'day1'!T676</f>
        <v>5</v>
      </c>
      <c r="U890" s="12">
        <f>'day1'!U676</f>
        <v>0</v>
      </c>
      <c r="V890" s="12">
        <f>'day1'!V676</f>
        <v>6165</v>
      </c>
      <c r="W890" s="12">
        <f>'day1'!W676</f>
        <v>0</v>
      </c>
      <c r="X890" s="12">
        <f>'day1'!X676</f>
        <v>0.5</v>
      </c>
      <c r="Y890" s="12">
        <f>'day1'!Y676</f>
        <v>0.5</v>
      </c>
      <c r="Z890" s="12">
        <f>'day1'!Z676</f>
        <v>0</v>
      </c>
      <c r="AA890" s="12">
        <f>'day1'!AA676</f>
        <v>9</v>
      </c>
      <c r="AB890" s="12">
        <f t="shared" si="406"/>
        <v>0</v>
      </c>
      <c r="AC890" s="12">
        <f t="shared" si="407"/>
        <v>0</v>
      </c>
      <c r="AD890" s="12" t="b">
        <f>'day1'!AD676</f>
        <v>0</v>
      </c>
      <c r="AE890" s="12">
        <f>'day1'!AE676</f>
        <v>0</v>
      </c>
      <c r="AF890" s="12">
        <v>0</v>
      </c>
      <c r="AG890" s="12">
        <v>0</v>
      </c>
      <c r="AH890" s="12">
        <f>'day1'!AH676</f>
        <v>1</v>
      </c>
      <c r="AI890" s="12">
        <f>'day1'!AI676</f>
        <v>0</v>
      </c>
      <c r="AJ890" s="12">
        <f>'day1'!AJ676</f>
        <v>0</v>
      </c>
      <c r="AK890" s="12">
        <f>'day1'!AK676</f>
        <v>0</v>
      </c>
      <c r="AL890" s="12" t="str">
        <f>'day1'!AL676</f>
        <v>PTA807</v>
      </c>
      <c r="AM890" s="12" t="str">
        <f>'day1'!AM676</f>
        <v>PTA80710</v>
      </c>
      <c r="AN890" s="12">
        <f>'day1'!AN676</f>
        <v>6120</v>
      </c>
      <c r="AO890" s="12">
        <f>'day1'!AO676</f>
        <v>20180326</v>
      </c>
      <c r="AP890" s="12" t="str">
        <f>'day1'!AP676</f>
        <v>9999</v>
      </c>
      <c r="AQ890" s="12" t="str">
        <f>'day1'!AQ676</f>
        <v>CNY</v>
      </c>
      <c r="AR890" s="12" t="str">
        <f>'day1'!AR676</f>
        <v>50010002</v>
      </c>
      <c r="AS890" s="101">
        <f>'day1'!AS676</f>
        <v>20180326</v>
      </c>
      <c r="AT890" s="6">
        <f t="shared" si="387"/>
        <v>20180326</v>
      </c>
      <c r="AU890" s="6">
        <v>0</v>
      </c>
      <c r="AV890" s="6">
        <f t="shared" si="388"/>
        <v>6120</v>
      </c>
      <c r="AW890" s="6">
        <f t="shared" si="389"/>
        <v>1</v>
      </c>
      <c r="AX890" s="6" t="str">
        <f t="shared" si="390"/>
        <v>PTA807</v>
      </c>
    </row>
    <row r="891" spans="1:50" s="6" customFormat="1" x14ac:dyDescent="0.25">
      <c r="A891" s="6" t="str">
        <f t="shared" si="391"/>
        <v>comment</v>
      </c>
      <c r="B891" s="12" t="str">
        <f>'day1'!B677</f>
        <v>PTA807&amp;PTA807C6500</v>
      </c>
      <c r="C891" s="12" t="str">
        <f>'day1'!C677</f>
        <v>PRT</v>
      </c>
      <c r="D891" s="12">
        <f>'day1'!D677</f>
        <v>15</v>
      </c>
      <c r="E891" s="12" t="str">
        <f>'day1'!E677</f>
        <v>2018032610000104</v>
      </c>
      <c r="F891" s="12" t="str">
        <f>'day1'!F677</f>
        <v>6001</v>
      </c>
      <c r="G891" s="12" t="str">
        <f>'day1'!G677</f>
        <v>B00102</v>
      </c>
      <c r="H891" s="12" t="str">
        <f>'day1'!H677</f>
        <v>6001</v>
      </c>
      <c r="I891" s="12" t="str">
        <f>'day1'!I677</f>
        <v>PTA807C6500</v>
      </c>
      <c r="J891" s="12">
        <f>'day1'!J677</f>
        <v>1</v>
      </c>
      <c r="K891" s="12">
        <f>'day1'!K677</f>
        <v>0</v>
      </c>
      <c r="L891" s="12">
        <f>'day1'!L677</f>
        <v>1</v>
      </c>
      <c r="M891" s="12">
        <f>'day1'!M677</f>
        <v>3</v>
      </c>
      <c r="N891" s="12">
        <v>0</v>
      </c>
      <c r="O891" s="12">
        <f>'day1'!O677</f>
        <v>1</v>
      </c>
      <c r="P891" s="12">
        <f>'day1'!P677</f>
        <v>6.0000000000000005E-2</v>
      </c>
      <c r="Q891" s="12">
        <f>'day1'!Q677</f>
        <v>6</v>
      </c>
      <c r="R891" s="12">
        <f>'day1'!R677</f>
        <v>0.04</v>
      </c>
      <c r="S891" s="12">
        <f>'day1'!S677</f>
        <v>4</v>
      </c>
      <c r="T891" s="12">
        <f>'day1'!T677</f>
        <v>5</v>
      </c>
      <c r="U891" s="12">
        <f>'day1'!U677</f>
        <v>6500</v>
      </c>
      <c r="V891" s="12">
        <f>'day1'!V677</f>
        <v>600</v>
      </c>
      <c r="W891" s="12">
        <f>'day1'!W677</f>
        <v>6165</v>
      </c>
      <c r="X891" s="12">
        <f>'day1'!X677</f>
        <v>0.5</v>
      </c>
      <c r="Y891" s="12">
        <f>'day1'!Y677</f>
        <v>0.5</v>
      </c>
      <c r="Z891" s="12">
        <f>'day1'!Z677</f>
        <v>1675</v>
      </c>
      <c r="AA891" s="12">
        <f>'day1'!AA677</f>
        <v>0</v>
      </c>
      <c r="AB891" s="12">
        <f t="shared" si="406"/>
        <v>0</v>
      </c>
      <c r="AC891" s="12">
        <f t="shared" si="407"/>
        <v>0</v>
      </c>
      <c r="AD891" s="12">
        <f>'day1'!AD677</f>
        <v>3000</v>
      </c>
      <c r="AE891" s="12">
        <f>'day1'!AE677</f>
        <v>3000</v>
      </c>
      <c r="AF891" s="12">
        <v>0</v>
      </c>
      <c r="AG891" s="12">
        <v>0</v>
      </c>
      <c r="AH891" s="12">
        <f>'day1'!AH677</f>
        <v>1</v>
      </c>
      <c r="AI891" s="12">
        <f>'day1'!AI677</f>
        <v>1</v>
      </c>
      <c r="AJ891" s="12">
        <f>'day1'!AJ677</f>
        <v>0</v>
      </c>
      <c r="AK891" s="12">
        <f>'day1'!AK677</f>
        <v>0</v>
      </c>
      <c r="AL891" s="12" t="str">
        <f>'day1'!AL677</f>
        <v>PTA807</v>
      </c>
      <c r="AM891" s="12" t="str">
        <f>'day1'!AM677</f>
        <v>PTA80710</v>
      </c>
      <c r="AN891" s="12">
        <f>'day1'!AN677</f>
        <v>624</v>
      </c>
      <c r="AO891" s="12">
        <f>'day1'!AO677</f>
        <v>20180326</v>
      </c>
      <c r="AP891" s="12" t="str">
        <f>'day1'!AP677</f>
        <v>9999</v>
      </c>
      <c r="AQ891" s="12" t="str">
        <f>'day1'!AQ677</f>
        <v>CNY</v>
      </c>
      <c r="AR891" s="12" t="str">
        <f>'day1'!AR677</f>
        <v>50010002</v>
      </c>
      <c r="AS891" s="101">
        <f>'day1'!AS677</f>
        <v>20180326</v>
      </c>
      <c r="AT891" s="6">
        <f t="shared" si="387"/>
        <v>20180326</v>
      </c>
      <c r="AU891" s="6">
        <v>1</v>
      </c>
      <c r="AV891" s="6">
        <f t="shared" si="388"/>
        <v>624</v>
      </c>
      <c r="AW891" s="6">
        <f t="shared" si="389"/>
        <v>1</v>
      </c>
      <c r="AX891" s="6" t="str">
        <f t="shared" si="390"/>
        <v>PTA807</v>
      </c>
    </row>
    <row r="892" spans="1:50" s="6" customFormat="1" x14ac:dyDescent="0.25">
      <c r="A892" s="6" t="str">
        <f t="shared" si="391"/>
        <v>comment</v>
      </c>
      <c r="B892" s="12" t="str">
        <f>'day1'!B678</f>
        <v>PTA807&amp;PTA807C6500</v>
      </c>
      <c r="C892" s="12" t="str">
        <f>'day1'!C678</f>
        <v>PRT</v>
      </c>
      <c r="D892" s="12">
        <f>'day1'!D678</f>
        <v>16</v>
      </c>
      <c r="E892" s="12" t="str">
        <f>'day1'!E678</f>
        <v>2018032610000031</v>
      </c>
      <c r="F892" s="12" t="str">
        <f>'day1'!F678</f>
        <v>6001</v>
      </c>
      <c r="G892" s="12" t="str">
        <f>'day1'!G678</f>
        <v>B00102</v>
      </c>
      <c r="H892" s="12" t="str">
        <f>'day1'!H678</f>
        <v>6001</v>
      </c>
      <c r="I892" s="12" t="str">
        <f>'day1'!I678</f>
        <v>PTA807</v>
      </c>
      <c r="J892" s="12">
        <f>'day1'!J678</f>
        <v>1</v>
      </c>
      <c r="K892" s="12">
        <f>'day1'!K678</f>
        <v>1</v>
      </c>
      <c r="L892" s="12">
        <f>'day1'!L678</f>
        <v>1</v>
      </c>
      <c r="M892" s="12">
        <f>'day1'!M678</f>
        <v>3</v>
      </c>
      <c r="N892" s="12">
        <v>0</v>
      </c>
      <c r="O892" s="12">
        <f>'day1'!O678</f>
        <v>1</v>
      </c>
      <c r="P892" s="12">
        <f>'day1'!P678</f>
        <v>6.2E-2</v>
      </c>
      <c r="Q892" s="12">
        <f>'day1'!Q678</f>
        <v>6.21</v>
      </c>
      <c r="R892" s="12">
        <f>'day1'!R678</f>
        <v>4.1000000000000002E-2</v>
      </c>
      <c r="S892" s="12">
        <f>'day1'!S678</f>
        <v>4.0999999999999996</v>
      </c>
      <c r="T892" s="12">
        <f>'day1'!T678</f>
        <v>5</v>
      </c>
      <c r="U892" s="12">
        <f>'day1'!U678</f>
        <v>0</v>
      </c>
      <c r="V892" s="12">
        <f>'day1'!V678</f>
        <v>6165</v>
      </c>
      <c r="W892" s="12">
        <f>'day1'!W678</f>
        <v>0</v>
      </c>
      <c r="X892" s="12">
        <f>'day1'!X678</f>
        <v>0.5</v>
      </c>
      <c r="Y892" s="12">
        <f>'day1'!Y678</f>
        <v>0.5</v>
      </c>
      <c r="Z892" s="12">
        <f>'day1'!Z678</f>
        <v>0</v>
      </c>
      <c r="AA892" s="12">
        <f>'day1'!AA678</f>
        <v>9</v>
      </c>
      <c r="AB892" s="12">
        <f t="shared" si="406"/>
        <v>0</v>
      </c>
      <c r="AC892" s="12">
        <f t="shared" si="407"/>
        <v>0</v>
      </c>
      <c r="AD892" s="12" t="b">
        <f>'day1'!AD678</f>
        <v>0</v>
      </c>
      <c r="AE892" s="12">
        <f>'day1'!AE678</f>
        <v>0</v>
      </c>
      <c r="AF892" s="12">
        <v>0</v>
      </c>
      <c r="AG892" s="12">
        <v>0</v>
      </c>
      <c r="AH892" s="12">
        <f>'day1'!AH678</f>
        <v>1</v>
      </c>
      <c r="AI892" s="12">
        <f>'day1'!AI678</f>
        <v>0</v>
      </c>
      <c r="AJ892" s="12">
        <f>'day1'!AJ678</f>
        <v>0</v>
      </c>
      <c r="AK892" s="12">
        <f>'day1'!AK678</f>
        <v>0</v>
      </c>
      <c r="AL892" s="12" t="str">
        <f>'day1'!AL678</f>
        <v>PTA807</v>
      </c>
      <c r="AM892" s="12" t="str">
        <f>'day1'!AM678</f>
        <v>PTA80711</v>
      </c>
      <c r="AN892" s="12">
        <f>'day1'!AN678</f>
        <v>6121</v>
      </c>
      <c r="AO892" s="12">
        <f>'day1'!AO678</f>
        <v>20180326</v>
      </c>
      <c r="AP892" s="12" t="str">
        <f>'day1'!AP678</f>
        <v>9999</v>
      </c>
      <c r="AQ892" s="12" t="str">
        <f>'day1'!AQ678</f>
        <v>CNY</v>
      </c>
      <c r="AR892" s="12" t="str">
        <f>'day1'!AR678</f>
        <v>50010002</v>
      </c>
      <c r="AS892" s="101">
        <f>'day1'!AS678</f>
        <v>20180326</v>
      </c>
      <c r="AT892" s="6">
        <f t="shared" si="387"/>
        <v>20180326</v>
      </c>
      <c r="AU892" s="6">
        <v>0</v>
      </c>
      <c r="AV892" s="6">
        <f t="shared" si="388"/>
        <v>6121</v>
      </c>
      <c r="AW892" s="6">
        <f t="shared" si="389"/>
        <v>1</v>
      </c>
      <c r="AX892" s="6" t="str">
        <f t="shared" si="390"/>
        <v>PTA807</v>
      </c>
    </row>
    <row r="893" spans="1:50" s="6" customFormat="1" x14ac:dyDescent="0.25">
      <c r="A893" s="6" t="str">
        <f t="shared" si="391"/>
        <v>comment</v>
      </c>
      <c r="B893" s="12" t="str">
        <f>'day1'!B679</f>
        <v>PTA807&amp;PTA807C6500</v>
      </c>
      <c r="C893" s="12" t="str">
        <f>'day1'!C679</f>
        <v>PRT</v>
      </c>
      <c r="D893" s="12">
        <f>'day1'!D679</f>
        <v>16</v>
      </c>
      <c r="E893" s="12" t="str">
        <f>'day1'!E679</f>
        <v>2018032610000104</v>
      </c>
      <c r="F893" s="12" t="str">
        <f>'day1'!F679</f>
        <v>6001</v>
      </c>
      <c r="G893" s="12" t="str">
        <f>'day1'!G679</f>
        <v>B00102</v>
      </c>
      <c r="H893" s="12" t="str">
        <f>'day1'!H679</f>
        <v>6001</v>
      </c>
      <c r="I893" s="12" t="str">
        <f>'day1'!I679</f>
        <v>PTA807C6500</v>
      </c>
      <c r="J893" s="12">
        <f>'day1'!J679</f>
        <v>1</v>
      </c>
      <c r="K893" s="12">
        <f>'day1'!K679</f>
        <v>1</v>
      </c>
      <c r="L893" s="12">
        <f>'day1'!L679</f>
        <v>1</v>
      </c>
      <c r="M893" s="12">
        <f>'day1'!M679</f>
        <v>3</v>
      </c>
      <c r="N893" s="12">
        <v>0</v>
      </c>
      <c r="O893" s="12">
        <f>'day1'!O679</f>
        <v>1</v>
      </c>
      <c r="P893" s="12">
        <f>'day1'!P679</f>
        <v>6.0000000000000005E-2</v>
      </c>
      <c r="Q893" s="12">
        <f>'day1'!Q679</f>
        <v>6</v>
      </c>
      <c r="R893" s="12">
        <f>'day1'!R679</f>
        <v>0.04</v>
      </c>
      <c r="S893" s="12">
        <f>'day1'!S679</f>
        <v>4</v>
      </c>
      <c r="T893" s="12">
        <f>'day1'!T679</f>
        <v>5</v>
      </c>
      <c r="U893" s="12">
        <f>'day1'!U679</f>
        <v>6500</v>
      </c>
      <c r="V893" s="12">
        <f>'day1'!V679</f>
        <v>600</v>
      </c>
      <c r="W893" s="12">
        <f>'day1'!W679</f>
        <v>6165</v>
      </c>
      <c r="X893" s="12">
        <f>'day1'!X679</f>
        <v>0.5</v>
      </c>
      <c r="Y893" s="12">
        <f>'day1'!Y679</f>
        <v>0.5</v>
      </c>
      <c r="Z893" s="12">
        <f>'day1'!Z679</f>
        <v>1675</v>
      </c>
      <c r="AA893" s="12">
        <f>'day1'!AA679</f>
        <v>0</v>
      </c>
      <c r="AB893" s="12">
        <f t="shared" si="406"/>
        <v>0</v>
      </c>
      <c r="AC893" s="12">
        <f t="shared" si="407"/>
        <v>0</v>
      </c>
      <c r="AD893" s="12">
        <f>'day1'!AD679</f>
        <v>3000</v>
      </c>
      <c r="AE893" s="12">
        <f>'day1'!AE679</f>
        <v>3000</v>
      </c>
      <c r="AF893" s="12">
        <v>0</v>
      </c>
      <c r="AG893" s="12">
        <v>0</v>
      </c>
      <c r="AH893" s="12">
        <f>'day1'!AH679</f>
        <v>1</v>
      </c>
      <c r="AI893" s="12">
        <f>'day1'!AI679</f>
        <v>1</v>
      </c>
      <c r="AJ893" s="12">
        <f>'day1'!AJ679</f>
        <v>0</v>
      </c>
      <c r="AK893" s="12">
        <f>'day1'!AK679</f>
        <v>0</v>
      </c>
      <c r="AL893" s="12" t="str">
        <f>'day1'!AL679</f>
        <v>PTA807</v>
      </c>
      <c r="AM893" s="12" t="str">
        <f>'day1'!AM679</f>
        <v>PTA80710</v>
      </c>
      <c r="AN893" s="12">
        <f>'day1'!AN679</f>
        <v>624</v>
      </c>
      <c r="AO893" s="12">
        <f>'day1'!AO679</f>
        <v>20180326</v>
      </c>
      <c r="AP893" s="12" t="str">
        <f>'day1'!AP679</f>
        <v>9999</v>
      </c>
      <c r="AQ893" s="12" t="str">
        <f>'day1'!AQ679</f>
        <v>CNY</v>
      </c>
      <c r="AR893" s="12" t="str">
        <f>'day1'!AR679</f>
        <v>50010002</v>
      </c>
      <c r="AS893" s="101">
        <f>'day1'!AS679</f>
        <v>20180326</v>
      </c>
      <c r="AT893" s="6">
        <f t="shared" si="387"/>
        <v>20180326</v>
      </c>
      <c r="AU893" s="6">
        <v>1</v>
      </c>
      <c r="AV893" s="6">
        <f t="shared" si="388"/>
        <v>624</v>
      </c>
      <c r="AW893" s="6">
        <f t="shared" si="389"/>
        <v>1</v>
      </c>
      <c r="AX893" s="6" t="str">
        <f t="shared" si="390"/>
        <v>PTA807</v>
      </c>
    </row>
    <row r="894" spans="1:50" s="6" customFormat="1" x14ac:dyDescent="0.25">
      <c r="A894" s="6" t="str">
        <f t="shared" si="391"/>
        <v>comment</v>
      </c>
      <c r="B894" s="12" t="str">
        <f>'day1'!B680</f>
        <v>PTA807C6500&amp;PTA807P6500</v>
      </c>
      <c r="C894" s="12" t="str">
        <f>'day1'!C680</f>
        <v>STD</v>
      </c>
      <c r="D894" s="12">
        <f>'day1'!D680</f>
        <v>17</v>
      </c>
      <c r="E894" s="12" t="str">
        <f>'day1'!E680</f>
        <v>2018032610000103</v>
      </c>
      <c r="F894" s="12" t="str">
        <f>'day1'!F680</f>
        <v>6001</v>
      </c>
      <c r="G894" s="12" t="str">
        <f>'day1'!G680</f>
        <v>B00102</v>
      </c>
      <c r="H894" s="12" t="str">
        <f>'day1'!H680</f>
        <v>6001</v>
      </c>
      <c r="I894" s="12" t="str">
        <f>'day1'!I680</f>
        <v>PTA807C6500</v>
      </c>
      <c r="J894" s="12">
        <f>'day1'!J680</f>
        <v>1</v>
      </c>
      <c r="K894" s="12">
        <f>'day1'!K680</f>
        <v>0</v>
      </c>
      <c r="L894" s="12">
        <f>'day1'!L680</f>
        <v>0</v>
      </c>
      <c r="M894" s="12">
        <f>'day1'!M680</f>
        <v>2</v>
      </c>
      <c r="N894" s="12">
        <v>0</v>
      </c>
      <c r="O894" s="12">
        <f>'day1'!O680</f>
        <v>1</v>
      </c>
      <c r="P894" s="12">
        <f>'day1'!P680</f>
        <v>6.2E-2</v>
      </c>
      <c r="Q894" s="12">
        <f>'day1'!Q680</f>
        <v>6.21</v>
      </c>
      <c r="R894" s="12">
        <f>'day1'!R680</f>
        <v>4.1000000000000002E-2</v>
      </c>
      <c r="S894" s="12">
        <f>'day1'!S680</f>
        <v>4.0999999999999996</v>
      </c>
      <c r="T894" s="12">
        <f>'day1'!T680</f>
        <v>5</v>
      </c>
      <c r="U894" s="12">
        <f>'day1'!U680</f>
        <v>6500</v>
      </c>
      <c r="V894" s="12">
        <f>'day1'!V680</f>
        <v>600</v>
      </c>
      <c r="W894" s="12">
        <f>'day1'!W680</f>
        <v>6165</v>
      </c>
      <c r="X894" s="12">
        <f>'day1'!X680</f>
        <v>0.5</v>
      </c>
      <c r="Y894" s="12">
        <f>'day1'!Y680</f>
        <v>0.5</v>
      </c>
      <c r="Z894" s="12">
        <f>'day1'!Z680</f>
        <v>1675</v>
      </c>
      <c r="AA894" s="12">
        <f>'day1'!AA680</f>
        <v>0</v>
      </c>
      <c r="AB894" s="12">
        <f t="shared" si="406"/>
        <v>0</v>
      </c>
      <c r="AC894" s="12">
        <f t="shared" si="407"/>
        <v>0</v>
      </c>
      <c r="AD894" s="12">
        <f>'day1'!AD680</f>
        <v>3000</v>
      </c>
      <c r="AE894" s="12">
        <f>'day1'!AE680</f>
        <v>3000</v>
      </c>
      <c r="AF894" s="12">
        <v>0</v>
      </c>
      <c r="AG894" s="12">
        <v>0</v>
      </c>
      <c r="AH894" s="12">
        <f>'day1'!AH680</f>
        <v>1</v>
      </c>
      <c r="AI894" s="12">
        <f>'day1'!AI680</f>
        <v>1</v>
      </c>
      <c r="AJ894" s="12">
        <f>'day1'!AJ680</f>
        <v>0</v>
      </c>
      <c r="AK894" s="12">
        <f>'day1'!AK680</f>
        <v>0</v>
      </c>
      <c r="AL894" s="12" t="str">
        <f>'day1'!AL680</f>
        <v>PTA807</v>
      </c>
      <c r="AM894" s="12" t="str">
        <f>'day1'!AM680</f>
        <v>PTA80711</v>
      </c>
      <c r="AN894" s="12">
        <f>'day1'!AN680</f>
        <v>623</v>
      </c>
      <c r="AO894" s="12">
        <f>'day1'!AO680</f>
        <v>20180326</v>
      </c>
      <c r="AP894" s="12" t="str">
        <f>'day1'!AP680</f>
        <v>9999</v>
      </c>
      <c r="AQ894" s="12" t="str">
        <f>'day1'!AQ680</f>
        <v>CNY</v>
      </c>
      <c r="AR894" s="12" t="str">
        <f>'day1'!AR680</f>
        <v>50010002</v>
      </c>
      <c r="AS894" s="101">
        <f>'day1'!AS680</f>
        <v>20180326</v>
      </c>
      <c r="AT894" s="6">
        <f t="shared" si="387"/>
        <v>20180326</v>
      </c>
      <c r="AU894" s="6">
        <v>0</v>
      </c>
      <c r="AV894" s="6">
        <f t="shared" si="388"/>
        <v>623</v>
      </c>
      <c r="AW894" s="6">
        <f t="shared" si="389"/>
        <v>1</v>
      </c>
      <c r="AX894" s="6" t="str">
        <f t="shared" si="390"/>
        <v>PTA807</v>
      </c>
    </row>
    <row r="895" spans="1:50" s="6" customFormat="1" x14ac:dyDescent="0.25">
      <c r="A895" s="6" t="str">
        <f t="shared" si="391"/>
        <v>comment</v>
      </c>
      <c r="B895" s="12" t="str">
        <f>'day1'!B681</f>
        <v>PTA807C6500&amp;PTA807P6500</v>
      </c>
      <c r="C895" s="12" t="str">
        <f>'day1'!C681</f>
        <v>STD</v>
      </c>
      <c r="D895" s="12">
        <f>'day1'!D681</f>
        <v>17</v>
      </c>
      <c r="E895" s="12" t="str">
        <f>'day1'!E681</f>
        <v>2018032610000111</v>
      </c>
      <c r="F895" s="12" t="str">
        <f>'day1'!F681</f>
        <v>6001</v>
      </c>
      <c r="G895" s="12" t="str">
        <f>'day1'!G681</f>
        <v>B00102</v>
      </c>
      <c r="H895" s="12" t="str">
        <f>'day1'!H681</f>
        <v>6001</v>
      </c>
      <c r="I895" s="12" t="str">
        <f>'day1'!I681</f>
        <v>PTA807P6500</v>
      </c>
      <c r="J895" s="12">
        <f>'day1'!J681</f>
        <v>1</v>
      </c>
      <c r="K895" s="12">
        <f>'day1'!K681</f>
        <v>0</v>
      </c>
      <c r="L895" s="12">
        <f>'day1'!L681</f>
        <v>0</v>
      </c>
      <c r="M895" s="12">
        <f>'day1'!M681</f>
        <v>2</v>
      </c>
      <c r="N895" s="12">
        <v>0</v>
      </c>
      <c r="O895" s="12">
        <f>'day1'!O681</f>
        <v>1</v>
      </c>
      <c r="P895" s="12">
        <f>'day1'!P681</f>
        <v>6.2E-2</v>
      </c>
      <c r="Q895" s="12">
        <f>'day1'!Q681</f>
        <v>6.21</v>
      </c>
      <c r="R895" s="12">
        <f>'day1'!R681</f>
        <v>4.1000000000000002E-2</v>
      </c>
      <c r="S895" s="12">
        <f>'day1'!S681</f>
        <v>4.0999999999999996</v>
      </c>
      <c r="T895" s="12">
        <f>'day1'!T681</f>
        <v>5</v>
      </c>
      <c r="U895" s="12">
        <f>'day1'!U681</f>
        <v>6500</v>
      </c>
      <c r="V895" s="12">
        <f>'day1'!V681</f>
        <v>610</v>
      </c>
      <c r="W895" s="12">
        <f>'day1'!W681</f>
        <v>6165</v>
      </c>
      <c r="X895" s="12">
        <f>'day1'!X681</f>
        <v>0.5</v>
      </c>
      <c r="Y895" s="12">
        <f>'day1'!Y681</f>
        <v>0.5</v>
      </c>
      <c r="Z895" s="12">
        <f>'day1'!Z681</f>
        <v>0</v>
      </c>
      <c r="AA895" s="12">
        <f>'day1'!AA681</f>
        <v>1</v>
      </c>
      <c r="AB895" s="12">
        <f t="shared" si="406"/>
        <v>0</v>
      </c>
      <c r="AC895" s="12">
        <f t="shared" si="407"/>
        <v>0</v>
      </c>
      <c r="AD895" s="12">
        <f>'day1'!AD681</f>
        <v>3050</v>
      </c>
      <c r="AE895" s="12">
        <f>'day1'!AE681</f>
        <v>3050</v>
      </c>
      <c r="AF895" s="12">
        <v>0</v>
      </c>
      <c r="AG895" s="12">
        <v>0</v>
      </c>
      <c r="AH895" s="12">
        <f>'day1'!AH681</f>
        <v>1</v>
      </c>
      <c r="AI895" s="12">
        <f>'day1'!AI681</f>
        <v>1</v>
      </c>
      <c r="AJ895" s="12">
        <f>'day1'!AJ681</f>
        <v>0</v>
      </c>
      <c r="AK895" s="12">
        <f>'day1'!AK681</f>
        <v>0</v>
      </c>
      <c r="AL895" s="12" t="str">
        <f>'day1'!AL681</f>
        <v>PTA807</v>
      </c>
      <c r="AM895" s="12" t="str">
        <f>'day1'!AM681</f>
        <v>PTA80711</v>
      </c>
      <c r="AN895" s="12">
        <f>'day1'!AN681</f>
        <v>631</v>
      </c>
      <c r="AO895" s="12">
        <f>'day1'!AO681</f>
        <v>20180326</v>
      </c>
      <c r="AP895" s="12" t="str">
        <f>'day1'!AP681</f>
        <v>9999</v>
      </c>
      <c r="AQ895" s="12" t="str">
        <f>'day1'!AQ681</f>
        <v>CNY</v>
      </c>
      <c r="AR895" s="12" t="str">
        <f>'day1'!AR681</f>
        <v>50010002</v>
      </c>
      <c r="AS895" s="101">
        <f>'day1'!AS681</f>
        <v>20180326</v>
      </c>
      <c r="AT895" s="6">
        <f t="shared" si="387"/>
        <v>20180326</v>
      </c>
      <c r="AU895" s="6">
        <v>1</v>
      </c>
      <c r="AV895" s="6">
        <f t="shared" si="388"/>
        <v>631</v>
      </c>
      <c r="AW895" s="6">
        <f t="shared" si="389"/>
        <v>1</v>
      </c>
      <c r="AX895" s="6" t="str">
        <f t="shared" si="390"/>
        <v>PTA807</v>
      </c>
    </row>
    <row r="896" spans="1:50" s="6" customFormat="1" x14ac:dyDescent="0.25">
      <c r="A896" s="6" t="str">
        <f t="shared" si="391"/>
        <v>comment</v>
      </c>
      <c r="B896" s="12" t="str">
        <f>'day1'!B682</f>
        <v>PTA807C6500&amp;PTA807P6500</v>
      </c>
      <c r="C896" s="12" t="str">
        <f>'day1'!C682</f>
        <v>STD</v>
      </c>
      <c r="D896" s="12">
        <f>'day1'!D682</f>
        <v>18</v>
      </c>
      <c r="E896" s="12" t="str">
        <f>'day1'!E682</f>
        <v>2018032610000104</v>
      </c>
      <c r="F896" s="12" t="str">
        <f>'day1'!F682</f>
        <v>6001</v>
      </c>
      <c r="G896" s="12" t="str">
        <f>'day1'!G682</f>
        <v>B00102</v>
      </c>
      <c r="H896" s="12" t="str">
        <f>'day1'!H682</f>
        <v>6001</v>
      </c>
      <c r="I896" s="12" t="str">
        <f>'day1'!I682</f>
        <v>PTA807C6500</v>
      </c>
      <c r="J896" s="12">
        <f>'day1'!J682</f>
        <v>1</v>
      </c>
      <c r="K896" s="12">
        <f>'day1'!K682</f>
        <v>1</v>
      </c>
      <c r="L896" s="12">
        <f>'day1'!L682</f>
        <v>1</v>
      </c>
      <c r="M896" s="12">
        <f>'day1'!M682</f>
        <v>3</v>
      </c>
      <c r="N896" s="12">
        <v>0</v>
      </c>
      <c r="O896" s="12">
        <f>'day1'!O682</f>
        <v>1</v>
      </c>
      <c r="P896" s="12">
        <f>'day1'!P682</f>
        <v>6.0000000000000005E-2</v>
      </c>
      <c r="Q896" s="12">
        <f>'day1'!Q682</f>
        <v>6</v>
      </c>
      <c r="R896" s="12">
        <f>'day1'!R682</f>
        <v>0.04</v>
      </c>
      <c r="S896" s="12">
        <f>'day1'!S682</f>
        <v>4</v>
      </c>
      <c r="T896" s="12">
        <f>'day1'!T682</f>
        <v>5</v>
      </c>
      <c r="U896" s="12">
        <f>'day1'!U682</f>
        <v>6500</v>
      </c>
      <c r="V896" s="12">
        <f>'day1'!V682</f>
        <v>600</v>
      </c>
      <c r="W896" s="12">
        <f>'day1'!W682</f>
        <v>6165</v>
      </c>
      <c r="X896" s="12">
        <f>'day1'!X682</f>
        <v>0.5</v>
      </c>
      <c r="Y896" s="12">
        <f>'day1'!Y682</f>
        <v>0.5</v>
      </c>
      <c r="Z896" s="12">
        <f>'day1'!Z682</f>
        <v>1675</v>
      </c>
      <c r="AA896" s="12">
        <f>'day1'!AA682</f>
        <v>0</v>
      </c>
      <c r="AB896" s="12">
        <f t="shared" si="406"/>
        <v>0</v>
      </c>
      <c r="AC896" s="12">
        <f t="shared" si="407"/>
        <v>0</v>
      </c>
      <c r="AD896" s="12">
        <f>'day1'!AD682</f>
        <v>3000</v>
      </c>
      <c r="AE896" s="12">
        <f>'day1'!AE682</f>
        <v>3000</v>
      </c>
      <c r="AF896" s="12">
        <v>0</v>
      </c>
      <c r="AG896" s="12">
        <v>0</v>
      </c>
      <c r="AH896" s="12">
        <f>'day1'!AH682</f>
        <v>1</v>
      </c>
      <c r="AI896" s="12">
        <f>'day1'!AI682</f>
        <v>1</v>
      </c>
      <c r="AJ896" s="12">
        <f>'day1'!AJ682</f>
        <v>0</v>
      </c>
      <c r="AK896" s="12">
        <f>'day1'!AK682</f>
        <v>0</v>
      </c>
      <c r="AL896" s="12" t="str">
        <f>'day1'!AL682</f>
        <v>PTA807</v>
      </c>
      <c r="AM896" s="12" t="str">
        <f>'day1'!AM682</f>
        <v>PTA80710</v>
      </c>
      <c r="AN896" s="12">
        <f>'day1'!AN682</f>
        <v>624</v>
      </c>
      <c r="AO896" s="12">
        <f>'day1'!AO682</f>
        <v>20180326</v>
      </c>
      <c r="AP896" s="12" t="str">
        <f>'day1'!AP682</f>
        <v>9999</v>
      </c>
      <c r="AQ896" s="12" t="str">
        <f>'day1'!AQ682</f>
        <v>CNY</v>
      </c>
      <c r="AR896" s="12" t="str">
        <f>'day1'!AR682</f>
        <v>50010002</v>
      </c>
      <c r="AS896" s="101">
        <f>'day1'!AS682</f>
        <v>20180326</v>
      </c>
      <c r="AT896" s="6">
        <f t="shared" si="387"/>
        <v>20180326</v>
      </c>
      <c r="AU896" s="6">
        <v>0</v>
      </c>
      <c r="AV896" s="6">
        <f t="shared" si="388"/>
        <v>624</v>
      </c>
      <c r="AW896" s="6">
        <f t="shared" si="389"/>
        <v>1</v>
      </c>
      <c r="AX896" s="6" t="str">
        <f t="shared" si="390"/>
        <v>PTA807</v>
      </c>
    </row>
    <row r="897" spans="1:50" s="6" customFormat="1" x14ac:dyDescent="0.25">
      <c r="A897" s="6" t="str">
        <f t="shared" si="391"/>
        <v>comment</v>
      </c>
      <c r="B897" s="12" t="str">
        <f>'day1'!B683</f>
        <v>PTA807C6500&amp;PTA807P6500</v>
      </c>
      <c r="C897" s="12" t="str">
        <f>'day1'!C683</f>
        <v>STD</v>
      </c>
      <c r="D897" s="12">
        <f>'day1'!D683</f>
        <v>18</v>
      </c>
      <c r="E897" s="12" t="str">
        <f>'day1'!E683</f>
        <v>2018032610000112</v>
      </c>
      <c r="F897" s="12" t="str">
        <f>'day1'!F683</f>
        <v>6001</v>
      </c>
      <c r="G897" s="12" t="str">
        <f>'day1'!G683</f>
        <v>B00102</v>
      </c>
      <c r="H897" s="12" t="str">
        <f>'day1'!H683</f>
        <v>6001</v>
      </c>
      <c r="I897" s="12" t="str">
        <f>'day1'!I683</f>
        <v>PTA807P6500</v>
      </c>
      <c r="J897" s="12">
        <f>'day1'!J683</f>
        <v>1</v>
      </c>
      <c r="K897" s="12">
        <f>'day1'!K683</f>
        <v>1</v>
      </c>
      <c r="L897" s="12">
        <f>'day1'!L683</f>
        <v>1</v>
      </c>
      <c r="M897" s="12">
        <f>'day1'!M683</f>
        <v>3</v>
      </c>
      <c r="N897" s="12">
        <v>0</v>
      </c>
      <c r="O897" s="12">
        <f>'day1'!O683</f>
        <v>1</v>
      </c>
      <c r="P897" s="12">
        <f>'day1'!P683</f>
        <v>6.0000000000000005E-2</v>
      </c>
      <c r="Q897" s="12">
        <f>'day1'!Q683</f>
        <v>6</v>
      </c>
      <c r="R897" s="12">
        <f>'day1'!R683</f>
        <v>0.04</v>
      </c>
      <c r="S897" s="12">
        <f>'day1'!S683</f>
        <v>4</v>
      </c>
      <c r="T897" s="12">
        <f>'day1'!T683</f>
        <v>5</v>
      </c>
      <c r="U897" s="12">
        <f>'day1'!U683</f>
        <v>6500</v>
      </c>
      <c r="V897" s="12">
        <f>'day1'!V683</f>
        <v>610</v>
      </c>
      <c r="W897" s="12">
        <f>'day1'!W683</f>
        <v>6165</v>
      </c>
      <c r="X897" s="12">
        <f>'day1'!X683</f>
        <v>0.5</v>
      </c>
      <c r="Y897" s="12">
        <f>'day1'!Y683</f>
        <v>0.5</v>
      </c>
      <c r="Z897" s="12">
        <f>'day1'!Z683</f>
        <v>0</v>
      </c>
      <c r="AA897" s="12">
        <f>'day1'!AA683</f>
        <v>1</v>
      </c>
      <c r="AB897" s="12">
        <f t="shared" si="406"/>
        <v>0</v>
      </c>
      <c r="AC897" s="12">
        <f t="shared" si="407"/>
        <v>0</v>
      </c>
      <c r="AD897" s="12">
        <f>'day1'!AD683</f>
        <v>3050</v>
      </c>
      <c r="AE897" s="12">
        <f>'day1'!AE683</f>
        <v>3050</v>
      </c>
      <c r="AF897" s="12">
        <v>0</v>
      </c>
      <c r="AG897" s="12">
        <v>0</v>
      </c>
      <c r="AH897" s="12">
        <f>'day1'!AH683</f>
        <v>1</v>
      </c>
      <c r="AI897" s="12">
        <f>'day1'!AI683</f>
        <v>1</v>
      </c>
      <c r="AJ897" s="12">
        <f>'day1'!AJ683</f>
        <v>0</v>
      </c>
      <c r="AK897" s="12">
        <f>'day1'!AK683</f>
        <v>0</v>
      </c>
      <c r="AL897" s="12" t="str">
        <f>'day1'!AL683</f>
        <v>PTA807</v>
      </c>
      <c r="AM897" s="12" t="str">
        <f>'day1'!AM683</f>
        <v>PTA80710</v>
      </c>
      <c r="AN897" s="12">
        <f>'day1'!AN683</f>
        <v>632</v>
      </c>
      <c r="AO897" s="12">
        <f>'day1'!AO683</f>
        <v>20180326</v>
      </c>
      <c r="AP897" s="12" t="str">
        <f>'day1'!AP683</f>
        <v>9999</v>
      </c>
      <c r="AQ897" s="12" t="str">
        <f>'day1'!AQ683</f>
        <v>CNY</v>
      </c>
      <c r="AR897" s="12" t="str">
        <f>'day1'!AR683</f>
        <v>50010002</v>
      </c>
      <c r="AS897" s="101">
        <f>'day1'!AS683</f>
        <v>20180326</v>
      </c>
      <c r="AT897" s="6">
        <f t="shared" si="387"/>
        <v>20180326</v>
      </c>
      <c r="AU897" s="6">
        <v>1</v>
      </c>
      <c r="AV897" s="6">
        <f t="shared" si="388"/>
        <v>632</v>
      </c>
      <c r="AW897" s="6">
        <f t="shared" si="389"/>
        <v>1</v>
      </c>
      <c r="AX897" s="6" t="str">
        <f t="shared" si="390"/>
        <v>PTA807</v>
      </c>
    </row>
    <row r="898" spans="1:50" s="6" customFormat="1" x14ac:dyDescent="0.25">
      <c r="A898" s="6" t="str">
        <f t="shared" si="391"/>
        <v>comment</v>
      </c>
      <c r="B898" s="12" t="str">
        <f>'day1'!B684</f>
        <v>PTA807C6500&amp;PTA807P6200</v>
      </c>
      <c r="C898" s="12" t="str">
        <f>'day1'!C684</f>
        <v>STG</v>
      </c>
      <c r="D898" s="12">
        <f>'day1'!D684</f>
        <v>19</v>
      </c>
      <c r="E898" s="12" t="str">
        <f>'day1'!E684</f>
        <v>2018032610000103</v>
      </c>
      <c r="F898" s="12" t="str">
        <f>'day1'!F684</f>
        <v>6001</v>
      </c>
      <c r="G898" s="12" t="str">
        <f>'day1'!G684</f>
        <v>B00102</v>
      </c>
      <c r="H898" s="12" t="str">
        <f>'day1'!H684</f>
        <v>6001</v>
      </c>
      <c r="I898" s="12" t="str">
        <f>'day1'!I684</f>
        <v>PTA807C6500</v>
      </c>
      <c r="J898" s="12">
        <f>'day1'!J684</f>
        <v>1</v>
      </c>
      <c r="K898" s="12">
        <f>'day1'!K684</f>
        <v>0</v>
      </c>
      <c r="L898" s="12">
        <f>'day1'!L684</f>
        <v>0</v>
      </c>
      <c r="M898" s="12">
        <f>'day1'!M684</f>
        <v>2</v>
      </c>
      <c r="N898" s="12">
        <v>0</v>
      </c>
      <c r="O898" s="12">
        <f>'day1'!O684</f>
        <v>1</v>
      </c>
      <c r="P898" s="12">
        <f>'day1'!P684</f>
        <v>6.2E-2</v>
      </c>
      <c r="Q898" s="12">
        <f>'day1'!Q684</f>
        <v>6.21</v>
      </c>
      <c r="R898" s="12">
        <f>'day1'!R684</f>
        <v>4.1000000000000002E-2</v>
      </c>
      <c r="S898" s="12">
        <f>'day1'!S684</f>
        <v>4.0999999999999996</v>
      </c>
      <c r="T898" s="12">
        <f>'day1'!T684</f>
        <v>5</v>
      </c>
      <c r="U898" s="12">
        <f>'day1'!U684</f>
        <v>6500</v>
      </c>
      <c r="V898" s="12">
        <f>'day1'!V684</f>
        <v>600</v>
      </c>
      <c r="W898" s="12">
        <f>'day1'!W684</f>
        <v>6165</v>
      </c>
      <c r="X898" s="12">
        <f>'day1'!X684</f>
        <v>0.5</v>
      </c>
      <c r="Y898" s="12">
        <f>'day1'!Y684</f>
        <v>0.5</v>
      </c>
      <c r="Z898" s="12">
        <f>'day1'!Z684</f>
        <v>1675</v>
      </c>
      <c r="AA898" s="12">
        <f>'day1'!AA684</f>
        <v>0</v>
      </c>
      <c r="AB898" s="12">
        <f t="shared" si="406"/>
        <v>0</v>
      </c>
      <c r="AC898" s="12">
        <f t="shared" si="407"/>
        <v>0</v>
      </c>
      <c r="AD898" s="12">
        <f>'day1'!AD684</f>
        <v>3000</v>
      </c>
      <c r="AE898" s="12">
        <f>'day1'!AE684</f>
        <v>3000</v>
      </c>
      <c r="AF898" s="12">
        <v>0</v>
      </c>
      <c r="AG898" s="12">
        <v>0</v>
      </c>
      <c r="AH898" s="12">
        <f>'day1'!AH684</f>
        <v>1</v>
      </c>
      <c r="AI898" s="12">
        <f>'day1'!AI684</f>
        <v>1</v>
      </c>
      <c r="AJ898" s="12">
        <f>'day1'!AJ684</f>
        <v>0</v>
      </c>
      <c r="AK898" s="12">
        <f>'day1'!AK684</f>
        <v>0</v>
      </c>
      <c r="AL898" s="12" t="str">
        <f>'day1'!AL684</f>
        <v>PTA807</v>
      </c>
      <c r="AM898" s="12" t="str">
        <f>'day1'!AM684</f>
        <v>PTA80711</v>
      </c>
      <c r="AN898" s="12">
        <f>'day1'!AN684</f>
        <v>623</v>
      </c>
      <c r="AO898" s="12">
        <f>'day1'!AO684</f>
        <v>20180326</v>
      </c>
      <c r="AP898" s="12" t="str">
        <f>'day1'!AP684</f>
        <v>9999</v>
      </c>
      <c r="AQ898" s="12" t="str">
        <f>'day1'!AQ684</f>
        <v>CNY</v>
      </c>
      <c r="AR898" s="12" t="str">
        <f>'day1'!AR684</f>
        <v>50010002</v>
      </c>
      <c r="AS898" s="101">
        <f>'day1'!AS684</f>
        <v>20180326</v>
      </c>
      <c r="AT898" s="6">
        <f t="shared" si="387"/>
        <v>20180326</v>
      </c>
      <c r="AU898" s="6">
        <v>0</v>
      </c>
      <c r="AV898" s="6">
        <f t="shared" si="388"/>
        <v>623</v>
      </c>
      <c r="AW898" s="6">
        <f t="shared" si="389"/>
        <v>1</v>
      </c>
      <c r="AX898" s="6" t="str">
        <f t="shared" si="390"/>
        <v>PTA807</v>
      </c>
    </row>
    <row r="899" spans="1:50" s="6" customFormat="1" x14ac:dyDescent="0.25">
      <c r="A899" s="6" t="str">
        <f t="shared" si="391"/>
        <v>comment</v>
      </c>
      <c r="B899" s="12" t="str">
        <f>'day1'!B685</f>
        <v>PTA807C6500&amp;PTA807P6200</v>
      </c>
      <c r="C899" s="12" t="str">
        <f>'day1'!C685</f>
        <v>STG</v>
      </c>
      <c r="D899" s="12">
        <f>'day1'!D685</f>
        <v>19</v>
      </c>
      <c r="E899" s="12" t="str">
        <f>'day1'!E685</f>
        <v>2018032610000109</v>
      </c>
      <c r="F899" s="12" t="str">
        <f>'day1'!F685</f>
        <v>6001</v>
      </c>
      <c r="G899" s="12" t="str">
        <f>'day1'!G685</f>
        <v>B00102</v>
      </c>
      <c r="H899" s="12" t="str">
        <f>'day1'!H685</f>
        <v>6001</v>
      </c>
      <c r="I899" s="12" t="str">
        <f>'day1'!I685</f>
        <v>PTA807P6200</v>
      </c>
      <c r="J899" s="12">
        <f>'day1'!J685</f>
        <v>1</v>
      </c>
      <c r="K899" s="12">
        <f>'day1'!K685</f>
        <v>0</v>
      </c>
      <c r="L899" s="12">
        <f>'day1'!L685</f>
        <v>0</v>
      </c>
      <c r="M899" s="12">
        <f>'day1'!M685</f>
        <v>2</v>
      </c>
      <c r="N899" s="12">
        <v>0</v>
      </c>
      <c r="O899" s="12">
        <f>'day1'!O685</f>
        <v>1</v>
      </c>
      <c r="P899" s="12">
        <f>'day1'!P685</f>
        <v>6.2E-2</v>
      </c>
      <c r="Q899" s="12">
        <f>'day1'!Q685</f>
        <v>6.21</v>
      </c>
      <c r="R899" s="12">
        <f>'day1'!R685</f>
        <v>4.1000000000000002E-2</v>
      </c>
      <c r="S899" s="12">
        <f>'day1'!S685</f>
        <v>4.0999999999999996</v>
      </c>
      <c r="T899" s="12">
        <f>'day1'!T685</f>
        <v>5</v>
      </c>
      <c r="U899" s="12">
        <f>'day1'!U685</f>
        <v>6200</v>
      </c>
      <c r="V899" s="12">
        <f>'day1'!V685</f>
        <v>605</v>
      </c>
      <c r="W899" s="12">
        <f>'day1'!W685</f>
        <v>6165</v>
      </c>
      <c r="X899" s="12">
        <f>'day1'!X685</f>
        <v>0.5</v>
      </c>
      <c r="Y899" s="12">
        <f>'day1'!Y685</f>
        <v>0.5</v>
      </c>
      <c r="Z899" s="12">
        <f>'day1'!Z685</f>
        <v>0</v>
      </c>
      <c r="AA899" s="12">
        <f>'day1'!AA685</f>
        <v>1</v>
      </c>
      <c r="AB899" s="12">
        <f t="shared" si="406"/>
        <v>0</v>
      </c>
      <c r="AC899" s="12">
        <f t="shared" si="407"/>
        <v>0</v>
      </c>
      <c r="AD899" s="12">
        <f>'day1'!AD685</f>
        <v>3025</v>
      </c>
      <c r="AE899" s="12">
        <f>'day1'!AE685</f>
        <v>3025</v>
      </c>
      <c r="AF899" s="12">
        <v>0</v>
      </c>
      <c r="AG899" s="12">
        <v>0</v>
      </c>
      <c r="AH899" s="12">
        <f>'day1'!AH685</f>
        <v>1</v>
      </c>
      <c r="AI899" s="12">
        <f>'day1'!AI685</f>
        <v>1</v>
      </c>
      <c r="AJ899" s="12">
        <f>'day1'!AJ685</f>
        <v>0</v>
      </c>
      <c r="AK899" s="12">
        <f>'day1'!AK685</f>
        <v>0</v>
      </c>
      <c r="AL899" s="12" t="str">
        <f>'day1'!AL685</f>
        <v>PTA807</v>
      </c>
      <c r="AM899" s="12" t="str">
        <f>'day1'!AM685</f>
        <v>PTA80711</v>
      </c>
      <c r="AN899" s="12">
        <f>'day1'!AN685</f>
        <v>629</v>
      </c>
      <c r="AO899" s="12">
        <f>'day1'!AO685</f>
        <v>20180326</v>
      </c>
      <c r="AP899" s="12" t="str">
        <f>'day1'!AP685</f>
        <v>9999</v>
      </c>
      <c r="AQ899" s="12" t="str">
        <f>'day1'!AQ685</f>
        <v>CNY</v>
      </c>
      <c r="AR899" s="12" t="str">
        <f>'day1'!AR685</f>
        <v>50010002</v>
      </c>
      <c r="AS899" s="101">
        <f>'day1'!AS685</f>
        <v>20180326</v>
      </c>
      <c r="AT899" s="6">
        <f t="shared" si="387"/>
        <v>20180326</v>
      </c>
      <c r="AU899" s="6">
        <v>1</v>
      </c>
      <c r="AV899" s="6">
        <f t="shared" si="388"/>
        <v>629</v>
      </c>
      <c r="AW899" s="6">
        <f t="shared" si="389"/>
        <v>1</v>
      </c>
      <c r="AX899" s="6" t="str">
        <f t="shared" si="390"/>
        <v>PTA807</v>
      </c>
    </row>
    <row r="900" spans="1:50" s="6" customFormat="1" x14ac:dyDescent="0.25">
      <c r="A900" s="6" t="str">
        <f t="shared" si="391"/>
        <v>comment</v>
      </c>
      <c r="B900" s="12" t="str">
        <f>'day1'!B686</f>
        <v>PTA807C6500&amp;PTA807P6200</v>
      </c>
      <c r="C900" s="12" t="str">
        <f>'day1'!C686</f>
        <v>STG</v>
      </c>
      <c r="D900" s="12">
        <f>'day1'!D686</f>
        <v>20</v>
      </c>
      <c r="E900" s="12" t="str">
        <f>'day1'!E686</f>
        <v>2018032610000104</v>
      </c>
      <c r="F900" s="12" t="str">
        <f>'day1'!F686</f>
        <v>6001</v>
      </c>
      <c r="G900" s="12" t="str">
        <f>'day1'!G686</f>
        <v>B00102</v>
      </c>
      <c r="H900" s="12" t="str">
        <f>'day1'!H686</f>
        <v>6001</v>
      </c>
      <c r="I900" s="12" t="str">
        <f>'day1'!I686</f>
        <v>PTA807C6500</v>
      </c>
      <c r="J900" s="12">
        <f>'day1'!J686</f>
        <v>1</v>
      </c>
      <c r="K900" s="12">
        <f>'day1'!K686</f>
        <v>1</v>
      </c>
      <c r="L900" s="12">
        <f>'day1'!L686</f>
        <v>1</v>
      </c>
      <c r="M900" s="12">
        <f>'day1'!M686</f>
        <v>3</v>
      </c>
      <c r="N900" s="12">
        <v>0</v>
      </c>
      <c r="O900" s="12">
        <f>'day1'!O686</f>
        <v>1</v>
      </c>
      <c r="P900" s="12">
        <f>'day1'!P686</f>
        <v>6.0000000000000005E-2</v>
      </c>
      <c r="Q900" s="12">
        <f>'day1'!Q686</f>
        <v>6</v>
      </c>
      <c r="R900" s="12">
        <f>'day1'!R686</f>
        <v>0.04</v>
      </c>
      <c r="S900" s="12">
        <f>'day1'!S686</f>
        <v>4</v>
      </c>
      <c r="T900" s="12">
        <f>'day1'!T686</f>
        <v>5</v>
      </c>
      <c r="U900" s="12">
        <f>'day1'!U686</f>
        <v>6500</v>
      </c>
      <c r="V900" s="12">
        <f>'day1'!V686</f>
        <v>600</v>
      </c>
      <c r="W900" s="12">
        <f>'day1'!W686</f>
        <v>6165</v>
      </c>
      <c r="X900" s="12">
        <f>'day1'!X686</f>
        <v>0.5</v>
      </c>
      <c r="Y900" s="12">
        <f>'day1'!Y686</f>
        <v>0.5</v>
      </c>
      <c r="Z900" s="12">
        <f>'day1'!Z686</f>
        <v>1675</v>
      </c>
      <c r="AA900" s="12">
        <f>'day1'!AA686</f>
        <v>0</v>
      </c>
      <c r="AB900" s="12">
        <f t="shared" si="406"/>
        <v>0</v>
      </c>
      <c r="AC900" s="12">
        <f t="shared" si="407"/>
        <v>0</v>
      </c>
      <c r="AD900" s="12">
        <f>'day1'!AD686</f>
        <v>3000</v>
      </c>
      <c r="AE900" s="12">
        <f>'day1'!AE686</f>
        <v>3000</v>
      </c>
      <c r="AF900" s="12">
        <v>0</v>
      </c>
      <c r="AG900" s="12">
        <v>0</v>
      </c>
      <c r="AH900" s="12">
        <f>'day1'!AH686</f>
        <v>1</v>
      </c>
      <c r="AI900" s="12">
        <f>'day1'!AI686</f>
        <v>1</v>
      </c>
      <c r="AJ900" s="12">
        <f>'day1'!AJ686</f>
        <v>0</v>
      </c>
      <c r="AK900" s="12">
        <f>'day1'!AK686</f>
        <v>0</v>
      </c>
      <c r="AL900" s="12" t="str">
        <f>'day1'!AL686</f>
        <v>PTA807</v>
      </c>
      <c r="AM900" s="12" t="str">
        <f>'day1'!AM686</f>
        <v>PTA80710</v>
      </c>
      <c r="AN900" s="12">
        <f>'day1'!AN686</f>
        <v>624</v>
      </c>
      <c r="AO900" s="12">
        <f>'day1'!AO686</f>
        <v>20180326</v>
      </c>
      <c r="AP900" s="12" t="str">
        <f>'day1'!AP686</f>
        <v>9999</v>
      </c>
      <c r="AQ900" s="12" t="str">
        <f>'day1'!AQ686</f>
        <v>CNY</v>
      </c>
      <c r="AR900" s="12" t="str">
        <f>'day1'!AR686</f>
        <v>50010002</v>
      </c>
      <c r="AS900" s="101">
        <f>'day1'!AS686</f>
        <v>20180326</v>
      </c>
      <c r="AT900" s="6">
        <f t="shared" si="387"/>
        <v>20180326</v>
      </c>
      <c r="AU900" s="6">
        <v>0</v>
      </c>
      <c r="AV900" s="6">
        <f t="shared" si="388"/>
        <v>624</v>
      </c>
      <c r="AW900" s="6">
        <f t="shared" si="389"/>
        <v>1</v>
      </c>
      <c r="AX900" s="6" t="str">
        <f t="shared" si="390"/>
        <v>PTA807</v>
      </c>
    </row>
    <row r="901" spans="1:50" s="6" customFormat="1" x14ac:dyDescent="0.25">
      <c r="A901" s="6" t="str">
        <f t="shared" si="391"/>
        <v>comment</v>
      </c>
      <c r="B901" s="12" t="str">
        <f>'day1'!B687</f>
        <v>PTA807C6500&amp;PTA807P6200</v>
      </c>
      <c r="C901" s="12" t="str">
        <f>'day1'!C687</f>
        <v>STG</v>
      </c>
      <c r="D901" s="12">
        <f>'day1'!D687</f>
        <v>20</v>
      </c>
      <c r="E901" s="12" t="str">
        <f>'day1'!E687</f>
        <v>2018032610000110</v>
      </c>
      <c r="F901" s="12" t="str">
        <f>'day1'!F687</f>
        <v>6001</v>
      </c>
      <c r="G901" s="12" t="str">
        <f>'day1'!G687</f>
        <v>B00102</v>
      </c>
      <c r="H901" s="12" t="str">
        <f>'day1'!H687</f>
        <v>6001</v>
      </c>
      <c r="I901" s="12" t="str">
        <f>'day1'!I687</f>
        <v>PTA807P6200</v>
      </c>
      <c r="J901" s="12">
        <f>'day1'!J687</f>
        <v>1</v>
      </c>
      <c r="K901" s="12">
        <f>'day1'!K687</f>
        <v>1</v>
      </c>
      <c r="L901" s="12">
        <f>'day1'!L687</f>
        <v>1</v>
      </c>
      <c r="M901" s="12">
        <f>'day1'!M687</f>
        <v>3</v>
      </c>
      <c r="N901" s="12">
        <v>0</v>
      </c>
      <c r="O901" s="12">
        <f>'day1'!O687</f>
        <v>1</v>
      </c>
      <c r="P901" s="12">
        <f>'day1'!P687</f>
        <v>6.0000000000000005E-2</v>
      </c>
      <c r="Q901" s="12">
        <f>'day1'!Q687</f>
        <v>6</v>
      </c>
      <c r="R901" s="12">
        <f>'day1'!R687</f>
        <v>0.04</v>
      </c>
      <c r="S901" s="12">
        <f>'day1'!S687</f>
        <v>4</v>
      </c>
      <c r="T901" s="12">
        <f>'day1'!T687</f>
        <v>5</v>
      </c>
      <c r="U901" s="12">
        <f>'day1'!U687</f>
        <v>6200</v>
      </c>
      <c r="V901" s="12">
        <f>'day1'!V687</f>
        <v>605</v>
      </c>
      <c r="W901" s="12">
        <f>'day1'!W687</f>
        <v>6165</v>
      </c>
      <c r="X901" s="12">
        <f>'day1'!X687</f>
        <v>0.5</v>
      </c>
      <c r="Y901" s="12">
        <f>'day1'!Y687</f>
        <v>0.5</v>
      </c>
      <c r="Z901" s="12">
        <f>'day1'!Z687</f>
        <v>0</v>
      </c>
      <c r="AA901" s="12">
        <f>'day1'!AA687</f>
        <v>1</v>
      </c>
      <c r="AB901" s="12">
        <f t="shared" si="406"/>
        <v>0</v>
      </c>
      <c r="AC901" s="12">
        <f t="shared" si="407"/>
        <v>0</v>
      </c>
      <c r="AD901" s="12">
        <f>'day1'!AD687</f>
        <v>3025</v>
      </c>
      <c r="AE901" s="12">
        <f>'day1'!AE687</f>
        <v>3025</v>
      </c>
      <c r="AF901" s="12">
        <v>0</v>
      </c>
      <c r="AG901" s="12">
        <v>0</v>
      </c>
      <c r="AH901" s="12">
        <f>'day1'!AH687</f>
        <v>1</v>
      </c>
      <c r="AI901" s="12">
        <f>'day1'!AI687</f>
        <v>1</v>
      </c>
      <c r="AJ901" s="12">
        <f>'day1'!AJ687</f>
        <v>0</v>
      </c>
      <c r="AK901" s="12">
        <f>'day1'!AK687</f>
        <v>0</v>
      </c>
      <c r="AL901" s="12" t="str">
        <f>'day1'!AL687</f>
        <v>PTA807</v>
      </c>
      <c r="AM901" s="12" t="str">
        <f>'day1'!AM687</f>
        <v>PTA80710</v>
      </c>
      <c r="AN901" s="12">
        <f>'day1'!AN687</f>
        <v>630</v>
      </c>
      <c r="AO901" s="12">
        <f>'day1'!AO687</f>
        <v>20180326</v>
      </c>
      <c r="AP901" s="12" t="str">
        <f>'day1'!AP687</f>
        <v>9999</v>
      </c>
      <c r="AQ901" s="12" t="str">
        <f>'day1'!AQ687</f>
        <v>CNY</v>
      </c>
      <c r="AR901" s="12" t="str">
        <f>'day1'!AR687</f>
        <v>50010002</v>
      </c>
      <c r="AS901" s="101">
        <f>'day1'!AS687</f>
        <v>20180326</v>
      </c>
      <c r="AT901" s="6">
        <f t="shared" si="387"/>
        <v>20180326</v>
      </c>
      <c r="AU901" s="6">
        <v>1</v>
      </c>
      <c r="AV901" s="6">
        <f t="shared" si="388"/>
        <v>630</v>
      </c>
      <c r="AW901" s="6">
        <f t="shared" si="389"/>
        <v>1</v>
      </c>
      <c r="AX901" s="6" t="str">
        <f t="shared" si="390"/>
        <v>PTA807</v>
      </c>
    </row>
    <row r="902" spans="1:50" s="6" customFormat="1" x14ac:dyDescent="0.25">
      <c r="A902" s="6" t="str">
        <f t="shared" si="391"/>
        <v>comment</v>
      </c>
      <c r="B902" s="12" t="str">
        <f>C45</f>
        <v>PTA807C6500&amp;PTA807P6200</v>
      </c>
      <c r="C902" s="12" t="s">
        <v>511</v>
      </c>
      <c r="D902" s="12">
        <v>6</v>
      </c>
      <c r="E902" s="12" t="str">
        <f>B935</f>
        <v>2018032610000030</v>
      </c>
      <c r="F902" s="12" t="str">
        <f>F885</f>
        <v>6001</v>
      </c>
      <c r="G902" s="12" t="str">
        <f>G885</f>
        <v>B00101</v>
      </c>
      <c r="H902" s="12" t="str">
        <f>H885</f>
        <v>6001</v>
      </c>
      <c r="I902" s="12" t="str">
        <f t="shared" ref="I902:I915" si="418">IF(AU902=0,VLOOKUP(B902,$C$33:$I$51,4,FALSE),VLOOKUP(B902,$C$33:$I$51,6,FALSE))</f>
        <v>PTA807P6200</v>
      </c>
      <c r="J902" s="12">
        <v>1</v>
      </c>
      <c r="K902" s="249">
        <v>0</v>
      </c>
      <c r="L902" s="12">
        <v>0</v>
      </c>
      <c r="M902" s="12">
        <f t="shared" si="393"/>
        <v>2</v>
      </c>
      <c r="N902" s="12">
        <v>0</v>
      </c>
      <c r="O902" s="12">
        <v>1</v>
      </c>
      <c r="P902" s="12">
        <f t="shared" si="394"/>
        <v>6.0000000000000005E-2</v>
      </c>
      <c r="Q902" s="12">
        <f>IF(AI902=0, VLOOKUP(AM902,$F$53:$L$72,5,FALSE),VLOOKUP(AM902,$F$53:$L$72,5,FALSE)+VLOOKUP(AM902,$F$53:$L$72,7,FALSE) )+L53</f>
        <v>7</v>
      </c>
      <c r="R902" s="12">
        <f t="shared" si="396"/>
        <v>0.04</v>
      </c>
      <c r="S902" s="12">
        <f t="shared" si="397"/>
        <v>4</v>
      </c>
      <c r="T902" s="12">
        <f t="shared" ref="T902:T915" si="419" xml:space="preserve"> VLOOKUP(I902,$C$19:$L$31,3,FALSE)</f>
        <v>5</v>
      </c>
      <c r="U902" s="12">
        <f t="shared" ref="U902:U915" si="420" xml:space="preserve"> VLOOKUP(I902,$C$230:$F$242,4,FALSE)</f>
        <v>6200</v>
      </c>
      <c r="V902" s="12">
        <f t="shared" ref="V902:V915" si="421" xml:space="preserve"> VLOOKUP(I902,$C$230:$F$242,3,FALSE)</f>
        <v>600</v>
      </c>
      <c r="W902" s="12">
        <f t="shared" ref="W902:W915" si="422" xml:space="preserve"> VLOOKUP(I902,$C$230:$G$242,5,FALSE)</f>
        <v>6160</v>
      </c>
      <c r="X902" s="12">
        <f>$F$190</f>
        <v>0.5</v>
      </c>
      <c r="Y902" s="12">
        <f t="shared" si="398"/>
        <v>0.5</v>
      </c>
      <c r="Z902" s="12">
        <f t="shared" si="399"/>
        <v>0</v>
      </c>
      <c r="AA902" s="12">
        <f t="shared" ref="AA902:AA915" si="423" xml:space="preserve"> VLOOKUP(I902,$C$19:$L$31,6,FALSE)</f>
        <v>1</v>
      </c>
      <c r="AB902" s="12">
        <f t="shared" si="406"/>
        <v>0</v>
      </c>
      <c r="AC902" s="12">
        <f t="shared" si="407"/>
        <v>0</v>
      </c>
      <c r="AD902" s="12">
        <f t="shared" si="380"/>
        <v>0</v>
      </c>
      <c r="AE902" s="12">
        <f t="shared" si="400"/>
        <v>3000</v>
      </c>
      <c r="AF902" s="12">
        <f>AB902+N903*AE903</f>
        <v>0</v>
      </c>
      <c r="AG902" s="12">
        <f>AC902+N903*AE903</f>
        <v>0</v>
      </c>
      <c r="AH902" s="12">
        <v>1</v>
      </c>
      <c r="AI902" s="12">
        <f t="shared" ref="AI902:AI915" si="424" xml:space="preserve"> VLOOKUP(I902,$C$19:$L$31,10,FALSE)</f>
        <v>1</v>
      </c>
      <c r="AJ902" s="12" t="e">
        <f t="shared" si="382"/>
        <v>#N/A</v>
      </c>
      <c r="AK902" s="12">
        <f t="shared" ref="AK902:AK915" si="425" xml:space="preserve"> VLOOKUP(I902,$C$19:$L$31,9,FALSE)</f>
        <v>0</v>
      </c>
      <c r="AL902" s="3" t="str">
        <f t="shared" ref="AL902:AL915" si="426" xml:space="preserve"> VLOOKUP(I902,$C$19:$L$31,7,FALSE)</f>
        <v>PTA807</v>
      </c>
      <c r="AM902" s="3" t="str">
        <f t="shared" si="401"/>
        <v>PTA80710</v>
      </c>
      <c r="AN902" s="6">
        <f t="shared" ref="AN902:AN915" si="427">VLOOKUP(E902,$B$922:$AC$998,24,FALSE)</f>
        <v>6120</v>
      </c>
      <c r="AO902" s="6">
        <f t="shared" si="402"/>
        <v>20180327</v>
      </c>
      <c r="AP902" s="6" t="str">
        <f t="shared" si="403"/>
        <v>9999</v>
      </c>
      <c r="AQ902" s="6" t="str">
        <f t="shared" si="404"/>
        <v>CNY</v>
      </c>
      <c r="AR902" s="6" t="str">
        <f t="shared" si="416"/>
        <v>50010001</v>
      </c>
      <c r="AS902" s="6">
        <f t="shared" si="405"/>
        <v>20180327</v>
      </c>
      <c r="AT902" s="6">
        <f t="shared" si="387"/>
        <v>20180326</v>
      </c>
      <c r="AU902" s="6">
        <v>0</v>
      </c>
      <c r="AV902" s="6">
        <f t="shared" si="388"/>
        <v>6120</v>
      </c>
      <c r="AW902" s="6">
        <f t="shared" si="389"/>
        <v>1</v>
      </c>
      <c r="AX902" s="6" t="str">
        <f t="shared" si="390"/>
        <v>PTA807</v>
      </c>
    </row>
    <row r="903" spans="1:50" s="6" customFormat="1" x14ac:dyDescent="0.25">
      <c r="A903" s="6" t="str">
        <f t="shared" si="391"/>
        <v>comment</v>
      </c>
      <c r="B903" s="12" t="str">
        <f>B902</f>
        <v>PTA807C6500&amp;PTA807P6200</v>
      </c>
      <c r="C903" s="12" t="s">
        <v>511</v>
      </c>
      <c r="D903" s="12">
        <f>D902</f>
        <v>6</v>
      </c>
      <c r="E903" s="12" t="str">
        <f>B938</f>
        <v>2018032610000035</v>
      </c>
      <c r="F903" s="12" t="str">
        <f>F902</f>
        <v>6001</v>
      </c>
      <c r="G903" s="12" t="str">
        <f t="shared" ref="G903:H903" si="428">G902</f>
        <v>B00101</v>
      </c>
      <c r="H903" s="12" t="str">
        <f t="shared" si="428"/>
        <v>6001</v>
      </c>
      <c r="I903" s="12" t="str">
        <f t="shared" si="418"/>
        <v>PTA807C6500</v>
      </c>
      <c r="J903" s="12">
        <v>1</v>
      </c>
      <c r="K903" s="249">
        <v>1</v>
      </c>
      <c r="L903" s="12">
        <v>1</v>
      </c>
      <c r="M903" s="12">
        <f t="shared" si="393"/>
        <v>3</v>
      </c>
      <c r="N903" s="12">
        <v>0</v>
      </c>
      <c r="O903" s="12">
        <v>1</v>
      </c>
      <c r="P903" s="12">
        <f t="shared" si="394"/>
        <v>6.2E-2</v>
      </c>
      <c r="Q903" s="12">
        <f t="shared" si="395"/>
        <v>6.21</v>
      </c>
      <c r="R903" s="12">
        <f t="shared" si="396"/>
        <v>4.1000000000000002E-2</v>
      </c>
      <c r="S903" s="12">
        <f t="shared" si="397"/>
        <v>4.0999999999999996</v>
      </c>
      <c r="T903" s="12">
        <f t="shared" si="419"/>
        <v>5</v>
      </c>
      <c r="U903" s="12">
        <f t="shared" si="420"/>
        <v>6500</v>
      </c>
      <c r="V903" s="12">
        <f t="shared" si="421"/>
        <v>580</v>
      </c>
      <c r="W903" s="12">
        <f t="shared" si="422"/>
        <v>6160</v>
      </c>
      <c r="X903" s="12">
        <f t="shared" si="398"/>
        <v>0.5</v>
      </c>
      <c r="Y903" s="12">
        <f t="shared" si="398"/>
        <v>0.5</v>
      </c>
      <c r="Z903" s="12">
        <f t="shared" si="399"/>
        <v>1700</v>
      </c>
      <c r="AA903" s="12">
        <f t="shared" si="423"/>
        <v>0</v>
      </c>
      <c r="AB903" s="12">
        <f t="shared" si="406"/>
        <v>0</v>
      </c>
      <c r="AC903" s="12">
        <f t="shared" si="407"/>
        <v>0</v>
      </c>
      <c r="AD903" s="12">
        <f t="shared" si="380"/>
        <v>0</v>
      </c>
      <c r="AE903" s="12">
        <f>IF(AI903=1,1*T903*V903,0)</f>
        <v>2900</v>
      </c>
      <c r="AF903" s="12">
        <v>0</v>
      </c>
      <c r="AG903" s="12">
        <v>0</v>
      </c>
      <c r="AH903" s="12">
        <v>1</v>
      </c>
      <c r="AI903" s="12">
        <f t="shared" si="424"/>
        <v>1</v>
      </c>
      <c r="AJ903" s="12" t="e">
        <f t="shared" si="382"/>
        <v>#N/A</v>
      </c>
      <c r="AK903" s="12">
        <f t="shared" si="425"/>
        <v>0</v>
      </c>
      <c r="AL903" s="3" t="str">
        <f t="shared" si="426"/>
        <v>PTA807</v>
      </c>
      <c r="AM903" s="3" t="str">
        <f t="shared" si="401"/>
        <v>PTA80711</v>
      </c>
      <c r="AN903" s="6">
        <f t="shared" si="427"/>
        <v>6125</v>
      </c>
      <c r="AO903" s="6">
        <f t="shared" si="402"/>
        <v>20180327</v>
      </c>
      <c r="AP903" s="6" t="str">
        <f t="shared" si="403"/>
        <v>9999</v>
      </c>
      <c r="AQ903" s="6" t="str">
        <f t="shared" si="404"/>
        <v>CNY</v>
      </c>
      <c r="AR903" s="6" t="str">
        <f t="shared" si="386"/>
        <v>50010001</v>
      </c>
      <c r="AS903" s="6">
        <f t="shared" si="405"/>
        <v>20180327</v>
      </c>
      <c r="AT903" s="6">
        <f t="shared" si="387"/>
        <v>20180326</v>
      </c>
      <c r="AU903" s="6">
        <v>1</v>
      </c>
      <c r="AV903" s="6">
        <f t="shared" si="388"/>
        <v>6125</v>
      </c>
      <c r="AW903" s="6">
        <f t="shared" si="389"/>
        <v>1</v>
      </c>
      <c r="AX903" s="6" t="str">
        <f t="shared" si="390"/>
        <v>PTA807</v>
      </c>
    </row>
    <row r="904" spans="1:50" s="6" customFormat="1" x14ac:dyDescent="0.25">
      <c r="A904" s="6" t="str">
        <f t="shared" si="391"/>
        <v>comment</v>
      </c>
      <c r="B904" s="12" t="str">
        <f>C46</f>
        <v>SR807C6500&amp;SR807P6500</v>
      </c>
      <c r="C904" s="12" t="s">
        <v>511</v>
      </c>
      <c r="D904" s="12">
        <v>7</v>
      </c>
      <c r="E904" s="12" t="str">
        <f>B975</f>
        <v>2018032710000052</v>
      </c>
      <c r="F904" s="12" t="str">
        <f t="shared" ref="F904:F915" si="429">F903</f>
        <v>6001</v>
      </c>
      <c r="G904" s="12" t="str">
        <f t="shared" ref="G904:G915" si="430">G903</f>
        <v>B00101</v>
      </c>
      <c r="H904" s="12" t="str">
        <f t="shared" ref="H904:H915" si="431">H903</f>
        <v>6001</v>
      </c>
      <c r="I904" s="12" t="str">
        <f t="shared" si="418"/>
        <v>SR807C6500</v>
      </c>
      <c r="J904" s="12">
        <v>1</v>
      </c>
      <c r="K904" s="249">
        <v>1</v>
      </c>
      <c r="L904" s="12">
        <v>1</v>
      </c>
      <c r="M904" s="12">
        <f t="shared" si="393"/>
        <v>3</v>
      </c>
      <c r="N904" s="12">
        <v>0</v>
      </c>
      <c r="O904" s="12">
        <v>1</v>
      </c>
      <c r="P904" s="12">
        <f t="shared" si="394"/>
        <v>6.2E-2</v>
      </c>
      <c r="Q904" s="12">
        <f>IF(AI904=0, VLOOKUP(AM904,$F$53:$L$72,5,FALSE),VLOOKUP(AM904,$F$53:$L$72,5,FALSE)+VLOOKUP(AM904,$F$53:$L$72,7,FALSE) )+L54</f>
        <v>7.32</v>
      </c>
      <c r="R904" s="12">
        <f t="shared" si="396"/>
        <v>4.1000000000000002E-2</v>
      </c>
      <c r="S904" s="12">
        <f t="shared" si="397"/>
        <v>4.0999999999999996</v>
      </c>
      <c r="T904" s="12">
        <f t="shared" si="419"/>
        <v>10</v>
      </c>
      <c r="U904" s="12">
        <f t="shared" si="420"/>
        <v>6500</v>
      </c>
      <c r="V904" s="12">
        <f t="shared" si="421"/>
        <v>610</v>
      </c>
      <c r="W904" s="12">
        <f t="shared" si="422"/>
        <v>6155</v>
      </c>
      <c r="X904" s="12">
        <f t="shared" si="398"/>
        <v>0.5</v>
      </c>
      <c r="Y904" s="12">
        <f t="shared" si="398"/>
        <v>0.5</v>
      </c>
      <c r="Z904" s="12">
        <f t="shared" si="399"/>
        <v>3450</v>
      </c>
      <c r="AA904" s="12">
        <f t="shared" si="423"/>
        <v>0</v>
      </c>
      <c r="AB904" s="12">
        <f t="shared" si="406"/>
        <v>0</v>
      </c>
      <c r="AC904" s="12">
        <f t="shared" si="407"/>
        <v>0</v>
      </c>
      <c r="AD904" s="12">
        <f t="shared" si="380"/>
        <v>0</v>
      </c>
      <c r="AE904" s="12">
        <f t="shared" si="400"/>
        <v>6100</v>
      </c>
      <c r="AF904" s="12">
        <f>AB904+N905*AE905</f>
        <v>0</v>
      </c>
      <c r="AG904" s="12">
        <f>AC904+N905*AE905</f>
        <v>0</v>
      </c>
      <c r="AH904" s="12">
        <v>1</v>
      </c>
      <c r="AI904" s="12">
        <f t="shared" si="424"/>
        <v>1</v>
      </c>
      <c r="AJ904" s="12" t="e">
        <f t="shared" si="382"/>
        <v>#N/A</v>
      </c>
      <c r="AK904" s="12">
        <f t="shared" si="425"/>
        <v>0</v>
      </c>
      <c r="AL904" s="3" t="str">
        <f t="shared" si="426"/>
        <v>SR807</v>
      </c>
      <c r="AM904" s="3" t="str">
        <f t="shared" si="401"/>
        <v>SR80711</v>
      </c>
      <c r="AN904" s="6">
        <f t="shared" si="427"/>
        <v>6115</v>
      </c>
      <c r="AO904" s="6">
        <f t="shared" si="402"/>
        <v>20180327</v>
      </c>
      <c r="AP904" s="6" t="str">
        <f t="shared" si="403"/>
        <v>9999</v>
      </c>
      <c r="AQ904" s="6" t="str">
        <f t="shared" si="404"/>
        <v>CNY</v>
      </c>
      <c r="AR904" s="6" t="str">
        <f t="shared" si="386"/>
        <v>50010001</v>
      </c>
      <c r="AS904" s="6">
        <f t="shared" si="405"/>
        <v>20180327</v>
      </c>
      <c r="AT904" s="6">
        <f t="shared" si="387"/>
        <v>20180327</v>
      </c>
      <c r="AU904" s="6">
        <v>0</v>
      </c>
      <c r="AV904" s="6">
        <f t="shared" si="388"/>
        <v>6115</v>
      </c>
      <c r="AW904" s="6">
        <f t="shared" si="389"/>
        <v>1</v>
      </c>
      <c r="AX904" s="6" t="str">
        <f t="shared" si="390"/>
        <v>SR807</v>
      </c>
    </row>
    <row r="905" spans="1:50" s="6" customFormat="1" x14ac:dyDescent="0.25">
      <c r="A905" s="6" t="str">
        <f t="shared" si="391"/>
        <v>comment</v>
      </c>
      <c r="B905" s="12" t="str">
        <f>B904</f>
        <v>SR807C6500&amp;SR807P6500</v>
      </c>
      <c r="C905" s="12" t="s">
        <v>511</v>
      </c>
      <c r="D905" s="12">
        <f>D904</f>
        <v>7</v>
      </c>
      <c r="E905" s="12" t="str">
        <f>B937</f>
        <v>2018032610000034</v>
      </c>
      <c r="F905" s="12" t="str">
        <f t="shared" si="429"/>
        <v>6001</v>
      </c>
      <c r="G905" s="12" t="str">
        <f t="shared" si="430"/>
        <v>B00101</v>
      </c>
      <c r="H905" s="12" t="str">
        <f t="shared" si="431"/>
        <v>6001</v>
      </c>
      <c r="I905" s="12" t="str">
        <f t="shared" si="418"/>
        <v>SR807P6500</v>
      </c>
      <c r="J905" s="12">
        <v>1</v>
      </c>
      <c r="K905" s="249">
        <v>1</v>
      </c>
      <c r="L905" s="12">
        <v>1</v>
      </c>
      <c r="M905" s="12">
        <f t="shared" si="393"/>
        <v>3</v>
      </c>
      <c r="N905" s="12">
        <v>0</v>
      </c>
      <c r="O905" s="12">
        <v>1</v>
      </c>
      <c r="P905" s="12">
        <f t="shared" si="394"/>
        <v>6.0000000000000005E-2</v>
      </c>
      <c r="Q905" s="12">
        <f t="shared" si="395"/>
        <v>6</v>
      </c>
      <c r="R905" s="12">
        <f t="shared" si="396"/>
        <v>0.04</v>
      </c>
      <c r="S905" s="12">
        <f t="shared" si="397"/>
        <v>4</v>
      </c>
      <c r="T905" s="12">
        <f t="shared" si="419"/>
        <v>10</v>
      </c>
      <c r="U905" s="12">
        <f t="shared" si="420"/>
        <v>6500</v>
      </c>
      <c r="V905" s="12">
        <f t="shared" si="421"/>
        <v>615</v>
      </c>
      <c r="W905" s="12">
        <f t="shared" si="422"/>
        <v>6155</v>
      </c>
      <c r="X905" s="12">
        <f t="shared" si="398"/>
        <v>0.5</v>
      </c>
      <c r="Y905" s="12">
        <f t="shared" si="398"/>
        <v>0.5</v>
      </c>
      <c r="Z905" s="12">
        <f t="shared" si="399"/>
        <v>0</v>
      </c>
      <c r="AA905" s="12">
        <f t="shared" si="423"/>
        <v>1</v>
      </c>
      <c r="AB905" s="12">
        <f t="shared" si="406"/>
        <v>0</v>
      </c>
      <c r="AC905" s="12">
        <f t="shared" si="407"/>
        <v>0</v>
      </c>
      <c r="AD905" s="12">
        <f t="shared" si="380"/>
        <v>0</v>
      </c>
      <c r="AE905" s="12">
        <f t="shared" si="400"/>
        <v>6150</v>
      </c>
      <c r="AF905" s="12">
        <v>0</v>
      </c>
      <c r="AG905" s="12">
        <v>0</v>
      </c>
      <c r="AH905" s="12">
        <v>1</v>
      </c>
      <c r="AI905" s="12">
        <f t="shared" si="424"/>
        <v>1</v>
      </c>
      <c r="AJ905" s="12" t="e">
        <f t="shared" si="382"/>
        <v>#N/A</v>
      </c>
      <c r="AK905" s="12">
        <f t="shared" si="425"/>
        <v>0</v>
      </c>
      <c r="AL905" s="3" t="str">
        <f t="shared" si="426"/>
        <v>SR807</v>
      </c>
      <c r="AM905" s="3" t="str">
        <f t="shared" si="401"/>
        <v>SR80710</v>
      </c>
      <c r="AN905" s="6">
        <f t="shared" si="427"/>
        <v>6124</v>
      </c>
      <c r="AO905" s="6">
        <f t="shared" si="402"/>
        <v>20180327</v>
      </c>
      <c r="AP905" s="6" t="str">
        <f t="shared" si="403"/>
        <v>9999</v>
      </c>
      <c r="AQ905" s="6" t="str">
        <f t="shared" si="404"/>
        <v>CNY</v>
      </c>
      <c r="AR905" s="6" t="str">
        <f t="shared" si="386"/>
        <v>50010001</v>
      </c>
      <c r="AS905" s="6">
        <f t="shared" si="405"/>
        <v>20180327</v>
      </c>
      <c r="AT905" s="6">
        <f t="shared" si="387"/>
        <v>20180326</v>
      </c>
      <c r="AU905" s="6">
        <v>1</v>
      </c>
      <c r="AV905" s="6">
        <f t="shared" si="388"/>
        <v>6124</v>
      </c>
      <c r="AW905" s="6">
        <f t="shared" si="389"/>
        <v>1</v>
      </c>
      <c r="AX905" s="6" t="str">
        <f t="shared" si="390"/>
        <v>SR807</v>
      </c>
    </row>
    <row r="906" spans="1:50" s="6" customFormat="1" x14ac:dyDescent="0.25">
      <c r="A906" s="6" t="str">
        <f t="shared" si="391"/>
        <v>comment</v>
      </c>
      <c r="B906" s="12" t="str">
        <f>C48</f>
        <v>SR807C6500&amp;SR807P6400</v>
      </c>
      <c r="C906" s="12" t="s">
        <v>509</v>
      </c>
      <c r="D906" s="12">
        <v>8</v>
      </c>
      <c r="E906" s="12" t="str">
        <f t="shared" ref="E906:E915" si="432">E905</f>
        <v>2018032610000034</v>
      </c>
      <c r="F906" s="12" t="str">
        <f t="shared" si="429"/>
        <v>6001</v>
      </c>
      <c r="G906" s="12" t="str">
        <f t="shared" si="430"/>
        <v>B00101</v>
      </c>
      <c r="H906" s="12" t="str">
        <f t="shared" si="431"/>
        <v>6001</v>
      </c>
      <c r="I906" s="12" t="str">
        <f t="shared" si="418"/>
        <v>SR807C6500</v>
      </c>
      <c r="J906" s="12">
        <v>1</v>
      </c>
      <c r="K906" s="249">
        <v>0</v>
      </c>
      <c r="L906" s="12">
        <v>0</v>
      </c>
      <c r="M906" s="12">
        <f t="shared" si="393"/>
        <v>2</v>
      </c>
      <c r="N906" s="12">
        <v>0</v>
      </c>
      <c r="O906" s="12">
        <v>1</v>
      </c>
      <c r="P906" s="12">
        <f t="shared" si="394"/>
        <v>6.2E-2</v>
      </c>
      <c r="Q906" s="12">
        <f t="shared" si="395"/>
        <v>6.21</v>
      </c>
      <c r="R906" s="12">
        <f t="shared" si="396"/>
        <v>4.1000000000000002E-2</v>
      </c>
      <c r="S906" s="12">
        <f t="shared" si="397"/>
        <v>4.0999999999999996</v>
      </c>
      <c r="T906" s="12">
        <f t="shared" si="419"/>
        <v>10</v>
      </c>
      <c r="U906" s="12">
        <f t="shared" si="420"/>
        <v>6500</v>
      </c>
      <c r="V906" s="12">
        <f t="shared" si="421"/>
        <v>610</v>
      </c>
      <c r="W906" s="12">
        <f t="shared" si="422"/>
        <v>6155</v>
      </c>
      <c r="X906" s="12">
        <f t="shared" si="398"/>
        <v>0.5</v>
      </c>
      <c r="Y906" s="12">
        <f t="shared" si="398"/>
        <v>0.5</v>
      </c>
      <c r="Z906" s="12">
        <f t="shared" si="399"/>
        <v>3450</v>
      </c>
      <c r="AA906" s="12">
        <f t="shared" si="423"/>
        <v>0</v>
      </c>
      <c r="AB906" s="12">
        <f t="shared" si="406"/>
        <v>0</v>
      </c>
      <c r="AC906" s="12">
        <f t="shared" si="407"/>
        <v>0</v>
      </c>
      <c r="AD906" s="12">
        <f t="shared" si="380"/>
        <v>0</v>
      </c>
      <c r="AE906" s="12">
        <f t="shared" si="400"/>
        <v>6100</v>
      </c>
      <c r="AF906" s="12">
        <v>0</v>
      </c>
      <c r="AG906" s="12">
        <v>0</v>
      </c>
      <c r="AH906" s="12">
        <v>1</v>
      </c>
      <c r="AI906" s="12">
        <f t="shared" si="424"/>
        <v>1</v>
      </c>
      <c r="AJ906" s="12" t="e">
        <f t="shared" si="382"/>
        <v>#N/A</v>
      </c>
      <c r="AK906" s="12">
        <f t="shared" si="425"/>
        <v>0</v>
      </c>
      <c r="AL906" s="3" t="str">
        <f t="shared" si="426"/>
        <v>SR807</v>
      </c>
      <c r="AM906" s="3" t="str">
        <f t="shared" si="401"/>
        <v>SR80711</v>
      </c>
      <c r="AN906" s="6">
        <f t="shared" si="427"/>
        <v>6124</v>
      </c>
      <c r="AO906" s="6">
        <f t="shared" si="402"/>
        <v>20180327</v>
      </c>
      <c r="AP906" s="6" t="str">
        <f t="shared" si="403"/>
        <v>9999</v>
      </c>
      <c r="AQ906" s="6" t="str">
        <f t="shared" si="404"/>
        <v>CNY</v>
      </c>
      <c r="AR906" s="6" t="str">
        <f t="shared" si="386"/>
        <v>50010001</v>
      </c>
      <c r="AS906" s="6">
        <f t="shared" si="405"/>
        <v>20180327</v>
      </c>
      <c r="AT906" s="6">
        <f t="shared" si="387"/>
        <v>20180326</v>
      </c>
      <c r="AU906" s="6">
        <v>0</v>
      </c>
      <c r="AV906" s="6">
        <f t="shared" si="388"/>
        <v>6124</v>
      </c>
      <c r="AW906" s="6">
        <f t="shared" si="389"/>
        <v>1</v>
      </c>
      <c r="AX906" s="6" t="str">
        <f t="shared" si="390"/>
        <v>SR807</v>
      </c>
    </row>
    <row r="907" spans="1:50" s="6" customFormat="1" x14ac:dyDescent="0.25">
      <c r="A907" s="6" t="str">
        <f t="shared" si="391"/>
        <v>comment</v>
      </c>
      <c r="B907" s="12" t="str">
        <f>B906</f>
        <v>SR807C6500&amp;SR807P6400</v>
      </c>
      <c r="C907" s="12" t="s">
        <v>509</v>
      </c>
      <c r="D907" s="12">
        <f>D906</f>
        <v>8</v>
      </c>
      <c r="E907" s="12" t="str">
        <f t="shared" si="432"/>
        <v>2018032610000034</v>
      </c>
      <c r="F907" s="12" t="str">
        <f t="shared" si="429"/>
        <v>6001</v>
      </c>
      <c r="G907" s="12" t="str">
        <f t="shared" si="430"/>
        <v>B00101</v>
      </c>
      <c r="H907" s="12" t="str">
        <f t="shared" si="431"/>
        <v>6001</v>
      </c>
      <c r="I907" s="12" t="str">
        <f t="shared" si="418"/>
        <v>SR807P6400</v>
      </c>
      <c r="J907" s="12">
        <v>1</v>
      </c>
      <c r="K907" s="249">
        <v>0</v>
      </c>
      <c r="L907" s="12">
        <v>0</v>
      </c>
      <c r="M907" s="12">
        <f t="shared" si="393"/>
        <v>2</v>
      </c>
      <c r="N907" s="12">
        <v>0</v>
      </c>
      <c r="O907" s="12">
        <v>1</v>
      </c>
      <c r="P907" s="12">
        <f t="shared" si="394"/>
        <v>6.0000000000000005E-2</v>
      </c>
      <c r="Q907" s="12">
        <f t="shared" si="395"/>
        <v>6</v>
      </c>
      <c r="R907" s="12">
        <f t="shared" si="396"/>
        <v>0.04</v>
      </c>
      <c r="S907" s="12">
        <f t="shared" si="397"/>
        <v>4</v>
      </c>
      <c r="T907" s="12">
        <f t="shared" si="419"/>
        <v>10</v>
      </c>
      <c r="U907" s="12">
        <f t="shared" si="420"/>
        <v>6400</v>
      </c>
      <c r="V907" s="12">
        <f t="shared" si="421"/>
        <v>620</v>
      </c>
      <c r="W907" s="12">
        <f t="shared" si="422"/>
        <v>6155</v>
      </c>
      <c r="X907" s="12">
        <f t="shared" si="398"/>
        <v>0.5</v>
      </c>
      <c r="Y907" s="12">
        <f t="shared" si="398"/>
        <v>0.5</v>
      </c>
      <c r="Z907" s="12">
        <f t="shared" si="399"/>
        <v>0</v>
      </c>
      <c r="AA907" s="12">
        <f t="shared" si="423"/>
        <v>1</v>
      </c>
      <c r="AB907" s="12">
        <f t="shared" si="406"/>
        <v>0</v>
      </c>
      <c r="AC907" s="12">
        <f t="shared" si="407"/>
        <v>0</v>
      </c>
      <c r="AD907" s="12">
        <f t="shared" si="380"/>
        <v>0</v>
      </c>
      <c r="AE907" s="12">
        <f t="shared" si="400"/>
        <v>6200</v>
      </c>
      <c r="AF907" s="12">
        <v>0</v>
      </c>
      <c r="AG907" s="12">
        <v>0</v>
      </c>
      <c r="AH907" s="12">
        <v>1</v>
      </c>
      <c r="AI907" s="12">
        <f t="shared" si="424"/>
        <v>1</v>
      </c>
      <c r="AJ907" s="12" t="e">
        <f t="shared" si="382"/>
        <v>#N/A</v>
      </c>
      <c r="AK907" s="12">
        <f t="shared" si="425"/>
        <v>0</v>
      </c>
      <c r="AL907" s="3" t="str">
        <f t="shared" si="426"/>
        <v>SR807</v>
      </c>
      <c r="AM907" s="3" t="str">
        <f t="shared" si="401"/>
        <v>SR80710</v>
      </c>
      <c r="AN907" s="6">
        <f t="shared" si="427"/>
        <v>6124</v>
      </c>
      <c r="AO907" s="6">
        <f t="shared" si="402"/>
        <v>20180327</v>
      </c>
      <c r="AP907" s="6" t="str">
        <f t="shared" si="403"/>
        <v>9999</v>
      </c>
      <c r="AQ907" s="6" t="str">
        <f t="shared" si="404"/>
        <v>CNY</v>
      </c>
      <c r="AR907" s="6" t="str">
        <f t="shared" si="386"/>
        <v>50010001</v>
      </c>
      <c r="AS907" s="6">
        <f t="shared" si="405"/>
        <v>20180327</v>
      </c>
      <c r="AT907" s="6">
        <f t="shared" si="387"/>
        <v>20180326</v>
      </c>
      <c r="AU907" s="6">
        <v>1</v>
      </c>
      <c r="AV907" s="6">
        <f t="shared" si="388"/>
        <v>6124</v>
      </c>
      <c r="AW907" s="6">
        <f t="shared" si="389"/>
        <v>1</v>
      </c>
      <c r="AX907" s="6" t="str">
        <f t="shared" si="390"/>
        <v>SR807</v>
      </c>
    </row>
    <row r="908" spans="1:50" s="6" customFormat="1" x14ac:dyDescent="0.25">
      <c r="A908" s="6" t="str">
        <f t="shared" si="391"/>
        <v>comment</v>
      </c>
      <c r="B908" s="12" t="str">
        <f>C49</f>
        <v>SR807C6500&amp;SR807P6400</v>
      </c>
      <c r="C908" s="12" t="s">
        <v>509</v>
      </c>
      <c r="D908" s="12">
        <v>9</v>
      </c>
      <c r="E908" s="12" t="str">
        <f t="shared" si="432"/>
        <v>2018032610000034</v>
      </c>
      <c r="F908" s="12" t="str">
        <f t="shared" si="429"/>
        <v>6001</v>
      </c>
      <c r="G908" s="12" t="str">
        <f t="shared" si="430"/>
        <v>B00101</v>
      </c>
      <c r="H908" s="12" t="str">
        <f t="shared" si="431"/>
        <v>6001</v>
      </c>
      <c r="I908" s="12" t="str">
        <f t="shared" si="418"/>
        <v>SR807C6500</v>
      </c>
      <c r="J908" s="12">
        <v>1</v>
      </c>
      <c r="K908" s="249">
        <v>1</v>
      </c>
      <c r="L908" s="12">
        <v>1</v>
      </c>
      <c r="M908" s="12">
        <f t="shared" si="393"/>
        <v>3</v>
      </c>
      <c r="N908" s="12">
        <v>0</v>
      </c>
      <c r="O908" s="12">
        <v>1</v>
      </c>
      <c r="P908" s="12">
        <f t="shared" si="394"/>
        <v>6.2E-2</v>
      </c>
      <c r="Q908" s="12">
        <f t="shared" si="395"/>
        <v>6.21</v>
      </c>
      <c r="R908" s="12">
        <f t="shared" si="396"/>
        <v>4.1000000000000002E-2</v>
      </c>
      <c r="S908" s="12">
        <f t="shared" si="397"/>
        <v>4.0999999999999996</v>
      </c>
      <c r="T908" s="12">
        <f t="shared" si="419"/>
        <v>10</v>
      </c>
      <c r="U908" s="12">
        <f t="shared" si="420"/>
        <v>6500</v>
      </c>
      <c r="V908" s="12">
        <f t="shared" si="421"/>
        <v>610</v>
      </c>
      <c r="W908" s="12">
        <f t="shared" si="422"/>
        <v>6155</v>
      </c>
      <c r="X908" s="12">
        <f t="shared" si="398"/>
        <v>0.5</v>
      </c>
      <c r="Y908" s="12">
        <f t="shared" si="398"/>
        <v>0.5</v>
      </c>
      <c r="Z908" s="12">
        <f t="shared" si="399"/>
        <v>3450</v>
      </c>
      <c r="AA908" s="12">
        <f t="shared" si="423"/>
        <v>0</v>
      </c>
      <c r="AB908" s="12">
        <f t="shared" si="406"/>
        <v>0</v>
      </c>
      <c r="AC908" s="12">
        <f t="shared" si="407"/>
        <v>0</v>
      </c>
      <c r="AD908" s="12">
        <f t="shared" si="380"/>
        <v>0</v>
      </c>
      <c r="AE908" s="12">
        <f>IF(AI908=1,1*T908*V908,0)</f>
        <v>6100</v>
      </c>
      <c r="AF908" s="12">
        <v>0</v>
      </c>
      <c r="AG908" s="12">
        <f>IF(AC908&gt;=AC909,AC908+N909*AE909,0)</f>
        <v>0</v>
      </c>
      <c r="AH908" s="12">
        <v>1</v>
      </c>
      <c r="AI908" s="12">
        <f t="shared" si="424"/>
        <v>1</v>
      </c>
      <c r="AJ908" s="12" t="e">
        <f t="shared" si="382"/>
        <v>#N/A</v>
      </c>
      <c r="AK908" s="12">
        <f t="shared" si="425"/>
        <v>0</v>
      </c>
      <c r="AL908" s="3" t="str">
        <f t="shared" si="426"/>
        <v>SR807</v>
      </c>
      <c r="AM908" s="3" t="str">
        <f t="shared" si="401"/>
        <v>SR80711</v>
      </c>
      <c r="AN908" s="6">
        <f t="shared" si="427"/>
        <v>6124</v>
      </c>
      <c r="AO908" s="6">
        <f t="shared" si="402"/>
        <v>20180327</v>
      </c>
      <c r="AP908" s="6" t="str">
        <f t="shared" si="403"/>
        <v>9999</v>
      </c>
      <c r="AQ908" s="6" t="str">
        <f t="shared" si="404"/>
        <v>CNY</v>
      </c>
      <c r="AR908" s="6" t="str">
        <f t="shared" si="386"/>
        <v>50010001</v>
      </c>
      <c r="AS908" s="6">
        <f t="shared" si="405"/>
        <v>20180327</v>
      </c>
      <c r="AT908" s="6">
        <f t="shared" si="387"/>
        <v>20180326</v>
      </c>
      <c r="AU908" s="6">
        <v>0</v>
      </c>
      <c r="AV908" s="6">
        <f t="shared" si="388"/>
        <v>6124</v>
      </c>
      <c r="AW908" s="6">
        <f t="shared" si="389"/>
        <v>1</v>
      </c>
      <c r="AX908" s="6" t="str">
        <f t="shared" si="390"/>
        <v>SR807</v>
      </c>
    </row>
    <row r="909" spans="1:50" s="6" customFormat="1" x14ac:dyDescent="0.25">
      <c r="A909" s="6" t="str">
        <f t="shared" si="391"/>
        <v>comment</v>
      </c>
      <c r="B909" s="12" t="str">
        <f>B908</f>
        <v>SR807C6500&amp;SR807P6400</v>
      </c>
      <c r="C909" s="12" t="s">
        <v>509</v>
      </c>
      <c r="D909" s="12">
        <f>D908</f>
        <v>9</v>
      </c>
      <c r="E909" s="12" t="str">
        <f t="shared" si="432"/>
        <v>2018032610000034</v>
      </c>
      <c r="F909" s="12" t="str">
        <f t="shared" si="429"/>
        <v>6001</v>
      </c>
      <c r="G909" s="12" t="str">
        <f t="shared" si="430"/>
        <v>B00101</v>
      </c>
      <c r="H909" s="12" t="str">
        <f t="shared" si="431"/>
        <v>6001</v>
      </c>
      <c r="I909" s="12" t="str">
        <f t="shared" si="418"/>
        <v>SR807P6400</v>
      </c>
      <c r="J909" s="12">
        <v>1</v>
      </c>
      <c r="K909" s="249">
        <v>1</v>
      </c>
      <c r="L909" s="12">
        <v>1</v>
      </c>
      <c r="M909" s="12">
        <f t="shared" si="393"/>
        <v>3</v>
      </c>
      <c r="N909" s="12">
        <v>0</v>
      </c>
      <c r="O909" s="12">
        <v>1</v>
      </c>
      <c r="P909" s="12">
        <f t="shared" si="394"/>
        <v>6.0000000000000005E-2</v>
      </c>
      <c r="Q909" s="12">
        <f t="shared" si="395"/>
        <v>6</v>
      </c>
      <c r="R909" s="12">
        <f t="shared" si="396"/>
        <v>0.04</v>
      </c>
      <c r="S909" s="12">
        <f t="shared" si="397"/>
        <v>4</v>
      </c>
      <c r="T909" s="12">
        <f t="shared" si="419"/>
        <v>10</v>
      </c>
      <c r="U909" s="12">
        <f t="shared" si="420"/>
        <v>6400</v>
      </c>
      <c r="V909" s="12">
        <f t="shared" si="421"/>
        <v>620</v>
      </c>
      <c r="W909" s="12">
        <f t="shared" si="422"/>
        <v>6155</v>
      </c>
      <c r="X909" s="12">
        <f t="shared" si="398"/>
        <v>0.5</v>
      </c>
      <c r="Y909" s="12">
        <f t="shared" si="398"/>
        <v>0.5</v>
      </c>
      <c r="Z909" s="12">
        <f t="shared" si="399"/>
        <v>0</v>
      </c>
      <c r="AA909" s="12">
        <f t="shared" si="423"/>
        <v>1</v>
      </c>
      <c r="AB909" s="12">
        <f t="shared" si="406"/>
        <v>0</v>
      </c>
      <c r="AC909" s="12">
        <f t="shared" si="407"/>
        <v>0</v>
      </c>
      <c r="AD909" s="12">
        <f t="shared" si="380"/>
        <v>0</v>
      </c>
      <c r="AE909" s="12">
        <f t="shared" si="400"/>
        <v>6200</v>
      </c>
      <c r="AF909" s="12">
        <f>IF(AC908&lt;AC909,AB909+AE908*L908,0)</f>
        <v>0</v>
      </c>
      <c r="AG909" s="12">
        <f>IF(AC908&lt;AC909,AC909+N908*AE908,0)</f>
        <v>0</v>
      </c>
      <c r="AH909" s="12">
        <v>1</v>
      </c>
      <c r="AI909" s="12">
        <f t="shared" si="424"/>
        <v>1</v>
      </c>
      <c r="AJ909" s="12" t="e">
        <f t="shared" si="382"/>
        <v>#N/A</v>
      </c>
      <c r="AK909" s="12">
        <f t="shared" si="425"/>
        <v>0</v>
      </c>
      <c r="AL909" s="3" t="str">
        <f t="shared" si="426"/>
        <v>SR807</v>
      </c>
      <c r="AM909" s="3" t="str">
        <f t="shared" si="401"/>
        <v>SR80710</v>
      </c>
      <c r="AN909" s="6">
        <f t="shared" si="427"/>
        <v>6124</v>
      </c>
      <c r="AO909" s="6">
        <f t="shared" si="402"/>
        <v>20180327</v>
      </c>
      <c r="AP909" s="6" t="str">
        <f t="shared" si="403"/>
        <v>9999</v>
      </c>
      <c r="AQ909" s="6" t="str">
        <f t="shared" si="404"/>
        <v>CNY</v>
      </c>
      <c r="AR909" s="6" t="str">
        <f t="shared" si="386"/>
        <v>50010001</v>
      </c>
      <c r="AS909" s="6">
        <f t="shared" si="405"/>
        <v>20180327</v>
      </c>
      <c r="AT909" s="6">
        <f t="shared" si="387"/>
        <v>20180326</v>
      </c>
      <c r="AU909" s="6">
        <v>1</v>
      </c>
      <c r="AV909" s="6">
        <f t="shared" si="388"/>
        <v>6124</v>
      </c>
      <c r="AW909" s="6">
        <f t="shared" si="389"/>
        <v>1</v>
      </c>
      <c r="AX909" s="6" t="str">
        <f t="shared" si="390"/>
        <v>SR807</v>
      </c>
    </row>
    <row r="910" spans="1:50" s="6" customFormat="1" x14ac:dyDescent="0.25">
      <c r="A910" s="6" t="str">
        <f t="shared" si="391"/>
        <v>comment</v>
      </c>
      <c r="B910" s="12" t="str">
        <f>C50</f>
        <v>PTA807&amp;PTA809</v>
      </c>
      <c r="C910" s="12" t="s">
        <v>510</v>
      </c>
      <c r="D910" s="12">
        <v>10</v>
      </c>
      <c r="E910" s="12" t="str">
        <f t="shared" si="432"/>
        <v>2018032610000034</v>
      </c>
      <c r="F910" s="12" t="str">
        <f t="shared" si="429"/>
        <v>6001</v>
      </c>
      <c r="G910" s="12" t="str">
        <f t="shared" si="430"/>
        <v>B00101</v>
      </c>
      <c r="H910" s="12" t="str">
        <f t="shared" si="431"/>
        <v>6001</v>
      </c>
      <c r="I910" s="12" t="str">
        <f t="shared" si="418"/>
        <v>PTA807</v>
      </c>
      <c r="J910" s="12">
        <v>1</v>
      </c>
      <c r="K910" s="249">
        <v>0</v>
      </c>
      <c r="L910" s="12">
        <v>0</v>
      </c>
      <c r="M910" s="12">
        <f t="shared" si="393"/>
        <v>2</v>
      </c>
      <c r="N910" s="12">
        <v>0</v>
      </c>
      <c r="O910" s="12">
        <v>1</v>
      </c>
      <c r="P910" s="12">
        <f t="shared" si="394"/>
        <v>0.05</v>
      </c>
      <c r="Q910" s="12">
        <f t="shared" si="395"/>
        <v>5</v>
      </c>
      <c r="R910" s="12">
        <f t="shared" si="396"/>
        <v>0.04</v>
      </c>
      <c r="S910" s="12">
        <f t="shared" si="397"/>
        <v>4</v>
      </c>
      <c r="T910" s="12">
        <f t="shared" si="419"/>
        <v>5</v>
      </c>
      <c r="U910" s="12">
        <f t="shared" si="420"/>
        <v>0</v>
      </c>
      <c r="V910" s="12">
        <f t="shared" si="421"/>
        <v>6160</v>
      </c>
      <c r="W910" s="12">
        <f t="shared" si="422"/>
        <v>0</v>
      </c>
      <c r="X910" s="12">
        <f t="shared" si="398"/>
        <v>0.5</v>
      </c>
      <c r="Y910" s="12">
        <f t="shared" si="398"/>
        <v>0.5</v>
      </c>
      <c r="Z910" s="12">
        <f t="shared" si="399"/>
        <v>0</v>
      </c>
      <c r="AA910" s="12">
        <f t="shared" si="423"/>
        <v>9</v>
      </c>
      <c r="AB910" s="12">
        <f t="shared" si="406"/>
        <v>0</v>
      </c>
      <c r="AC910" s="12">
        <f t="shared" si="407"/>
        <v>0</v>
      </c>
      <c r="AD910" s="12" t="b">
        <f t="shared" si="380"/>
        <v>0</v>
      </c>
      <c r="AE910" s="12">
        <f t="shared" si="400"/>
        <v>0</v>
      </c>
      <c r="AF910" s="12">
        <v>0</v>
      </c>
      <c r="AG910" s="12">
        <v>0</v>
      </c>
      <c r="AH910" s="12">
        <v>1</v>
      </c>
      <c r="AI910" s="12">
        <f t="shared" si="424"/>
        <v>0</v>
      </c>
      <c r="AJ910" s="12" t="e">
        <f t="shared" si="382"/>
        <v>#N/A</v>
      </c>
      <c r="AK910" s="12">
        <f t="shared" si="425"/>
        <v>1</v>
      </c>
      <c r="AL910" s="3" t="str">
        <f t="shared" si="426"/>
        <v>PTA807</v>
      </c>
      <c r="AM910" s="3" t="str">
        <f t="shared" si="401"/>
        <v>PTA80710</v>
      </c>
      <c r="AN910" s="6">
        <f t="shared" si="427"/>
        <v>6124</v>
      </c>
      <c r="AO910" s="6">
        <f t="shared" si="402"/>
        <v>20180327</v>
      </c>
      <c r="AP910" s="6" t="str">
        <f t="shared" si="403"/>
        <v>9999</v>
      </c>
      <c r="AQ910" s="6" t="str">
        <f t="shared" si="404"/>
        <v>CNY</v>
      </c>
      <c r="AR910" s="6" t="str">
        <f t="shared" si="386"/>
        <v>50010001</v>
      </c>
      <c r="AS910" s="6">
        <f t="shared" si="405"/>
        <v>20180327</v>
      </c>
      <c r="AT910" s="6">
        <f t="shared" si="387"/>
        <v>20180326</v>
      </c>
      <c r="AU910" s="6">
        <v>0</v>
      </c>
      <c r="AV910" s="6">
        <f t="shared" si="388"/>
        <v>6124</v>
      </c>
      <c r="AW910" s="6">
        <f t="shared" si="389"/>
        <v>1</v>
      </c>
      <c r="AX910" s="6" t="str">
        <f t="shared" si="390"/>
        <v>PTA807</v>
      </c>
    </row>
    <row r="911" spans="1:50" s="6" customFormat="1" x14ac:dyDescent="0.25">
      <c r="A911" s="6" t="str">
        <f t="shared" si="391"/>
        <v>comment</v>
      </c>
      <c r="B911" s="12" t="str">
        <f>B910</f>
        <v>PTA807&amp;PTA809</v>
      </c>
      <c r="C911" s="12" t="s">
        <v>510</v>
      </c>
      <c r="D911" s="12">
        <f>D910</f>
        <v>10</v>
      </c>
      <c r="E911" s="12" t="str">
        <f t="shared" si="432"/>
        <v>2018032610000034</v>
      </c>
      <c r="F911" s="12" t="str">
        <f t="shared" si="429"/>
        <v>6001</v>
      </c>
      <c r="G911" s="12" t="str">
        <f t="shared" si="430"/>
        <v>B00101</v>
      </c>
      <c r="H911" s="12" t="str">
        <f t="shared" si="431"/>
        <v>6001</v>
      </c>
      <c r="I911" s="12" t="str">
        <f t="shared" si="418"/>
        <v>PTA809</v>
      </c>
      <c r="J911" s="12">
        <v>1</v>
      </c>
      <c r="K911" s="249">
        <v>0</v>
      </c>
      <c r="L911" s="12">
        <v>0</v>
      </c>
      <c r="M911" s="12">
        <f t="shared" si="393"/>
        <v>2</v>
      </c>
      <c r="N911" s="12">
        <v>0</v>
      </c>
      <c r="O911" s="12">
        <v>1</v>
      </c>
      <c r="P911" s="12">
        <f t="shared" si="394"/>
        <v>0.05</v>
      </c>
      <c r="Q911" s="12">
        <f t="shared" si="395"/>
        <v>5</v>
      </c>
      <c r="R911" s="12">
        <f t="shared" si="396"/>
        <v>0.04</v>
      </c>
      <c r="S911" s="12">
        <f t="shared" si="397"/>
        <v>4</v>
      </c>
      <c r="T911" s="12">
        <f t="shared" si="419"/>
        <v>5</v>
      </c>
      <c r="U911" s="12">
        <f t="shared" si="420"/>
        <v>0</v>
      </c>
      <c r="V911" s="12">
        <f t="shared" si="421"/>
        <v>6165</v>
      </c>
      <c r="W911" s="12">
        <f t="shared" si="422"/>
        <v>0</v>
      </c>
      <c r="X911" s="12">
        <f t="shared" si="398"/>
        <v>0.5</v>
      </c>
      <c r="Y911" s="12">
        <f t="shared" si="398"/>
        <v>0.5</v>
      </c>
      <c r="Z911" s="12">
        <f t="shared" si="399"/>
        <v>0</v>
      </c>
      <c r="AA911" s="12">
        <f t="shared" si="423"/>
        <v>9</v>
      </c>
      <c r="AB911" s="12">
        <f t="shared" si="406"/>
        <v>0</v>
      </c>
      <c r="AC911" s="12">
        <f t="shared" si="407"/>
        <v>0</v>
      </c>
      <c r="AD911" s="12" t="b">
        <f t="shared" si="380"/>
        <v>0</v>
      </c>
      <c r="AE911" s="12">
        <f t="shared" si="400"/>
        <v>0</v>
      </c>
      <c r="AF911" s="12">
        <v>0</v>
      </c>
      <c r="AG911" s="12">
        <v>0</v>
      </c>
      <c r="AH911" s="12">
        <v>1</v>
      </c>
      <c r="AI911" s="12">
        <f t="shared" si="424"/>
        <v>0</v>
      </c>
      <c r="AJ911" s="12" t="e">
        <f t="shared" si="382"/>
        <v>#N/A</v>
      </c>
      <c r="AK911" s="12">
        <f t="shared" si="425"/>
        <v>1</v>
      </c>
      <c r="AL911" s="3" t="str">
        <f t="shared" si="426"/>
        <v>PTA809</v>
      </c>
      <c r="AM911" s="3" t="str">
        <f t="shared" si="401"/>
        <v>PTA80910</v>
      </c>
      <c r="AN911" s="6">
        <f t="shared" si="427"/>
        <v>6124</v>
      </c>
      <c r="AO911" s="6">
        <f t="shared" si="402"/>
        <v>20180327</v>
      </c>
      <c r="AP911" s="6" t="str">
        <f t="shared" si="403"/>
        <v>9999</v>
      </c>
      <c r="AQ911" s="6" t="str">
        <f t="shared" si="404"/>
        <v>CNY</v>
      </c>
      <c r="AR911" s="6" t="str">
        <f t="shared" si="386"/>
        <v>50010001</v>
      </c>
      <c r="AS911" s="6">
        <f t="shared" si="405"/>
        <v>20180327</v>
      </c>
      <c r="AT911" s="6">
        <f t="shared" si="387"/>
        <v>20180326</v>
      </c>
      <c r="AU911" s="6">
        <v>1</v>
      </c>
      <c r="AV911" s="6">
        <f t="shared" si="388"/>
        <v>6124</v>
      </c>
      <c r="AW911" s="6">
        <f t="shared" si="389"/>
        <v>1</v>
      </c>
      <c r="AX911" s="6" t="str">
        <f t="shared" si="390"/>
        <v>PTA809</v>
      </c>
    </row>
    <row r="912" spans="1:50" s="6" customFormat="1" x14ac:dyDescent="0.25">
      <c r="A912" s="6" t="str">
        <f t="shared" si="391"/>
        <v>comment</v>
      </c>
      <c r="B912" s="12" t="str">
        <f>B910</f>
        <v>PTA807&amp;PTA809</v>
      </c>
      <c r="C912" s="12" t="s">
        <v>510</v>
      </c>
      <c r="D912" s="12">
        <v>11</v>
      </c>
      <c r="E912" s="12" t="str">
        <f t="shared" si="432"/>
        <v>2018032610000034</v>
      </c>
      <c r="F912" s="12" t="str">
        <f t="shared" si="429"/>
        <v>6001</v>
      </c>
      <c r="G912" s="12" t="str">
        <f t="shared" si="430"/>
        <v>B00101</v>
      </c>
      <c r="H912" s="12" t="str">
        <f t="shared" si="431"/>
        <v>6001</v>
      </c>
      <c r="I912" s="12" t="str">
        <f t="shared" si="418"/>
        <v>PTA807</v>
      </c>
      <c r="J912" s="12">
        <v>1</v>
      </c>
      <c r="K912" s="249">
        <v>0</v>
      </c>
      <c r="L912" s="12">
        <v>0</v>
      </c>
      <c r="M912" s="12">
        <f t="shared" si="393"/>
        <v>2</v>
      </c>
      <c r="N912" s="12">
        <v>0</v>
      </c>
      <c r="O912" s="12">
        <v>1</v>
      </c>
      <c r="P912" s="12">
        <f t="shared" si="394"/>
        <v>0.05</v>
      </c>
      <c r="Q912" s="12">
        <f t="shared" si="395"/>
        <v>5</v>
      </c>
      <c r="R912" s="12">
        <f t="shared" si="396"/>
        <v>0.04</v>
      </c>
      <c r="S912" s="12">
        <f t="shared" si="397"/>
        <v>4</v>
      </c>
      <c r="T912" s="12">
        <f t="shared" si="419"/>
        <v>5</v>
      </c>
      <c r="U912" s="12">
        <f t="shared" si="420"/>
        <v>0</v>
      </c>
      <c r="V912" s="12">
        <f t="shared" si="421"/>
        <v>6160</v>
      </c>
      <c r="W912" s="12">
        <f t="shared" si="422"/>
        <v>0</v>
      </c>
      <c r="X912" s="12">
        <f t="shared" si="398"/>
        <v>0.5</v>
      </c>
      <c r="Y912" s="12">
        <f t="shared" si="398"/>
        <v>0.5</v>
      </c>
      <c r="Z912" s="12">
        <f t="shared" si="399"/>
        <v>0</v>
      </c>
      <c r="AA912" s="12">
        <f t="shared" si="423"/>
        <v>9</v>
      </c>
      <c r="AB912" s="12">
        <f t="shared" si="406"/>
        <v>0</v>
      </c>
      <c r="AC912" s="12">
        <f t="shared" si="407"/>
        <v>0</v>
      </c>
      <c r="AD912" s="12" t="b">
        <f t="shared" si="380"/>
        <v>0</v>
      </c>
      <c r="AE912" s="12">
        <f t="shared" si="400"/>
        <v>0</v>
      </c>
      <c r="AF912" s="12">
        <v>0</v>
      </c>
      <c r="AG912" s="12">
        <v>0</v>
      </c>
      <c r="AH912" s="12">
        <v>1</v>
      </c>
      <c r="AI912" s="12">
        <f t="shared" si="424"/>
        <v>0</v>
      </c>
      <c r="AJ912" s="12" t="e">
        <f t="shared" si="382"/>
        <v>#N/A</v>
      </c>
      <c r="AK912" s="12">
        <f t="shared" si="425"/>
        <v>1</v>
      </c>
      <c r="AL912" s="3" t="str">
        <f t="shared" si="426"/>
        <v>PTA807</v>
      </c>
      <c r="AM912" s="3" t="str">
        <f t="shared" si="401"/>
        <v>PTA80710</v>
      </c>
      <c r="AN912" s="6">
        <f t="shared" si="427"/>
        <v>6124</v>
      </c>
      <c r="AO912" s="6">
        <f t="shared" si="402"/>
        <v>20180327</v>
      </c>
      <c r="AP912" s="6" t="str">
        <f t="shared" si="403"/>
        <v>9999</v>
      </c>
      <c r="AQ912" s="6" t="str">
        <f t="shared" si="404"/>
        <v>CNY</v>
      </c>
      <c r="AR912" s="6" t="str">
        <f t="shared" si="386"/>
        <v>50010001</v>
      </c>
      <c r="AS912" s="6">
        <f t="shared" si="405"/>
        <v>20180327</v>
      </c>
      <c r="AT912" s="6">
        <f t="shared" si="387"/>
        <v>20180326</v>
      </c>
      <c r="AU912" s="6">
        <v>0</v>
      </c>
      <c r="AV912" s="6">
        <f t="shared" si="388"/>
        <v>6124</v>
      </c>
      <c r="AW912" s="6">
        <f t="shared" si="389"/>
        <v>1</v>
      </c>
      <c r="AX912" s="6" t="str">
        <f t="shared" si="390"/>
        <v>PTA807</v>
      </c>
    </row>
    <row r="913" spans="1:52" s="6" customFormat="1" x14ac:dyDescent="0.25">
      <c r="A913" s="6" t="str">
        <f t="shared" si="391"/>
        <v>comment</v>
      </c>
      <c r="B913" s="12" t="str">
        <f>B910</f>
        <v>PTA807&amp;PTA809</v>
      </c>
      <c r="C913" s="12" t="s">
        <v>510</v>
      </c>
      <c r="D913" s="12">
        <f>D912</f>
        <v>11</v>
      </c>
      <c r="E913" s="12" t="str">
        <f t="shared" si="432"/>
        <v>2018032610000034</v>
      </c>
      <c r="F913" s="12" t="str">
        <f t="shared" si="429"/>
        <v>6001</v>
      </c>
      <c r="G913" s="12" t="str">
        <f t="shared" si="430"/>
        <v>B00101</v>
      </c>
      <c r="H913" s="12" t="str">
        <f t="shared" si="431"/>
        <v>6001</v>
      </c>
      <c r="I913" s="12" t="str">
        <f t="shared" si="418"/>
        <v>PTA809</v>
      </c>
      <c r="J913" s="12">
        <v>1</v>
      </c>
      <c r="K913" s="249">
        <v>0</v>
      </c>
      <c r="L913" s="12">
        <v>0</v>
      </c>
      <c r="M913" s="12">
        <f t="shared" si="393"/>
        <v>2</v>
      </c>
      <c r="N913" s="12">
        <v>0</v>
      </c>
      <c r="O913" s="12">
        <v>1</v>
      </c>
      <c r="P913" s="12">
        <f t="shared" si="394"/>
        <v>0.05</v>
      </c>
      <c r="Q913" s="12">
        <f t="shared" si="395"/>
        <v>5</v>
      </c>
      <c r="R913" s="12">
        <f t="shared" si="396"/>
        <v>0.04</v>
      </c>
      <c r="S913" s="12">
        <f t="shared" si="397"/>
        <v>4</v>
      </c>
      <c r="T913" s="12">
        <f t="shared" si="419"/>
        <v>5</v>
      </c>
      <c r="U913" s="12">
        <f t="shared" si="420"/>
        <v>0</v>
      </c>
      <c r="V913" s="12">
        <f t="shared" si="421"/>
        <v>6165</v>
      </c>
      <c r="W913" s="12">
        <f t="shared" si="422"/>
        <v>0</v>
      </c>
      <c r="X913" s="12">
        <f t="shared" si="398"/>
        <v>0.5</v>
      </c>
      <c r="Y913" s="12">
        <f t="shared" si="398"/>
        <v>0.5</v>
      </c>
      <c r="Z913" s="12">
        <f t="shared" si="399"/>
        <v>0</v>
      </c>
      <c r="AA913" s="12">
        <f t="shared" si="423"/>
        <v>9</v>
      </c>
      <c r="AB913" s="12">
        <f t="shared" si="406"/>
        <v>0</v>
      </c>
      <c r="AC913" s="12">
        <f t="shared" si="407"/>
        <v>0</v>
      </c>
      <c r="AD913" s="12" t="b">
        <f t="shared" si="380"/>
        <v>0</v>
      </c>
      <c r="AE913" s="12">
        <f t="shared" si="400"/>
        <v>0</v>
      </c>
      <c r="AF913" s="12">
        <v>0</v>
      </c>
      <c r="AG913" s="12">
        <v>0</v>
      </c>
      <c r="AH913" s="12">
        <v>1</v>
      </c>
      <c r="AI913" s="12">
        <f t="shared" si="424"/>
        <v>0</v>
      </c>
      <c r="AJ913" s="12" t="e">
        <f t="shared" si="382"/>
        <v>#N/A</v>
      </c>
      <c r="AK913" s="12">
        <f t="shared" si="425"/>
        <v>1</v>
      </c>
      <c r="AL913" s="3" t="str">
        <f t="shared" si="426"/>
        <v>PTA809</v>
      </c>
      <c r="AM913" s="3" t="str">
        <f t="shared" si="401"/>
        <v>PTA80910</v>
      </c>
      <c r="AN913" s="6">
        <f t="shared" si="427"/>
        <v>6124</v>
      </c>
      <c r="AO913" s="6">
        <f t="shared" si="402"/>
        <v>20180327</v>
      </c>
      <c r="AP913" s="6" t="str">
        <f t="shared" si="403"/>
        <v>9999</v>
      </c>
      <c r="AQ913" s="6" t="str">
        <f t="shared" si="404"/>
        <v>CNY</v>
      </c>
      <c r="AR913" s="6" t="str">
        <f t="shared" si="386"/>
        <v>50010001</v>
      </c>
      <c r="AS913" s="6">
        <f t="shared" si="405"/>
        <v>20180327</v>
      </c>
      <c r="AT913" s="6">
        <f t="shared" si="387"/>
        <v>20180326</v>
      </c>
      <c r="AU913" s="6">
        <v>1</v>
      </c>
      <c r="AV913" s="6">
        <f t="shared" si="388"/>
        <v>6124</v>
      </c>
      <c r="AW913" s="6">
        <f t="shared" si="389"/>
        <v>1</v>
      </c>
      <c r="AX913" s="6" t="str">
        <f t="shared" si="390"/>
        <v>PTA809</v>
      </c>
    </row>
    <row r="914" spans="1:52" s="6" customFormat="1" x14ac:dyDescent="0.25">
      <c r="A914" s="6" t="str">
        <f t="shared" si="391"/>
        <v>comment</v>
      </c>
      <c r="B914" s="12" t="str">
        <f>C50</f>
        <v>PTA807&amp;PTA809</v>
      </c>
      <c r="C914" s="12" t="s">
        <v>510</v>
      </c>
      <c r="D914" s="12">
        <v>12</v>
      </c>
      <c r="E914" s="12" t="str">
        <f t="shared" si="432"/>
        <v>2018032610000034</v>
      </c>
      <c r="F914" s="12" t="str">
        <f t="shared" si="429"/>
        <v>6001</v>
      </c>
      <c r="G914" s="12" t="str">
        <f t="shared" si="430"/>
        <v>B00101</v>
      </c>
      <c r="H914" s="12" t="str">
        <f t="shared" si="431"/>
        <v>6001</v>
      </c>
      <c r="I914" s="12" t="str">
        <f t="shared" si="418"/>
        <v>PTA807</v>
      </c>
      <c r="J914" s="12">
        <v>1</v>
      </c>
      <c r="K914" s="249">
        <v>1</v>
      </c>
      <c r="L914" s="12">
        <v>1</v>
      </c>
      <c r="M914" s="12">
        <f t="shared" si="393"/>
        <v>3</v>
      </c>
      <c r="N914" s="12">
        <v>0</v>
      </c>
      <c r="O914" s="12">
        <v>1</v>
      </c>
      <c r="P914" s="12">
        <f t="shared" si="394"/>
        <v>5.0999999999999997E-2</v>
      </c>
      <c r="Q914" s="12">
        <f>IF(AI914=0, VLOOKUP(AM914,$F$53:$L$72,5,FALSE),VLOOKUP(AM914,$F$53:$L$72,5,FALSE)+VLOOKUP(AM914,$F$53:$L$72,7,FALSE) )</f>
        <v>5.0999999999999996</v>
      </c>
      <c r="R914" s="12">
        <f t="shared" si="396"/>
        <v>4.1000000000000002E-2</v>
      </c>
      <c r="S914" s="12">
        <f t="shared" si="397"/>
        <v>4.0999999999999996</v>
      </c>
      <c r="T914" s="12">
        <f t="shared" si="419"/>
        <v>5</v>
      </c>
      <c r="U914" s="12">
        <f t="shared" si="420"/>
        <v>0</v>
      </c>
      <c r="V914" s="12">
        <f t="shared" si="421"/>
        <v>6160</v>
      </c>
      <c r="W914" s="12">
        <f t="shared" si="422"/>
        <v>0</v>
      </c>
      <c r="X914" s="12">
        <f t="shared" si="398"/>
        <v>0.5</v>
      </c>
      <c r="Y914" s="12">
        <f t="shared" si="398"/>
        <v>0.5</v>
      </c>
      <c r="Z914" s="12">
        <f t="shared" si="399"/>
        <v>0</v>
      </c>
      <c r="AA914" s="12">
        <f t="shared" si="423"/>
        <v>9</v>
      </c>
      <c r="AB914" s="12">
        <f t="shared" si="406"/>
        <v>0</v>
      </c>
      <c r="AC914" s="12">
        <f t="shared" si="407"/>
        <v>0</v>
      </c>
      <c r="AD914" s="12" t="b">
        <f t="shared" si="380"/>
        <v>0</v>
      </c>
      <c r="AE914" s="12">
        <f t="shared" si="400"/>
        <v>0</v>
      </c>
      <c r="AF914" s="12">
        <f>IF(AC914&gt;=AC915,AB914+N915*AE915,0)</f>
        <v>0</v>
      </c>
      <c r="AG914" s="12">
        <f>IF(AC914&gt;=AC915,AC914+N915*AE915,0)</f>
        <v>0</v>
      </c>
      <c r="AH914" s="12">
        <v>1</v>
      </c>
      <c r="AI914" s="12">
        <f t="shared" si="424"/>
        <v>0</v>
      </c>
      <c r="AJ914" s="12" t="e">
        <f t="shared" si="382"/>
        <v>#N/A</v>
      </c>
      <c r="AK914" s="12">
        <f t="shared" si="425"/>
        <v>1</v>
      </c>
      <c r="AL914" s="3" t="str">
        <f t="shared" si="426"/>
        <v>PTA807</v>
      </c>
      <c r="AM914" s="3" t="str">
        <f t="shared" si="401"/>
        <v>PTA80711</v>
      </c>
      <c r="AN914" s="6">
        <f t="shared" si="427"/>
        <v>6124</v>
      </c>
      <c r="AO914" s="6">
        <f t="shared" si="402"/>
        <v>20180327</v>
      </c>
      <c r="AP914" s="6" t="str">
        <f t="shared" si="403"/>
        <v>9999</v>
      </c>
      <c r="AQ914" s="6" t="str">
        <f t="shared" si="404"/>
        <v>CNY</v>
      </c>
      <c r="AR914" s="6" t="str">
        <f t="shared" si="386"/>
        <v>50010001</v>
      </c>
      <c r="AS914" s="6">
        <f t="shared" si="405"/>
        <v>20180327</v>
      </c>
      <c r="AT914" s="6">
        <f t="shared" si="387"/>
        <v>20180326</v>
      </c>
      <c r="AU914" s="6">
        <v>0</v>
      </c>
      <c r="AV914" s="6">
        <f t="shared" si="388"/>
        <v>6124</v>
      </c>
      <c r="AW914" s="6">
        <f t="shared" si="389"/>
        <v>1</v>
      </c>
      <c r="AX914" s="6" t="str">
        <f t="shared" si="390"/>
        <v>PTA807</v>
      </c>
    </row>
    <row r="915" spans="1:52" s="6" customFormat="1" x14ac:dyDescent="0.25">
      <c r="A915" s="6" t="str">
        <f t="shared" si="391"/>
        <v>comment</v>
      </c>
      <c r="B915" s="12" t="str">
        <f>B914</f>
        <v>PTA807&amp;PTA809</v>
      </c>
      <c r="C915" s="12" t="s">
        <v>510</v>
      </c>
      <c r="D915" s="12">
        <f>D914</f>
        <v>12</v>
      </c>
      <c r="E915" s="12" t="str">
        <f t="shared" si="432"/>
        <v>2018032610000034</v>
      </c>
      <c r="F915" s="12" t="str">
        <f t="shared" si="429"/>
        <v>6001</v>
      </c>
      <c r="G915" s="12" t="str">
        <f t="shared" si="430"/>
        <v>B00101</v>
      </c>
      <c r="H915" s="12" t="str">
        <f t="shared" si="431"/>
        <v>6001</v>
      </c>
      <c r="I915" s="12" t="str">
        <f t="shared" si="418"/>
        <v>PTA809</v>
      </c>
      <c r="J915" s="12">
        <v>1</v>
      </c>
      <c r="K915" s="249">
        <v>1</v>
      </c>
      <c r="L915" s="12">
        <v>1</v>
      </c>
      <c r="M915" s="12">
        <f t="shared" si="393"/>
        <v>3</v>
      </c>
      <c r="N915" s="12">
        <v>0</v>
      </c>
      <c r="O915" s="12">
        <v>1</v>
      </c>
      <c r="P915" s="12">
        <f t="shared" si="394"/>
        <v>5.0999999999999997E-2</v>
      </c>
      <c r="Q915" s="12">
        <f t="shared" si="395"/>
        <v>5.0999999999999996</v>
      </c>
      <c r="R915" s="12">
        <f t="shared" si="396"/>
        <v>4.1000000000000002E-2</v>
      </c>
      <c r="S915" s="12">
        <f t="shared" si="397"/>
        <v>4.0999999999999996</v>
      </c>
      <c r="T915" s="12">
        <f t="shared" si="419"/>
        <v>5</v>
      </c>
      <c r="U915" s="12">
        <f t="shared" si="420"/>
        <v>0</v>
      </c>
      <c r="V915" s="12">
        <f t="shared" si="421"/>
        <v>6165</v>
      </c>
      <c r="W915" s="12">
        <f t="shared" si="422"/>
        <v>0</v>
      </c>
      <c r="X915" s="12">
        <f t="shared" si="398"/>
        <v>0.5</v>
      </c>
      <c r="Y915" s="12">
        <f t="shared" si="398"/>
        <v>0.5</v>
      </c>
      <c r="Z915" s="12">
        <f t="shared" si="399"/>
        <v>0</v>
      </c>
      <c r="AA915" s="12">
        <f t="shared" si="423"/>
        <v>9</v>
      </c>
      <c r="AB915" s="12">
        <f t="shared" si="406"/>
        <v>0</v>
      </c>
      <c r="AC915" s="12">
        <f t="shared" si="407"/>
        <v>0</v>
      </c>
      <c r="AD915" s="12" t="b">
        <f t="shared" si="380"/>
        <v>0</v>
      </c>
      <c r="AE915" s="12">
        <f t="shared" si="400"/>
        <v>0</v>
      </c>
      <c r="AF915" s="12">
        <f>IF(AC914&lt;AC915,AB915+N914*AE914,0)</f>
        <v>0</v>
      </c>
      <c r="AG915" s="12">
        <f>IF(AC914&lt;AC915,AC915+N914*AE914,0)</f>
        <v>0</v>
      </c>
      <c r="AH915" s="12">
        <v>1</v>
      </c>
      <c r="AI915" s="12">
        <f t="shared" si="424"/>
        <v>0</v>
      </c>
      <c r="AJ915" s="12" t="e">
        <f t="shared" si="382"/>
        <v>#N/A</v>
      </c>
      <c r="AK915" s="12">
        <f t="shared" si="425"/>
        <v>1</v>
      </c>
      <c r="AL915" s="3" t="str">
        <f t="shared" si="426"/>
        <v>PTA809</v>
      </c>
      <c r="AM915" s="3" t="str">
        <f t="shared" si="401"/>
        <v>PTA80911</v>
      </c>
      <c r="AN915" s="6">
        <f t="shared" si="427"/>
        <v>6124</v>
      </c>
      <c r="AO915" s="6">
        <f t="shared" si="402"/>
        <v>20180327</v>
      </c>
      <c r="AP915" s="6" t="str">
        <f t="shared" si="403"/>
        <v>9999</v>
      </c>
      <c r="AQ915" s="6" t="str">
        <f t="shared" si="404"/>
        <v>CNY</v>
      </c>
      <c r="AR915" s="6" t="str">
        <f t="shared" si="386"/>
        <v>50010001</v>
      </c>
      <c r="AS915" s="6">
        <f t="shared" si="405"/>
        <v>20180327</v>
      </c>
      <c r="AT915" s="6">
        <f t="shared" si="387"/>
        <v>20180326</v>
      </c>
      <c r="AU915" s="6">
        <v>1</v>
      </c>
      <c r="AV915" s="6">
        <f t="shared" si="388"/>
        <v>6124</v>
      </c>
      <c r="AW915" s="6">
        <f t="shared" si="389"/>
        <v>1</v>
      </c>
      <c r="AX915" s="6" t="str">
        <f t="shared" si="390"/>
        <v>PTA809</v>
      </c>
    </row>
    <row r="916" spans="1:52" x14ac:dyDescent="0.25">
      <c r="AE916" s="234"/>
      <c r="AF916" s="234"/>
      <c r="AU916" s="6"/>
    </row>
    <row r="917" spans="1:52" x14ac:dyDescent="0.25">
      <c r="A917" t="s">
        <v>173</v>
      </c>
      <c r="B917" t="s">
        <v>524</v>
      </c>
      <c r="F917" s="3"/>
      <c r="Y917" s="19"/>
      <c r="Z917" s="6"/>
      <c r="AA917" s="6"/>
      <c r="AB917" s="6"/>
      <c r="AC917" s="6"/>
      <c r="AD917" s="6"/>
      <c r="AE917" s="6"/>
      <c r="AF917" s="6"/>
      <c r="AG917" s="6"/>
      <c r="AH917" s="6"/>
      <c r="AI917" s="6"/>
      <c r="AJ917" s="6"/>
      <c r="AU917" s="6"/>
    </row>
    <row r="918" spans="1:52" x14ac:dyDescent="0.25">
      <c r="A918" s="157" t="s">
        <v>970</v>
      </c>
      <c r="B918" s="157" t="s">
        <v>1335</v>
      </c>
      <c r="C918" s="4"/>
      <c r="AE918" s="142"/>
    </row>
    <row r="919" spans="1:52" x14ac:dyDescent="0.25">
      <c r="A919" t="s">
        <v>306</v>
      </c>
      <c r="B919" s="719" t="s">
        <v>1534</v>
      </c>
      <c r="C919" s="720"/>
      <c r="D919" s="720"/>
      <c r="E919" s="720"/>
      <c r="F919" s="720"/>
      <c r="G919" s="720"/>
      <c r="H919" s="720"/>
      <c r="I919" s="720"/>
      <c r="J919" s="720"/>
      <c r="K919" s="720"/>
      <c r="L919" s="720"/>
      <c r="M919" s="720"/>
      <c r="N919" s="720">
        <f>VLOOKUP(AR922,$F$53:$L$72,4,FALSE)</f>
        <v>5.2999999999999999E-2</v>
      </c>
      <c r="O919" s="720"/>
      <c r="P919" s="720"/>
      <c r="Q919" s="720"/>
      <c r="R919" s="720"/>
      <c r="S919" s="720"/>
      <c r="T919" s="720"/>
      <c r="U919" s="720"/>
      <c r="V919" s="720"/>
      <c r="W919" s="720"/>
      <c r="X919" s="720"/>
      <c r="Y919" s="720"/>
      <c r="Z919" s="720"/>
      <c r="AA919" s="720"/>
      <c r="AB919" s="720"/>
      <c r="AC919" s="720"/>
      <c r="AD919" s="720"/>
      <c r="AE919" s="720"/>
      <c r="AF919" s="720"/>
      <c r="AG919" s="720"/>
      <c r="AH919" s="720"/>
      <c r="AI919" s="720"/>
      <c r="AJ919" s="720"/>
      <c r="AK919" s="720"/>
      <c r="AL919" s="720"/>
      <c r="AM919" s="720"/>
      <c r="AN919" s="720"/>
      <c r="AO919" s="720"/>
      <c r="AP919" s="720"/>
      <c r="AQ919" s="720"/>
      <c r="AR919" s="720"/>
      <c r="AS919" s="720"/>
      <c r="AT919" s="720"/>
      <c r="AU919" s="720"/>
      <c r="AV919" s="720"/>
    </row>
    <row r="920" spans="1:52" x14ac:dyDescent="0.25">
      <c r="A920" t="s">
        <v>359</v>
      </c>
      <c r="B920" s="7" t="s">
        <v>289</v>
      </c>
      <c r="C920" s="7" t="s">
        <v>286</v>
      </c>
      <c r="D920" s="7" t="s">
        <v>287</v>
      </c>
      <c r="E920" s="7" t="s">
        <v>120</v>
      </c>
      <c r="F920" s="29" t="s">
        <v>365</v>
      </c>
      <c r="G920" s="29" t="s">
        <v>676</v>
      </c>
      <c r="H920" s="12" t="s">
        <v>290</v>
      </c>
      <c r="I920" s="7" t="s">
        <v>52</v>
      </c>
      <c r="J920" s="12" t="s">
        <v>1268</v>
      </c>
      <c r="K920" s="12" t="s">
        <v>294</v>
      </c>
      <c r="L920" s="7" t="s">
        <v>9</v>
      </c>
      <c r="M920" s="29" t="s">
        <v>10</v>
      </c>
      <c r="N920" s="29" t="s">
        <v>534</v>
      </c>
      <c r="O920" s="100" t="s">
        <v>1269</v>
      </c>
      <c r="P920" s="7" t="s">
        <v>1270</v>
      </c>
      <c r="Q920" s="245" t="s">
        <v>531</v>
      </c>
      <c r="R920" s="7" t="s">
        <v>532</v>
      </c>
      <c r="S920" s="7" t="s">
        <v>1273</v>
      </c>
      <c r="T920" s="7" t="s">
        <v>1274</v>
      </c>
      <c r="U920" s="7" t="s">
        <v>7</v>
      </c>
      <c r="V920" s="7" t="s">
        <v>1276</v>
      </c>
      <c r="W920" s="7" t="s">
        <v>498</v>
      </c>
      <c r="X920" s="7" t="s">
        <v>1278</v>
      </c>
      <c r="Y920" s="7" t="s">
        <v>682</v>
      </c>
      <c r="Z920" s="7" t="s">
        <v>12</v>
      </c>
      <c r="AA920" s="7" t="s">
        <v>1281</v>
      </c>
      <c r="AB920" s="7" t="s">
        <v>1282</v>
      </c>
      <c r="AC920" s="7" t="s">
        <v>1283</v>
      </c>
      <c r="AD920" s="7" t="s">
        <v>1284</v>
      </c>
      <c r="AE920" s="29" t="s">
        <v>536</v>
      </c>
      <c r="AF920" s="29" t="s">
        <v>537</v>
      </c>
      <c r="AG920" s="158" t="s">
        <v>535</v>
      </c>
      <c r="AH920" s="158" t="s">
        <v>538</v>
      </c>
      <c r="AI920" s="37" t="s">
        <v>1285</v>
      </c>
      <c r="AJ920" s="7" t="s">
        <v>1286</v>
      </c>
      <c r="AK920" s="7" t="s">
        <v>1287</v>
      </c>
      <c r="AL920" s="29" t="s">
        <v>677</v>
      </c>
      <c r="AM920" s="29" t="s">
        <v>678</v>
      </c>
      <c r="AN920" s="29" t="s">
        <v>679</v>
      </c>
      <c r="AO920" s="29" t="s">
        <v>680</v>
      </c>
      <c r="AP920" s="7" t="s">
        <v>355</v>
      </c>
      <c r="AQ920" s="23" t="s">
        <v>1290</v>
      </c>
      <c r="AR920" s="23" t="s">
        <v>1291</v>
      </c>
      <c r="AS920" s="23" t="s">
        <v>191</v>
      </c>
      <c r="AT920" s="23" t="s">
        <v>849</v>
      </c>
      <c r="AU920" s="23" t="s">
        <v>347</v>
      </c>
      <c r="AV920" s="23" t="s">
        <v>1384</v>
      </c>
      <c r="AW920" s="123" t="s">
        <v>1766</v>
      </c>
      <c r="AX920" s="123" t="s">
        <v>1767</v>
      </c>
    </row>
    <row r="921" spans="1:52" ht="12.6" customHeight="1" x14ac:dyDescent="0.25">
      <c r="B921" s="23" t="s">
        <v>1256</v>
      </c>
      <c r="C921" s="23" t="s">
        <v>1071</v>
      </c>
      <c r="D921" s="23" t="s">
        <v>1072</v>
      </c>
      <c r="E921" s="23" t="s">
        <v>1774</v>
      </c>
      <c r="F921" s="36" t="s">
        <v>844</v>
      </c>
      <c r="G921" s="36" t="s">
        <v>1261</v>
      </c>
      <c r="H921" s="3" t="s">
        <v>652</v>
      </c>
      <c r="I921" s="23" t="s">
        <v>651</v>
      </c>
      <c r="J921" s="3" t="s">
        <v>1266</v>
      </c>
      <c r="K921" s="3" t="s">
        <v>1073</v>
      </c>
      <c r="L921" s="23" t="s">
        <v>650</v>
      </c>
      <c r="M921" s="36" t="s">
        <v>1337</v>
      </c>
      <c r="N921" s="36" t="s">
        <v>1336</v>
      </c>
      <c r="O921" s="100" t="s">
        <v>1269</v>
      </c>
      <c r="P921" s="7" t="s">
        <v>1270</v>
      </c>
      <c r="Q921" s="223" t="s">
        <v>1848</v>
      </c>
      <c r="R921" s="223" t="s">
        <v>1785</v>
      </c>
      <c r="S921" s="7" t="s">
        <v>1273</v>
      </c>
      <c r="T921" s="7" t="s">
        <v>1274</v>
      </c>
      <c r="U921" s="7" t="s">
        <v>649</v>
      </c>
      <c r="V921" s="7" t="s">
        <v>1276</v>
      </c>
      <c r="W921" s="7" t="s">
        <v>637</v>
      </c>
      <c r="X921" s="7" t="s">
        <v>1278</v>
      </c>
      <c r="Y921" s="7" t="s">
        <v>1279</v>
      </c>
      <c r="Z921" s="7" t="s">
        <v>1280</v>
      </c>
      <c r="AA921" s="7" t="s">
        <v>1281</v>
      </c>
      <c r="AB921" s="7" t="s">
        <v>1282</v>
      </c>
      <c r="AC921" s="7" t="s">
        <v>1283</v>
      </c>
      <c r="AD921" s="7" t="s">
        <v>1284</v>
      </c>
      <c r="AE921" s="29" t="s">
        <v>1338</v>
      </c>
      <c r="AF921" s="29" t="s">
        <v>1339</v>
      </c>
      <c r="AG921" s="29" t="s">
        <v>1340</v>
      </c>
      <c r="AH921" s="29" t="s">
        <v>1341</v>
      </c>
      <c r="AI921" s="37" t="s">
        <v>1288</v>
      </c>
      <c r="AJ921" s="7" t="s">
        <v>1286</v>
      </c>
      <c r="AK921" s="7" t="s">
        <v>1287</v>
      </c>
      <c r="AL921" s="29" t="s">
        <v>1342</v>
      </c>
      <c r="AM921" s="29" t="s">
        <v>1343</v>
      </c>
      <c r="AN921" s="29" t="s">
        <v>1344</v>
      </c>
      <c r="AO921" s="29" t="s">
        <v>1345</v>
      </c>
      <c r="AP921" s="7" t="s">
        <v>355</v>
      </c>
      <c r="AQ921" s="23" t="s">
        <v>1290</v>
      </c>
      <c r="AR921" s="23" t="s">
        <v>1291</v>
      </c>
      <c r="AS921" s="23" t="s">
        <v>845</v>
      </c>
      <c r="AT921" s="23" t="s">
        <v>709</v>
      </c>
      <c r="AU921" s="23" t="s">
        <v>1296</v>
      </c>
      <c r="AV921" s="23" t="s">
        <v>1384</v>
      </c>
      <c r="AW921" s="123" t="s">
        <v>1766</v>
      </c>
      <c r="AX921" s="123" t="s">
        <v>1767</v>
      </c>
      <c r="AY921" s="23" t="s">
        <v>1786</v>
      </c>
      <c r="AZ921" s="23" t="s">
        <v>2017</v>
      </c>
    </row>
    <row r="922" spans="1:52" s="6" customFormat="1" x14ac:dyDescent="0.25">
      <c r="A922" s="6" t="str">
        <f>IF( AND(M922=0,N922=0),"comment","")</f>
        <v/>
      </c>
      <c r="B922" s="140" t="str">
        <f>'day1'!B704</f>
        <v>2018032610000010</v>
      </c>
      <c r="C922" s="140" t="str">
        <f>'day1'!C704</f>
        <v>6001</v>
      </c>
      <c r="D922" s="140" t="str">
        <f>'day1'!D704</f>
        <v>B00101</v>
      </c>
      <c r="E922" s="140" t="str">
        <f>'day1'!E704</f>
        <v>6001</v>
      </c>
      <c r="F922" s="6">
        <f>$B$2</f>
        <v>20180327</v>
      </c>
      <c r="G922" s="6">
        <f>'day1'!G704</f>
        <v>20180326</v>
      </c>
      <c r="H922" s="6" t="str">
        <f>$B$19</f>
        <v>CZCE</v>
      </c>
      <c r="I922" s="6" t="str">
        <f>'day1'!I704</f>
        <v>SR807</v>
      </c>
      <c r="J922" s="6">
        <f>'day1'!J704</f>
        <v>1</v>
      </c>
      <c r="K922" s="6">
        <f>IF(J922=0,2,3)</f>
        <v>3</v>
      </c>
      <c r="L922" s="6">
        <f>'day1'!L704</f>
        <v>3</v>
      </c>
      <c r="M922" s="229">
        <f t="shared" ref="M922:M953" si="433">SUMPRODUCT(($C$693:$C$761=B922)*($E$693:$E$761=C922)*($F$693:$F$761=D922)*($G$693:$G$761=E922)*($L$693:$L$761=I922)*($O$693:$O$761=J922)*($P$693:$P$761=L922)*($N$693:$N$761=0)*($Q$693:$Q$761))-SUMPRODUCT(($D$693:$D$761=B922)*($E$693:$E$761=C922)*($F$693:$F$761=D922)*($G$693:$G$761=E922)*($L$693:$L$761=I922)*($O$693:$O$761&lt;&gt;J922)*($P$693:$P$761=L922)*($N$693:$N$761&lt;&gt;0)*($Q$693:$Q$761))+AV922-SUMPRODUCT(($B$842:$B$869=B922)*($C$842:$C$869=C922)*($D$842:$D$869=D922)*($O$842:$O$869&lt;&gt;2)*($N$842:$N$869))-N922</f>
        <v>4</v>
      </c>
      <c r="N922" s="6">
        <f t="shared" ref="N922:N953" si="434">SUMPRODUCT(($E$876:$E$915=B922)*($F$876:$F$915=C922)*($G$876:$G$915=D922)*($I$876:$I$915=I922)*($J$876:$J$915=L922)*($L$876:$L$915=J922)*($N$876:$N$915))</f>
        <v>0</v>
      </c>
      <c r="O922" s="6">
        <f>IF(AK922=0,0,M922*U922*W922)</f>
        <v>0</v>
      </c>
      <c r="P922" s="12">
        <f>IF(AK922=0,0,(M922+N922)*U922*W922)</f>
        <v>0</v>
      </c>
      <c r="Q922" s="12">
        <f t="shared" ref="Q922:Q956" si="435">IF(AK922=0, VLOOKUP(AR922,$F$53:$L$72,4,FALSE),VLOOKUP(AR922,$F$53:$L$72,4,FALSE)+VLOOKUP(AR922,$F$53:$L$72,6,FALSE) )</f>
        <v>5.2999999999999999E-2</v>
      </c>
      <c r="R922" s="12">
        <f t="shared" ref="R922:R956" si="436">IF(AK922=0, VLOOKUP(AR922,$F$53:$L$72,5,FALSE),VLOOKUP(AR922,$F$53:$L$72,5,FALSE)+VLOOKUP(AR922,$F$53:$L$72,7,FALSE) )</f>
        <v>5.3</v>
      </c>
      <c r="S922" s="12">
        <f t="shared" ref="S922:S956" si="437">VLOOKUP(AR922,$F$53:$L$72,2,FALSE)</f>
        <v>4.2999999999999997E-2</v>
      </c>
      <c r="T922" s="12">
        <f t="shared" ref="T922:T956" si="438">VLOOKUP(AR922,$F$53:$L$72,3,FALSE)</f>
        <v>4.3</v>
      </c>
      <c r="U922" s="12">
        <f xml:space="preserve"> VLOOKUP(I922,$C$19:$L$31,3,FALSE)</f>
        <v>10</v>
      </c>
      <c r="V922" s="12">
        <f t="shared" ref="V922:V963" si="439" xml:space="preserve"> VLOOKUP(I922,$C$230:$F$242,4,FALSE)</f>
        <v>0</v>
      </c>
      <c r="W922" s="250">
        <f t="shared" ref="W922:W963" si="440" xml:space="preserve"> VLOOKUP(I922,$C$230:$F$242,3,FALSE)</f>
        <v>6155</v>
      </c>
      <c r="X922" s="12">
        <f t="shared" ref="X922:X963" si="441" xml:space="preserve"> VLOOKUP(I922,$C$230:$G$242,5,FALSE)</f>
        <v>0</v>
      </c>
      <c r="Y922" s="250">
        <f>'day1'!Y704</f>
        <v>6100</v>
      </c>
      <c r="Z922" s="250">
        <f t="shared" ref="Z922:Z963" si="442" xml:space="preserve"> VLOOKUP(I922,$C$230:$F$242,2,FALSE)</f>
        <v>6150</v>
      </c>
      <c r="AA922" s="12">
        <f t="shared" ref="AA922:AB941" si="443">$F$190</f>
        <v>0.5</v>
      </c>
      <c r="AB922" s="12">
        <f t="shared" si="443"/>
        <v>0.5</v>
      </c>
      <c r="AC922" s="12">
        <f>IF(AD922=0,MAX((V922-X922)*U922,0),MAX((X922-V922)*U922,0))</f>
        <v>0</v>
      </c>
      <c r="AD922" s="12">
        <f t="shared" ref="AD922:AD953" si="444" xml:space="preserve"> VLOOKUP(I922,$C$19:$L$31,6,FALSE)</f>
        <v>9</v>
      </c>
      <c r="AE922" s="12">
        <f t="shared" ref="AE922:AE963" si="445">IF(AND(F922=AZ922,AK922&lt;&gt;0),0,ROUND(IF(AK922=0,Q922*U922*W922*M922+R922*M922,IF(J922=0,0,MAX(AI922+(Q922*U922*X922+R922)*AJ922-AC922*AA922,AI922+(Q922*U922*X922+R922)*AB922*AW922)*M922)),2))</f>
        <v>13069.8</v>
      </c>
      <c r="AF922" s="12">
        <f>IF(AND(F922=AZ922,AK922&lt;&gt;0),0,ROUND(IF(AK922=0,S922*U922*W922*M922+T922*M922,IF(J922=0,0,MAX(AI922+(S922*U922*X922+T922)*AJ922-AC922*AA922,AI922+(S922*U922*X922+T922)*AB922*AW922*M922))),2))</f>
        <v>10603.8</v>
      </c>
      <c r="AG922" s="12">
        <f>ROUND(IF(AK922=0,Q922*U922*W922*N922+R922*N922,IF(J922=0,0,MAX(AI922+(Q922*U922*X922+R922)*AJ922-AC922*AA922,AI922+(Q922*U922*X922+R922)*AB922*AW922)*N922)),2)</f>
        <v>0</v>
      </c>
      <c r="AH922" s="12">
        <f>ROUND(IF(AK922=0,S922*U922*W922*N922+T922*N922,IF(J922=0,0,MAX(AI922+(S922*U922*X922+T922)*AJ922-AC922*AA922,AI922+(S922*U922*X922+T922)*AB922*AW922)*N922)),2)</f>
        <v>0</v>
      </c>
      <c r="AI922" s="12">
        <f t="shared" ref="AI922:AI956" si="446">IF(AK922=1,1*U922*W922,0)</f>
        <v>0</v>
      </c>
      <c r="AJ922" s="12">
        <v>1</v>
      </c>
      <c r="AK922" s="12">
        <f t="shared" ref="AK922:AK953" si="447" xml:space="preserve"> VLOOKUP(I922,$C$19:$L$31,10,FALSE)</f>
        <v>0</v>
      </c>
      <c r="AL922" s="12">
        <f>IF(AK922=0,IF(F922=G922,IF(J922=0,(W922-Y922)*U922*M922,-(W922-Y922)*U922*M922),IF(J922=0,(W922-Z922)*U922*M922,-(W922-Z922)*U922*M922)),0)</f>
        <v>-200</v>
      </c>
      <c r="AM922" s="12">
        <f t="shared" ref="AM922:AM956" si="448">IF(AK922=0,IF(J922=0,(W922-Y922)*U922*M922,-(W922-Y922)*U922*M922),0)</f>
        <v>-2200</v>
      </c>
      <c r="AN922" s="12">
        <f t="shared" ref="AN922:AN956" si="449">IF(AK922=0,IF(F922=G922,IF(J922=0,(W922-Y922)*U922*N922,-(W922-Y922)*U922*N922),IF(J922=0,(W922-Z922)*U922*N922,-(W922-Z922)*U922*N922)),0)</f>
        <v>0</v>
      </c>
      <c r="AO922" s="12">
        <f t="shared" ref="AO922:AO956" si="450">IF(AK922=0,IF(J922=0,(W922-Y922)*U922*N922,-(W922-Y922)*U922*N922),0)</f>
        <v>0</v>
      </c>
      <c r="AP922" s="12">
        <f t="shared" ref="AP922:AP953" si="451" xml:space="preserve"> VLOOKUP(I922,$C$19:$L$31,9,FALSE)</f>
        <v>0</v>
      </c>
      <c r="AQ922" s="3" t="str">
        <f t="shared" ref="AQ922:AQ953" si="452" xml:space="preserve"> VLOOKUP(I922,$C$19:$L$31,7,FALSE)</f>
        <v>SR807</v>
      </c>
      <c r="AR922" s="3" t="str">
        <f>IF(AK922=0,AQ922&amp;L922&amp;J922,IF(AD922=0,AQ922&amp;L922&amp;1,AQ922&amp;L922&amp;0))</f>
        <v>SR80731</v>
      </c>
      <c r="AS922" s="6" t="str">
        <f>$F$5</f>
        <v>9999</v>
      </c>
      <c r="AT922" s="6" t="str">
        <f>$D$9</f>
        <v>CNY</v>
      </c>
      <c r="AU922" s="6" t="str">
        <f>VLOOKUP(D922,$C$5:$G$6,5,FALSE)</f>
        <v>50010001</v>
      </c>
      <c r="AV922" s="142">
        <f>'day1'!M704+'day1'!N704</f>
        <v>4</v>
      </c>
      <c r="AW922" s="6">
        <f t="shared" ref="AW922:AW953" si="453">VLOOKUP(I922,$C$19:$M$31,11,FALSE)</f>
        <v>1</v>
      </c>
      <c r="AX922" s="6" t="str">
        <f t="shared" ref="AX922:AX953" si="454">VLOOKUP(I922,$C$19:$M$31,7,FALSE)</f>
        <v>SR807</v>
      </c>
      <c r="AY922" s="6">
        <f>(M922+N922)*U922*Y922</f>
        <v>244000</v>
      </c>
      <c r="AZ922" s="6">
        <f>VLOOKUP(I922,$C$19:$F$31,4,FALSE)</f>
        <v>20180328</v>
      </c>
    </row>
    <row r="923" spans="1:52" s="6" customFormat="1" x14ac:dyDescent="0.25">
      <c r="A923" s="6" t="str">
        <f t="shared" ref="A923:A963" si="455">IF( AND(M923=0,N923=0),"comment","")</f>
        <v/>
      </c>
      <c r="B923" s="140" t="str">
        <f>'day1'!B705</f>
        <v>2018032610000011</v>
      </c>
      <c r="C923" s="140" t="str">
        <f>'day1'!C705</f>
        <v>6001</v>
      </c>
      <c r="D923" s="140" t="str">
        <f>'day1'!D705</f>
        <v>B00101</v>
      </c>
      <c r="E923" s="140" t="str">
        <f>'day1'!E705</f>
        <v>6001</v>
      </c>
      <c r="F923" s="6">
        <f t="shared" ref="F923:G998" si="456">$B$2</f>
        <v>20180327</v>
      </c>
      <c r="G923" s="6">
        <f>'day1'!G705</f>
        <v>20180326</v>
      </c>
      <c r="H923" s="6" t="str">
        <f t="shared" ref="H923:H998" si="457">$B$19</f>
        <v>CZCE</v>
      </c>
      <c r="I923" s="6" t="str">
        <f>'day1'!I705</f>
        <v>SR807</v>
      </c>
      <c r="J923" s="6">
        <f>'day1'!J705</f>
        <v>1</v>
      </c>
      <c r="K923" s="6">
        <f t="shared" ref="K923:K998" si="458">IF(J923=0,2,3)</f>
        <v>3</v>
      </c>
      <c r="L923" s="6">
        <f>'day1'!L705</f>
        <v>3</v>
      </c>
      <c r="M923" s="229">
        <f t="shared" si="433"/>
        <v>5</v>
      </c>
      <c r="N923" s="6">
        <f t="shared" si="434"/>
        <v>0</v>
      </c>
      <c r="O923" s="6">
        <f t="shared" ref="O923:O998" si="459">IF(AK923=0,0,M923*U923*W923)</f>
        <v>0</v>
      </c>
      <c r="P923" s="12">
        <f t="shared" ref="P923:P998" si="460">IF(AK923=0,0,(M923+N923)*U923*W923)</f>
        <v>0</v>
      </c>
      <c r="Q923" s="12">
        <f t="shared" si="435"/>
        <v>5.2999999999999999E-2</v>
      </c>
      <c r="R923" s="12">
        <f t="shared" si="436"/>
        <v>5.3</v>
      </c>
      <c r="S923" s="12">
        <f t="shared" si="437"/>
        <v>4.2999999999999997E-2</v>
      </c>
      <c r="T923" s="12">
        <f t="shared" si="438"/>
        <v>4.3</v>
      </c>
      <c r="U923" s="12">
        <f t="shared" ref="U923:U953" si="461" xml:space="preserve"> VLOOKUP(I923,$C$19:$L$31,3,FALSE)</f>
        <v>10</v>
      </c>
      <c r="V923" s="12">
        <f t="shared" si="439"/>
        <v>0</v>
      </c>
      <c r="W923" s="250">
        <f t="shared" si="440"/>
        <v>6155</v>
      </c>
      <c r="X923" s="12">
        <f t="shared" si="441"/>
        <v>0</v>
      </c>
      <c r="Y923" s="250">
        <f>'day1'!Y705</f>
        <v>6101</v>
      </c>
      <c r="Z923" s="250">
        <f t="shared" si="442"/>
        <v>6150</v>
      </c>
      <c r="AA923" s="12">
        <f t="shared" si="443"/>
        <v>0.5</v>
      </c>
      <c r="AB923" s="12">
        <f t="shared" si="443"/>
        <v>0.5</v>
      </c>
      <c r="AC923" s="12">
        <f t="shared" ref="AC923:AC956" si="462">IF(AD923=0,MAX((V923-X923)*U923,0),MAX((X923-V923)*U923,0))</f>
        <v>0</v>
      </c>
      <c r="AD923" s="12">
        <f t="shared" si="444"/>
        <v>9</v>
      </c>
      <c r="AE923" s="12">
        <f t="shared" si="445"/>
        <v>16337.25</v>
      </c>
      <c r="AF923" s="12">
        <f t="shared" ref="AF923:AF963" si="463">IF(AND(F923=AZ923,AK923&lt;&gt;0),0,ROUND(IF(AK923=0,S923*U923*W923*M923+T923*M923,IF(J923=0,0,MAX(AI923+(S923*U923*X923+T923)*AJ923-AC923*AA923,AI923+(S923*U923*X923+T923)*AB923*AW923*M923))),2))</f>
        <v>13254.75</v>
      </c>
      <c r="AG923" s="12">
        <f t="shared" ref="AG923:AG924" si="464">ROUND(IF(AK923=0,Q923*U923*W923*N923+R923*N923,IF(J923=0,0,MAX(AI923+(Q923*U923*X923+R923)*AJ923-AC923*AA923,AI923+(Q923*U923*X923+R923)*AB923*AW923)*N923)),2)</f>
        <v>0</v>
      </c>
      <c r="AH923" s="12">
        <f t="shared" ref="AH923:AH924" si="465">ROUND(IF(AK923=0,S923*U923*W923*N923+T923*N923,IF(J923=0,0,MAX(AI923+(S923*U923*X923+T923)*AJ923-AC923*AA923,AI923+(S923*U923*X923+T923)*AB923*AW923)*N923)),2)</f>
        <v>0</v>
      </c>
      <c r="AI923" s="12">
        <f t="shared" si="446"/>
        <v>0</v>
      </c>
      <c r="AJ923" s="12">
        <v>1</v>
      </c>
      <c r="AK923" s="12">
        <f t="shared" si="447"/>
        <v>0</v>
      </c>
      <c r="AL923" s="12">
        <f t="shared" ref="AL923:AL956" si="466">IF(AK923=0,IF(F923=G923,IF(J923=0,(W923-Y923)*U923*M923,-(W923-Y923)*U923*M923),IF(J923=0,(W923-Z923)*U923*M923,-(W923-Z923)*U923*M923)),0)</f>
        <v>-250</v>
      </c>
      <c r="AM923" s="12">
        <f t="shared" si="448"/>
        <v>-2700</v>
      </c>
      <c r="AN923" s="12">
        <f t="shared" si="449"/>
        <v>0</v>
      </c>
      <c r="AO923" s="12">
        <f t="shared" si="450"/>
        <v>0</v>
      </c>
      <c r="AP923" s="12">
        <f t="shared" si="451"/>
        <v>0</v>
      </c>
      <c r="AQ923" s="3" t="str">
        <f t="shared" si="452"/>
        <v>SR807</v>
      </c>
      <c r="AR923" s="3" t="str">
        <f t="shared" ref="AR923:AR986" si="467">IF(AK923=0,AQ923&amp;L923&amp;J923,IF(AD923=0,AQ923&amp;L923&amp;1,AQ923&amp;L923&amp;0))</f>
        <v>SR80731</v>
      </c>
      <c r="AS923" s="6" t="str">
        <f t="shared" ref="AS923:AS998" si="468">$F$5</f>
        <v>9999</v>
      </c>
      <c r="AT923" s="6" t="str">
        <f t="shared" ref="AT923:AT998" si="469">$D$9</f>
        <v>CNY</v>
      </c>
      <c r="AU923" s="6" t="str">
        <f t="shared" ref="AU923:AU963" si="470">VLOOKUP(D923,$C$5:$G$6,5,FALSE)</f>
        <v>50010001</v>
      </c>
      <c r="AV923" s="142">
        <f>'day1'!M705+'day1'!N705</f>
        <v>5</v>
      </c>
      <c r="AW923" s="6">
        <f t="shared" si="453"/>
        <v>1</v>
      </c>
      <c r="AX923" s="6" t="str">
        <f t="shared" si="454"/>
        <v>SR807</v>
      </c>
      <c r="AY923" s="6">
        <f t="shared" ref="AY923:AY988" si="471">(M923+N923)*U923*Y923</f>
        <v>305050</v>
      </c>
      <c r="AZ923" s="6">
        <f t="shared" ref="AZ923:AZ986" si="472">VLOOKUP(I923,$C$19:$F$31,4,FALSE)</f>
        <v>20180328</v>
      </c>
    </row>
    <row r="924" spans="1:52" s="6" customFormat="1" x14ac:dyDescent="0.25">
      <c r="A924" s="6" t="str">
        <f t="shared" si="455"/>
        <v/>
      </c>
      <c r="B924" s="140" t="str">
        <f>'day1'!B706</f>
        <v>2018032610000012</v>
      </c>
      <c r="C924" s="140" t="str">
        <f>'day1'!C706</f>
        <v>6001</v>
      </c>
      <c r="D924" s="140" t="str">
        <f>'day1'!D706</f>
        <v>B00101</v>
      </c>
      <c r="E924" s="140" t="str">
        <f>'day1'!E706</f>
        <v>6001</v>
      </c>
      <c r="F924" s="6">
        <f t="shared" si="456"/>
        <v>20180327</v>
      </c>
      <c r="G924" s="6">
        <f>'day1'!G706</f>
        <v>20180326</v>
      </c>
      <c r="H924" s="6" t="str">
        <f t="shared" si="457"/>
        <v>CZCE</v>
      </c>
      <c r="I924" s="6" t="str">
        <f>'day1'!I706</f>
        <v>SR807</v>
      </c>
      <c r="J924" s="6">
        <f>'day1'!J706</f>
        <v>1</v>
      </c>
      <c r="K924" s="6">
        <f t="shared" si="458"/>
        <v>3</v>
      </c>
      <c r="L924" s="6">
        <f>'day1'!L706</f>
        <v>1</v>
      </c>
      <c r="M924" s="229">
        <f t="shared" si="433"/>
        <v>1</v>
      </c>
      <c r="N924" s="6">
        <f t="shared" si="434"/>
        <v>0</v>
      </c>
      <c r="O924" s="6">
        <f t="shared" si="459"/>
        <v>0</v>
      </c>
      <c r="P924" s="12">
        <f t="shared" si="460"/>
        <v>0</v>
      </c>
      <c r="Q924" s="12">
        <f t="shared" si="435"/>
        <v>5.0999999999999997E-2</v>
      </c>
      <c r="R924" s="12">
        <f t="shared" si="436"/>
        <v>5.0999999999999996</v>
      </c>
      <c r="S924" s="12">
        <f t="shared" si="437"/>
        <v>4.1000000000000002E-2</v>
      </c>
      <c r="T924" s="12">
        <f t="shared" si="438"/>
        <v>4.0999999999999996</v>
      </c>
      <c r="U924" s="12">
        <f t="shared" si="461"/>
        <v>10</v>
      </c>
      <c r="V924" s="12">
        <f t="shared" si="439"/>
        <v>0</v>
      </c>
      <c r="W924" s="250">
        <f t="shared" si="440"/>
        <v>6155</v>
      </c>
      <c r="X924" s="12">
        <f t="shared" si="441"/>
        <v>0</v>
      </c>
      <c r="Y924" s="250">
        <f>'day1'!Y706</f>
        <v>6102</v>
      </c>
      <c r="Z924" s="250">
        <f t="shared" si="442"/>
        <v>6150</v>
      </c>
      <c r="AA924" s="12">
        <f t="shared" si="443"/>
        <v>0.5</v>
      </c>
      <c r="AB924" s="12">
        <f t="shared" si="443"/>
        <v>0.5</v>
      </c>
      <c r="AC924" s="12">
        <f t="shared" si="462"/>
        <v>0</v>
      </c>
      <c r="AD924" s="12">
        <f t="shared" si="444"/>
        <v>9</v>
      </c>
      <c r="AE924" s="12">
        <f t="shared" si="445"/>
        <v>3144.15</v>
      </c>
      <c r="AF924" s="12">
        <f t="shared" si="463"/>
        <v>2527.65</v>
      </c>
      <c r="AG924" s="12">
        <f t="shared" si="464"/>
        <v>0</v>
      </c>
      <c r="AH924" s="12">
        <f t="shared" si="465"/>
        <v>0</v>
      </c>
      <c r="AI924" s="12">
        <f t="shared" si="446"/>
        <v>0</v>
      </c>
      <c r="AJ924" s="12">
        <v>1</v>
      </c>
      <c r="AK924" s="12">
        <f t="shared" si="447"/>
        <v>0</v>
      </c>
      <c r="AL924" s="12">
        <f t="shared" si="466"/>
        <v>-50</v>
      </c>
      <c r="AM924" s="12">
        <f t="shared" si="448"/>
        <v>-530</v>
      </c>
      <c r="AN924" s="12">
        <f t="shared" si="449"/>
        <v>0</v>
      </c>
      <c r="AO924" s="12">
        <f t="shared" si="450"/>
        <v>0</v>
      </c>
      <c r="AP924" s="12">
        <f t="shared" si="451"/>
        <v>0</v>
      </c>
      <c r="AQ924" s="3" t="str">
        <f t="shared" si="452"/>
        <v>SR807</v>
      </c>
      <c r="AR924" s="3" t="str">
        <f t="shared" si="467"/>
        <v>SR80711</v>
      </c>
      <c r="AS924" s="6" t="str">
        <f t="shared" si="468"/>
        <v>9999</v>
      </c>
      <c r="AT924" s="6" t="str">
        <f t="shared" si="469"/>
        <v>CNY</v>
      </c>
      <c r="AU924" s="6" t="str">
        <f t="shared" si="470"/>
        <v>50010001</v>
      </c>
      <c r="AV924" s="229">
        <f>'day1'!M706+'day1'!N706</f>
        <v>1</v>
      </c>
      <c r="AW924" s="6">
        <f t="shared" si="453"/>
        <v>1</v>
      </c>
      <c r="AX924" s="6" t="str">
        <f t="shared" si="454"/>
        <v>SR807</v>
      </c>
      <c r="AY924" s="6">
        <f t="shared" si="471"/>
        <v>61020</v>
      </c>
      <c r="AZ924" s="6">
        <f t="shared" si="472"/>
        <v>20180328</v>
      </c>
    </row>
    <row r="925" spans="1:52" s="6" customFormat="1" x14ac:dyDescent="0.25">
      <c r="A925" s="6" t="str">
        <f t="shared" si="455"/>
        <v/>
      </c>
      <c r="B925" s="140" t="str">
        <f>'day1'!B707</f>
        <v>2018032610000013</v>
      </c>
      <c r="C925" s="140" t="str">
        <f>'day1'!C707</f>
        <v>6001</v>
      </c>
      <c r="D925" s="140" t="str">
        <f>'day1'!D707</f>
        <v>B00101</v>
      </c>
      <c r="E925" s="140" t="str">
        <f>'day1'!E707</f>
        <v>6001</v>
      </c>
      <c r="F925" s="6">
        <f t="shared" si="456"/>
        <v>20180327</v>
      </c>
      <c r="G925" s="6">
        <f>'day1'!G707</f>
        <v>20180326</v>
      </c>
      <c r="H925" s="6" t="str">
        <f t="shared" si="457"/>
        <v>CZCE</v>
      </c>
      <c r="I925" s="6" t="str">
        <f>'day1'!I707</f>
        <v>SR807</v>
      </c>
      <c r="J925" s="6">
        <f>'day1'!J707</f>
        <v>1</v>
      </c>
      <c r="K925" s="6">
        <f t="shared" si="458"/>
        <v>3</v>
      </c>
      <c r="L925" s="6">
        <f>'day1'!L707</f>
        <v>1</v>
      </c>
      <c r="M925" s="229">
        <f t="shared" si="433"/>
        <v>5</v>
      </c>
      <c r="N925" s="6">
        <f t="shared" si="434"/>
        <v>2</v>
      </c>
      <c r="O925" s="6">
        <f t="shared" si="459"/>
        <v>0</v>
      </c>
      <c r="P925" s="12">
        <f t="shared" si="460"/>
        <v>0</v>
      </c>
      <c r="Q925" s="12">
        <f t="shared" si="435"/>
        <v>5.0999999999999997E-2</v>
      </c>
      <c r="R925" s="12">
        <f t="shared" si="436"/>
        <v>5.0999999999999996</v>
      </c>
      <c r="S925" s="12">
        <f t="shared" si="437"/>
        <v>4.1000000000000002E-2</v>
      </c>
      <c r="T925" s="12">
        <f t="shared" si="438"/>
        <v>4.0999999999999996</v>
      </c>
      <c r="U925" s="12">
        <f t="shared" si="461"/>
        <v>10</v>
      </c>
      <c r="V925" s="12">
        <f t="shared" si="439"/>
        <v>0</v>
      </c>
      <c r="W925" s="250">
        <f t="shared" si="440"/>
        <v>6155</v>
      </c>
      <c r="X925" s="12">
        <f t="shared" si="441"/>
        <v>0</v>
      </c>
      <c r="Y925" s="250">
        <f>'day1'!Y707</f>
        <v>6103</v>
      </c>
      <c r="Z925" s="250">
        <f t="shared" si="442"/>
        <v>6150</v>
      </c>
      <c r="AA925" s="12">
        <f t="shared" si="443"/>
        <v>0.5</v>
      </c>
      <c r="AB925" s="12">
        <f t="shared" si="443"/>
        <v>0.5</v>
      </c>
      <c r="AC925" s="12">
        <f t="shared" si="462"/>
        <v>0</v>
      </c>
      <c r="AD925" s="12">
        <f t="shared" si="444"/>
        <v>9</v>
      </c>
      <c r="AE925" s="12">
        <f t="shared" si="445"/>
        <v>15720.75</v>
      </c>
      <c r="AF925" s="12">
        <f t="shared" si="463"/>
        <v>12638.25</v>
      </c>
      <c r="AG925" s="12">
        <f>ROUND(IF(AK925=0,Q925*U925*W925*N925+R925*N925,IF(J925=0,0,MAX(AI925+(Q925*U925*X925+R925)*AJ925-AC925*AA925,AI925+(Q925*U925*X925+R925)*AB925*AW925)*N925)),2)</f>
        <v>6288.3</v>
      </c>
      <c r="AH925" s="12">
        <f>ROUND(IF(AK925=0,S925*U925*W925*N925+T925*N925,IF(J925=0,0,MAX(AI925+(S925*U925*X925+T925)*AJ925-AC925*AA925,AI925+(S925*U925*X925+T925)*AB925*AW925)*N925)),2)</f>
        <v>5055.3</v>
      </c>
      <c r="AI925" s="12">
        <f t="shared" si="446"/>
        <v>0</v>
      </c>
      <c r="AJ925" s="12">
        <v>1</v>
      </c>
      <c r="AK925" s="12">
        <f t="shared" si="447"/>
        <v>0</v>
      </c>
      <c r="AL925" s="12">
        <f t="shared" si="466"/>
        <v>-250</v>
      </c>
      <c r="AM925" s="12">
        <f t="shared" si="448"/>
        <v>-2600</v>
      </c>
      <c r="AN925" s="12">
        <f t="shared" si="449"/>
        <v>-100</v>
      </c>
      <c r="AO925" s="12">
        <f t="shared" si="450"/>
        <v>-1040</v>
      </c>
      <c r="AP925" s="12">
        <f t="shared" si="451"/>
        <v>0</v>
      </c>
      <c r="AQ925" s="3" t="str">
        <f t="shared" si="452"/>
        <v>SR807</v>
      </c>
      <c r="AR925" s="3" t="str">
        <f t="shared" si="467"/>
        <v>SR80711</v>
      </c>
      <c r="AS925" s="6" t="str">
        <f t="shared" si="468"/>
        <v>9999</v>
      </c>
      <c r="AT925" s="6" t="str">
        <f t="shared" si="469"/>
        <v>CNY</v>
      </c>
      <c r="AU925" s="6" t="str">
        <f t="shared" si="470"/>
        <v>50010001</v>
      </c>
      <c r="AV925" s="229">
        <f>'day1'!M707+'day1'!N707</f>
        <v>7</v>
      </c>
      <c r="AW925" s="6">
        <f t="shared" si="453"/>
        <v>1</v>
      </c>
      <c r="AX925" s="6" t="str">
        <f t="shared" si="454"/>
        <v>SR807</v>
      </c>
      <c r="AY925" s="6">
        <f t="shared" si="471"/>
        <v>427210</v>
      </c>
      <c r="AZ925" s="6">
        <f t="shared" si="472"/>
        <v>20180328</v>
      </c>
    </row>
    <row r="926" spans="1:52" s="6" customFormat="1" x14ac:dyDescent="0.25">
      <c r="A926" s="6" t="str">
        <f>IF( AND(M926=0,N926=0),"comment","")</f>
        <v>comment</v>
      </c>
      <c r="B926" s="140" t="str">
        <f>'day1'!B708</f>
        <v>2018032610000018</v>
      </c>
      <c r="C926" s="140" t="str">
        <f>'day1'!C708</f>
        <v>6001</v>
      </c>
      <c r="D926" s="140" t="str">
        <f>'day1'!D708</f>
        <v>B00101</v>
      </c>
      <c r="E926" s="140" t="str">
        <f>'day1'!E708</f>
        <v>6001</v>
      </c>
      <c r="F926" s="6">
        <f t="shared" si="456"/>
        <v>20180327</v>
      </c>
      <c r="G926" s="6">
        <f>'day1'!G708</f>
        <v>20180326</v>
      </c>
      <c r="H926" s="6" t="str">
        <f t="shared" si="457"/>
        <v>CZCE</v>
      </c>
      <c r="I926" s="6" t="str">
        <f>'day1'!I708</f>
        <v>SR807</v>
      </c>
      <c r="J926" s="6">
        <f>'day1'!J708</f>
        <v>0</v>
      </c>
      <c r="K926" s="6">
        <f t="shared" si="458"/>
        <v>2</v>
      </c>
      <c r="L926" s="6">
        <f>'day1'!L708</f>
        <v>3</v>
      </c>
      <c r="M926" s="229">
        <f t="shared" si="433"/>
        <v>0</v>
      </c>
      <c r="N926" s="6">
        <f t="shared" si="434"/>
        <v>0</v>
      </c>
      <c r="O926" s="6">
        <f t="shared" si="459"/>
        <v>0</v>
      </c>
      <c r="P926" s="12">
        <f t="shared" si="460"/>
        <v>0</v>
      </c>
      <c r="Q926" s="12">
        <f t="shared" si="435"/>
        <v>5.1999999999999998E-2</v>
      </c>
      <c r="R926" s="12">
        <f t="shared" si="436"/>
        <v>5.2</v>
      </c>
      <c r="S926" s="12">
        <f t="shared" si="437"/>
        <v>4.2000000000000003E-2</v>
      </c>
      <c r="T926" s="12">
        <f t="shared" si="438"/>
        <v>4.2</v>
      </c>
      <c r="U926" s="12">
        <f t="shared" si="461"/>
        <v>10</v>
      </c>
      <c r="V926" s="12">
        <f t="shared" si="439"/>
        <v>0</v>
      </c>
      <c r="W926" s="12">
        <f t="shared" si="440"/>
        <v>6155</v>
      </c>
      <c r="X926" s="12">
        <f t="shared" si="441"/>
        <v>0</v>
      </c>
      <c r="Y926" s="12">
        <f>'day1'!Y708</f>
        <v>6108</v>
      </c>
      <c r="Z926" s="12">
        <f t="shared" si="442"/>
        <v>6150</v>
      </c>
      <c r="AA926" s="12">
        <f t="shared" si="443"/>
        <v>0.5</v>
      </c>
      <c r="AB926" s="12">
        <f t="shared" si="443"/>
        <v>0.5</v>
      </c>
      <c r="AC926" s="12">
        <f t="shared" si="462"/>
        <v>0</v>
      </c>
      <c r="AD926" s="12">
        <f t="shared" si="444"/>
        <v>9</v>
      </c>
      <c r="AE926" s="12">
        <f t="shared" si="445"/>
        <v>0</v>
      </c>
      <c r="AF926" s="12">
        <f t="shared" si="463"/>
        <v>0</v>
      </c>
      <c r="AG926" s="12">
        <f t="shared" ref="AG926:AG993" si="473">ROUND(IF(AK926=0,Q926*U926*W926*N926+R926*N926,IF(J926=0,0,MAX(AI926+(Q926*U926*X926+R926)*AJ926-AC926*AA926,AI926+(Q926*U926*X926+R926)*AB926*AW926)*N926)),2)</f>
        <v>0</v>
      </c>
      <c r="AH926" s="12">
        <f t="shared" ref="AH926:AH993" si="474">ROUND(IF(AK926=0,S926*U926*W926*N926+T926*N926,IF(J926=0,0,MAX(AI926+(S926*U926*X926+T926)*AJ926-AC926*AA926,AI926+(S926*U926*X926+T926)*AB926*AW926)*N926)),2)</f>
        <v>0</v>
      </c>
      <c r="AI926" s="12">
        <f t="shared" si="446"/>
        <v>0</v>
      </c>
      <c r="AJ926" s="12">
        <v>1</v>
      </c>
      <c r="AK926" s="12">
        <f t="shared" si="447"/>
        <v>0</v>
      </c>
      <c r="AL926" s="12">
        <f t="shared" si="466"/>
        <v>0</v>
      </c>
      <c r="AM926" s="12">
        <f t="shared" si="448"/>
        <v>0</v>
      </c>
      <c r="AN926" s="12">
        <f t="shared" si="449"/>
        <v>0</v>
      </c>
      <c r="AO926" s="12">
        <f t="shared" si="450"/>
        <v>0</v>
      </c>
      <c r="AP926" s="12">
        <f t="shared" si="451"/>
        <v>0</v>
      </c>
      <c r="AQ926" s="3" t="str">
        <f t="shared" si="452"/>
        <v>SR807</v>
      </c>
      <c r="AR926" s="3" t="str">
        <f t="shared" si="467"/>
        <v>SR80730</v>
      </c>
      <c r="AS926" s="6" t="str">
        <f t="shared" si="468"/>
        <v>9999</v>
      </c>
      <c r="AT926" s="6" t="str">
        <f t="shared" si="469"/>
        <v>CNY</v>
      </c>
      <c r="AU926" s="6" t="str">
        <f t="shared" si="470"/>
        <v>50010001</v>
      </c>
      <c r="AV926" s="142">
        <f>'day1'!M708+'day1'!N708</f>
        <v>5</v>
      </c>
      <c r="AW926" s="6">
        <f t="shared" si="453"/>
        <v>1</v>
      </c>
      <c r="AX926" s="6" t="str">
        <f t="shared" si="454"/>
        <v>SR807</v>
      </c>
      <c r="AY926" s="6">
        <f t="shared" si="471"/>
        <v>0</v>
      </c>
      <c r="AZ926" s="6">
        <f t="shared" si="472"/>
        <v>20180328</v>
      </c>
    </row>
    <row r="927" spans="1:52" s="6" customFormat="1" x14ac:dyDescent="0.25">
      <c r="A927" s="6" t="str">
        <f t="shared" si="455"/>
        <v>comment</v>
      </c>
      <c r="B927" s="140" t="str">
        <f>'day1'!B709</f>
        <v>2018032610000019</v>
      </c>
      <c r="C927" s="140" t="str">
        <f>'day1'!C709</f>
        <v>6001</v>
      </c>
      <c r="D927" s="140" t="str">
        <f>'day1'!D709</f>
        <v>B00101</v>
      </c>
      <c r="E927" s="140" t="str">
        <f>'day1'!E709</f>
        <v>6001</v>
      </c>
      <c r="F927" s="6">
        <f t="shared" si="456"/>
        <v>20180327</v>
      </c>
      <c r="G927" s="6">
        <f>'day1'!G709</f>
        <v>20180326</v>
      </c>
      <c r="H927" s="6" t="str">
        <f t="shared" si="457"/>
        <v>CZCE</v>
      </c>
      <c r="I927" s="6" t="str">
        <f>'day1'!I709</f>
        <v>SR807</v>
      </c>
      <c r="J927" s="6">
        <f>'day1'!J709</f>
        <v>0</v>
      </c>
      <c r="K927" s="6">
        <f t="shared" si="458"/>
        <v>2</v>
      </c>
      <c r="L927" s="6">
        <f>'day1'!L709</f>
        <v>1</v>
      </c>
      <c r="M927" s="229">
        <f t="shared" si="433"/>
        <v>0</v>
      </c>
      <c r="N927" s="6">
        <f t="shared" si="434"/>
        <v>0</v>
      </c>
      <c r="O927" s="6">
        <f t="shared" si="459"/>
        <v>0</v>
      </c>
      <c r="P927" s="12">
        <f t="shared" si="460"/>
        <v>0</v>
      </c>
      <c r="Q927" s="12">
        <f t="shared" si="435"/>
        <v>0.05</v>
      </c>
      <c r="R927" s="12">
        <f t="shared" si="436"/>
        <v>5</v>
      </c>
      <c r="S927" s="12">
        <f t="shared" si="437"/>
        <v>0.04</v>
      </c>
      <c r="T927" s="12">
        <f t="shared" si="438"/>
        <v>4</v>
      </c>
      <c r="U927" s="12">
        <f t="shared" si="461"/>
        <v>10</v>
      </c>
      <c r="V927" s="12">
        <f t="shared" si="439"/>
        <v>0</v>
      </c>
      <c r="W927" s="12">
        <f t="shared" si="440"/>
        <v>6155</v>
      </c>
      <c r="X927" s="12">
        <f t="shared" si="441"/>
        <v>0</v>
      </c>
      <c r="Y927" s="12">
        <f>'day1'!Y709</f>
        <v>6109</v>
      </c>
      <c r="Z927" s="12">
        <f t="shared" si="442"/>
        <v>6150</v>
      </c>
      <c r="AA927" s="12">
        <f t="shared" si="443"/>
        <v>0.5</v>
      </c>
      <c r="AB927" s="12">
        <f t="shared" si="443"/>
        <v>0.5</v>
      </c>
      <c r="AC927" s="12">
        <f t="shared" si="462"/>
        <v>0</v>
      </c>
      <c r="AD927" s="12">
        <f t="shared" si="444"/>
        <v>9</v>
      </c>
      <c r="AE927" s="12">
        <f t="shared" si="445"/>
        <v>0</v>
      </c>
      <c r="AF927" s="12">
        <f t="shared" si="463"/>
        <v>0</v>
      </c>
      <c r="AG927" s="12">
        <f t="shared" si="473"/>
        <v>0</v>
      </c>
      <c r="AH927" s="12">
        <f t="shared" si="474"/>
        <v>0</v>
      </c>
      <c r="AI927" s="12">
        <f t="shared" si="446"/>
        <v>0</v>
      </c>
      <c r="AJ927" s="12">
        <v>1</v>
      </c>
      <c r="AK927" s="12">
        <f t="shared" si="447"/>
        <v>0</v>
      </c>
      <c r="AL927" s="12">
        <f t="shared" si="466"/>
        <v>0</v>
      </c>
      <c r="AM927" s="12">
        <f t="shared" si="448"/>
        <v>0</v>
      </c>
      <c r="AN927" s="12">
        <f t="shared" si="449"/>
        <v>0</v>
      </c>
      <c r="AO927" s="12">
        <f t="shared" si="450"/>
        <v>0</v>
      </c>
      <c r="AP927" s="12">
        <f t="shared" si="451"/>
        <v>0</v>
      </c>
      <c r="AQ927" s="3" t="str">
        <f t="shared" si="452"/>
        <v>SR807</v>
      </c>
      <c r="AR927" s="3" t="str">
        <f t="shared" si="467"/>
        <v>SR80710</v>
      </c>
      <c r="AS927" s="6" t="str">
        <f t="shared" si="468"/>
        <v>9999</v>
      </c>
      <c r="AT927" s="6" t="str">
        <f t="shared" si="469"/>
        <v>CNY</v>
      </c>
      <c r="AU927" s="6" t="str">
        <f t="shared" si="470"/>
        <v>50010001</v>
      </c>
      <c r="AV927" s="142">
        <f>'day1'!M709+'day1'!N709</f>
        <v>0</v>
      </c>
      <c r="AW927" s="6">
        <f t="shared" si="453"/>
        <v>1</v>
      </c>
      <c r="AX927" s="6" t="str">
        <f t="shared" si="454"/>
        <v>SR807</v>
      </c>
      <c r="AY927" s="6">
        <f t="shared" si="471"/>
        <v>0</v>
      </c>
      <c r="AZ927" s="6">
        <f t="shared" si="472"/>
        <v>20180328</v>
      </c>
    </row>
    <row r="928" spans="1:52" s="6" customFormat="1" ht="15" customHeight="1" x14ac:dyDescent="0.25">
      <c r="A928" s="6" t="str">
        <f t="shared" si="455"/>
        <v>comment</v>
      </c>
      <c r="B928" s="140" t="str">
        <f>'day1'!B710</f>
        <v>2018032610000020</v>
      </c>
      <c r="C928" s="140" t="str">
        <f>'day1'!C710</f>
        <v>6001</v>
      </c>
      <c r="D928" s="140" t="str">
        <f>'day1'!D710</f>
        <v>B00101</v>
      </c>
      <c r="E928" s="140" t="str">
        <f>'day1'!E710</f>
        <v>6001</v>
      </c>
      <c r="F928" s="6">
        <f t="shared" si="456"/>
        <v>20180327</v>
      </c>
      <c r="G928" s="6">
        <f>'day1'!G710</f>
        <v>20180326</v>
      </c>
      <c r="H928" s="6" t="str">
        <f t="shared" si="457"/>
        <v>CZCE</v>
      </c>
      <c r="I928" s="6" t="str">
        <f>'day1'!I710</f>
        <v>SR807</v>
      </c>
      <c r="J928" s="6">
        <f>'day1'!J710</f>
        <v>0</v>
      </c>
      <c r="K928" s="6">
        <f t="shared" si="458"/>
        <v>2</v>
      </c>
      <c r="L928" s="6">
        <f>'day1'!L710</f>
        <v>1</v>
      </c>
      <c r="M928" s="229">
        <f t="shared" si="433"/>
        <v>0</v>
      </c>
      <c r="N928" s="6">
        <f t="shared" si="434"/>
        <v>0</v>
      </c>
      <c r="O928" s="6">
        <f t="shared" si="459"/>
        <v>0</v>
      </c>
      <c r="P928" s="12">
        <f t="shared" si="460"/>
        <v>0</v>
      </c>
      <c r="Q928" s="12">
        <f t="shared" si="435"/>
        <v>0.05</v>
      </c>
      <c r="R928" s="12">
        <f t="shared" si="436"/>
        <v>5</v>
      </c>
      <c r="S928" s="12">
        <f t="shared" si="437"/>
        <v>0.04</v>
      </c>
      <c r="T928" s="12">
        <f t="shared" si="438"/>
        <v>4</v>
      </c>
      <c r="U928" s="12">
        <f t="shared" si="461"/>
        <v>10</v>
      </c>
      <c r="V928" s="12">
        <f t="shared" si="439"/>
        <v>0</v>
      </c>
      <c r="W928" s="12">
        <f t="shared" si="440"/>
        <v>6155</v>
      </c>
      <c r="X928" s="12">
        <f t="shared" si="441"/>
        <v>0</v>
      </c>
      <c r="Y928" s="12">
        <f>'day1'!Y710</f>
        <v>6110</v>
      </c>
      <c r="Z928" s="12">
        <f t="shared" si="442"/>
        <v>6150</v>
      </c>
      <c r="AA928" s="12">
        <f t="shared" si="443"/>
        <v>0.5</v>
      </c>
      <c r="AB928" s="12">
        <f t="shared" si="443"/>
        <v>0.5</v>
      </c>
      <c r="AC928" s="12">
        <f t="shared" si="462"/>
        <v>0</v>
      </c>
      <c r="AD928" s="12">
        <f t="shared" si="444"/>
        <v>9</v>
      </c>
      <c r="AE928" s="12">
        <f t="shared" si="445"/>
        <v>0</v>
      </c>
      <c r="AF928" s="12">
        <f t="shared" si="463"/>
        <v>0</v>
      </c>
      <c r="AG928" s="12">
        <f t="shared" si="473"/>
        <v>0</v>
      </c>
      <c r="AH928" s="12">
        <f t="shared" si="474"/>
        <v>0</v>
      </c>
      <c r="AI928" s="12">
        <f t="shared" si="446"/>
        <v>0</v>
      </c>
      <c r="AJ928" s="12">
        <v>1</v>
      </c>
      <c r="AK928" s="12">
        <f t="shared" si="447"/>
        <v>0</v>
      </c>
      <c r="AL928" s="12">
        <f t="shared" si="466"/>
        <v>0</v>
      </c>
      <c r="AM928" s="12">
        <f t="shared" si="448"/>
        <v>0</v>
      </c>
      <c r="AN928" s="12">
        <f t="shared" si="449"/>
        <v>0</v>
      </c>
      <c r="AO928" s="12">
        <f t="shared" si="450"/>
        <v>0</v>
      </c>
      <c r="AP928" s="12">
        <f t="shared" si="451"/>
        <v>0</v>
      </c>
      <c r="AQ928" s="3" t="str">
        <f t="shared" si="452"/>
        <v>SR807</v>
      </c>
      <c r="AR928" s="3" t="str">
        <f t="shared" si="467"/>
        <v>SR80710</v>
      </c>
      <c r="AS928" s="6" t="str">
        <f t="shared" si="468"/>
        <v>9999</v>
      </c>
      <c r="AT928" s="6" t="str">
        <f t="shared" si="469"/>
        <v>CNY</v>
      </c>
      <c r="AU928" s="6" t="str">
        <f t="shared" si="470"/>
        <v>50010001</v>
      </c>
      <c r="AV928" s="142">
        <f>'day1'!M710+'day1'!N710</f>
        <v>8</v>
      </c>
      <c r="AW928" s="6">
        <f t="shared" si="453"/>
        <v>1</v>
      </c>
      <c r="AX928" s="6" t="str">
        <f t="shared" si="454"/>
        <v>SR807</v>
      </c>
      <c r="AY928" s="6">
        <f t="shared" si="471"/>
        <v>0</v>
      </c>
      <c r="AZ928" s="6">
        <f t="shared" si="472"/>
        <v>20180328</v>
      </c>
    </row>
    <row r="929" spans="1:52" s="6" customFormat="1" x14ac:dyDescent="0.25">
      <c r="A929" s="6" t="str">
        <f t="shared" si="455"/>
        <v/>
      </c>
      <c r="B929" s="140" t="str">
        <f>'day1'!B711</f>
        <v>2018032610000024</v>
      </c>
      <c r="C929" s="140" t="str">
        <f>'day1'!C711</f>
        <v>6001</v>
      </c>
      <c r="D929" s="140" t="str">
        <f>'day1'!D711</f>
        <v>B00101</v>
      </c>
      <c r="E929" s="140" t="str">
        <f>'day1'!E711</f>
        <v>6001</v>
      </c>
      <c r="F929" s="6">
        <f t="shared" si="456"/>
        <v>20180327</v>
      </c>
      <c r="G929" s="6">
        <f>'day1'!G711</f>
        <v>20180326</v>
      </c>
      <c r="H929" s="6" t="str">
        <f t="shared" si="457"/>
        <v>CZCE</v>
      </c>
      <c r="I929" s="6" t="str">
        <f>'day1'!I711</f>
        <v>SR809</v>
      </c>
      <c r="J929" s="6">
        <f>'day1'!J711</f>
        <v>1</v>
      </c>
      <c r="K929" s="6">
        <f t="shared" si="458"/>
        <v>3</v>
      </c>
      <c r="L929" s="6">
        <f>'day1'!L711</f>
        <v>1</v>
      </c>
      <c r="M929" s="229">
        <f t="shared" si="433"/>
        <v>0</v>
      </c>
      <c r="N929" s="6">
        <f t="shared" si="434"/>
        <v>2</v>
      </c>
      <c r="O929" s="6">
        <f t="shared" si="459"/>
        <v>0</v>
      </c>
      <c r="P929" s="12">
        <f t="shared" si="460"/>
        <v>0</v>
      </c>
      <c r="Q929" s="12">
        <f t="shared" si="435"/>
        <v>5.0999999999999997E-2</v>
      </c>
      <c r="R929" s="12">
        <f t="shared" si="436"/>
        <v>5.0999999999999996</v>
      </c>
      <c r="S929" s="12">
        <f t="shared" si="437"/>
        <v>4.1000000000000002E-2</v>
      </c>
      <c r="T929" s="12">
        <f t="shared" si="438"/>
        <v>4.0999999999999996</v>
      </c>
      <c r="U929" s="12">
        <f t="shared" si="461"/>
        <v>10</v>
      </c>
      <c r="V929" s="12">
        <f t="shared" si="439"/>
        <v>0</v>
      </c>
      <c r="W929" s="250">
        <f t="shared" si="440"/>
        <v>6156</v>
      </c>
      <c r="X929" s="12">
        <f t="shared" si="441"/>
        <v>0</v>
      </c>
      <c r="Y929" s="250">
        <f>'day1'!Y711</f>
        <v>6114</v>
      </c>
      <c r="Z929" s="250">
        <f t="shared" si="442"/>
        <v>6155</v>
      </c>
      <c r="AA929" s="12">
        <f t="shared" si="443"/>
        <v>0.5</v>
      </c>
      <c r="AB929" s="12">
        <f t="shared" si="443"/>
        <v>0.5</v>
      </c>
      <c r="AC929" s="12">
        <f t="shared" si="462"/>
        <v>0</v>
      </c>
      <c r="AD929" s="12">
        <f t="shared" si="444"/>
        <v>9</v>
      </c>
      <c r="AE929" s="12">
        <f t="shared" si="445"/>
        <v>0</v>
      </c>
      <c r="AF929" s="12">
        <f t="shared" si="463"/>
        <v>0</v>
      </c>
      <c r="AG929" s="12">
        <f t="shared" si="473"/>
        <v>6289.32</v>
      </c>
      <c r="AH929" s="12">
        <f t="shared" si="474"/>
        <v>5056.12</v>
      </c>
      <c r="AI929" s="12">
        <f t="shared" si="446"/>
        <v>0</v>
      </c>
      <c r="AJ929" s="12">
        <v>1</v>
      </c>
      <c r="AK929" s="12">
        <f t="shared" si="447"/>
        <v>0</v>
      </c>
      <c r="AL929" s="12">
        <f t="shared" si="466"/>
        <v>0</v>
      </c>
      <c r="AM929" s="12">
        <f t="shared" si="448"/>
        <v>0</v>
      </c>
      <c r="AN929" s="12">
        <f t="shared" si="449"/>
        <v>-20</v>
      </c>
      <c r="AO929" s="12">
        <f t="shared" si="450"/>
        <v>-840</v>
      </c>
      <c r="AP929" s="12">
        <f t="shared" si="451"/>
        <v>0</v>
      </c>
      <c r="AQ929" s="3" t="str">
        <f t="shared" si="452"/>
        <v>SR809</v>
      </c>
      <c r="AR929" s="3" t="str">
        <f t="shared" si="467"/>
        <v>SR80911</v>
      </c>
      <c r="AS929" s="6" t="str">
        <f t="shared" si="468"/>
        <v>9999</v>
      </c>
      <c r="AT929" s="6" t="str">
        <f t="shared" si="469"/>
        <v>CNY</v>
      </c>
      <c r="AU929" s="6" t="str">
        <f t="shared" si="470"/>
        <v>50010001</v>
      </c>
      <c r="AV929" s="142">
        <f>'day1'!M711+'day1'!N711</f>
        <v>2</v>
      </c>
      <c r="AW929" s="6">
        <f t="shared" si="453"/>
        <v>1</v>
      </c>
      <c r="AX929" s="6" t="str">
        <f t="shared" si="454"/>
        <v>SR809</v>
      </c>
      <c r="AY929" s="6">
        <f t="shared" si="471"/>
        <v>122280</v>
      </c>
      <c r="AZ929" s="6">
        <f t="shared" si="472"/>
        <v>20180333</v>
      </c>
    </row>
    <row r="930" spans="1:52" s="6" customFormat="1" x14ac:dyDescent="0.25">
      <c r="A930" s="6" t="str">
        <f t="shared" si="455"/>
        <v>comment</v>
      </c>
      <c r="B930" s="140" t="str">
        <f>'day1'!B712</f>
        <v>2018032610000025</v>
      </c>
      <c r="C930" s="140" t="str">
        <f>'day1'!C712</f>
        <v>6001</v>
      </c>
      <c r="D930" s="140" t="str">
        <f>'day1'!D712</f>
        <v>B00101</v>
      </c>
      <c r="E930" s="140" t="str">
        <f>'day1'!E712</f>
        <v>6001</v>
      </c>
      <c r="F930" s="6">
        <f t="shared" si="456"/>
        <v>20180327</v>
      </c>
      <c r="G930" s="6">
        <f>'day1'!G712</f>
        <v>20180326</v>
      </c>
      <c r="H930" s="6" t="str">
        <f t="shared" si="457"/>
        <v>CZCE</v>
      </c>
      <c r="I930" s="6" t="str">
        <f>'day1'!I712</f>
        <v>SR809</v>
      </c>
      <c r="J930" s="6">
        <f>'day1'!J712</f>
        <v>0</v>
      </c>
      <c r="K930" s="6">
        <f t="shared" si="458"/>
        <v>2</v>
      </c>
      <c r="L930" s="6">
        <f>'day1'!L712</f>
        <v>1</v>
      </c>
      <c r="M930" s="229">
        <f t="shared" si="433"/>
        <v>0</v>
      </c>
      <c r="N930" s="6">
        <f t="shared" si="434"/>
        <v>0</v>
      </c>
      <c r="O930" s="6">
        <f t="shared" si="459"/>
        <v>0</v>
      </c>
      <c r="P930" s="12">
        <f t="shared" si="460"/>
        <v>0</v>
      </c>
      <c r="Q930" s="12">
        <f t="shared" si="435"/>
        <v>0.05</v>
      </c>
      <c r="R930" s="12">
        <f t="shared" si="436"/>
        <v>5</v>
      </c>
      <c r="S930" s="12">
        <f t="shared" si="437"/>
        <v>0.04</v>
      </c>
      <c r="T930" s="12">
        <f t="shared" si="438"/>
        <v>4</v>
      </c>
      <c r="U930" s="12">
        <f t="shared" si="461"/>
        <v>10</v>
      </c>
      <c r="V930" s="12">
        <f t="shared" si="439"/>
        <v>0</v>
      </c>
      <c r="W930" s="250">
        <f t="shared" si="440"/>
        <v>6156</v>
      </c>
      <c r="X930" s="12">
        <f t="shared" si="441"/>
        <v>0</v>
      </c>
      <c r="Y930" s="250">
        <f>'day1'!Y712</f>
        <v>6115</v>
      </c>
      <c r="Z930" s="250">
        <f t="shared" si="442"/>
        <v>6155</v>
      </c>
      <c r="AA930" s="12">
        <f t="shared" si="443"/>
        <v>0.5</v>
      </c>
      <c r="AB930" s="12">
        <f t="shared" si="443"/>
        <v>0.5</v>
      </c>
      <c r="AC930" s="12">
        <f t="shared" si="462"/>
        <v>0</v>
      </c>
      <c r="AD930" s="12">
        <f t="shared" si="444"/>
        <v>9</v>
      </c>
      <c r="AE930" s="12">
        <f t="shared" si="445"/>
        <v>0</v>
      </c>
      <c r="AF930" s="12">
        <f t="shared" si="463"/>
        <v>0</v>
      </c>
      <c r="AG930" s="12">
        <f t="shared" si="473"/>
        <v>0</v>
      </c>
      <c r="AH930" s="12">
        <f t="shared" si="474"/>
        <v>0</v>
      </c>
      <c r="AI930" s="12">
        <f t="shared" si="446"/>
        <v>0</v>
      </c>
      <c r="AJ930" s="12">
        <v>1</v>
      </c>
      <c r="AK930" s="12">
        <f t="shared" si="447"/>
        <v>0</v>
      </c>
      <c r="AL930" s="12">
        <f t="shared" si="466"/>
        <v>0</v>
      </c>
      <c r="AM930" s="12">
        <f t="shared" si="448"/>
        <v>0</v>
      </c>
      <c r="AN930" s="12">
        <f t="shared" si="449"/>
        <v>0</v>
      </c>
      <c r="AO930" s="12">
        <f t="shared" si="450"/>
        <v>0</v>
      </c>
      <c r="AP930" s="12">
        <f t="shared" si="451"/>
        <v>0</v>
      </c>
      <c r="AQ930" s="3" t="str">
        <f t="shared" si="452"/>
        <v>SR809</v>
      </c>
      <c r="AR930" s="3" t="str">
        <f t="shared" si="467"/>
        <v>SR80910</v>
      </c>
      <c r="AS930" s="6" t="str">
        <f t="shared" si="468"/>
        <v>9999</v>
      </c>
      <c r="AT930" s="6" t="str">
        <f t="shared" si="469"/>
        <v>CNY</v>
      </c>
      <c r="AU930" s="6" t="str">
        <f t="shared" si="470"/>
        <v>50010001</v>
      </c>
      <c r="AV930" s="142">
        <f>'day1'!M712+'day1'!N712</f>
        <v>6</v>
      </c>
      <c r="AW930" s="6">
        <f t="shared" si="453"/>
        <v>1</v>
      </c>
      <c r="AX930" s="6" t="str">
        <f t="shared" si="454"/>
        <v>SR809</v>
      </c>
      <c r="AY930" s="6">
        <f t="shared" si="471"/>
        <v>0</v>
      </c>
      <c r="AZ930" s="6">
        <f t="shared" si="472"/>
        <v>20180333</v>
      </c>
    </row>
    <row r="931" spans="1:52" s="6" customFormat="1" x14ac:dyDescent="0.25">
      <c r="A931" s="6" t="str">
        <f t="shared" si="455"/>
        <v/>
      </c>
      <c r="B931" s="140" t="str">
        <f>'day1'!B713</f>
        <v>2018032610000026</v>
      </c>
      <c r="C931" s="140" t="str">
        <f>'day1'!C713</f>
        <v>6001</v>
      </c>
      <c r="D931" s="140" t="str">
        <f>'day1'!D713</f>
        <v>B00101</v>
      </c>
      <c r="E931" s="140" t="str">
        <f>'day1'!E713</f>
        <v>6001</v>
      </c>
      <c r="F931" s="6">
        <f t="shared" si="456"/>
        <v>20180327</v>
      </c>
      <c r="G931" s="6">
        <f>'day1'!G713</f>
        <v>20180326</v>
      </c>
      <c r="H931" s="6" t="str">
        <f t="shared" si="457"/>
        <v>CZCE</v>
      </c>
      <c r="I931" s="6" t="str">
        <f>'day1'!I713</f>
        <v>OI811</v>
      </c>
      <c r="J931" s="6">
        <f>'day1'!J713</f>
        <v>1</v>
      </c>
      <c r="K931" s="6">
        <f t="shared" si="458"/>
        <v>3</v>
      </c>
      <c r="L931" s="6">
        <f>'day1'!L713</f>
        <v>1</v>
      </c>
      <c r="M931" s="229">
        <f t="shared" si="433"/>
        <v>0</v>
      </c>
      <c r="N931" s="6">
        <f t="shared" si="434"/>
        <v>2</v>
      </c>
      <c r="O931" s="6">
        <f t="shared" si="459"/>
        <v>0</v>
      </c>
      <c r="P931" s="12">
        <f t="shared" si="460"/>
        <v>0</v>
      </c>
      <c r="Q931" s="12">
        <f t="shared" si="435"/>
        <v>5.0999999999999997E-2</v>
      </c>
      <c r="R931" s="12">
        <f t="shared" si="436"/>
        <v>5.0999999999999996</v>
      </c>
      <c r="S931" s="12">
        <f t="shared" si="437"/>
        <v>4.1000000000000002E-2</v>
      </c>
      <c r="T931" s="12">
        <f t="shared" si="438"/>
        <v>4.0999999999999996</v>
      </c>
      <c r="U931" s="12">
        <f t="shared" si="461"/>
        <v>10</v>
      </c>
      <c r="V931" s="12">
        <f t="shared" si="439"/>
        <v>0</v>
      </c>
      <c r="W931" s="250">
        <f t="shared" si="440"/>
        <v>6165</v>
      </c>
      <c r="X931" s="12">
        <f t="shared" si="441"/>
        <v>0</v>
      </c>
      <c r="Y931" s="250">
        <f>'day1'!Y713</f>
        <v>6116</v>
      </c>
      <c r="Z931" s="250">
        <f t="shared" si="442"/>
        <v>6160</v>
      </c>
      <c r="AA931" s="12">
        <f t="shared" si="443"/>
        <v>0.5</v>
      </c>
      <c r="AB931" s="12">
        <f t="shared" si="443"/>
        <v>0.5</v>
      </c>
      <c r="AC931" s="12">
        <f t="shared" si="462"/>
        <v>0</v>
      </c>
      <c r="AD931" s="12">
        <f t="shared" si="444"/>
        <v>9</v>
      </c>
      <c r="AE931" s="12">
        <f t="shared" si="445"/>
        <v>0</v>
      </c>
      <c r="AF931" s="12">
        <f t="shared" si="463"/>
        <v>0</v>
      </c>
      <c r="AG931" s="12">
        <f t="shared" si="473"/>
        <v>6298.5</v>
      </c>
      <c r="AH931" s="12">
        <f t="shared" si="474"/>
        <v>5063.5</v>
      </c>
      <c r="AI931" s="12">
        <f t="shared" si="446"/>
        <v>0</v>
      </c>
      <c r="AJ931" s="12">
        <v>1</v>
      </c>
      <c r="AK931" s="12">
        <f t="shared" si="447"/>
        <v>0</v>
      </c>
      <c r="AL931" s="12">
        <f t="shared" si="466"/>
        <v>0</v>
      </c>
      <c r="AM931" s="12">
        <f t="shared" si="448"/>
        <v>0</v>
      </c>
      <c r="AN931" s="12">
        <f t="shared" si="449"/>
        <v>-100</v>
      </c>
      <c r="AO931" s="12">
        <f t="shared" si="450"/>
        <v>-980</v>
      </c>
      <c r="AP931" s="12">
        <f t="shared" si="451"/>
        <v>0</v>
      </c>
      <c r="AQ931" s="3" t="str">
        <f t="shared" si="452"/>
        <v>OI811</v>
      </c>
      <c r="AR931" s="3" t="str">
        <f t="shared" si="467"/>
        <v>OI81111</v>
      </c>
      <c r="AS931" s="6" t="str">
        <f t="shared" si="468"/>
        <v>9999</v>
      </c>
      <c r="AT931" s="6" t="str">
        <f t="shared" si="469"/>
        <v>CNY</v>
      </c>
      <c r="AU931" s="6" t="str">
        <f t="shared" si="470"/>
        <v>50010001</v>
      </c>
      <c r="AV931" s="142">
        <f>'day1'!M713+'day1'!N713</f>
        <v>2</v>
      </c>
      <c r="AW931" s="6">
        <f t="shared" si="453"/>
        <v>1</v>
      </c>
      <c r="AX931" s="6" t="str">
        <f t="shared" si="454"/>
        <v>OI811</v>
      </c>
      <c r="AY931" s="6">
        <f t="shared" si="471"/>
        <v>122320</v>
      </c>
      <c r="AZ931" s="6">
        <f t="shared" si="472"/>
        <v>20180333</v>
      </c>
    </row>
    <row r="932" spans="1:52" s="6" customFormat="1" x14ac:dyDescent="0.25">
      <c r="A932" s="6" t="str">
        <f t="shared" si="455"/>
        <v/>
      </c>
      <c r="B932" s="140" t="str">
        <f>'day1'!B714</f>
        <v>2018032610000027</v>
      </c>
      <c r="C932" s="140" t="str">
        <f>'day1'!C714</f>
        <v>6001</v>
      </c>
      <c r="D932" s="140" t="str">
        <f>'day1'!D714</f>
        <v>B00101</v>
      </c>
      <c r="E932" s="140" t="str">
        <f>'day1'!E714</f>
        <v>6001</v>
      </c>
      <c r="F932" s="6">
        <f t="shared" si="456"/>
        <v>20180327</v>
      </c>
      <c r="G932" s="6">
        <f>'day1'!G714</f>
        <v>20180326</v>
      </c>
      <c r="H932" s="6" t="str">
        <f t="shared" si="457"/>
        <v>CZCE</v>
      </c>
      <c r="I932" s="6" t="str">
        <f>'day1'!I714</f>
        <v>OI811</v>
      </c>
      <c r="J932" s="6">
        <f>'day1'!J714</f>
        <v>0</v>
      </c>
      <c r="K932" s="6">
        <f t="shared" si="458"/>
        <v>2</v>
      </c>
      <c r="L932" s="6">
        <f>'day1'!L714</f>
        <v>1</v>
      </c>
      <c r="M932" s="229">
        <f t="shared" si="433"/>
        <v>0</v>
      </c>
      <c r="N932" s="6">
        <f t="shared" si="434"/>
        <v>2</v>
      </c>
      <c r="O932" s="6">
        <f t="shared" si="459"/>
        <v>0</v>
      </c>
      <c r="P932" s="12">
        <f t="shared" si="460"/>
        <v>0</v>
      </c>
      <c r="Q932" s="12">
        <f t="shared" si="435"/>
        <v>0.05</v>
      </c>
      <c r="R932" s="12">
        <f t="shared" si="436"/>
        <v>5</v>
      </c>
      <c r="S932" s="12">
        <f t="shared" si="437"/>
        <v>0.04</v>
      </c>
      <c r="T932" s="12">
        <f t="shared" si="438"/>
        <v>4</v>
      </c>
      <c r="U932" s="12">
        <f t="shared" si="461"/>
        <v>10</v>
      </c>
      <c r="V932" s="12">
        <f t="shared" si="439"/>
        <v>0</v>
      </c>
      <c r="W932" s="250">
        <f t="shared" si="440"/>
        <v>6165</v>
      </c>
      <c r="X932" s="12">
        <f t="shared" si="441"/>
        <v>0</v>
      </c>
      <c r="Y932" s="250">
        <f>'day1'!Y714</f>
        <v>6117</v>
      </c>
      <c r="Z932" s="250">
        <f t="shared" si="442"/>
        <v>6160</v>
      </c>
      <c r="AA932" s="12">
        <f t="shared" si="443"/>
        <v>0.5</v>
      </c>
      <c r="AB932" s="12">
        <f t="shared" si="443"/>
        <v>0.5</v>
      </c>
      <c r="AC932" s="12">
        <f t="shared" si="462"/>
        <v>0</v>
      </c>
      <c r="AD932" s="12">
        <f t="shared" si="444"/>
        <v>9</v>
      </c>
      <c r="AE932" s="12">
        <f t="shared" si="445"/>
        <v>0</v>
      </c>
      <c r="AF932" s="12">
        <f t="shared" si="463"/>
        <v>0</v>
      </c>
      <c r="AG932" s="12">
        <f t="shared" si="473"/>
        <v>6175</v>
      </c>
      <c r="AH932" s="12">
        <f t="shared" si="474"/>
        <v>4940</v>
      </c>
      <c r="AI932" s="12">
        <f t="shared" si="446"/>
        <v>0</v>
      </c>
      <c r="AJ932" s="12">
        <v>1</v>
      </c>
      <c r="AK932" s="12">
        <f t="shared" si="447"/>
        <v>0</v>
      </c>
      <c r="AL932" s="12">
        <f t="shared" si="466"/>
        <v>0</v>
      </c>
      <c r="AM932" s="12">
        <f t="shared" si="448"/>
        <v>0</v>
      </c>
      <c r="AN932" s="12">
        <f t="shared" si="449"/>
        <v>100</v>
      </c>
      <c r="AO932" s="12">
        <f t="shared" si="450"/>
        <v>960</v>
      </c>
      <c r="AP932" s="12">
        <f t="shared" si="451"/>
        <v>0</v>
      </c>
      <c r="AQ932" s="3" t="str">
        <f t="shared" si="452"/>
        <v>OI811</v>
      </c>
      <c r="AR932" s="3" t="str">
        <f t="shared" si="467"/>
        <v>OI81110</v>
      </c>
      <c r="AS932" s="6" t="str">
        <f t="shared" si="468"/>
        <v>9999</v>
      </c>
      <c r="AT932" s="6" t="str">
        <f t="shared" si="469"/>
        <v>CNY</v>
      </c>
      <c r="AU932" s="6" t="str">
        <f t="shared" si="470"/>
        <v>50010001</v>
      </c>
      <c r="AV932" s="142">
        <f>'day1'!M714+'day1'!N714</f>
        <v>2</v>
      </c>
      <c r="AW932" s="6">
        <f t="shared" si="453"/>
        <v>1</v>
      </c>
      <c r="AX932" s="6" t="str">
        <f t="shared" si="454"/>
        <v>OI811</v>
      </c>
      <c r="AY932" s="6">
        <f t="shared" si="471"/>
        <v>122340</v>
      </c>
      <c r="AZ932" s="6">
        <f t="shared" si="472"/>
        <v>20180333</v>
      </c>
    </row>
    <row r="933" spans="1:52" s="6" customFormat="1" x14ac:dyDescent="0.25">
      <c r="A933" s="6" t="str">
        <f t="shared" si="455"/>
        <v/>
      </c>
      <c r="B933" s="140" t="str">
        <f>'day1'!B715</f>
        <v>2018032610000028</v>
      </c>
      <c r="C933" s="140" t="str">
        <f>'day1'!C715</f>
        <v>6001</v>
      </c>
      <c r="D933" s="140" t="str">
        <f>'day1'!D715</f>
        <v>B00102</v>
      </c>
      <c r="E933" s="140" t="str">
        <f>'day1'!E715</f>
        <v>6001</v>
      </c>
      <c r="F933" s="6">
        <f t="shared" si="456"/>
        <v>20180327</v>
      </c>
      <c r="G933" s="6">
        <f>'day1'!G715</f>
        <v>20180326</v>
      </c>
      <c r="H933" s="6" t="str">
        <f t="shared" si="457"/>
        <v>CZCE</v>
      </c>
      <c r="I933" s="6" t="str">
        <f>'day1'!I715</f>
        <v>PTA807</v>
      </c>
      <c r="J933" s="6">
        <f>'day1'!J715</f>
        <v>0</v>
      </c>
      <c r="K933" s="6">
        <f t="shared" si="458"/>
        <v>2</v>
      </c>
      <c r="L933" s="6">
        <f>'day1'!L715</f>
        <v>3</v>
      </c>
      <c r="M933" s="229">
        <f t="shared" si="433"/>
        <v>2</v>
      </c>
      <c r="N933" s="6">
        <f t="shared" si="434"/>
        <v>0</v>
      </c>
      <c r="O933" s="6">
        <f t="shared" si="459"/>
        <v>0</v>
      </c>
      <c r="P933" s="12">
        <f t="shared" si="460"/>
        <v>0</v>
      </c>
      <c r="Q933" s="12">
        <f t="shared" si="435"/>
        <v>5.1999999999999998E-2</v>
      </c>
      <c r="R933" s="12">
        <f t="shared" si="436"/>
        <v>5.2</v>
      </c>
      <c r="S933" s="12">
        <f t="shared" si="437"/>
        <v>4.2000000000000003E-2</v>
      </c>
      <c r="T933" s="12">
        <f t="shared" si="438"/>
        <v>4.2</v>
      </c>
      <c r="U933" s="12">
        <f t="shared" si="461"/>
        <v>5</v>
      </c>
      <c r="V933" s="12">
        <f t="shared" si="439"/>
        <v>0</v>
      </c>
      <c r="W933" s="250">
        <f t="shared" si="440"/>
        <v>6160</v>
      </c>
      <c r="X933" s="12">
        <f t="shared" si="441"/>
        <v>0</v>
      </c>
      <c r="Y933" s="250">
        <f>'day1'!Y715</f>
        <v>6118</v>
      </c>
      <c r="Z933" s="250">
        <f t="shared" si="442"/>
        <v>6165</v>
      </c>
      <c r="AA933" s="12">
        <f t="shared" si="443"/>
        <v>0.5</v>
      </c>
      <c r="AB933" s="12">
        <f t="shared" si="443"/>
        <v>0.5</v>
      </c>
      <c r="AC933" s="12">
        <f t="shared" si="462"/>
        <v>0</v>
      </c>
      <c r="AD933" s="12">
        <f t="shared" si="444"/>
        <v>9</v>
      </c>
      <c r="AE933" s="12">
        <f t="shared" si="445"/>
        <v>3213.6</v>
      </c>
      <c r="AF933" s="12">
        <f t="shared" si="463"/>
        <v>2595.6</v>
      </c>
      <c r="AG933" s="12">
        <f t="shared" si="473"/>
        <v>0</v>
      </c>
      <c r="AH933" s="12">
        <f t="shared" si="474"/>
        <v>0</v>
      </c>
      <c r="AI933" s="12">
        <f t="shared" si="446"/>
        <v>0</v>
      </c>
      <c r="AJ933" s="12">
        <v>1</v>
      </c>
      <c r="AK933" s="12">
        <f t="shared" si="447"/>
        <v>0</v>
      </c>
      <c r="AL933" s="12">
        <f t="shared" si="466"/>
        <v>-50</v>
      </c>
      <c r="AM933" s="12">
        <f t="shared" si="448"/>
        <v>420</v>
      </c>
      <c r="AN933" s="12">
        <f t="shared" si="449"/>
        <v>0</v>
      </c>
      <c r="AO933" s="12">
        <f t="shared" si="450"/>
        <v>0</v>
      </c>
      <c r="AP933" s="12">
        <f t="shared" si="451"/>
        <v>1</v>
      </c>
      <c r="AQ933" s="3" t="str">
        <f t="shared" si="452"/>
        <v>PTA807</v>
      </c>
      <c r="AR933" s="3" t="str">
        <f t="shared" si="467"/>
        <v>PTA80730</v>
      </c>
      <c r="AS933" s="6" t="str">
        <f t="shared" si="468"/>
        <v>9999</v>
      </c>
      <c r="AT933" s="6" t="str">
        <f t="shared" si="469"/>
        <v>CNY</v>
      </c>
      <c r="AU933" s="6" t="str">
        <f t="shared" si="470"/>
        <v>50010002</v>
      </c>
      <c r="AV933" s="142">
        <f>'day1'!M715+'day1'!N715</f>
        <v>2</v>
      </c>
      <c r="AW933" s="6">
        <f t="shared" si="453"/>
        <v>1</v>
      </c>
      <c r="AX933" s="6" t="str">
        <f t="shared" si="454"/>
        <v>PTA807</v>
      </c>
      <c r="AY933" s="6">
        <f t="shared" si="471"/>
        <v>61180</v>
      </c>
      <c r="AZ933" s="6">
        <f t="shared" si="472"/>
        <v>20180328</v>
      </c>
    </row>
    <row r="934" spans="1:52" s="6" customFormat="1" x14ac:dyDescent="0.25">
      <c r="A934" s="6" t="str">
        <f t="shared" si="455"/>
        <v/>
      </c>
      <c r="B934" s="140" t="str">
        <f>'day1'!B716</f>
        <v>2018032610000029</v>
      </c>
      <c r="C934" s="140" t="str">
        <f>'day1'!C716</f>
        <v>6001</v>
      </c>
      <c r="D934" s="140" t="str">
        <f>'day1'!D716</f>
        <v>B00102</v>
      </c>
      <c r="E934" s="140" t="str">
        <f>'day1'!E716</f>
        <v>6001</v>
      </c>
      <c r="F934" s="6">
        <f t="shared" si="456"/>
        <v>20180327</v>
      </c>
      <c r="G934" s="6">
        <f>'day1'!G716</f>
        <v>20180326</v>
      </c>
      <c r="H934" s="6" t="str">
        <f t="shared" si="457"/>
        <v>CZCE</v>
      </c>
      <c r="I934" s="6" t="str">
        <f>'day1'!I716</f>
        <v>PTA807</v>
      </c>
      <c r="J934" s="6">
        <f>'day1'!J716</f>
        <v>1</v>
      </c>
      <c r="K934" s="6">
        <f t="shared" si="458"/>
        <v>3</v>
      </c>
      <c r="L934" s="6">
        <f>'day1'!L716</f>
        <v>3</v>
      </c>
      <c r="M934" s="229">
        <f t="shared" si="433"/>
        <v>6</v>
      </c>
      <c r="N934" s="6">
        <f t="shared" si="434"/>
        <v>0</v>
      </c>
      <c r="O934" s="6">
        <f t="shared" si="459"/>
        <v>0</v>
      </c>
      <c r="P934" s="12">
        <f t="shared" si="460"/>
        <v>0</v>
      </c>
      <c r="Q934" s="12">
        <f t="shared" si="435"/>
        <v>5.2999999999999999E-2</v>
      </c>
      <c r="R934" s="12">
        <f t="shared" si="436"/>
        <v>5.3</v>
      </c>
      <c r="S934" s="12">
        <f t="shared" si="437"/>
        <v>4.2999999999999997E-2</v>
      </c>
      <c r="T934" s="12">
        <f t="shared" si="438"/>
        <v>4.3</v>
      </c>
      <c r="U934" s="12">
        <f t="shared" si="461"/>
        <v>5</v>
      </c>
      <c r="V934" s="12">
        <f t="shared" si="439"/>
        <v>0</v>
      </c>
      <c r="W934" s="250">
        <f t="shared" si="440"/>
        <v>6160</v>
      </c>
      <c r="X934" s="12">
        <f t="shared" si="441"/>
        <v>0</v>
      </c>
      <c r="Y934" s="250">
        <f>'day1'!Y716</f>
        <v>6119</v>
      </c>
      <c r="Z934" s="250">
        <f t="shared" si="442"/>
        <v>6165</v>
      </c>
      <c r="AA934" s="12">
        <f t="shared" si="443"/>
        <v>0.5</v>
      </c>
      <c r="AB934" s="12">
        <f t="shared" si="443"/>
        <v>0.5</v>
      </c>
      <c r="AC934" s="12">
        <f t="shared" si="462"/>
        <v>0</v>
      </c>
      <c r="AD934" s="12">
        <f t="shared" si="444"/>
        <v>9</v>
      </c>
      <c r="AE934" s="12">
        <f t="shared" si="445"/>
        <v>9826.2000000000007</v>
      </c>
      <c r="AF934" s="12">
        <f t="shared" si="463"/>
        <v>7972.2</v>
      </c>
      <c r="AG934" s="12">
        <f t="shared" si="473"/>
        <v>0</v>
      </c>
      <c r="AH934" s="12">
        <f t="shared" si="474"/>
        <v>0</v>
      </c>
      <c r="AI934" s="12">
        <f t="shared" si="446"/>
        <v>0</v>
      </c>
      <c r="AJ934" s="12">
        <v>1</v>
      </c>
      <c r="AK934" s="12">
        <f t="shared" si="447"/>
        <v>0</v>
      </c>
      <c r="AL934" s="12">
        <f t="shared" si="466"/>
        <v>150</v>
      </c>
      <c r="AM934" s="12">
        <f t="shared" si="448"/>
        <v>-1230</v>
      </c>
      <c r="AN934" s="12">
        <f t="shared" si="449"/>
        <v>0</v>
      </c>
      <c r="AO934" s="12">
        <f t="shared" si="450"/>
        <v>0</v>
      </c>
      <c r="AP934" s="12">
        <f t="shared" si="451"/>
        <v>1</v>
      </c>
      <c r="AQ934" s="3" t="str">
        <f t="shared" si="452"/>
        <v>PTA807</v>
      </c>
      <c r="AR934" s="3" t="str">
        <f t="shared" si="467"/>
        <v>PTA80731</v>
      </c>
      <c r="AS934" s="6" t="str">
        <f t="shared" si="468"/>
        <v>9999</v>
      </c>
      <c r="AT934" s="6" t="str">
        <f t="shared" si="469"/>
        <v>CNY</v>
      </c>
      <c r="AU934" s="6" t="str">
        <f t="shared" si="470"/>
        <v>50010002</v>
      </c>
      <c r="AV934" s="142">
        <f>'day1'!M716+'day1'!N716</f>
        <v>6</v>
      </c>
      <c r="AW934" s="6">
        <f t="shared" si="453"/>
        <v>1</v>
      </c>
      <c r="AX934" s="6" t="str">
        <f t="shared" si="454"/>
        <v>PTA807</v>
      </c>
      <c r="AY934" s="6">
        <f t="shared" si="471"/>
        <v>183570</v>
      </c>
      <c r="AZ934" s="6">
        <f t="shared" si="472"/>
        <v>20180328</v>
      </c>
    </row>
    <row r="935" spans="1:52" s="6" customFormat="1" x14ac:dyDescent="0.25">
      <c r="A935" s="6" t="str">
        <f t="shared" si="455"/>
        <v/>
      </c>
      <c r="B935" s="140" t="str">
        <f>'day1'!B717</f>
        <v>2018032610000030</v>
      </c>
      <c r="C935" s="140" t="str">
        <f>'day1'!C717</f>
        <v>6001</v>
      </c>
      <c r="D935" s="140" t="str">
        <f>'day1'!D717</f>
        <v>B00102</v>
      </c>
      <c r="E935" s="140" t="str">
        <f>'day1'!E717</f>
        <v>6001</v>
      </c>
      <c r="F935" s="6">
        <f t="shared" si="456"/>
        <v>20180327</v>
      </c>
      <c r="G935" s="6">
        <f>'day1'!G717</f>
        <v>20180326</v>
      </c>
      <c r="H935" s="6" t="str">
        <f t="shared" si="457"/>
        <v>CZCE</v>
      </c>
      <c r="I935" s="6" t="str">
        <f>'day1'!I717</f>
        <v>PTA807</v>
      </c>
      <c r="J935" s="6">
        <f>'day1'!J717</f>
        <v>0</v>
      </c>
      <c r="K935" s="6">
        <f t="shared" si="458"/>
        <v>2</v>
      </c>
      <c r="L935" s="6">
        <f>'day1'!L717</f>
        <v>1</v>
      </c>
      <c r="M935" s="229">
        <f t="shared" si="433"/>
        <v>4</v>
      </c>
      <c r="N935" s="6">
        <f t="shared" si="434"/>
        <v>0</v>
      </c>
      <c r="O935" s="6">
        <f t="shared" si="459"/>
        <v>0</v>
      </c>
      <c r="P935" s="12">
        <f t="shared" si="460"/>
        <v>0</v>
      </c>
      <c r="Q935" s="12">
        <f t="shared" si="435"/>
        <v>0.05</v>
      </c>
      <c r="R935" s="12">
        <f t="shared" si="436"/>
        <v>5</v>
      </c>
      <c r="S935" s="12">
        <f t="shared" si="437"/>
        <v>0.04</v>
      </c>
      <c r="T935" s="12">
        <f t="shared" si="438"/>
        <v>4</v>
      </c>
      <c r="U935" s="12">
        <f t="shared" si="461"/>
        <v>5</v>
      </c>
      <c r="V935" s="12">
        <f t="shared" si="439"/>
        <v>0</v>
      </c>
      <c r="W935" s="250">
        <f t="shared" si="440"/>
        <v>6160</v>
      </c>
      <c r="X935" s="12">
        <f t="shared" si="441"/>
        <v>0</v>
      </c>
      <c r="Y935" s="250">
        <f>'day1'!Y717</f>
        <v>6120</v>
      </c>
      <c r="Z935" s="250">
        <f t="shared" si="442"/>
        <v>6165</v>
      </c>
      <c r="AA935" s="12">
        <f t="shared" si="443"/>
        <v>0.5</v>
      </c>
      <c r="AB935" s="12">
        <f t="shared" si="443"/>
        <v>0.5</v>
      </c>
      <c r="AC935" s="12">
        <f t="shared" si="462"/>
        <v>0</v>
      </c>
      <c r="AD935" s="12">
        <f t="shared" si="444"/>
        <v>9</v>
      </c>
      <c r="AE935" s="12">
        <f t="shared" si="445"/>
        <v>6180</v>
      </c>
      <c r="AF935" s="12">
        <f t="shared" si="463"/>
        <v>4944</v>
      </c>
      <c r="AG935" s="12">
        <f t="shared" si="473"/>
        <v>0</v>
      </c>
      <c r="AH935" s="12">
        <f t="shared" si="474"/>
        <v>0</v>
      </c>
      <c r="AI935" s="12">
        <f t="shared" si="446"/>
        <v>0</v>
      </c>
      <c r="AJ935" s="12">
        <v>1</v>
      </c>
      <c r="AK935" s="12">
        <f t="shared" si="447"/>
        <v>0</v>
      </c>
      <c r="AL935" s="12">
        <f t="shared" si="466"/>
        <v>-100</v>
      </c>
      <c r="AM935" s="12">
        <f t="shared" si="448"/>
        <v>800</v>
      </c>
      <c r="AN935" s="12">
        <f t="shared" si="449"/>
        <v>0</v>
      </c>
      <c r="AO935" s="12">
        <f t="shared" si="450"/>
        <v>0</v>
      </c>
      <c r="AP935" s="12">
        <f t="shared" si="451"/>
        <v>1</v>
      </c>
      <c r="AQ935" s="3" t="str">
        <f t="shared" si="452"/>
        <v>PTA807</v>
      </c>
      <c r="AR935" s="3" t="str">
        <f t="shared" si="467"/>
        <v>PTA80710</v>
      </c>
      <c r="AS935" s="6" t="str">
        <f t="shared" si="468"/>
        <v>9999</v>
      </c>
      <c r="AT935" s="6" t="str">
        <f t="shared" si="469"/>
        <v>CNY</v>
      </c>
      <c r="AU935" s="6" t="str">
        <f t="shared" si="470"/>
        <v>50010002</v>
      </c>
      <c r="AV935" s="229">
        <f>'day1'!M717+'day1'!N717</f>
        <v>4</v>
      </c>
      <c r="AW935" s="6">
        <f t="shared" si="453"/>
        <v>1</v>
      </c>
      <c r="AX935" s="6" t="str">
        <f t="shared" si="454"/>
        <v>PTA807</v>
      </c>
      <c r="AY935" s="6">
        <f t="shared" si="471"/>
        <v>122400</v>
      </c>
      <c r="AZ935" s="6">
        <f t="shared" si="472"/>
        <v>20180328</v>
      </c>
    </row>
    <row r="936" spans="1:52" s="6" customFormat="1" x14ac:dyDescent="0.25">
      <c r="A936" s="6" t="str">
        <f t="shared" si="455"/>
        <v>comment</v>
      </c>
      <c r="B936" s="140" t="str">
        <f>'day1'!B718</f>
        <v>2018032610000031</v>
      </c>
      <c r="C936" s="140" t="str">
        <f>'day1'!C718</f>
        <v>6001</v>
      </c>
      <c r="D936" s="140" t="str">
        <f>'day1'!D718</f>
        <v>B00102</v>
      </c>
      <c r="E936" s="140" t="str">
        <f>'day1'!E718</f>
        <v>6001</v>
      </c>
      <c r="F936" s="6">
        <f t="shared" si="456"/>
        <v>20180327</v>
      </c>
      <c r="G936" s="6">
        <f>'day1'!G718</f>
        <v>20180326</v>
      </c>
      <c r="H936" s="6" t="str">
        <f t="shared" si="457"/>
        <v>CZCE</v>
      </c>
      <c r="I936" s="6" t="str">
        <f>'day1'!I718</f>
        <v>PTA807</v>
      </c>
      <c r="J936" s="6">
        <f>'day1'!J718</f>
        <v>1</v>
      </c>
      <c r="K936" s="6">
        <f t="shared" si="458"/>
        <v>3</v>
      </c>
      <c r="L936" s="6">
        <f>'day1'!L718</f>
        <v>1</v>
      </c>
      <c r="M936" s="229">
        <f t="shared" si="433"/>
        <v>0</v>
      </c>
      <c r="N936" s="6">
        <f t="shared" si="434"/>
        <v>0</v>
      </c>
      <c r="O936" s="6">
        <f t="shared" si="459"/>
        <v>0</v>
      </c>
      <c r="P936" s="12">
        <f t="shared" si="460"/>
        <v>0</v>
      </c>
      <c r="Q936" s="12">
        <f t="shared" si="435"/>
        <v>5.0999999999999997E-2</v>
      </c>
      <c r="R936" s="12">
        <f t="shared" si="436"/>
        <v>5.0999999999999996</v>
      </c>
      <c r="S936" s="12">
        <f t="shared" si="437"/>
        <v>4.1000000000000002E-2</v>
      </c>
      <c r="T936" s="12">
        <f t="shared" si="438"/>
        <v>4.0999999999999996</v>
      </c>
      <c r="U936" s="12">
        <f t="shared" si="461"/>
        <v>5</v>
      </c>
      <c r="V936" s="12">
        <f t="shared" si="439"/>
        <v>0</v>
      </c>
      <c r="W936" s="12">
        <f t="shared" si="440"/>
        <v>6160</v>
      </c>
      <c r="X936" s="12">
        <f t="shared" si="441"/>
        <v>0</v>
      </c>
      <c r="Y936" s="12">
        <f>'day1'!Y718</f>
        <v>6121</v>
      </c>
      <c r="Z936" s="12">
        <f t="shared" si="442"/>
        <v>6165</v>
      </c>
      <c r="AA936" s="12">
        <f t="shared" si="443"/>
        <v>0.5</v>
      </c>
      <c r="AB936" s="12">
        <f t="shared" si="443"/>
        <v>0.5</v>
      </c>
      <c r="AC936" s="12">
        <f t="shared" si="462"/>
        <v>0</v>
      </c>
      <c r="AD936" s="12">
        <f t="shared" si="444"/>
        <v>9</v>
      </c>
      <c r="AE936" s="12">
        <f t="shared" si="445"/>
        <v>0</v>
      </c>
      <c r="AF936" s="12">
        <f t="shared" si="463"/>
        <v>0</v>
      </c>
      <c r="AG936" s="12">
        <f t="shared" si="473"/>
        <v>0</v>
      </c>
      <c r="AH936" s="12">
        <f t="shared" si="474"/>
        <v>0</v>
      </c>
      <c r="AI936" s="12">
        <f t="shared" si="446"/>
        <v>0</v>
      </c>
      <c r="AJ936" s="12">
        <v>1</v>
      </c>
      <c r="AK936" s="12">
        <f t="shared" si="447"/>
        <v>0</v>
      </c>
      <c r="AL936" s="12">
        <f t="shared" si="466"/>
        <v>0</v>
      </c>
      <c r="AM936" s="12">
        <f t="shared" si="448"/>
        <v>0</v>
      </c>
      <c r="AN936" s="12">
        <f t="shared" si="449"/>
        <v>0</v>
      </c>
      <c r="AO936" s="12">
        <f t="shared" si="450"/>
        <v>0</v>
      </c>
      <c r="AP936" s="12">
        <f t="shared" si="451"/>
        <v>1</v>
      </c>
      <c r="AQ936" s="3" t="str">
        <f t="shared" si="452"/>
        <v>PTA807</v>
      </c>
      <c r="AR936" s="3" t="str">
        <f t="shared" si="467"/>
        <v>PTA80711</v>
      </c>
      <c r="AS936" s="6" t="str">
        <f t="shared" si="468"/>
        <v>9999</v>
      </c>
      <c r="AT936" s="6" t="str">
        <f t="shared" si="469"/>
        <v>CNY</v>
      </c>
      <c r="AU936" s="6" t="str">
        <f t="shared" si="470"/>
        <v>50010002</v>
      </c>
      <c r="AV936" s="142">
        <f>'day1'!M718+'day1'!N718</f>
        <v>8</v>
      </c>
      <c r="AW936" s="6">
        <f t="shared" si="453"/>
        <v>1</v>
      </c>
      <c r="AX936" s="6" t="str">
        <f t="shared" si="454"/>
        <v>PTA807</v>
      </c>
      <c r="AY936" s="6">
        <f t="shared" si="471"/>
        <v>0</v>
      </c>
      <c r="AZ936" s="6">
        <f t="shared" si="472"/>
        <v>20180328</v>
      </c>
    </row>
    <row r="937" spans="1:52" s="6" customFormat="1" x14ac:dyDescent="0.25">
      <c r="A937" s="6" t="str">
        <f t="shared" si="455"/>
        <v/>
      </c>
      <c r="B937" s="140" t="str">
        <f>'day1'!B719</f>
        <v>2018032610000034</v>
      </c>
      <c r="C937" s="140" t="str">
        <f>'day1'!C719</f>
        <v>6001</v>
      </c>
      <c r="D937" s="140" t="str">
        <f>'day1'!D719</f>
        <v>B00102</v>
      </c>
      <c r="E937" s="140" t="str">
        <f>'day1'!E719</f>
        <v>6001</v>
      </c>
      <c r="F937" s="6">
        <f t="shared" si="456"/>
        <v>20180327</v>
      </c>
      <c r="G937" s="6">
        <f>'day1'!G719</f>
        <v>20180326</v>
      </c>
      <c r="H937" s="6" t="str">
        <f t="shared" si="457"/>
        <v>CZCE</v>
      </c>
      <c r="I937" s="6" t="str">
        <f>'day1'!I719</f>
        <v>PTA809</v>
      </c>
      <c r="J937" s="6">
        <f>'day1'!J719</f>
        <v>0</v>
      </c>
      <c r="K937" s="6">
        <f t="shared" si="458"/>
        <v>2</v>
      </c>
      <c r="L937" s="6">
        <f>'day1'!L719</f>
        <v>1</v>
      </c>
      <c r="M937" s="229">
        <f t="shared" si="433"/>
        <v>0</v>
      </c>
      <c r="N937" s="6">
        <f t="shared" si="434"/>
        <v>2</v>
      </c>
      <c r="O937" s="6">
        <f t="shared" si="459"/>
        <v>0</v>
      </c>
      <c r="P937" s="12">
        <f t="shared" si="460"/>
        <v>0</v>
      </c>
      <c r="Q937" s="12">
        <f t="shared" si="435"/>
        <v>0.05</v>
      </c>
      <c r="R937" s="12">
        <f t="shared" si="436"/>
        <v>5</v>
      </c>
      <c r="S937" s="12">
        <f t="shared" si="437"/>
        <v>0.04</v>
      </c>
      <c r="T937" s="12">
        <f t="shared" si="438"/>
        <v>4</v>
      </c>
      <c r="U937" s="12">
        <f t="shared" si="461"/>
        <v>5</v>
      </c>
      <c r="V937" s="12">
        <f t="shared" si="439"/>
        <v>0</v>
      </c>
      <c r="W937" s="250">
        <f t="shared" si="440"/>
        <v>6165</v>
      </c>
      <c r="X937" s="12">
        <f t="shared" si="441"/>
        <v>0</v>
      </c>
      <c r="Y937" s="250">
        <f>'day1'!Y719</f>
        <v>6124</v>
      </c>
      <c r="Z937" s="250">
        <f t="shared" si="442"/>
        <v>6170</v>
      </c>
      <c r="AA937" s="12">
        <f t="shared" si="443"/>
        <v>0.5</v>
      </c>
      <c r="AB937" s="12">
        <f t="shared" si="443"/>
        <v>0.5</v>
      </c>
      <c r="AC937" s="12">
        <f t="shared" si="462"/>
        <v>0</v>
      </c>
      <c r="AD937" s="12">
        <f t="shared" si="444"/>
        <v>9</v>
      </c>
      <c r="AE937" s="12">
        <f t="shared" si="445"/>
        <v>0</v>
      </c>
      <c r="AF937" s="12">
        <f t="shared" si="463"/>
        <v>0</v>
      </c>
      <c r="AG937" s="12">
        <f t="shared" si="473"/>
        <v>3092.5</v>
      </c>
      <c r="AH937" s="12">
        <f t="shared" si="474"/>
        <v>2474</v>
      </c>
      <c r="AI937" s="12">
        <f t="shared" si="446"/>
        <v>0</v>
      </c>
      <c r="AJ937" s="12">
        <v>1</v>
      </c>
      <c r="AK937" s="12">
        <f t="shared" si="447"/>
        <v>0</v>
      </c>
      <c r="AL937" s="12">
        <f t="shared" si="466"/>
        <v>0</v>
      </c>
      <c r="AM937" s="12">
        <f t="shared" si="448"/>
        <v>0</v>
      </c>
      <c r="AN937" s="12">
        <f t="shared" si="449"/>
        <v>-50</v>
      </c>
      <c r="AO937" s="12">
        <f t="shared" si="450"/>
        <v>410</v>
      </c>
      <c r="AP937" s="12">
        <f t="shared" si="451"/>
        <v>1</v>
      </c>
      <c r="AQ937" s="3" t="str">
        <f t="shared" si="452"/>
        <v>PTA809</v>
      </c>
      <c r="AR937" s="3" t="str">
        <f t="shared" si="467"/>
        <v>PTA80910</v>
      </c>
      <c r="AS937" s="6" t="str">
        <f t="shared" si="468"/>
        <v>9999</v>
      </c>
      <c r="AT937" s="6" t="str">
        <f t="shared" si="469"/>
        <v>CNY</v>
      </c>
      <c r="AU937" s="6" t="str">
        <f t="shared" si="470"/>
        <v>50010002</v>
      </c>
      <c r="AV937" s="142">
        <f>'day1'!M719+'day1'!N719</f>
        <v>2</v>
      </c>
      <c r="AW937" s="6">
        <f t="shared" si="453"/>
        <v>1</v>
      </c>
      <c r="AX937" s="6" t="str">
        <f t="shared" si="454"/>
        <v>PTA809</v>
      </c>
      <c r="AY937" s="6">
        <f t="shared" si="471"/>
        <v>61240</v>
      </c>
      <c r="AZ937" s="6">
        <f t="shared" si="472"/>
        <v>20180333</v>
      </c>
    </row>
    <row r="938" spans="1:52" s="6" customFormat="1" x14ac:dyDescent="0.25">
      <c r="A938" s="6" t="str">
        <f t="shared" si="455"/>
        <v>comment</v>
      </c>
      <c r="B938" s="140" t="str">
        <f>'day1'!B720</f>
        <v>2018032610000035</v>
      </c>
      <c r="C938" s="140" t="str">
        <f>'day1'!C720</f>
        <v>6001</v>
      </c>
      <c r="D938" s="140" t="str">
        <f>'day1'!D720</f>
        <v>B00102</v>
      </c>
      <c r="E938" s="140" t="str">
        <f>'day1'!E720</f>
        <v>6001</v>
      </c>
      <c r="F938" s="6">
        <f t="shared" si="456"/>
        <v>20180327</v>
      </c>
      <c r="G938" s="6">
        <f>'day1'!G720</f>
        <v>20180326</v>
      </c>
      <c r="H938" s="6" t="str">
        <f t="shared" si="457"/>
        <v>CZCE</v>
      </c>
      <c r="I938" s="6" t="str">
        <f>'day1'!I720</f>
        <v>PTA809</v>
      </c>
      <c r="J938" s="6">
        <f>'day1'!J720</f>
        <v>1</v>
      </c>
      <c r="K938" s="6">
        <f t="shared" si="458"/>
        <v>3</v>
      </c>
      <c r="L938" s="6">
        <f>'day1'!L720</f>
        <v>1</v>
      </c>
      <c r="M938" s="229">
        <f t="shared" si="433"/>
        <v>0</v>
      </c>
      <c r="N938" s="6">
        <f t="shared" si="434"/>
        <v>0</v>
      </c>
      <c r="O938" s="6">
        <f t="shared" si="459"/>
        <v>0</v>
      </c>
      <c r="P938" s="12">
        <f t="shared" si="460"/>
        <v>0</v>
      </c>
      <c r="Q938" s="12">
        <f t="shared" si="435"/>
        <v>5.0999999999999997E-2</v>
      </c>
      <c r="R938" s="12">
        <f t="shared" si="436"/>
        <v>5.0999999999999996</v>
      </c>
      <c r="S938" s="12">
        <f t="shared" si="437"/>
        <v>4.1000000000000002E-2</v>
      </c>
      <c r="T938" s="12">
        <f t="shared" si="438"/>
        <v>4.0999999999999996</v>
      </c>
      <c r="U938" s="12">
        <f t="shared" si="461"/>
        <v>5</v>
      </c>
      <c r="V938" s="12">
        <f t="shared" si="439"/>
        <v>0</v>
      </c>
      <c r="W938" s="250">
        <f t="shared" si="440"/>
        <v>6165</v>
      </c>
      <c r="X938" s="12">
        <f t="shared" si="441"/>
        <v>0</v>
      </c>
      <c r="Y938" s="250">
        <f>'day1'!Y720</f>
        <v>6125</v>
      </c>
      <c r="Z938" s="250">
        <f t="shared" si="442"/>
        <v>6170</v>
      </c>
      <c r="AA938" s="12">
        <f t="shared" si="443"/>
        <v>0.5</v>
      </c>
      <c r="AB938" s="12">
        <f t="shared" si="443"/>
        <v>0.5</v>
      </c>
      <c r="AC938" s="12">
        <f t="shared" si="462"/>
        <v>0</v>
      </c>
      <c r="AD938" s="12">
        <f t="shared" si="444"/>
        <v>9</v>
      </c>
      <c r="AE938" s="12">
        <f t="shared" si="445"/>
        <v>0</v>
      </c>
      <c r="AF938" s="12">
        <f t="shared" si="463"/>
        <v>0</v>
      </c>
      <c r="AG938" s="12">
        <f t="shared" si="473"/>
        <v>0</v>
      </c>
      <c r="AH938" s="12">
        <f t="shared" si="474"/>
        <v>0</v>
      </c>
      <c r="AI938" s="12">
        <f t="shared" si="446"/>
        <v>0</v>
      </c>
      <c r="AJ938" s="12">
        <v>1</v>
      </c>
      <c r="AK938" s="12">
        <f t="shared" si="447"/>
        <v>0</v>
      </c>
      <c r="AL938" s="12">
        <f t="shared" si="466"/>
        <v>0</v>
      </c>
      <c r="AM938" s="12">
        <f t="shared" si="448"/>
        <v>0</v>
      </c>
      <c r="AN938" s="12">
        <f t="shared" si="449"/>
        <v>0</v>
      </c>
      <c r="AO938" s="12">
        <f t="shared" si="450"/>
        <v>0</v>
      </c>
      <c r="AP938" s="12">
        <f t="shared" si="451"/>
        <v>1</v>
      </c>
      <c r="AQ938" s="3" t="str">
        <f t="shared" si="452"/>
        <v>PTA809</v>
      </c>
      <c r="AR938" s="3" t="str">
        <f t="shared" si="467"/>
        <v>PTA80911</v>
      </c>
      <c r="AS938" s="6" t="str">
        <f t="shared" si="468"/>
        <v>9999</v>
      </c>
      <c r="AT938" s="6" t="str">
        <f t="shared" si="469"/>
        <v>CNY</v>
      </c>
      <c r="AU938" s="6" t="str">
        <f t="shared" si="470"/>
        <v>50010002</v>
      </c>
      <c r="AV938" s="142">
        <f>'day1'!M720+'day1'!N720</f>
        <v>2</v>
      </c>
      <c r="AW938" s="6">
        <f t="shared" si="453"/>
        <v>1</v>
      </c>
      <c r="AX938" s="6" t="str">
        <f t="shared" si="454"/>
        <v>PTA809</v>
      </c>
      <c r="AY938" s="6">
        <f t="shared" si="471"/>
        <v>0</v>
      </c>
      <c r="AZ938" s="6">
        <f t="shared" si="472"/>
        <v>20180333</v>
      </c>
    </row>
    <row r="939" spans="1:52" s="6" customFormat="1" x14ac:dyDescent="0.25">
      <c r="A939" s="6" t="str">
        <f t="shared" si="455"/>
        <v>comment</v>
      </c>
      <c r="B939" s="140" t="str">
        <f>'day1'!B721</f>
        <v>2018032610000050</v>
      </c>
      <c r="C939" s="140" t="str">
        <f>'day1'!C721</f>
        <v>6001</v>
      </c>
      <c r="D939" s="140" t="str">
        <f>'day1'!D721</f>
        <v>B00101</v>
      </c>
      <c r="E939" s="140" t="str">
        <f>'day1'!E721</f>
        <v>6001</v>
      </c>
      <c r="F939" s="6">
        <f t="shared" si="456"/>
        <v>20180327</v>
      </c>
      <c r="G939" s="6">
        <f>'day1'!G721</f>
        <v>20180326</v>
      </c>
      <c r="H939" s="6" t="str">
        <f t="shared" si="457"/>
        <v>CZCE</v>
      </c>
      <c r="I939" s="6" t="str">
        <f>'day1'!I721</f>
        <v>SR807</v>
      </c>
      <c r="J939" s="6">
        <f>'day1'!J721</f>
        <v>0</v>
      </c>
      <c r="K939" s="6">
        <f t="shared" si="458"/>
        <v>2</v>
      </c>
      <c r="L939" s="6">
        <f>'day1'!L721</f>
        <v>1</v>
      </c>
      <c r="M939" s="229">
        <f t="shared" si="433"/>
        <v>0</v>
      </c>
      <c r="N939" s="6">
        <f t="shared" si="434"/>
        <v>0</v>
      </c>
      <c r="O939" s="6">
        <f t="shared" si="459"/>
        <v>0</v>
      </c>
      <c r="P939" s="12">
        <f t="shared" si="460"/>
        <v>0</v>
      </c>
      <c r="Q939" s="12">
        <f t="shared" si="435"/>
        <v>0.05</v>
      </c>
      <c r="R939" s="12">
        <f t="shared" si="436"/>
        <v>5</v>
      </c>
      <c r="S939" s="12">
        <f t="shared" si="437"/>
        <v>0.04</v>
      </c>
      <c r="T939" s="12">
        <f t="shared" si="438"/>
        <v>4</v>
      </c>
      <c r="U939" s="12">
        <f t="shared" si="461"/>
        <v>10</v>
      </c>
      <c r="V939" s="12">
        <f t="shared" si="439"/>
        <v>0</v>
      </c>
      <c r="W939" s="12">
        <f t="shared" si="440"/>
        <v>6155</v>
      </c>
      <c r="X939" s="12">
        <f t="shared" si="441"/>
        <v>0</v>
      </c>
      <c r="Y939" s="12">
        <f>'day1'!Y721</f>
        <v>6400</v>
      </c>
      <c r="Z939" s="12">
        <f t="shared" si="442"/>
        <v>6150</v>
      </c>
      <c r="AA939" s="12">
        <f t="shared" si="443"/>
        <v>0.5</v>
      </c>
      <c r="AB939" s="12">
        <f t="shared" si="443"/>
        <v>0.5</v>
      </c>
      <c r="AC939" s="12">
        <f t="shared" si="462"/>
        <v>0</v>
      </c>
      <c r="AD939" s="12">
        <f t="shared" si="444"/>
        <v>9</v>
      </c>
      <c r="AE939" s="12">
        <f t="shared" si="445"/>
        <v>0</v>
      </c>
      <c r="AF939" s="12">
        <f t="shared" si="463"/>
        <v>0</v>
      </c>
      <c r="AG939" s="12">
        <f t="shared" si="473"/>
        <v>0</v>
      </c>
      <c r="AH939" s="12">
        <f t="shared" si="474"/>
        <v>0</v>
      </c>
      <c r="AI939" s="12">
        <f t="shared" si="446"/>
        <v>0</v>
      </c>
      <c r="AJ939" s="12">
        <v>1</v>
      </c>
      <c r="AK939" s="12">
        <f t="shared" si="447"/>
        <v>0</v>
      </c>
      <c r="AL939" s="12">
        <f t="shared" si="466"/>
        <v>0</v>
      </c>
      <c r="AM939" s="12">
        <f t="shared" si="448"/>
        <v>0</v>
      </c>
      <c r="AN939" s="12">
        <f t="shared" si="449"/>
        <v>0</v>
      </c>
      <c r="AO939" s="12">
        <f t="shared" si="450"/>
        <v>0</v>
      </c>
      <c r="AP939" s="12">
        <f t="shared" si="451"/>
        <v>0</v>
      </c>
      <c r="AQ939" s="3" t="str">
        <f t="shared" si="452"/>
        <v>SR807</v>
      </c>
      <c r="AR939" s="3" t="str">
        <f t="shared" si="467"/>
        <v>SR80710</v>
      </c>
      <c r="AS939" s="6" t="str">
        <f t="shared" si="468"/>
        <v>9999</v>
      </c>
      <c r="AT939" s="6" t="str">
        <f t="shared" si="469"/>
        <v>CNY</v>
      </c>
      <c r="AU939" s="6" t="str">
        <f t="shared" si="470"/>
        <v>50010001</v>
      </c>
      <c r="AV939" s="142">
        <f>'day1'!M721+'day1'!N721</f>
        <v>0</v>
      </c>
      <c r="AW939" s="6">
        <f t="shared" si="453"/>
        <v>1</v>
      </c>
      <c r="AX939" s="6" t="str">
        <f t="shared" si="454"/>
        <v>SR807</v>
      </c>
      <c r="AY939" s="6">
        <f t="shared" si="471"/>
        <v>0</v>
      </c>
      <c r="AZ939" s="6">
        <f t="shared" si="472"/>
        <v>20180328</v>
      </c>
    </row>
    <row r="940" spans="1:52" s="6" customFormat="1" x14ac:dyDescent="0.25">
      <c r="A940" s="6" t="str">
        <f t="shared" si="455"/>
        <v>comment</v>
      </c>
      <c r="B940" s="140" t="str">
        <f>'day1'!B722</f>
        <v>2018032610000051</v>
      </c>
      <c r="C940" s="140" t="str">
        <f>'day1'!C722</f>
        <v>6001</v>
      </c>
      <c r="D940" s="140" t="str">
        <f>'day1'!D722</f>
        <v>B00101</v>
      </c>
      <c r="E940" s="140" t="str">
        <f>'day1'!E722</f>
        <v>6001</v>
      </c>
      <c r="F940" s="6">
        <f t="shared" si="456"/>
        <v>20180327</v>
      </c>
      <c r="G940" s="6">
        <f>'day1'!G722</f>
        <v>20180326</v>
      </c>
      <c r="H940" s="6" t="str">
        <f t="shared" si="457"/>
        <v>CZCE</v>
      </c>
      <c r="I940" s="6" t="str">
        <f>'day1'!I722</f>
        <v>SR807</v>
      </c>
      <c r="J940" s="6">
        <f>'day1'!J722</f>
        <v>0</v>
      </c>
      <c r="K940" s="6">
        <f t="shared" si="458"/>
        <v>2</v>
      </c>
      <c r="L940" s="6">
        <f>'day1'!L722</f>
        <v>3</v>
      </c>
      <c r="M940" s="229">
        <f t="shared" si="433"/>
        <v>0</v>
      </c>
      <c r="N940" s="6">
        <f t="shared" si="434"/>
        <v>0</v>
      </c>
      <c r="O940" s="6">
        <f t="shared" si="459"/>
        <v>0</v>
      </c>
      <c r="P940" s="12">
        <f t="shared" si="460"/>
        <v>0</v>
      </c>
      <c r="Q940" s="12">
        <f t="shared" si="435"/>
        <v>5.1999999999999998E-2</v>
      </c>
      <c r="R940" s="12">
        <f t="shared" si="436"/>
        <v>5.2</v>
      </c>
      <c r="S940" s="12">
        <f t="shared" si="437"/>
        <v>4.2000000000000003E-2</v>
      </c>
      <c r="T940" s="12">
        <f t="shared" si="438"/>
        <v>4.2</v>
      </c>
      <c r="U940" s="12">
        <f t="shared" si="461"/>
        <v>10</v>
      </c>
      <c r="V940" s="12">
        <f t="shared" si="439"/>
        <v>0</v>
      </c>
      <c r="W940" s="12">
        <f t="shared" si="440"/>
        <v>6155</v>
      </c>
      <c r="X940" s="12">
        <f t="shared" si="441"/>
        <v>0</v>
      </c>
      <c r="Y940" s="12">
        <f>'day1'!Y722</f>
        <v>6400</v>
      </c>
      <c r="Z940" s="12">
        <f t="shared" si="442"/>
        <v>6150</v>
      </c>
      <c r="AA940" s="12">
        <f t="shared" si="443"/>
        <v>0.5</v>
      </c>
      <c r="AB940" s="12">
        <f t="shared" si="443"/>
        <v>0.5</v>
      </c>
      <c r="AC940" s="12">
        <f t="shared" si="462"/>
        <v>0</v>
      </c>
      <c r="AD940" s="12">
        <f t="shared" si="444"/>
        <v>9</v>
      </c>
      <c r="AE940" s="12">
        <f t="shared" si="445"/>
        <v>0</v>
      </c>
      <c r="AF940" s="12">
        <f t="shared" si="463"/>
        <v>0</v>
      </c>
      <c r="AG940" s="12">
        <f t="shared" si="473"/>
        <v>0</v>
      </c>
      <c r="AH940" s="12">
        <f t="shared" si="474"/>
        <v>0</v>
      </c>
      <c r="AI940" s="12">
        <f t="shared" si="446"/>
        <v>0</v>
      </c>
      <c r="AJ940" s="12">
        <v>1</v>
      </c>
      <c r="AK940" s="12">
        <f t="shared" si="447"/>
        <v>0</v>
      </c>
      <c r="AL940" s="12">
        <f t="shared" si="466"/>
        <v>0</v>
      </c>
      <c r="AM940" s="12">
        <f t="shared" si="448"/>
        <v>0</v>
      </c>
      <c r="AN940" s="12">
        <f t="shared" si="449"/>
        <v>0</v>
      </c>
      <c r="AO940" s="12">
        <f t="shared" si="450"/>
        <v>0</v>
      </c>
      <c r="AP940" s="12">
        <f t="shared" si="451"/>
        <v>0</v>
      </c>
      <c r="AQ940" s="3" t="str">
        <f t="shared" si="452"/>
        <v>SR807</v>
      </c>
      <c r="AR940" s="3" t="str">
        <f t="shared" si="467"/>
        <v>SR80730</v>
      </c>
      <c r="AS940" s="6" t="str">
        <f t="shared" si="468"/>
        <v>9999</v>
      </c>
      <c r="AT940" s="6" t="str">
        <f t="shared" si="469"/>
        <v>CNY</v>
      </c>
      <c r="AU940" s="6" t="str">
        <f t="shared" si="470"/>
        <v>50010001</v>
      </c>
      <c r="AV940" s="142">
        <f>'day1'!M722+'day1'!N722</f>
        <v>0</v>
      </c>
      <c r="AW940" s="6">
        <f t="shared" si="453"/>
        <v>1</v>
      </c>
      <c r="AX940" s="6" t="str">
        <f t="shared" si="454"/>
        <v>SR807</v>
      </c>
      <c r="AY940" s="6">
        <f t="shared" si="471"/>
        <v>0</v>
      </c>
      <c r="AZ940" s="6">
        <f t="shared" si="472"/>
        <v>20180328</v>
      </c>
    </row>
    <row r="941" spans="1:52" s="6" customFormat="1" x14ac:dyDescent="0.25">
      <c r="A941" s="6" t="str">
        <f t="shared" si="455"/>
        <v>comment</v>
      </c>
      <c r="B941" s="140" t="str">
        <f>'day1'!B723</f>
        <v>2018032610000052</v>
      </c>
      <c r="C941" s="140" t="str">
        <f>'day1'!C723</f>
        <v>6001</v>
      </c>
      <c r="D941" s="140" t="str">
        <f>'day1'!D723</f>
        <v>B00101</v>
      </c>
      <c r="E941" s="140" t="str">
        <f>'day1'!E723</f>
        <v>6001</v>
      </c>
      <c r="F941" s="6">
        <f t="shared" si="456"/>
        <v>20180327</v>
      </c>
      <c r="G941" s="6">
        <f>'day1'!G723</f>
        <v>20180326</v>
      </c>
      <c r="H941" s="6" t="str">
        <f t="shared" si="457"/>
        <v>CZCE</v>
      </c>
      <c r="I941" s="6" t="str">
        <f>'day1'!I723</f>
        <v>SR807</v>
      </c>
      <c r="J941" s="6">
        <f>'day1'!J723</f>
        <v>1</v>
      </c>
      <c r="K941" s="6">
        <f t="shared" si="458"/>
        <v>3</v>
      </c>
      <c r="L941" s="6">
        <f>'day1'!L723</f>
        <v>1</v>
      </c>
      <c r="M941" s="229">
        <f t="shared" si="433"/>
        <v>0</v>
      </c>
      <c r="N941" s="6">
        <f t="shared" si="434"/>
        <v>0</v>
      </c>
      <c r="O941" s="6">
        <f t="shared" si="459"/>
        <v>0</v>
      </c>
      <c r="P941" s="12">
        <f t="shared" si="460"/>
        <v>0</v>
      </c>
      <c r="Q941" s="12">
        <f t="shared" si="435"/>
        <v>5.0999999999999997E-2</v>
      </c>
      <c r="R941" s="12">
        <f t="shared" si="436"/>
        <v>5.0999999999999996</v>
      </c>
      <c r="S941" s="12">
        <f t="shared" si="437"/>
        <v>4.1000000000000002E-2</v>
      </c>
      <c r="T941" s="12">
        <f t="shared" si="438"/>
        <v>4.0999999999999996</v>
      </c>
      <c r="U941" s="12">
        <f t="shared" si="461"/>
        <v>10</v>
      </c>
      <c r="V941" s="12">
        <f t="shared" si="439"/>
        <v>0</v>
      </c>
      <c r="W941" s="12">
        <f t="shared" si="440"/>
        <v>6155</v>
      </c>
      <c r="X941" s="12">
        <f t="shared" si="441"/>
        <v>0</v>
      </c>
      <c r="Y941" s="12">
        <f>'day1'!Y723</f>
        <v>6400</v>
      </c>
      <c r="Z941" s="12">
        <f t="shared" si="442"/>
        <v>6150</v>
      </c>
      <c r="AA941" s="12">
        <f t="shared" si="443"/>
        <v>0.5</v>
      </c>
      <c r="AB941" s="12">
        <f t="shared" si="443"/>
        <v>0.5</v>
      </c>
      <c r="AC941" s="12">
        <f t="shared" si="462"/>
        <v>0</v>
      </c>
      <c r="AD941" s="12">
        <f t="shared" si="444"/>
        <v>9</v>
      </c>
      <c r="AE941" s="12">
        <f t="shared" si="445"/>
        <v>0</v>
      </c>
      <c r="AF941" s="12">
        <f t="shared" si="463"/>
        <v>0</v>
      </c>
      <c r="AG941" s="12">
        <f t="shared" si="473"/>
        <v>0</v>
      </c>
      <c r="AH941" s="12">
        <f t="shared" si="474"/>
        <v>0</v>
      </c>
      <c r="AI941" s="12">
        <f t="shared" si="446"/>
        <v>0</v>
      </c>
      <c r="AJ941" s="12">
        <v>1</v>
      </c>
      <c r="AK941" s="12">
        <f t="shared" si="447"/>
        <v>0</v>
      </c>
      <c r="AL941" s="12">
        <f t="shared" si="466"/>
        <v>0</v>
      </c>
      <c r="AM941" s="12">
        <f t="shared" si="448"/>
        <v>0</v>
      </c>
      <c r="AN941" s="12">
        <f t="shared" si="449"/>
        <v>0</v>
      </c>
      <c r="AO941" s="12">
        <f t="shared" si="450"/>
        <v>0</v>
      </c>
      <c r="AP941" s="12">
        <f t="shared" si="451"/>
        <v>0</v>
      </c>
      <c r="AQ941" s="3" t="str">
        <f t="shared" si="452"/>
        <v>SR807</v>
      </c>
      <c r="AR941" s="3" t="str">
        <f t="shared" si="467"/>
        <v>SR80711</v>
      </c>
      <c r="AS941" s="6" t="str">
        <f t="shared" si="468"/>
        <v>9999</v>
      </c>
      <c r="AT941" s="6" t="str">
        <f t="shared" si="469"/>
        <v>CNY</v>
      </c>
      <c r="AU941" s="6" t="str">
        <f t="shared" si="470"/>
        <v>50010001</v>
      </c>
      <c r="AV941" s="142">
        <f>'day1'!M723+'day1'!N723</f>
        <v>0</v>
      </c>
      <c r="AW941" s="6">
        <f t="shared" si="453"/>
        <v>1</v>
      </c>
      <c r="AX941" s="6" t="str">
        <f t="shared" si="454"/>
        <v>SR807</v>
      </c>
      <c r="AY941" s="6">
        <f t="shared" si="471"/>
        <v>0</v>
      </c>
      <c r="AZ941" s="6">
        <f t="shared" si="472"/>
        <v>20180328</v>
      </c>
    </row>
    <row r="942" spans="1:52" s="6" customFormat="1" x14ac:dyDescent="0.25">
      <c r="A942" s="6" t="str">
        <f t="shared" si="455"/>
        <v>comment</v>
      </c>
      <c r="B942" s="140" t="str">
        <f>'day1'!B724</f>
        <v>2018032610000053</v>
      </c>
      <c r="C942" s="140" t="str">
        <f>'day1'!C724</f>
        <v>6001</v>
      </c>
      <c r="D942" s="140" t="str">
        <f>'day1'!D724</f>
        <v>B00101</v>
      </c>
      <c r="E942" s="140" t="str">
        <f>'day1'!E724</f>
        <v>6001</v>
      </c>
      <c r="F942" s="6">
        <f t="shared" si="456"/>
        <v>20180327</v>
      </c>
      <c r="G942" s="6">
        <f>'day1'!G724</f>
        <v>20180326</v>
      </c>
      <c r="H942" s="6" t="str">
        <f t="shared" si="457"/>
        <v>CZCE</v>
      </c>
      <c r="I942" s="6" t="str">
        <f>'day1'!I724</f>
        <v>SR807</v>
      </c>
      <c r="J942" s="6">
        <f>'day1'!J724</f>
        <v>1</v>
      </c>
      <c r="K942" s="6">
        <f t="shared" si="458"/>
        <v>3</v>
      </c>
      <c r="L942" s="6">
        <f>'day1'!L724</f>
        <v>3</v>
      </c>
      <c r="M942" s="229">
        <f t="shared" si="433"/>
        <v>0</v>
      </c>
      <c r="N942" s="6">
        <f t="shared" si="434"/>
        <v>0</v>
      </c>
      <c r="O942" s="6">
        <f t="shared" si="459"/>
        <v>0</v>
      </c>
      <c r="P942" s="12">
        <f t="shared" si="460"/>
        <v>0</v>
      </c>
      <c r="Q942" s="12">
        <f t="shared" si="435"/>
        <v>5.2999999999999999E-2</v>
      </c>
      <c r="R942" s="12">
        <f t="shared" si="436"/>
        <v>5.3</v>
      </c>
      <c r="S942" s="12">
        <f t="shared" si="437"/>
        <v>4.2999999999999997E-2</v>
      </c>
      <c r="T942" s="12">
        <f t="shared" si="438"/>
        <v>4.3</v>
      </c>
      <c r="U942" s="12">
        <f t="shared" si="461"/>
        <v>10</v>
      </c>
      <c r="V942" s="12">
        <f t="shared" si="439"/>
        <v>0</v>
      </c>
      <c r="W942" s="12">
        <f t="shared" si="440"/>
        <v>6155</v>
      </c>
      <c r="X942" s="12">
        <f t="shared" si="441"/>
        <v>0</v>
      </c>
      <c r="Y942" s="12">
        <f>'day1'!Y724</f>
        <v>6400</v>
      </c>
      <c r="Z942" s="12">
        <f t="shared" si="442"/>
        <v>6150</v>
      </c>
      <c r="AA942" s="12">
        <f t="shared" ref="AA942:AB973" si="475">$F$190</f>
        <v>0.5</v>
      </c>
      <c r="AB942" s="12">
        <f t="shared" si="475"/>
        <v>0.5</v>
      </c>
      <c r="AC942" s="12">
        <f t="shared" si="462"/>
        <v>0</v>
      </c>
      <c r="AD942" s="12">
        <f t="shared" si="444"/>
        <v>9</v>
      </c>
      <c r="AE942" s="12">
        <f t="shared" si="445"/>
        <v>0</v>
      </c>
      <c r="AF942" s="12">
        <f t="shared" si="463"/>
        <v>0</v>
      </c>
      <c r="AG942" s="12">
        <f t="shared" si="473"/>
        <v>0</v>
      </c>
      <c r="AH942" s="12">
        <f t="shared" si="474"/>
        <v>0</v>
      </c>
      <c r="AI942" s="12">
        <f t="shared" si="446"/>
        <v>0</v>
      </c>
      <c r="AJ942" s="12">
        <v>1</v>
      </c>
      <c r="AK942" s="12">
        <f t="shared" si="447"/>
        <v>0</v>
      </c>
      <c r="AL942" s="12">
        <f t="shared" si="466"/>
        <v>0</v>
      </c>
      <c r="AM942" s="12">
        <f t="shared" si="448"/>
        <v>0</v>
      </c>
      <c r="AN942" s="12">
        <f t="shared" si="449"/>
        <v>0</v>
      </c>
      <c r="AO942" s="12">
        <f t="shared" si="450"/>
        <v>0</v>
      </c>
      <c r="AP942" s="12">
        <f t="shared" si="451"/>
        <v>0</v>
      </c>
      <c r="AQ942" s="3" t="str">
        <f t="shared" si="452"/>
        <v>SR807</v>
      </c>
      <c r="AR942" s="3" t="str">
        <f t="shared" si="467"/>
        <v>SR80731</v>
      </c>
      <c r="AS942" s="6" t="str">
        <f t="shared" si="468"/>
        <v>9999</v>
      </c>
      <c r="AT942" s="6" t="str">
        <f t="shared" si="469"/>
        <v>CNY</v>
      </c>
      <c r="AU942" s="6" t="str">
        <f t="shared" si="470"/>
        <v>50010001</v>
      </c>
      <c r="AV942" s="142">
        <f>'day1'!M724+'day1'!N724</f>
        <v>0</v>
      </c>
      <c r="AW942" s="6">
        <f t="shared" si="453"/>
        <v>1</v>
      </c>
      <c r="AX942" s="6" t="str">
        <f t="shared" si="454"/>
        <v>SR807</v>
      </c>
      <c r="AY942" s="6">
        <f t="shared" si="471"/>
        <v>0</v>
      </c>
      <c r="AZ942" s="6">
        <f t="shared" si="472"/>
        <v>20180328</v>
      </c>
    </row>
    <row r="943" spans="1:52" s="6" customFormat="1" x14ac:dyDescent="0.25">
      <c r="A943" s="6" t="str">
        <f t="shared" si="455"/>
        <v>comment</v>
      </c>
      <c r="B943" s="140" t="str">
        <f>'day1'!B725</f>
        <v>2018032610000054</v>
      </c>
      <c r="C943" s="140" t="str">
        <f>'day1'!C725</f>
        <v>6001</v>
      </c>
      <c r="D943" s="140" t="str">
        <f>'day1'!D725</f>
        <v>B00101</v>
      </c>
      <c r="E943" s="140" t="str">
        <f>'day1'!E725</f>
        <v>6001</v>
      </c>
      <c r="F943" s="6">
        <f t="shared" si="456"/>
        <v>20180327</v>
      </c>
      <c r="G943" s="6">
        <f>'day1'!G725</f>
        <v>20180326</v>
      </c>
      <c r="H943" s="6" t="str">
        <f t="shared" si="457"/>
        <v>CZCE</v>
      </c>
      <c r="I943" s="6" t="str">
        <f>'day1'!I725</f>
        <v>SR807</v>
      </c>
      <c r="J943" s="6">
        <f>'day1'!J725</f>
        <v>0</v>
      </c>
      <c r="K943" s="6">
        <f t="shared" si="458"/>
        <v>2</v>
      </c>
      <c r="L943" s="6">
        <f>'day1'!L725</f>
        <v>1</v>
      </c>
      <c r="M943" s="229">
        <f t="shared" si="433"/>
        <v>0</v>
      </c>
      <c r="N943" s="6">
        <f t="shared" si="434"/>
        <v>0</v>
      </c>
      <c r="O943" s="6">
        <f t="shared" si="459"/>
        <v>0</v>
      </c>
      <c r="P943" s="12">
        <f t="shared" si="460"/>
        <v>0</v>
      </c>
      <c r="Q943" s="12">
        <f t="shared" si="435"/>
        <v>0.05</v>
      </c>
      <c r="R943" s="12">
        <f t="shared" si="436"/>
        <v>5</v>
      </c>
      <c r="S943" s="12">
        <f t="shared" si="437"/>
        <v>0.04</v>
      </c>
      <c r="T943" s="12">
        <f t="shared" si="438"/>
        <v>4</v>
      </c>
      <c r="U943" s="12">
        <f t="shared" si="461"/>
        <v>10</v>
      </c>
      <c r="V943" s="12">
        <f t="shared" si="439"/>
        <v>0</v>
      </c>
      <c r="W943" s="12">
        <f t="shared" si="440"/>
        <v>6155</v>
      </c>
      <c r="X943" s="12">
        <f t="shared" si="441"/>
        <v>0</v>
      </c>
      <c r="Y943" s="12">
        <f>'day1'!Y725</f>
        <v>6500</v>
      </c>
      <c r="Z943" s="12">
        <f t="shared" si="442"/>
        <v>6150</v>
      </c>
      <c r="AA943" s="12">
        <f t="shared" si="475"/>
        <v>0.5</v>
      </c>
      <c r="AB943" s="12">
        <f t="shared" si="475"/>
        <v>0.5</v>
      </c>
      <c r="AC943" s="12">
        <f t="shared" si="462"/>
        <v>0</v>
      </c>
      <c r="AD943" s="12">
        <f t="shared" si="444"/>
        <v>9</v>
      </c>
      <c r="AE943" s="12">
        <f t="shared" si="445"/>
        <v>0</v>
      </c>
      <c r="AF943" s="12">
        <f t="shared" si="463"/>
        <v>0</v>
      </c>
      <c r="AG943" s="12">
        <f t="shared" si="473"/>
        <v>0</v>
      </c>
      <c r="AH943" s="12">
        <f t="shared" si="474"/>
        <v>0</v>
      </c>
      <c r="AI943" s="12">
        <f t="shared" si="446"/>
        <v>0</v>
      </c>
      <c r="AJ943" s="12">
        <v>1</v>
      </c>
      <c r="AK943" s="12">
        <f t="shared" si="447"/>
        <v>0</v>
      </c>
      <c r="AL943" s="12">
        <f t="shared" si="466"/>
        <v>0</v>
      </c>
      <c r="AM943" s="12">
        <f t="shared" si="448"/>
        <v>0</v>
      </c>
      <c r="AN943" s="12">
        <f t="shared" si="449"/>
        <v>0</v>
      </c>
      <c r="AO943" s="12">
        <f t="shared" si="450"/>
        <v>0</v>
      </c>
      <c r="AP943" s="12">
        <f t="shared" si="451"/>
        <v>0</v>
      </c>
      <c r="AQ943" s="3" t="str">
        <f t="shared" si="452"/>
        <v>SR807</v>
      </c>
      <c r="AR943" s="3" t="str">
        <f t="shared" si="467"/>
        <v>SR80710</v>
      </c>
      <c r="AS943" s="6" t="str">
        <f t="shared" si="468"/>
        <v>9999</v>
      </c>
      <c r="AT943" s="6" t="str">
        <f t="shared" si="469"/>
        <v>CNY</v>
      </c>
      <c r="AU943" s="6" t="str">
        <f t="shared" si="470"/>
        <v>50010001</v>
      </c>
      <c r="AV943" s="142">
        <f>'day1'!M725+'day1'!N725</f>
        <v>0</v>
      </c>
      <c r="AW943" s="6">
        <f t="shared" si="453"/>
        <v>1</v>
      </c>
      <c r="AX943" s="6" t="str">
        <f t="shared" si="454"/>
        <v>SR807</v>
      </c>
      <c r="AY943" s="6">
        <f t="shared" si="471"/>
        <v>0</v>
      </c>
      <c r="AZ943" s="6">
        <f t="shared" si="472"/>
        <v>20180328</v>
      </c>
    </row>
    <row r="944" spans="1:52" s="6" customFormat="1" x14ac:dyDescent="0.25">
      <c r="A944" s="6" t="str">
        <f t="shared" si="455"/>
        <v/>
      </c>
      <c r="B944" s="140" t="str">
        <f>'day1'!B726</f>
        <v>2018032610000055</v>
      </c>
      <c r="C944" s="140" t="str">
        <f>'day1'!C726</f>
        <v>6001</v>
      </c>
      <c r="D944" s="140" t="str">
        <f>'day1'!D726</f>
        <v>B00101</v>
      </c>
      <c r="E944" s="140" t="str">
        <f>'day1'!E726</f>
        <v>6001</v>
      </c>
      <c r="F944" s="6">
        <f t="shared" si="456"/>
        <v>20180327</v>
      </c>
      <c r="G944" s="6">
        <f>'day1'!G726</f>
        <v>20180326</v>
      </c>
      <c r="H944" s="6" t="str">
        <f t="shared" si="457"/>
        <v>CZCE</v>
      </c>
      <c r="I944" s="6" t="str">
        <f>'day1'!I726</f>
        <v>SR807</v>
      </c>
      <c r="J944" s="6">
        <f>'day1'!J726</f>
        <v>0</v>
      </c>
      <c r="K944" s="6">
        <f t="shared" si="458"/>
        <v>2</v>
      </c>
      <c r="L944" s="6">
        <f>'day1'!L726</f>
        <v>3</v>
      </c>
      <c r="M944" s="229">
        <f t="shared" si="433"/>
        <v>1</v>
      </c>
      <c r="N944" s="6">
        <f t="shared" si="434"/>
        <v>0</v>
      </c>
      <c r="O944" s="6">
        <f t="shared" si="459"/>
        <v>0</v>
      </c>
      <c r="P944" s="12">
        <f t="shared" si="460"/>
        <v>0</v>
      </c>
      <c r="Q944" s="12">
        <f t="shared" si="435"/>
        <v>5.1999999999999998E-2</v>
      </c>
      <c r="R944" s="12">
        <f t="shared" si="436"/>
        <v>5.2</v>
      </c>
      <c r="S944" s="12">
        <f t="shared" si="437"/>
        <v>4.2000000000000003E-2</v>
      </c>
      <c r="T944" s="12">
        <f t="shared" si="438"/>
        <v>4.2</v>
      </c>
      <c r="U944" s="12">
        <f t="shared" si="461"/>
        <v>10</v>
      </c>
      <c r="V944" s="12">
        <f t="shared" si="439"/>
        <v>0</v>
      </c>
      <c r="W944" s="250">
        <f t="shared" si="440"/>
        <v>6155</v>
      </c>
      <c r="X944" s="12">
        <f t="shared" si="441"/>
        <v>0</v>
      </c>
      <c r="Y944" s="250">
        <f>'day1'!Y726</f>
        <v>6500</v>
      </c>
      <c r="Z944" s="250">
        <f t="shared" si="442"/>
        <v>6150</v>
      </c>
      <c r="AA944" s="12">
        <f t="shared" si="475"/>
        <v>0.5</v>
      </c>
      <c r="AB944" s="12">
        <f t="shared" si="475"/>
        <v>0.5</v>
      </c>
      <c r="AC944" s="12">
        <f t="shared" si="462"/>
        <v>0</v>
      </c>
      <c r="AD944" s="12">
        <f t="shared" si="444"/>
        <v>9</v>
      </c>
      <c r="AE944" s="12">
        <f t="shared" si="445"/>
        <v>3205.8</v>
      </c>
      <c r="AF944" s="12">
        <f t="shared" si="463"/>
        <v>2589.3000000000002</v>
      </c>
      <c r="AG944" s="12">
        <f t="shared" si="473"/>
        <v>0</v>
      </c>
      <c r="AH944" s="12">
        <f t="shared" si="474"/>
        <v>0</v>
      </c>
      <c r="AI944" s="12">
        <f t="shared" si="446"/>
        <v>0</v>
      </c>
      <c r="AJ944" s="12">
        <v>1</v>
      </c>
      <c r="AK944" s="12">
        <f t="shared" si="447"/>
        <v>0</v>
      </c>
      <c r="AL944" s="12">
        <f t="shared" si="466"/>
        <v>50</v>
      </c>
      <c r="AM944" s="12">
        <f t="shared" si="448"/>
        <v>-3450</v>
      </c>
      <c r="AN944" s="12">
        <f t="shared" si="449"/>
        <v>0</v>
      </c>
      <c r="AO944" s="12">
        <f t="shared" si="450"/>
        <v>0</v>
      </c>
      <c r="AP944" s="12">
        <f t="shared" si="451"/>
        <v>0</v>
      </c>
      <c r="AQ944" s="3" t="str">
        <f t="shared" si="452"/>
        <v>SR807</v>
      </c>
      <c r="AR944" s="3" t="str">
        <f t="shared" si="467"/>
        <v>SR80730</v>
      </c>
      <c r="AS944" s="6" t="str">
        <f t="shared" si="468"/>
        <v>9999</v>
      </c>
      <c r="AT944" s="6" t="str">
        <f t="shared" si="469"/>
        <v>CNY</v>
      </c>
      <c r="AU944" s="6" t="str">
        <f t="shared" si="470"/>
        <v>50010001</v>
      </c>
      <c r="AV944" s="142">
        <f>'day1'!M726+'day1'!N726</f>
        <v>4</v>
      </c>
      <c r="AW944" s="6">
        <f t="shared" si="453"/>
        <v>1</v>
      </c>
      <c r="AX944" s="6" t="str">
        <f t="shared" si="454"/>
        <v>SR807</v>
      </c>
      <c r="AY944" s="6">
        <f t="shared" si="471"/>
        <v>65000</v>
      </c>
      <c r="AZ944" s="6">
        <f t="shared" si="472"/>
        <v>20180328</v>
      </c>
    </row>
    <row r="945" spans="1:52" s="6" customFormat="1" x14ac:dyDescent="0.25">
      <c r="A945" s="6" t="str">
        <f t="shared" si="455"/>
        <v/>
      </c>
      <c r="B945" s="140" t="str">
        <f>'day1'!B727</f>
        <v>2018032610000056</v>
      </c>
      <c r="C945" s="140" t="str">
        <f>'day1'!C727</f>
        <v>6001</v>
      </c>
      <c r="D945" s="140" t="str">
        <f>'day1'!D727</f>
        <v>B00101</v>
      </c>
      <c r="E945" s="140" t="str">
        <f>'day1'!E727</f>
        <v>6001</v>
      </c>
      <c r="F945" s="6">
        <f t="shared" si="456"/>
        <v>20180327</v>
      </c>
      <c r="G945" s="6">
        <f>'day1'!G727</f>
        <v>20180326</v>
      </c>
      <c r="H945" s="6" t="str">
        <f t="shared" si="457"/>
        <v>CZCE</v>
      </c>
      <c r="I945" s="6" t="str">
        <f>'day1'!I727</f>
        <v>SR807</v>
      </c>
      <c r="J945" s="6">
        <f>'day1'!J727</f>
        <v>1</v>
      </c>
      <c r="K945" s="6">
        <f t="shared" si="458"/>
        <v>3</v>
      </c>
      <c r="L945" s="6">
        <f>'day1'!L727</f>
        <v>1</v>
      </c>
      <c r="M945" s="229">
        <f t="shared" si="433"/>
        <v>3</v>
      </c>
      <c r="N945" s="6">
        <f t="shared" si="434"/>
        <v>0</v>
      </c>
      <c r="O945" s="6">
        <f t="shared" si="459"/>
        <v>0</v>
      </c>
      <c r="P945" s="12">
        <f t="shared" si="460"/>
        <v>0</v>
      </c>
      <c r="Q945" s="12">
        <f t="shared" si="435"/>
        <v>5.0999999999999997E-2</v>
      </c>
      <c r="R945" s="12">
        <f t="shared" si="436"/>
        <v>5.0999999999999996</v>
      </c>
      <c r="S945" s="12">
        <f t="shared" si="437"/>
        <v>4.1000000000000002E-2</v>
      </c>
      <c r="T945" s="12">
        <f t="shared" si="438"/>
        <v>4.0999999999999996</v>
      </c>
      <c r="U945" s="12">
        <f t="shared" si="461"/>
        <v>10</v>
      </c>
      <c r="V945" s="12">
        <f t="shared" si="439"/>
        <v>0</v>
      </c>
      <c r="W945" s="250">
        <f t="shared" si="440"/>
        <v>6155</v>
      </c>
      <c r="X945" s="12">
        <f t="shared" si="441"/>
        <v>0</v>
      </c>
      <c r="Y945" s="250">
        <f>'day1'!Y727</f>
        <v>6500</v>
      </c>
      <c r="Z945" s="250">
        <f t="shared" si="442"/>
        <v>6150</v>
      </c>
      <c r="AA945" s="12">
        <f t="shared" si="475"/>
        <v>0.5</v>
      </c>
      <c r="AB945" s="12">
        <f t="shared" si="475"/>
        <v>0.5</v>
      </c>
      <c r="AC945" s="12">
        <f t="shared" si="462"/>
        <v>0</v>
      </c>
      <c r="AD945" s="12">
        <f t="shared" si="444"/>
        <v>9</v>
      </c>
      <c r="AE945" s="12">
        <f t="shared" si="445"/>
        <v>9432.4500000000007</v>
      </c>
      <c r="AF945" s="12">
        <f t="shared" si="463"/>
        <v>7582.95</v>
      </c>
      <c r="AG945" s="12">
        <f t="shared" si="473"/>
        <v>0</v>
      </c>
      <c r="AH945" s="12">
        <f t="shared" si="474"/>
        <v>0</v>
      </c>
      <c r="AI945" s="12">
        <f t="shared" si="446"/>
        <v>0</v>
      </c>
      <c r="AJ945" s="12">
        <v>1</v>
      </c>
      <c r="AK945" s="12">
        <f t="shared" si="447"/>
        <v>0</v>
      </c>
      <c r="AL945" s="12">
        <f t="shared" si="466"/>
        <v>-150</v>
      </c>
      <c r="AM945" s="12">
        <f t="shared" si="448"/>
        <v>10350</v>
      </c>
      <c r="AN945" s="12">
        <f t="shared" si="449"/>
        <v>0</v>
      </c>
      <c r="AO945" s="12">
        <f t="shared" si="450"/>
        <v>0</v>
      </c>
      <c r="AP945" s="12">
        <f t="shared" si="451"/>
        <v>0</v>
      </c>
      <c r="AQ945" s="3" t="str">
        <f t="shared" si="452"/>
        <v>SR807</v>
      </c>
      <c r="AR945" s="3" t="str">
        <f t="shared" si="467"/>
        <v>SR80711</v>
      </c>
      <c r="AS945" s="6" t="str">
        <f t="shared" si="468"/>
        <v>9999</v>
      </c>
      <c r="AT945" s="6" t="str">
        <f t="shared" si="469"/>
        <v>CNY</v>
      </c>
      <c r="AU945" s="6" t="str">
        <f t="shared" si="470"/>
        <v>50010001</v>
      </c>
      <c r="AV945" s="142">
        <f>'day1'!M727+'day1'!N727</f>
        <v>3</v>
      </c>
      <c r="AW945" s="6">
        <f t="shared" si="453"/>
        <v>1</v>
      </c>
      <c r="AX945" s="6" t="str">
        <f t="shared" si="454"/>
        <v>SR807</v>
      </c>
      <c r="AY945" s="6">
        <f t="shared" si="471"/>
        <v>195000</v>
      </c>
      <c r="AZ945" s="6">
        <f t="shared" si="472"/>
        <v>20180328</v>
      </c>
    </row>
    <row r="946" spans="1:52" s="6" customFormat="1" x14ac:dyDescent="0.25">
      <c r="A946" s="6" t="str">
        <f t="shared" si="455"/>
        <v/>
      </c>
      <c r="B946" s="140" t="str">
        <f>'day1'!B728</f>
        <v>2018032610000057</v>
      </c>
      <c r="C946" s="140" t="str">
        <f>'day1'!C728</f>
        <v>6001</v>
      </c>
      <c r="D946" s="140" t="str">
        <f>'day1'!D728</f>
        <v>B00101</v>
      </c>
      <c r="E946" s="140" t="str">
        <f>'day1'!E728</f>
        <v>6001</v>
      </c>
      <c r="F946" s="6">
        <f t="shared" si="456"/>
        <v>20180327</v>
      </c>
      <c r="G946" s="6">
        <f>'day1'!G728</f>
        <v>20180326</v>
      </c>
      <c r="H946" s="6" t="str">
        <f t="shared" si="457"/>
        <v>CZCE</v>
      </c>
      <c r="I946" s="6" t="str">
        <f>'day1'!I728</f>
        <v>SR807</v>
      </c>
      <c r="J946" s="6">
        <f>'day1'!J728</f>
        <v>1</v>
      </c>
      <c r="K946" s="6">
        <f t="shared" si="458"/>
        <v>3</v>
      </c>
      <c r="L946" s="6">
        <f>'day1'!L728</f>
        <v>3</v>
      </c>
      <c r="M946" s="229">
        <f t="shared" si="433"/>
        <v>2</v>
      </c>
      <c r="N946" s="6">
        <f t="shared" si="434"/>
        <v>0</v>
      </c>
      <c r="O946" s="6">
        <f t="shared" si="459"/>
        <v>0</v>
      </c>
      <c r="P946" s="12">
        <f t="shared" si="460"/>
        <v>0</v>
      </c>
      <c r="Q946" s="12">
        <f t="shared" si="435"/>
        <v>5.2999999999999999E-2</v>
      </c>
      <c r="R946" s="12">
        <f t="shared" si="436"/>
        <v>5.3</v>
      </c>
      <c r="S946" s="12">
        <f t="shared" si="437"/>
        <v>4.2999999999999997E-2</v>
      </c>
      <c r="T946" s="12">
        <f t="shared" si="438"/>
        <v>4.3</v>
      </c>
      <c r="U946" s="12">
        <f t="shared" si="461"/>
        <v>10</v>
      </c>
      <c r="V946" s="12">
        <f t="shared" si="439"/>
        <v>0</v>
      </c>
      <c r="W946" s="250">
        <f t="shared" si="440"/>
        <v>6155</v>
      </c>
      <c r="X946" s="12">
        <f t="shared" si="441"/>
        <v>0</v>
      </c>
      <c r="Y946" s="250">
        <f>'day1'!Y728</f>
        <v>6500</v>
      </c>
      <c r="Z946" s="250">
        <f t="shared" si="442"/>
        <v>6150</v>
      </c>
      <c r="AA946" s="12">
        <f t="shared" si="475"/>
        <v>0.5</v>
      </c>
      <c r="AB946" s="12">
        <f t="shared" si="475"/>
        <v>0.5</v>
      </c>
      <c r="AC946" s="12">
        <f t="shared" si="462"/>
        <v>0</v>
      </c>
      <c r="AD946" s="12">
        <f t="shared" si="444"/>
        <v>9</v>
      </c>
      <c r="AE946" s="12">
        <f t="shared" si="445"/>
        <v>6534.9</v>
      </c>
      <c r="AF946" s="12">
        <f t="shared" si="463"/>
        <v>5301.9</v>
      </c>
      <c r="AG946" s="12">
        <f t="shared" si="473"/>
        <v>0</v>
      </c>
      <c r="AH946" s="12">
        <f t="shared" si="474"/>
        <v>0</v>
      </c>
      <c r="AI946" s="12">
        <f t="shared" si="446"/>
        <v>0</v>
      </c>
      <c r="AJ946" s="12">
        <v>1</v>
      </c>
      <c r="AK946" s="12">
        <f t="shared" si="447"/>
        <v>0</v>
      </c>
      <c r="AL946" s="12">
        <f t="shared" si="466"/>
        <v>-100</v>
      </c>
      <c r="AM946" s="12">
        <f t="shared" si="448"/>
        <v>6900</v>
      </c>
      <c r="AN946" s="12">
        <f t="shared" si="449"/>
        <v>0</v>
      </c>
      <c r="AO946" s="12">
        <f t="shared" si="450"/>
        <v>0</v>
      </c>
      <c r="AP946" s="12">
        <f t="shared" si="451"/>
        <v>0</v>
      </c>
      <c r="AQ946" s="3" t="str">
        <f t="shared" si="452"/>
        <v>SR807</v>
      </c>
      <c r="AR946" s="3" t="str">
        <f t="shared" si="467"/>
        <v>SR80731</v>
      </c>
      <c r="AS946" s="6" t="str">
        <f t="shared" si="468"/>
        <v>9999</v>
      </c>
      <c r="AT946" s="6" t="str">
        <f t="shared" si="469"/>
        <v>CNY</v>
      </c>
      <c r="AU946" s="6" t="str">
        <f t="shared" si="470"/>
        <v>50010001</v>
      </c>
      <c r="AV946" s="142">
        <f>'day1'!M728+'day1'!N728</f>
        <v>2</v>
      </c>
      <c r="AW946" s="6">
        <f t="shared" si="453"/>
        <v>1</v>
      </c>
      <c r="AX946" s="6" t="str">
        <f t="shared" si="454"/>
        <v>SR807</v>
      </c>
      <c r="AY946" s="6">
        <f t="shared" si="471"/>
        <v>130000</v>
      </c>
      <c r="AZ946" s="6">
        <f t="shared" si="472"/>
        <v>20180328</v>
      </c>
    </row>
    <row r="947" spans="1:52" s="6" customFormat="1" x14ac:dyDescent="0.25">
      <c r="B947" s="140" t="str">
        <f>'day1'!B729</f>
        <v>2018032610000060</v>
      </c>
      <c r="C947" s="140" t="str">
        <f>'day1'!C729</f>
        <v>6001</v>
      </c>
      <c r="D947" s="140" t="str">
        <f>'day1'!D729</f>
        <v>B00102</v>
      </c>
      <c r="E947" s="140" t="str">
        <f>'day1'!E729</f>
        <v>6001</v>
      </c>
      <c r="F947" s="6">
        <f t="shared" si="456"/>
        <v>20180327</v>
      </c>
      <c r="G947" s="6">
        <f>'day1'!G729</f>
        <v>20180326</v>
      </c>
      <c r="H947" s="6" t="str">
        <f t="shared" si="457"/>
        <v>CZCE</v>
      </c>
      <c r="I947" s="6" t="str">
        <f>'day1'!I729</f>
        <v>PTA807</v>
      </c>
      <c r="J947" s="6">
        <f>'day1'!J729</f>
        <v>0</v>
      </c>
      <c r="K947" s="6">
        <f t="shared" ref="K947:K948" si="476">IF(J947=0,2,3)</f>
        <v>2</v>
      </c>
      <c r="L947" s="6">
        <f>'day1'!L729</f>
        <v>3</v>
      </c>
      <c r="M947" s="229">
        <f t="shared" si="433"/>
        <v>5</v>
      </c>
      <c r="N947" s="6">
        <f t="shared" si="434"/>
        <v>0</v>
      </c>
      <c r="O947" s="6">
        <f t="shared" ref="O947:O948" si="477">IF(AK947=0,0,M947*U947*W947)</f>
        <v>0</v>
      </c>
      <c r="P947" s="12">
        <f t="shared" ref="P947:P948" si="478">IF(AK947=0,0,(M947+N947)*U947*W947)</f>
        <v>0</v>
      </c>
      <c r="Q947" s="12">
        <f t="shared" ref="Q947:Q948" si="479">IF(AK947=0, VLOOKUP(AR947,$F$53:$L$72,4,FALSE),VLOOKUP(AR947,$F$53:$L$72,4,FALSE)+VLOOKUP(AR947,$F$53:$L$72,6,FALSE) )</f>
        <v>5.1999999999999998E-2</v>
      </c>
      <c r="R947" s="12">
        <f t="shared" ref="R947:R948" si="480">IF(AK947=0, VLOOKUP(AR947,$F$53:$L$72,5,FALSE),VLOOKUP(AR947,$F$53:$L$72,5,FALSE)+VLOOKUP(AR947,$F$53:$L$72,7,FALSE) )</f>
        <v>5.2</v>
      </c>
      <c r="S947" s="12">
        <f t="shared" ref="S947:S948" si="481">VLOOKUP(AR947,$F$53:$L$72,2,FALSE)</f>
        <v>4.2000000000000003E-2</v>
      </c>
      <c r="T947" s="12">
        <f t="shared" ref="T947:T948" si="482">VLOOKUP(AR947,$F$53:$L$72,3,FALSE)</f>
        <v>4.2</v>
      </c>
      <c r="U947" s="12">
        <f t="shared" si="461"/>
        <v>5</v>
      </c>
      <c r="V947" s="12">
        <f t="shared" si="439"/>
        <v>0</v>
      </c>
      <c r="W947" s="250">
        <f t="shared" si="440"/>
        <v>6160</v>
      </c>
      <c r="X947" s="12">
        <f t="shared" si="441"/>
        <v>0</v>
      </c>
      <c r="Y947" s="250">
        <f>'day1'!Y729</f>
        <v>6500</v>
      </c>
      <c r="Z947" s="250">
        <f t="shared" si="442"/>
        <v>6165</v>
      </c>
      <c r="AA947" s="12">
        <f t="shared" si="475"/>
        <v>0.5</v>
      </c>
      <c r="AB947" s="12">
        <f t="shared" si="475"/>
        <v>0.5</v>
      </c>
      <c r="AC947" s="12">
        <f t="shared" ref="AC947:AC948" si="483">IF(AD947=0,MAX((V947-X947)*U947,0),MAX((X947-V947)*U947,0))</f>
        <v>0</v>
      </c>
      <c r="AD947" s="12">
        <f t="shared" si="444"/>
        <v>9</v>
      </c>
      <c r="AE947" s="12">
        <f t="shared" si="445"/>
        <v>8034</v>
      </c>
      <c r="AF947" s="12">
        <f t="shared" si="463"/>
        <v>6489</v>
      </c>
      <c r="AG947" s="12">
        <f t="shared" ref="AG947:AG948" si="484">ROUND(IF(AK947=0,Q947*U947*W947*N947+R947*N947,IF(J947=0,0,MAX(AI947+(Q947*U947*X947+R947)*AJ947-AC947*AA947,AI947+(Q947*U947*X947+R947)*AB947*AW947)*N947)),2)</f>
        <v>0</v>
      </c>
      <c r="AH947" s="12">
        <f t="shared" ref="AH947:AH948" si="485">ROUND(IF(AK947=0,S947*U947*W947*N947+T947*N947,IF(J947=0,0,MAX(AI947+(S947*U947*X947+T947)*AJ947-AC947*AA947,AI947+(S947*U947*X947+T947)*AB947*AW947)*N947)),2)</f>
        <v>0</v>
      </c>
      <c r="AI947" s="12">
        <f t="shared" ref="AI947:AI948" si="486">IF(AK947=1,1*U947*W947,0)</f>
        <v>0</v>
      </c>
      <c r="AJ947" s="12">
        <v>1</v>
      </c>
      <c r="AK947" s="12">
        <f t="shared" si="447"/>
        <v>0</v>
      </c>
      <c r="AL947" s="12">
        <f t="shared" ref="AL947:AL948" si="487">IF(AK947=0,IF(F947=G947,IF(J947=0,(W947-Y947)*U947*M947,-(W947-Y947)*U947*M947),IF(J947=0,(W947-Z947)*U947*M947,-(W947-Z947)*U947*M947)),0)</f>
        <v>-125</v>
      </c>
      <c r="AM947" s="12">
        <f t="shared" ref="AM947:AM948" si="488">IF(AK947=0,IF(J947=0,(W947-Y947)*U947*M947,-(W947-Y947)*U947*M947),0)</f>
        <v>-8500</v>
      </c>
      <c r="AN947" s="12">
        <f t="shared" ref="AN947:AN948" si="489">IF(AK947=0,IF(F947=G947,IF(J947=0,(W947-Y947)*U947*N947,-(W947-Y947)*U947*N947),IF(J947=0,(W947-Z947)*U947*N947,-(W947-Z947)*U947*N947)),0)</f>
        <v>0</v>
      </c>
      <c r="AO947" s="12">
        <f t="shared" ref="AO947:AO948" si="490">IF(AK947=0,IF(J947=0,(W947-Y947)*U947*N947,-(W947-Y947)*U947*N947),0)</f>
        <v>0</v>
      </c>
      <c r="AP947" s="12">
        <f t="shared" si="451"/>
        <v>1</v>
      </c>
      <c r="AQ947" s="3" t="str">
        <f t="shared" si="452"/>
        <v>PTA807</v>
      </c>
      <c r="AR947" s="3" t="str">
        <f t="shared" si="467"/>
        <v>PTA80730</v>
      </c>
      <c r="AS947" s="6" t="str">
        <f t="shared" si="468"/>
        <v>9999</v>
      </c>
      <c r="AT947" s="6" t="str">
        <f t="shared" si="469"/>
        <v>CNY</v>
      </c>
      <c r="AU947" s="6" t="str">
        <f t="shared" ref="AU947:AU948" si="491">VLOOKUP(D947,$C$5:$G$6,5,FALSE)</f>
        <v>50010002</v>
      </c>
      <c r="AV947" s="229">
        <f>'day1'!M729+'day1'!N729</f>
        <v>5</v>
      </c>
      <c r="AW947" s="6">
        <f t="shared" si="453"/>
        <v>1</v>
      </c>
      <c r="AX947" s="6" t="str">
        <f t="shared" si="454"/>
        <v>PTA807</v>
      </c>
      <c r="AY947" s="6">
        <f t="shared" si="471"/>
        <v>162500</v>
      </c>
      <c r="AZ947" s="6">
        <f t="shared" si="472"/>
        <v>20180328</v>
      </c>
    </row>
    <row r="948" spans="1:52" s="6" customFormat="1" x14ac:dyDescent="0.25">
      <c r="B948" s="140" t="str">
        <f>'day1'!B730</f>
        <v>2018032610000061</v>
      </c>
      <c r="C948" s="140" t="str">
        <f>'day1'!C730</f>
        <v>6001</v>
      </c>
      <c r="D948" s="140" t="str">
        <f>'day1'!D730</f>
        <v>B00102</v>
      </c>
      <c r="E948" s="140" t="str">
        <f>'day1'!E730</f>
        <v>6001</v>
      </c>
      <c r="F948" s="6">
        <f t="shared" si="456"/>
        <v>20180327</v>
      </c>
      <c r="G948" s="6">
        <f>'day1'!G730</f>
        <v>20180326</v>
      </c>
      <c r="H948" s="6" t="str">
        <f t="shared" si="457"/>
        <v>CZCE</v>
      </c>
      <c r="I948" s="6" t="str">
        <f>'day1'!I730</f>
        <v>PTA807</v>
      </c>
      <c r="J948" s="6">
        <f>'day1'!J730</f>
        <v>0</v>
      </c>
      <c r="K948" s="6">
        <f t="shared" si="476"/>
        <v>2</v>
      </c>
      <c r="L948" s="6">
        <f>'day1'!L730</f>
        <v>1</v>
      </c>
      <c r="M948" s="229">
        <f t="shared" si="433"/>
        <v>2</v>
      </c>
      <c r="N948" s="6">
        <f t="shared" si="434"/>
        <v>0</v>
      </c>
      <c r="O948" s="6">
        <f t="shared" si="477"/>
        <v>0</v>
      </c>
      <c r="P948" s="12">
        <f t="shared" si="478"/>
        <v>0</v>
      </c>
      <c r="Q948" s="12">
        <f t="shared" si="479"/>
        <v>0.05</v>
      </c>
      <c r="R948" s="12">
        <f t="shared" si="480"/>
        <v>5</v>
      </c>
      <c r="S948" s="12">
        <f t="shared" si="481"/>
        <v>0.04</v>
      </c>
      <c r="T948" s="12">
        <f t="shared" si="482"/>
        <v>4</v>
      </c>
      <c r="U948" s="12">
        <f t="shared" si="461"/>
        <v>5</v>
      </c>
      <c r="V948" s="12">
        <f t="shared" si="439"/>
        <v>0</v>
      </c>
      <c r="W948" s="250">
        <f t="shared" si="440"/>
        <v>6160</v>
      </c>
      <c r="X948" s="12">
        <f t="shared" si="441"/>
        <v>0</v>
      </c>
      <c r="Y948" s="250">
        <f>'day1'!Y730</f>
        <v>6500</v>
      </c>
      <c r="Z948" s="250">
        <f t="shared" si="442"/>
        <v>6165</v>
      </c>
      <c r="AA948" s="12">
        <f t="shared" si="475"/>
        <v>0.5</v>
      </c>
      <c r="AB948" s="12">
        <f t="shared" si="475"/>
        <v>0.5</v>
      </c>
      <c r="AC948" s="12">
        <f t="shared" si="483"/>
        <v>0</v>
      </c>
      <c r="AD948" s="12">
        <f t="shared" si="444"/>
        <v>9</v>
      </c>
      <c r="AE948" s="12">
        <f t="shared" si="445"/>
        <v>3090</v>
      </c>
      <c r="AF948" s="12">
        <f t="shared" si="463"/>
        <v>2472</v>
      </c>
      <c r="AG948" s="12">
        <f t="shared" si="484"/>
        <v>0</v>
      </c>
      <c r="AH948" s="12">
        <f t="shared" si="485"/>
        <v>0</v>
      </c>
      <c r="AI948" s="12">
        <f t="shared" si="486"/>
        <v>0</v>
      </c>
      <c r="AJ948" s="12">
        <v>1</v>
      </c>
      <c r="AK948" s="12">
        <f t="shared" si="447"/>
        <v>0</v>
      </c>
      <c r="AL948" s="12">
        <f t="shared" si="487"/>
        <v>-50</v>
      </c>
      <c r="AM948" s="12">
        <f t="shared" si="488"/>
        <v>-3400</v>
      </c>
      <c r="AN948" s="12">
        <f t="shared" si="489"/>
        <v>0</v>
      </c>
      <c r="AO948" s="12">
        <f t="shared" si="490"/>
        <v>0</v>
      </c>
      <c r="AP948" s="12">
        <f t="shared" si="451"/>
        <v>1</v>
      </c>
      <c r="AQ948" s="3" t="str">
        <f t="shared" si="452"/>
        <v>PTA807</v>
      </c>
      <c r="AR948" s="3" t="str">
        <f t="shared" si="467"/>
        <v>PTA80710</v>
      </c>
      <c r="AS948" s="6" t="str">
        <f t="shared" si="468"/>
        <v>9999</v>
      </c>
      <c r="AT948" s="6" t="str">
        <f t="shared" si="469"/>
        <v>CNY</v>
      </c>
      <c r="AU948" s="6" t="str">
        <f t="shared" si="491"/>
        <v>50010002</v>
      </c>
      <c r="AV948" s="229">
        <f>'day1'!M730+'day1'!N730</f>
        <v>2</v>
      </c>
      <c r="AW948" s="6">
        <f t="shared" si="453"/>
        <v>1</v>
      </c>
      <c r="AX948" s="6" t="str">
        <f t="shared" si="454"/>
        <v>PTA807</v>
      </c>
      <c r="AY948" s="6">
        <f t="shared" si="471"/>
        <v>65000</v>
      </c>
      <c r="AZ948" s="6">
        <f t="shared" si="472"/>
        <v>20180328</v>
      </c>
    </row>
    <row r="949" spans="1:52" s="6" customFormat="1" x14ac:dyDescent="0.25">
      <c r="A949" s="6" t="str">
        <f t="shared" si="455"/>
        <v>comment</v>
      </c>
      <c r="B949" s="140" t="str">
        <f>'day1'!B731</f>
        <v>2018032610000080</v>
      </c>
      <c r="C949" s="140" t="str">
        <f>'day1'!C731</f>
        <v>6001</v>
      </c>
      <c r="D949" s="140" t="str">
        <f>'day1'!D731</f>
        <v>B00101</v>
      </c>
      <c r="E949" s="140" t="str">
        <f>'day1'!E731</f>
        <v>6001</v>
      </c>
      <c r="F949" s="6">
        <f t="shared" si="456"/>
        <v>20180327</v>
      </c>
      <c r="G949" s="6">
        <f>'day1'!G731</f>
        <v>20180326</v>
      </c>
      <c r="H949" s="6" t="str">
        <f t="shared" si="457"/>
        <v>CZCE</v>
      </c>
      <c r="I949" s="6" t="str">
        <f>'day1'!I731</f>
        <v>SR807C6500</v>
      </c>
      <c r="J949" s="6">
        <f>'day1'!J731</f>
        <v>0</v>
      </c>
      <c r="K949" s="6">
        <f t="shared" si="458"/>
        <v>2</v>
      </c>
      <c r="L949" s="6">
        <f>'day1'!L731</f>
        <v>3</v>
      </c>
      <c r="M949" s="229">
        <f t="shared" si="433"/>
        <v>0</v>
      </c>
      <c r="N949" s="6">
        <f t="shared" si="434"/>
        <v>0</v>
      </c>
      <c r="O949" s="6">
        <f t="shared" si="459"/>
        <v>0</v>
      </c>
      <c r="P949" s="12">
        <f>IF(AK949=0,0,(M949+N949)*U949*W949)</f>
        <v>0</v>
      </c>
      <c r="Q949" s="12">
        <f t="shared" si="435"/>
        <v>6.6000000000000003E-2</v>
      </c>
      <c r="R949" s="12">
        <f t="shared" si="436"/>
        <v>6.43</v>
      </c>
      <c r="S949" s="12">
        <f t="shared" si="437"/>
        <v>4.2999999999999997E-2</v>
      </c>
      <c r="T949" s="12">
        <f t="shared" si="438"/>
        <v>4.3</v>
      </c>
      <c r="U949" s="12">
        <f t="shared" si="461"/>
        <v>10</v>
      </c>
      <c r="V949" s="12">
        <f t="shared" si="439"/>
        <v>6500</v>
      </c>
      <c r="W949" s="12">
        <f t="shared" si="440"/>
        <v>610</v>
      </c>
      <c r="X949" s="12">
        <f t="shared" si="441"/>
        <v>6155</v>
      </c>
      <c r="Y949" s="12">
        <f>'day1'!Y731</f>
        <v>600</v>
      </c>
      <c r="Z949" s="12">
        <f t="shared" si="442"/>
        <v>615</v>
      </c>
      <c r="AA949" s="12">
        <f t="shared" si="475"/>
        <v>0.5</v>
      </c>
      <c r="AB949" s="12">
        <f t="shared" si="475"/>
        <v>0.5</v>
      </c>
      <c r="AC949" s="12">
        <f t="shared" si="462"/>
        <v>3450</v>
      </c>
      <c r="AD949" s="12">
        <f t="shared" si="444"/>
        <v>0</v>
      </c>
      <c r="AE949" s="12">
        <f t="shared" si="445"/>
        <v>0</v>
      </c>
      <c r="AF949" s="12">
        <f t="shared" si="463"/>
        <v>0</v>
      </c>
      <c r="AG949" s="12">
        <f t="shared" si="473"/>
        <v>0</v>
      </c>
      <c r="AH949" s="12">
        <f t="shared" si="474"/>
        <v>0</v>
      </c>
      <c r="AI949" s="12">
        <f t="shared" si="446"/>
        <v>6100</v>
      </c>
      <c r="AJ949" s="12">
        <v>1</v>
      </c>
      <c r="AK949" s="12">
        <f t="shared" si="447"/>
        <v>1</v>
      </c>
      <c r="AL949" s="12">
        <f t="shared" si="466"/>
        <v>0</v>
      </c>
      <c r="AM949" s="12">
        <f t="shared" si="448"/>
        <v>0</v>
      </c>
      <c r="AN949" s="12">
        <f t="shared" si="449"/>
        <v>0</v>
      </c>
      <c r="AO949" s="12">
        <f t="shared" si="450"/>
        <v>0</v>
      </c>
      <c r="AP949" s="12">
        <f t="shared" si="451"/>
        <v>0</v>
      </c>
      <c r="AQ949" s="3" t="str">
        <f t="shared" si="452"/>
        <v>SR807</v>
      </c>
      <c r="AR949" s="3" t="str">
        <f t="shared" si="467"/>
        <v>SR80731</v>
      </c>
      <c r="AS949" s="6" t="str">
        <f t="shared" si="468"/>
        <v>9999</v>
      </c>
      <c r="AT949" s="6" t="str">
        <f t="shared" si="469"/>
        <v>CNY</v>
      </c>
      <c r="AU949" s="6" t="str">
        <f t="shared" si="470"/>
        <v>50010001</v>
      </c>
      <c r="AV949" s="142">
        <f>'day1'!M731+'day1'!N731</f>
        <v>0</v>
      </c>
      <c r="AW949" s="6">
        <f t="shared" si="453"/>
        <v>1</v>
      </c>
      <c r="AX949" s="6" t="str">
        <f t="shared" si="454"/>
        <v>SR807</v>
      </c>
      <c r="AY949" s="6">
        <f t="shared" si="471"/>
        <v>0</v>
      </c>
      <c r="AZ949" s="6">
        <f t="shared" si="472"/>
        <v>20180327</v>
      </c>
    </row>
    <row r="950" spans="1:52" s="6" customFormat="1" x14ac:dyDescent="0.25">
      <c r="A950" s="6" t="str">
        <f t="shared" si="455"/>
        <v>comment</v>
      </c>
      <c r="B950" s="140" t="str">
        <f>'day1'!B732</f>
        <v>2018032610000081</v>
      </c>
      <c r="C950" s="140" t="str">
        <f>'day1'!C732</f>
        <v>6001</v>
      </c>
      <c r="D950" s="140" t="str">
        <f>'day1'!D732</f>
        <v>B00101</v>
      </c>
      <c r="E950" s="140" t="str">
        <f>'day1'!E732</f>
        <v>6001</v>
      </c>
      <c r="F950" s="6">
        <f t="shared" si="456"/>
        <v>20180327</v>
      </c>
      <c r="G950" s="6">
        <f>'day1'!G732</f>
        <v>20180326</v>
      </c>
      <c r="H950" s="6" t="str">
        <f t="shared" si="457"/>
        <v>CZCE</v>
      </c>
      <c r="I950" s="6" t="str">
        <f>'day1'!I732</f>
        <v>SR807C6500</v>
      </c>
      <c r="J950" s="6">
        <f>'day1'!J732</f>
        <v>0</v>
      </c>
      <c r="K950" s="6">
        <f t="shared" si="458"/>
        <v>2</v>
      </c>
      <c r="L950" s="6">
        <f>'day1'!L732</f>
        <v>3</v>
      </c>
      <c r="M950" s="229">
        <f t="shared" si="433"/>
        <v>0</v>
      </c>
      <c r="N950" s="6">
        <f t="shared" si="434"/>
        <v>0</v>
      </c>
      <c r="O950" s="6">
        <f t="shared" si="459"/>
        <v>0</v>
      </c>
      <c r="P950" s="12">
        <f t="shared" si="460"/>
        <v>0</v>
      </c>
      <c r="Q950" s="12">
        <f t="shared" si="435"/>
        <v>6.6000000000000003E-2</v>
      </c>
      <c r="R950" s="12">
        <f t="shared" si="436"/>
        <v>6.43</v>
      </c>
      <c r="S950" s="12">
        <f t="shared" si="437"/>
        <v>4.2999999999999997E-2</v>
      </c>
      <c r="T950" s="12">
        <f t="shared" si="438"/>
        <v>4.3</v>
      </c>
      <c r="U950" s="12">
        <f t="shared" si="461"/>
        <v>10</v>
      </c>
      <c r="V950" s="12">
        <f t="shared" si="439"/>
        <v>6500</v>
      </c>
      <c r="W950" s="12">
        <f t="shared" si="440"/>
        <v>610</v>
      </c>
      <c r="X950" s="12">
        <f t="shared" si="441"/>
        <v>6155</v>
      </c>
      <c r="Y950" s="12">
        <f>'day1'!Y732</f>
        <v>601</v>
      </c>
      <c r="Z950" s="12">
        <f t="shared" si="442"/>
        <v>615</v>
      </c>
      <c r="AA950" s="12">
        <f t="shared" si="475"/>
        <v>0.5</v>
      </c>
      <c r="AB950" s="12">
        <f t="shared" si="475"/>
        <v>0.5</v>
      </c>
      <c r="AC950" s="12">
        <f t="shared" si="462"/>
        <v>3450</v>
      </c>
      <c r="AD950" s="12">
        <f t="shared" si="444"/>
        <v>0</v>
      </c>
      <c r="AE950" s="12">
        <f t="shared" si="445"/>
        <v>0</v>
      </c>
      <c r="AF950" s="12">
        <f t="shared" si="463"/>
        <v>0</v>
      </c>
      <c r="AG950" s="12">
        <f t="shared" si="473"/>
        <v>0</v>
      </c>
      <c r="AH950" s="12">
        <f t="shared" si="474"/>
        <v>0</v>
      </c>
      <c r="AI950" s="12">
        <f t="shared" si="446"/>
        <v>6100</v>
      </c>
      <c r="AJ950" s="12">
        <v>1</v>
      </c>
      <c r="AK950" s="12">
        <f t="shared" si="447"/>
        <v>1</v>
      </c>
      <c r="AL950" s="12">
        <f t="shared" si="466"/>
        <v>0</v>
      </c>
      <c r="AM950" s="12">
        <f t="shared" si="448"/>
        <v>0</v>
      </c>
      <c r="AN950" s="12">
        <f t="shared" si="449"/>
        <v>0</v>
      </c>
      <c r="AO950" s="12">
        <f t="shared" si="450"/>
        <v>0</v>
      </c>
      <c r="AP950" s="12">
        <f t="shared" si="451"/>
        <v>0</v>
      </c>
      <c r="AQ950" s="3" t="str">
        <f t="shared" si="452"/>
        <v>SR807</v>
      </c>
      <c r="AR950" s="3" t="str">
        <f t="shared" si="467"/>
        <v>SR80731</v>
      </c>
      <c r="AS950" s="6" t="str">
        <f t="shared" si="468"/>
        <v>9999</v>
      </c>
      <c r="AT950" s="6" t="str">
        <f t="shared" si="469"/>
        <v>CNY</v>
      </c>
      <c r="AU950" s="6" t="str">
        <f t="shared" si="470"/>
        <v>50010001</v>
      </c>
      <c r="AV950" s="142">
        <f>'day1'!M732+'day1'!N732</f>
        <v>3</v>
      </c>
      <c r="AW950" s="6">
        <f t="shared" si="453"/>
        <v>1</v>
      </c>
      <c r="AX950" s="6" t="str">
        <f t="shared" si="454"/>
        <v>SR807</v>
      </c>
      <c r="AY950" s="6">
        <f t="shared" si="471"/>
        <v>0</v>
      </c>
      <c r="AZ950" s="6">
        <f t="shared" si="472"/>
        <v>20180327</v>
      </c>
    </row>
    <row r="951" spans="1:52" s="6" customFormat="1" x14ac:dyDescent="0.25">
      <c r="A951" s="6" t="str">
        <f t="shared" si="455"/>
        <v>comment</v>
      </c>
      <c r="B951" s="140" t="str">
        <f>'day1'!B733</f>
        <v>2018032610000082</v>
      </c>
      <c r="C951" s="140" t="str">
        <f>'day1'!C733</f>
        <v>6001</v>
      </c>
      <c r="D951" s="140" t="str">
        <f>'day1'!D733</f>
        <v>B00101</v>
      </c>
      <c r="E951" s="140" t="str">
        <f>'day1'!E733</f>
        <v>6001</v>
      </c>
      <c r="F951" s="6">
        <f t="shared" si="456"/>
        <v>20180327</v>
      </c>
      <c r="G951" s="6">
        <f>'day1'!G733</f>
        <v>20180326</v>
      </c>
      <c r="H951" s="6" t="str">
        <f t="shared" si="457"/>
        <v>CZCE</v>
      </c>
      <c r="I951" s="6" t="str">
        <f>'day1'!I733</f>
        <v>SR807C6500</v>
      </c>
      <c r="J951" s="6">
        <f>'day1'!J733</f>
        <v>0</v>
      </c>
      <c r="K951" s="6">
        <f t="shared" si="458"/>
        <v>2</v>
      </c>
      <c r="L951" s="6">
        <f>'day1'!L733</f>
        <v>1</v>
      </c>
      <c r="M951" s="229">
        <f t="shared" si="433"/>
        <v>0</v>
      </c>
      <c r="N951" s="6">
        <f t="shared" si="434"/>
        <v>0</v>
      </c>
      <c r="O951" s="6">
        <f t="shared" si="459"/>
        <v>0</v>
      </c>
      <c r="P951" s="12">
        <f t="shared" si="460"/>
        <v>0</v>
      </c>
      <c r="Q951" s="12">
        <f t="shared" si="435"/>
        <v>6.2E-2</v>
      </c>
      <c r="R951" s="12">
        <f t="shared" si="436"/>
        <v>6.21</v>
      </c>
      <c r="S951" s="12">
        <f t="shared" si="437"/>
        <v>4.1000000000000002E-2</v>
      </c>
      <c r="T951" s="12">
        <f t="shared" si="438"/>
        <v>4.0999999999999996</v>
      </c>
      <c r="U951" s="12">
        <f t="shared" si="461"/>
        <v>10</v>
      </c>
      <c r="V951" s="12">
        <f t="shared" si="439"/>
        <v>6500</v>
      </c>
      <c r="W951" s="12">
        <f t="shared" si="440"/>
        <v>610</v>
      </c>
      <c r="X951" s="12">
        <f t="shared" si="441"/>
        <v>6155</v>
      </c>
      <c r="Y951" s="12">
        <f>'day1'!Y733</f>
        <v>602</v>
      </c>
      <c r="Z951" s="12">
        <f t="shared" si="442"/>
        <v>615</v>
      </c>
      <c r="AA951" s="12">
        <f t="shared" si="475"/>
        <v>0.5</v>
      </c>
      <c r="AB951" s="12">
        <f t="shared" si="475"/>
        <v>0.5</v>
      </c>
      <c r="AC951" s="12">
        <f t="shared" si="462"/>
        <v>3450</v>
      </c>
      <c r="AD951" s="12">
        <f t="shared" si="444"/>
        <v>0</v>
      </c>
      <c r="AE951" s="12">
        <f t="shared" si="445"/>
        <v>0</v>
      </c>
      <c r="AF951" s="12">
        <f t="shared" si="463"/>
        <v>0</v>
      </c>
      <c r="AG951" s="12">
        <f t="shared" si="473"/>
        <v>0</v>
      </c>
      <c r="AH951" s="12">
        <f t="shared" si="474"/>
        <v>0</v>
      </c>
      <c r="AI951" s="12">
        <f t="shared" si="446"/>
        <v>6100</v>
      </c>
      <c r="AJ951" s="12">
        <v>1</v>
      </c>
      <c r="AK951" s="12">
        <f t="shared" si="447"/>
        <v>1</v>
      </c>
      <c r="AL951" s="12">
        <f t="shared" si="466"/>
        <v>0</v>
      </c>
      <c r="AM951" s="12">
        <f t="shared" si="448"/>
        <v>0</v>
      </c>
      <c r="AN951" s="12">
        <f t="shared" si="449"/>
        <v>0</v>
      </c>
      <c r="AO951" s="12">
        <f t="shared" si="450"/>
        <v>0</v>
      </c>
      <c r="AP951" s="12">
        <f t="shared" si="451"/>
        <v>0</v>
      </c>
      <c r="AQ951" s="3" t="str">
        <f t="shared" si="452"/>
        <v>SR807</v>
      </c>
      <c r="AR951" s="3" t="str">
        <f t="shared" si="467"/>
        <v>SR80711</v>
      </c>
      <c r="AS951" s="6" t="str">
        <f t="shared" si="468"/>
        <v>9999</v>
      </c>
      <c r="AT951" s="6" t="str">
        <f t="shared" si="469"/>
        <v>CNY</v>
      </c>
      <c r="AU951" s="6" t="str">
        <f t="shared" si="470"/>
        <v>50010001</v>
      </c>
      <c r="AV951" s="142">
        <f>'day1'!M733+'day1'!N733</f>
        <v>0</v>
      </c>
      <c r="AW951" s="6">
        <f t="shared" si="453"/>
        <v>1</v>
      </c>
      <c r="AX951" s="6" t="str">
        <f t="shared" si="454"/>
        <v>SR807</v>
      </c>
      <c r="AY951" s="6">
        <f t="shared" si="471"/>
        <v>0</v>
      </c>
      <c r="AZ951" s="6">
        <f t="shared" si="472"/>
        <v>20180327</v>
      </c>
    </row>
    <row r="952" spans="1:52" s="6" customFormat="1" x14ac:dyDescent="0.25">
      <c r="A952" s="6" t="str">
        <f t="shared" si="455"/>
        <v>comment</v>
      </c>
      <c r="B952" s="140" t="str">
        <f>'day1'!B734</f>
        <v>2018032610000083</v>
      </c>
      <c r="C952" s="140" t="str">
        <f>'day1'!C734</f>
        <v>6001</v>
      </c>
      <c r="D952" s="140" t="str">
        <f>'day1'!D734</f>
        <v>B00101</v>
      </c>
      <c r="E952" s="140" t="str">
        <f>'day1'!E734</f>
        <v>6001</v>
      </c>
      <c r="F952" s="6">
        <f t="shared" si="456"/>
        <v>20180327</v>
      </c>
      <c r="G952" s="6">
        <f>'day1'!G734</f>
        <v>20180326</v>
      </c>
      <c r="H952" s="6" t="str">
        <f t="shared" si="457"/>
        <v>CZCE</v>
      </c>
      <c r="I952" s="6" t="str">
        <f>'day1'!I734</f>
        <v>SR807C6500</v>
      </c>
      <c r="J952" s="6">
        <f>'day1'!J734</f>
        <v>0</v>
      </c>
      <c r="K952" s="6">
        <f t="shared" si="458"/>
        <v>2</v>
      </c>
      <c r="L952" s="6">
        <f>'day1'!L734</f>
        <v>1</v>
      </c>
      <c r="M952" s="229">
        <f t="shared" si="433"/>
        <v>0</v>
      </c>
      <c r="N952" s="6">
        <f t="shared" si="434"/>
        <v>0</v>
      </c>
      <c r="O952" s="6">
        <f t="shared" si="459"/>
        <v>0</v>
      </c>
      <c r="P952" s="12">
        <f t="shared" si="460"/>
        <v>0</v>
      </c>
      <c r="Q952" s="12">
        <f t="shared" si="435"/>
        <v>6.2E-2</v>
      </c>
      <c r="R952" s="12">
        <f t="shared" si="436"/>
        <v>6.21</v>
      </c>
      <c r="S952" s="12">
        <f t="shared" si="437"/>
        <v>4.1000000000000002E-2</v>
      </c>
      <c r="T952" s="12">
        <f t="shared" si="438"/>
        <v>4.0999999999999996</v>
      </c>
      <c r="U952" s="12">
        <f t="shared" si="461"/>
        <v>10</v>
      </c>
      <c r="V952" s="12">
        <f t="shared" si="439"/>
        <v>6500</v>
      </c>
      <c r="W952" s="12">
        <f t="shared" si="440"/>
        <v>610</v>
      </c>
      <c r="X952" s="12">
        <f t="shared" si="441"/>
        <v>6155</v>
      </c>
      <c r="Y952" s="12">
        <f>'day1'!Y734</f>
        <v>603</v>
      </c>
      <c r="Z952" s="12">
        <f t="shared" si="442"/>
        <v>615</v>
      </c>
      <c r="AA952" s="12">
        <f t="shared" si="475"/>
        <v>0.5</v>
      </c>
      <c r="AB952" s="12">
        <f t="shared" si="475"/>
        <v>0.5</v>
      </c>
      <c r="AC952" s="12">
        <f t="shared" si="462"/>
        <v>3450</v>
      </c>
      <c r="AD952" s="12">
        <f t="shared" si="444"/>
        <v>0</v>
      </c>
      <c r="AE952" s="12">
        <f t="shared" si="445"/>
        <v>0</v>
      </c>
      <c r="AF952" s="12">
        <f t="shared" si="463"/>
        <v>0</v>
      </c>
      <c r="AG952" s="12">
        <f t="shared" si="473"/>
        <v>0</v>
      </c>
      <c r="AH952" s="12">
        <f t="shared" si="474"/>
        <v>0</v>
      </c>
      <c r="AI952" s="12">
        <f t="shared" si="446"/>
        <v>6100</v>
      </c>
      <c r="AJ952" s="12">
        <v>1</v>
      </c>
      <c r="AK952" s="12">
        <f t="shared" si="447"/>
        <v>1</v>
      </c>
      <c r="AL952" s="12">
        <f t="shared" si="466"/>
        <v>0</v>
      </c>
      <c r="AM952" s="12">
        <f t="shared" si="448"/>
        <v>0</v>
      </c>
      <c r="AN952" s="12">
        <f t="shared" si="449"/>
        <v>0</v>
      </c>
      <c r="AO952" s="12">
        <f t="shared" si="450"/>
        <v>0</v>
      </c>
      <c r="AP952" s="12">
        <f t="shared" si="451"/>
        <v>0</v>
      </c>
      <c r="AQ952" s="3" t="str">
        <f t="shared" si="452"/>
        <v>SR807</v>
      </c>
      <c r="AR952" s="3" t="str">
        <f t="shared" si="467"/>
        <v>SR80711</v>
      </c>
      <c r="AS952" s="6" t="str">
        <f t="shared" si="468"/>
        <v>9999</v>
      </c>
      <c r="AT952" s="6" t="str">
        <f t="shared" si="469"/>
        <v>CNY</v>
      </c>
      <c r="AU952" s="6" t="str">
        <f t="shared" si="470"/>
        <v>50010001</v>
      </c>
      <c r="AV952" s="142">
        <f>'day1'!M734+'day1'!N734</f>
        <v>0</v>
      </c>
      <c r="AW952" s="6">
        <f t="shared" si="453"/>
        <v>1</v>
      </c>
      <c r="AX952" s="6" t="str">
        <f t="shared" si="454"/>
        <v>SR807</v>
      </c>
      <c r="AY952" s="6">
        <f t="shared" si="471"/>
        <v>0</v>
      </c>
      <c r="AZ952" s="6">
        <f t="shared" si="472"/>
        <v>20180327</v>
      </c>
    </row>
    <row r="953" spans="1:52" s="6" customFormat="1" x14ac:dyDescent="0.25">
      <c r="A953" s="6" t="str">
        <f t="shared" si="455"/>
        <v>comment</v>
      </c>
      <c r="B953" s="140" t="str">
        <f>'day1'!B735</f>
        <v>2018032610000089</v>
      </c>
      <c r="C953" s="140" t="str">
        <f>'day1'!C735</f>
        <v>6001</v>
      </c>
      <c r="D953" s="140" t="str">
        <f>'day1'!D735</f>
        <v>B00101</v>
      </c>
      <c r="E953" s="140" t="str">
        <f>'day1'!E735</f>
        <v>6001</v>
      </c>
      <c r="F953" s="6">
        <f t="shared" si="456"/>
        <v>20180327</v>
      </c>
      <c r="G953" s="6">
        <f>'day1'!G735</f>
        <v>20180326</v>
      </c>
      <c r="H953" s="6" t="str">
        <f t="shared" si="457"/>
        <v>CZCE</v>
      </c>
      <c r="I953" s="6" t="str">
        <f>'day1'!I735</f>
        <v>SR807C6500</v>
      </c>
      <c r="J953" s="6">
        <f>'day1'!J735</f>
        <v>0</v>
      </c>
      <c r="K953" s="6">
        <f t="shared" si="458"/>
        <v>2</v>
      </c>
      <c r="L953" s="6">
        <f>'day1'!L735</f>
        <v>1</v>
      </c>
      <c r="M953" s="229">
        <f t="shared" si="433"/>
        <v>0</v>
      </c>
      <c r="N953" s="6">
        <f t="shared" si="434"/>
        <v>0</v>
      </c>
      <c r="O953" s="6">
        <f t="shared" si="459"/>
        <v>0</v>
      </c>
      <c r="P953" s="12">
        <f t="shared" si="460"/>
        <v>0</v>
      </c>
      <c r="Q953" s="12">
        <f t="shared" si="435"/>
        <v>6.2E-2</v>
      </c>
      <c r="R953" s="12">
        <f t="shared" si="436"/>
        <v>6.21</v>
      </c>
      <c r="S953" s="12">
        <f t="shared" si="437"/>
        <v>4.1000000000000002E-2</v>
      </c>
      <c r="T953" s="12">
        <f t="shared" si="438"/>
        <v>4.0999999999999996</v>
      </c>
      <c r="U953" s="12">
        <f t="shared" si="461"/>
        <v>10</v>
      </c>
      <c r="V953" s="12">
        <f t="shared" si="439"/>
        <v>6500</v>
      </c>
      <c r="W953" s="12">
        <f t="shared" si="440"/>
        <v>610</v>
      </c>
      <c r="X953" s="12">
        <f t="shared" si="441"/>
        <v>6155</v>
      </c>
      <c r="Y953" s="12">
        <f>'day1'!Y735</f>
        <v>609</v>
      </c>
      <c r="Z953" s="12">
        <f t="shared" si="442"/>
        <v>615</v>
      </c>
      <c r="AA953" s="12">
        <f t="shared" si="475"/>
        <v>0.5</v>
      </c>
      <c r="AB953" s="12">
        <f t="shared" si="475"/>
        <v>0.5</v>
      </c>
      <c r="AC953" s="12">
        <f t="shared" si="462"/>
        <v>3450</v>
      </c>
      <c r="AD953" s="12">
        <f t="shared" si="444"/>
        <v>0</v>
      </c>
      <c r="AE953" s="12">
        <f t="shared" si="445"/>
        <v>0</v>
      </c>
      <c r="AF953" s="12">
        <f t="shared" si="463"/>
        <v>0</v>
      </c>
      <c r="AG953" s="12">
        <f t="shared" si="473"/>
        <v>0</v>
      </c>
      <c r="AH953" s="12">
        <f t="shared" si="474"/>
        <v>0</v>
      </c>
      <c r="AI953" s="12">
        <f t="shared" si="446"/>
        <v>6100</v>
      </c>
      <c r="AJ953" s="12">
        <v>1</v>
      </c>
      <c r="AK953" s="12">
        <f t="shared" si="447"/>
        <v>1</v>
      </c>
      <c r="AL953" s="12">
        <f t="shared" si="466"/>
        <v>0</v>
      </c>
      <c r="AM953" s="12">
        <f t="shared" si="448"/>
        <v>0</v>
      </c>
      <c r="AN953" s="12">
        <f t="shared" si="449"/>
        <v>0</v>
      </c>
      <c r="AO953" s="12">
        <f t="shared" si="450"/>
        <v>0</v>
      </c>
      <c r="AP953" s="12">
        <f t="shared" si="451"/>
        <v>0</v>
      </c>
      <c r="AQ953" s="3" t="str">
        <f t="shared" si="452"/>
        <v>SR807</v>
      </c>
      <c r="AR953" s="3" t="str">
        <f t="shared" si="467"/>
        <v>SR80711</v>
      </c>
      <c r="AS953" s="6" t="str">
        <f t="shared" si="468"/>
        <v>9999</v>
      </c>
      <c r="AT953" s="6" t="str">
        <f t="shared" si="469"/>
        <v>CNY</v>
      </c>
      <c r="AU953" s="6" t="str">
        <f t="shared" si="470"/>
        <v>50010001</v>
      </c>
      <c r="AV953" s="142">
        <f>'day1'!M735+'day1'!N735</f>
        <v>10</v>
      </c>
      <c r="AW953" s="6">
        <f t="shared" si="453"/>
        <v>1</v>
      </c>
      <c r="AX953" s="6" t="str">
        <f t="shared" si="454"/>
        <v>SR807</v>
      </c>
      <c r="AY953" s="6">
        <f t="shared" si="471"/>
        <v>0</v>
      </c>
      <c r="AZ953" s="6">
        <f t="shared" si="472"/>
        <v>20180327</v>
      </c>
    </row>
    <row r="954" spans="1:52" s="6" customFormat="1" x14ac:dyDescent="0.25">
      <c r="A954" s="6" t="str">
        <f t="shared" si="455"/>
        <v>comment</v>
      </c>
      <c r="B954" s="140" t="str">
        <f>'day1'!B736</f>
        <v>2018032610000090</v>
      </c>
      <c r="C954" s="140" t="str">
        <f>'day1'!C736</f>
        <v>6001</v>
      </c>
      <c r="D954" s="140" t="str">
        <f>'day1'!D736</f>
        <v>B00101</v>
      </c>
      <c r="E954" s="140" t="str">
        <f>'day1'!E736</f>
        <v>6001</v>
      </c>
      <c r="F954" s="6">
        <f t="shared" si="456"/>
        <v>20180327</v>
      </c>
      <c r="G954" s="6">
        <f>'day1'!G736</f>
        <v>20180326</v>
      </c>
      <c r="H954" s="6" t="str">
        <f t="shared" si="457"/>
        <v>CZCE</v>
      </c>
      <c r="I954" s="6" t="str">
        <f>'day1'!I736</f>
        <v>SR807C6500</v>
      </c>
      <c r="J954" s="6">
        <f>'day1'!J736</f>
        <v>1</v>
      </c>
      <c r="K954" s="6">
        <f t="shared" si="458"/>
        <v>3</v>
      </c>
      <c r="L954" s="6">
        <f>'day1'!L736</f>
        <v>3</v>
      </c>
      <c r="M954" s="229">
        <f t="shared" ref="M954:M985" si="492">SUMPRODUCT(($C$693:$C$761=B954)*($E$693:$E$761=C954)*($F$693:$F$761=D954)*($G$693:$G$761=E954)*($L$693:$L$761=I954)*($O$693:$O$761=J954)*($P$693:$P$761=L954)*($N$693:$N$761=0)*($Q$693:$Q$761))-SUMPRODUCT(($D$693:$D$761=B954)*($E$693:$E$761=C954)*($F$693:$F$761=D954)*($G$693:$G$761=E954)*($L$693:$L$761=I954)*($O$693:$O$761&lt;&gt;J954)*($P$693:$P$761=L954)*($N$693:$N$761&lt;&gt;0)*($Q$693:$Q$761))+AV954-SUMPRODUCT(($B$842:$B$869=B954)*($C$842:$C$869=C954)*($D$842:$D$869=D954)*($O$842:$O$869&lt;&gt;2)*($N$842:$N$869))-N954</f>
        <v>0</v>
      </c>
      <c r="N954" s="6">
        <f t="shared" ref="N954:N987" si="493">SUMPRODUCT(($E$876:$E$915=B954)*($F$876:$F$915=C954)*($G$876:$G$915=D954)*($I$876:$I$915=I954)*($J$876:$J$915=L954)*($L$876:$L$915=J954)*($N$876:$N$915))</f>
        <v>0</v>
      </c>
      <c r="O954" s="6">
        <f t="shared" si="459"/>
        <v>0</v>
      </c>
      <c r="P954" s="12">
        <f t="shared" si="460"/>
        <v>0</v>
      </c>
      <c r="Q954" s="12">
        <f t="shared" si="435"/>
        <v>6.6000000000000003E-2</v>
      </c>
      <c r="R954" s="12">
        <f t="shared" si="436"/>
        <v>6.43</v>
      </c>
      <c r="S954" s="12">
        <f t="shared" si="437"/>
        <v>4.2999999999999997E-2</v>
      </c>
      <c r="T954" s="12">
        <f t="shared" si="438"/>
        <v>4.3</v>
      </c>
      <c r="U954" s="12">
        <f t="shared" ref="U954:U987" si="494" xml:space="preserve"> VLOOKUP(I954,$C$19:$L$31,3,FALSE)</f>
        <v>10</v>
      </c>
      <c r="V954" s="12">
        <f t="shared" si="439"/>
        <v>6500</v>
      </c>
      <c r="W954" s="12">
        <f t="shared" si="440"/>
        <v>610</v>
      </c>
      <c r="X954" s="12">
        <f t="shared" si="441"/>
        <v>6155</v>
      </c>
      <c r="Y954" s="12">
        <f>'day1'!Y736</f>
        <v>610</v>
      </c>
      <c r="Z954" s="12">
        <f t="shared" si="442"/>
        <v>615</v>
      </c>
      <c r="AA954" s="12">
        <f t="shared" si="475"/>
        <v>0.5</v>
      </c>
      <c r="AB954" s="12">
        <f t="shared" si="475"/>
        <v>0.5</v>
      </c>
      <c r="AC954" s="12">
        <f t="shared" si="462"/>
        <v>3450</v>
      </c>
      <c r="AD954" s="12">
        <f t="shared" ref="AD954:AD987" si="495" xml:space="preserve"> VLOOKUP(I954,$C$19:$L$31,6,FALSE)</f>
        <v>0</v>
      </c>
      <c r="AE954" s="12">
        <f t="shared" si="445"/>
        <v>0</v>
      </c>
      <c r="AF954" s="12">
        <f t="shared" si="463"/>
        <v>0</v>
      </c>
      <c r="AG954" s="12">
        <f t="shared" si="473"/>
        <v>0</v>
      </c>
      <c r="AH954" s="12">
        <f t="shared" si="474"/>
        <v>0</v>
      </c>
      <c r="AI954" s="12">
        <f t="shared" si="446"/>
        <v>6100</v>
      </c>
      <c r="AJ954" s="12">
        <v>1</v>
      </c>
      <c r="AK954" s="12">
        <f t="shared" ref="AK954:AK987" si="496" xml:space="preserve"> VLOOKUP(I954,$C$19:$L$31,10,FALSE)</f>
        <v>1</v>
      </c>
      <c r="AL954" s="12">
        <f t="shared" si="466"/>
        <v>0</v>
      </c>
      <c r="AM954" s="12">
        <f t="shared" si="448"/>
        <v>0</v>
      </c>
      <c r="AN954" s="12">
        <f t="shared" si="449"/>
        <v>0</v>
      </c>
      <c r="AO954" s="12">
        <f t="shared" si="450"/>
        <v>0</v>
      </c>
      <c r="AP954" s="12">
        <f t="shared" ref="AP954:AP987" si="497" xml:space="preserve"> VLOOKUP(I954,$C$19:$L$31,9,FALSE)</f>
        <v>0</v>
      </c>
      <c r="AQ954" s="3" t="str">
        <f t="shared" ref="AQ954:AQ987" si="498" xml:space="preserve"> VLOOKUP(I954,$C$19:$L$31,7,FALSE)</f>
        <v>SR807</v>
      </c>
      <c r="AR954" s="3" t="str">
        <f t="shared" si="467"/>
        <v>SR80731</v>
      </c>
      <c r="AS954" s="6" t="str">
        <f t="shared" si="468"/>
        <v>9999</v>
      </c>
      <c r="AT954" s="6" t="str">
        <f t="shared" si="469"/>
        <v>CNY</v>
      </c>
      <c r="AU954" s="6" t="str">
        <f t="shared" si="470"/>
        <v>50010001</v>
      </c>
      <c r="AV954" s="142">
        <f>'day1'!M736+'day1'!N736</f>
        <v>10</v>
      </c>
      <c r="AW954" s="6">
        <f t="shared" ref="AW954:AW987" si="499">VLOOKUP(I954,$C$19:$M$31,11,FALSE)</f>
        <v>1</v>
      </c>
      <c r="AX954" s="6" t="str">
        <f t="shared" ref="AX954:AX987" si="500">VLOOKUP(I954,$C$19:$M$31,7,FALSE)</f>
        <v>SR807</v>
      </c>
      <c r="AY954" s="6">
        <f t="shared" si="471"/>
        <v>0</v>
      </c>
      <c r="AZ954" s="6">
        <f t="shared" si="472"/>
        <v>20180327</v>
      </c>
    </row>
    <row r="955" spans="1:52" s="13" customFormat="1" x14ac:dyDescent="0.25">
      <c r="A955" s="6" t="str">
        <f t="shared" si="455"/>
        <v>comment</v>
      </c>
      <c r="B955" s="140" t="str">
        <f>'day1'!B737</f>
        <v>2018032610000091</v>
      </c>
      <c r="C955" s="140" t="str">
        <f>'day1'!C737</f>
        <v>6001</v>
      </c>
      <c r="D955" s="140" t="str">
        <f>'day1'!D737</f>
        <v>B00101</v>
      </c>
      <c r="E955" s="140" t="str">
        <f>'day1'!E737</f>
        <v>6001</v>
      </c>
      <c r="F955" s="13">
        <f t="shared" si="456"/>
        <v>20180327</v>
      </c>
      <c r="G955" s="6">
        <f>'day1'!G737</f>
        <v>20180326</v>
      </c>
      <c r="H955" s="13" t="str">
        <f t="shared" si="457"/>
        <v>CZCE</v>
      </c>
      <c r="I955" s="6" t="str">
        <f>'day1'!I737</f>
        <v>SR807C6500</v>
      </c>
      <c r="J955" s="6">
        <f>'day1'!J737</f>
        <v>1</v>
      </c>
      <c r="K955" s="13">
        <f t="shared" si="458"/>
        <v>3</v>
      </c>
      <c r="L955" s="6">
        <f>'day1'!L737</f>
        <v>1</v>
      </c>
      <c r="M955" s="229">
        <f t="shared" si="492"/>
        <v>0</v>
      </c>
      <c r="N955" s="6">
        <f t="shared" si="493"/>
        <v>0</v>
      </c>
      <c r="O955" s="13">
        <f t="shared" si="459"/>
        <v>0</v>
      </c>
      <c r="P955" s="12">
        <f t="shared" si="460"/>
        <v>0</v>
      </c>
      <c r="Q955" s="100">
        <f t="shared" si="435"/>
        <v>6.2E-2</v>
      </c>
      <c r="R955" s="100">
        <f t="shared" si="436"/>
        <v>6.21</v>
      </c>
      <c r="S955" s="100">
        <f t="shared" si="437"/>
        <v>4.1000000000000002E-2</v>
      </c>
      <c r="T955" s="100">
        <f t="shared" si="438"/>
        <v>4.0999999999999996</v>
      </c>
      <c r="U955" s="100">
        <f t="shared" si="494"/>
        <v>10</v>
      </c>
      <c r="V955" s="100">
        <f t="shared" si="439"/>
        <v>6500</v>
      </c>
      <c r="W955" s="100">
        <f t="shared" si="440"/>
        <v>610</v>
      </c>
      <c r="X955" s="100">
        <f t="shared" si="441"/>
        <v>6155</v>
      </c>
      <c r="Y955" s="12">
        <f>'day1'!Y737</f>
        <v>611</v>
      </c>
      <c r="Z955" s="100">
        <f t="shared" si="442"/>
        <v>615</v>
      </c>
      <c r="AA955" s="100">
        <f t="shared" si="475"/>
        <v>0.5</v>
      </c>
      <c r="AB955" s="100">
        <f t="shared" si="475"/>
        <v>0.5</v>
      </c>
      <c r="AC955" s="100">
        <f t="shared" si="462"/>
        <v>3450</v>
      </c>
      <c r="AD955" s="100">
        <f t="shared" si="495"/>
        <v>0</v>
      </c>
      <c r="AE955" s="12">
        <f t="shared" si="445"/>
        <v>0</v>
      </c>
      <c r="AF955" s="12">
        <f t="shared" si="463"/>
        <v>0</v>
      </c>
      <c r="AG955" s="12">
        <f t="shared" si="473"/>
        <v>0</v>
      </c>
      <c r="AH955" s="12">
        <f t="shared" si="474"/>
        <v>0</v>
      </c>
      <c r="AI955" s="100">
        <f t="shared" si="446"/>
        <v>6100</v>
      </c>
      <c r="AJ955" s="12">
        <v>1</v>
      </c>
      <c r="AK955" s="100">
        <f t="shared" si="496"/>
        <v>1</v>
      </c>
      <c r="AL955" s="100">
        <f t="shared" si="466"/>
        <v>0</v>
      </c>
      <c r="AM955" s="100">
        <f t="shared" si="448"/>
        <v>0</v>
      </c>
      <c r="AN955" s="100">
        <f t="shared" si="449"/>
        <v>0</v>
      </c>
      <c r="AO955" s="100">
        <f t="shared" si="450"/>
        <v>0</v>
      </c>
      <c r="AP955" s="100">
        <f t="shared" si="497"/>
        <v>0</v>
      </c>
      <c r="AQ955" s="221" t="str">
        <f t="shared" si="498"/>
        <v>SR807</v>
      </c>
      <c r="AR955" s="3" t="str">
        <f t="shared" si="467"/>
        <v>SR80711</v>
      </c>
      <c r="AS955" s="13" t="str">
        <f t="shared" si="468"/>
        <v>9999</v>
      </c>
      <c r="AT955" s="13" t="str">
        <f t="shared" si="469"/>
        <v>CNY</v>
      </c>
      <c r="AU955" s="13" t="str">
        <f t="shared" si="470"/>
        <v>50010001</v>
      </c>
      <c r="AV955" s="142">
        <f>'day1'!M737+'day1'!N737</f>
        <v>0</v>
      </c>
      <c r="AW955" s="6">
        <f t="shared" si="499"/>
        <v>1</v>
      </c>
      <c r="AX955" s="6" t="str">
        <f t="shared" si="500"/>
        <v>SR807</v>
      </c>
      <c r="AY955" s="6">
        <f t="shared" si="471"/>
        <v>0</v>
      </c>
      <c r="AZ955" s="6">
        <f t="shared" si="472"/>
        <v>20180327</v>
      </c>
    </row>
    <row r="956" spans="1:52" s="6" customFormat="1" x14ac:dyDescent="0.25">
      <c r="A956" s="6" t="str">
        <f t="shared" si="455"/>
        <v>comment</v>
      </c>
      <c r="B956" s="140" t="str">
        <f>'day1'!B738</f>
        <v>2018032610000092</v>
      </c>
      <c r="C956" s="140" t="str">
        <f>'day1'!C738</f>
        <v>6001</v>
      </c>
      <c r="D956" s="140" t="str">
        <f>'day1'!D738</f>
        <v>B00101</v>
      </c>
      <c r="E956" s="140" t="str">
        <f>'day1'!E738</f>
        <v>6001</v>
      </c>
      <c r="F956" s="6">
        <f t="shared" si="456"/>
        <v>20180327</v>
      </c>
      <c r="G956" s="6">
        <f>'day1'!G738</f>
        <v>20180326</v>
      </c>
      <c r="H956" s="6" t="str">
        <f t="shared" si="457"/>
        <v>CZCE</v>
      </c>
      <c r="I956" s="6" t="str">
        <f>'day1'!I738</f>
        <v>SR807C6500</v>
      </c>
      <c r="J956" s="6">
        <f>'day1'!J738</f>
        <v>1</v>
      </c>
      <c r="K956" s="6">
        <f t="shared" si="458"/>
        <v>3</v>
      </c>
      <c r="L956" s="6">
        <f>'day1'!L738</f>
        <v>1</v>
      </c>
      <c r="M956" s="229">
        <f t="shared" si="492"/>
        <v>0</v>
      </c>
      <c r="N956" s="6">
        <f t="shared" si="493"/>
        <v>0</v>
      </c>
      <c r="O956" s="6">
        <f t="shared" si="459"/>
        <v>0</v>
      </c>
      <c r="P956" s="12">
        <f t="shared" si="460"/>
        <v>0</v>
      </c>
      <c r="Q956" s="12">
        <f t="shared" si="435"/>
        <v>6.2E-2</v>
      </c>
      <c r="R956" s="12">
        <f t="shared" si="436"/>
        <v>6.21</v>
      </c>
      <c r="S956" s="12">
        <f t="shared" si="437"/>
        <v>4.1000000000000002E-2</v>
      </c>
      <c r="T956" s="12">
        <f t="shared" si="438"/>
        <v>4.0999999999999996</v>
      </c>
      <c r="U956" s="12">
        <f t="shared" si="494"/>
        <v>10</v>
      </c>
      <c r="V956" s="12">
        <f t="shared" si="439"/>
        <v>6500</v>
      </c>
      <c r="W956" s="12">
        <f t="shared" si="440"/>
        <v>610</v>
      </c>
      <c r="X956" s="12">
        <f t="shared" si="441"/>
        <v>6155</v>
      </c>
      <c r="Y956" s="12">
        <f>'day1'!Y738</f>
        <v>612</v>
      </c>
      <c r="Z956" s="12">
        <f t="shared" si="442"/>
        <v>615</v>
      </c>
      <c r="AA956" s="12">
        <f t="shared" si="475"/>
        <v>0.5</v>
      </c>
      <c r="AB956" s="12">
        <f t="shared" si="475"/>
        <v>0.5</v>
      </c>
      <c r="AC956" s="12">
        <f t="shared" si="462"/>
        <v>3450</v>
      </c>
      <c r="AD956" s="12">
        <f t="shared" si="495"/>
        <v>0</v>
      </c>
      <c r="AE956" s="12">
        <f t="shared" si="445"/>
        <v>0</v>
      </c>
      <c r="AF956" s="12">
        <f t="shared" si="463"/>
        <v>0</v>
      </c>
      <c r="AG956" s="12">
        <f t="shared" si="473"/>
        <v>0</v>
      </c>
      <c r="AH956" s="12">
        <f t="shared" si="474"/>
        <v>0</v>
      </c>
      <c r="AI956" s="12">
        <f t="shared" si="446"/>
        <v>6100</v>
      </c>
      <c r="AJ956" s="12">
        <v>1</v>
      </c>
      <c r="AK956" s="12">
        <f t="shared" si="496"/>
        <v>1</v>
      </c>
      <c r="AL956" s="12">
        <f t="shared" si="466"/>
        <v>0</v>
      </c>
      <c r="AM956" s="12">
        <f t="shared" si="448"/>
        <v>0</v>
      </c>
      <c r="AN956" s="12">
        <f t="shared" si="449"/>
        <v>0</v>
      </c>
      <c r="AO956" s="12">
        <f t="shared" si="450"/>
        <v>0</v>
      </c>
      <c r="AP956" s="12">
        <f t="shared" si="497"/>
        <v>0</v>
      </c>
      <c r="AQ956" s="3" t="str">
        <f t="shared" si="498"/>
        <v>SR807</v>
      </c>
      <c r="AR956" s="3" t="str">
        <f t="shared" si="467"/>
        <v>SR80711</v>
      </c>
      <c r="AS956" s="6" t="str">
        <f t="shared" si="468"/>
        <v>9999</v>
      </c>
      <c r="AT956" s="6" t="str">
        <f t="shared" si="469"/>
        <v>CNY</v>
      </c>
      <c r="AU956" s="6" t="str">
        <f t="shared" si="470"/>
        <v>50010001</v>
      </c>
      <c r="AV956" s="142">
        <f>'day1'!M738+'day1'!N738</f>
        <v>7</v>
      </c>
      <c r="AW956" s="6">
        <f t="shared" si="499"/>
        <v>1</v>
      </c>
      <c r="AX956" s="6" t="str">
        <f t="shared" si="500"/>
        <v>SR807</v>
      </c>
      <c r="AY956" s="6">
        <f t="shared" si="471"/>
        <v>0</v>
      </c>
      <c r="AZ956" s="6">
        <f t="shared" si="472"/>
        <v>20180327</v>
      </c>
    </row>
    <row r="957" spans="1:52" s="6" customFormat="1" x14ac:dyDescent="0.25">
      <c r="A957" s="6" t="str">
        <f t="shared" si="455"/>
        <v>comment</v>
      </c>
      <c r="B957" s="140" t="str">
        <f>'day1'!B739</f>
        <v>2018032610000096</v>
      </c>
      <c r="C957" s="140" t="str">
        <f>'day1'!C739</f>
        <v>6001</v>
      </c>
      <c r="D957" s="140" t="str">
        <f>'day1'!D739</f>
        <v>B00101</v>
      </c>
      <c r="E957" s="140" t="str">
        <f>'day1'!E739</f>
        <v>6001</v>
      </c>
      <c r="F957" s="6">
        <f t="shared" si="456"/>
        <v>20180327</v>
      </c>
      <c r="G957" s="6">
        <f>'day1'!G739</f>
        <v>20180326</v>
      </c>
      <c r="H957" s="6" t="str">
        <f t="shared" si="457"/>
        <v>CZCE</v>
      </c>
      <c r="I957" s="6" t="str">
        <f>'day1'!I739</f>
        <v>SR807P6500</v>
      </c>
      <c r="J957" s="6">
        <f>'day1'!J739</f>
        <v>0</v>
      </c>
      <c r="K957" s="6">
        <f t="shared" si="458"/>
        <v>2</v>
      </c>
      <c r="L957" s="6">
        <f>'day1'!L739</f>
        <v>1</v>
      </c>
      <c r="M957" s="229">
        <f t="shared" si="492"/>
        <v>0</v>
      </c>
      <c r="N957" s="6">
        <f t="shared" si="493"/>
        <v>0</v>
      </c>
      <c r="O957" s="6">
        <f t="shared" si="459"/>
        <v>0</v>
      </c>
      <c r="P957" s="12">
        <f t="shared" si="460"/>
        <v>0</v>
      </c>
      <c r="Q957" s="12">
        <f t="shared" ref="Q957:Q964" si="501">IF(AK957=0, VLOOKUP(AR957,$F$53:$L$72,4,FALSE),VLOOKUP(AR957,$F$53:$L$72,4,FALSE)+VLOOKUP(AR957,$F$53:$L$72,6,FALSE) )</f>
        <v>6.0000000000000005E-2</v>
      </c>
      <c r="R957" s="12">
        <f t="shared" ref="R957:R964" si="502">IF(AK957=0, VLOOKUP(AR957,$F$53:$L$72,5,FALSE),VLOOKUP(AR957,$F$53:$L$72,5,FALSE)+VLOOKUP(AR957,$F$53:$L$72,7,FALSE) )</f>
        <v>6</v>
      </c>
      <c r="S957" s="12">
        <f t="shared" ref="S957:S963" si="503">VLOOKUP(AR957,$F$53:$L$72,2,FALSE)</f>
        <v>0.04</v>
      </c>
      <c r="T957" s="12">
        <f t="shared" ref="T957:T963" si="504">VLOOKUP(AR957,$F$53:$L$72,3,FALSE)</f>
        <v>4</v>
      </c>
      <c r="U957" s="12">
        <f t="shared" si="494"/>
        <v>10</v>
      </c>
      <c r="V957" s="12">
        <f t="shared" si="439"/>
        <v>6500</v>
      </c>
      <c r="W957" s="12">
        <f t="shared" si="440"/>
        <v>615</v>
      </c>
      <c r="X957" s="12">
        <f t="shared" si="441"/>
        <v>6155</v>
      </c>
      <c r="Y957" s="12">
        <f>'day1'!Y739</f>
        <v>616</v>
      </c>
      <c r="Z957" s="12">
        <f t="shared" si="442"/>
        <v>620</v>
      </c>
      <c r="AA957" s="12">
        <f t="shared" si="475"/>
        <v>0.5</v>
      </c>
      <c r="AB957" s="12">
        <f t="shared" si="475"/>
        <v>0.5</v>
      </c>
      <c r="AC957" s="12">
        <f t="shared" ref="AC957:AC963" si="505">IF(AD957=0,MAX((V957-X957)*U957,0),MAX((X957-V957)*U957,0))</f>
        <v>0</v>
      </c>
      <c r="AD957" s="12">
        <f t="shared" si="495"/>
        <v>1</v>
      </c>
      <c r="AE957" s="12">
        <f t="shared" si="445"/>
        <v>0</v>
      </c>
      <c r="AF957" s="12">
        <f t="shared" si="463"/>
        <v>0</v>
      </c>
      <c r="AG957" s="12">
        <f t="shared" si="473"/>
        <v>0</v>
      </c>
      <c r="AH957" s="12">
        <f t="shared" si="474"/>
        <v>0</v>
      </c>
      <c r="AI957" s="12">
        <f t="shared" ref="AI957:AI963" si="506">IF(AK957=1,1*U957*W957,0)</f>
        <v>6150</v>
      </c>
      <c r="AJ957" s="12">
        <v>1</v>
      </c>
      <c r="AK957" s="12">
        <f t="shared" si="496"/>
        <v>1</v>
      </c>
      <c r="AL957" s="12">
        <f t="shared" ref="AL957:AL963" si="507">IF(AK957=0,IF(F957=G957,IF(J957=0,(W957-Y957)*U957*M957,-(W957-Y957)*U957*M957),IF(J957=0,(W957-Z957)*U957*M957,-(W957-Z957)*U957*M957)),0)</f>
        <v>0</v>
      </c>
      <c r="AM957" s="12">
        <f t="shared" ref="AM957:AM963" si="508">IF(AK957=0,IF(J957=0,(W957-Y957)*U957*M957,-(W957-Y957)*U957*M957),0)</f>
        <v>0</v>
      </c>
      <c r="AN957" s="12">
        <f t="shared" ref="AN957:AN963" si="509">IF(AK957=0,IF(F957=G957,IF(J957=0,(W957-Y957)*U957*N957,-(W957-Y957)*U957*N957),IF(J957=0,(W957-Z957)*U957*N957,-(W957-Z957)*U957*N957)),0)</f>
        <v>0</v>
      </c>
      <c r="AO957" s="12">
        <f t="shared" ref="AO957:AO963" si="510">IF(AK957=0,IF(J957=0,(W957-Y957)*U957*N957,-(W957-Y957)*U957*N957),0)</f>
        <v>0</v>
      </c>
      <c r="AP957" s="12">
        <f t="shared" si="497"/>
        <v>0</v>
      </c>
      <c r="AQ957" s="3" t="str">
        <f t="shared" si="498"/>
        <v>SR807</v>
      </c>
      <c r="AR957" s="3" t="str">
        <f t="shared" si="467"/>
        <v>SR80710</v>
      </c>
      <c r="AS957" s="6" t="str">
        <f t="shared" si="468"/>
        <v>9999</v>
      </c>
      <c r="AT957" s="6" t="str">
        <f t="shared" si="469"/>
        <v>CNY</v>
      </c>
      <c r="AU957" s="6" t="str">
        <f t="shared" si="470"/>
        <v>50010001</v>
      </c>
      <c r="AV957" s="142">
        <f>'day1'!M739+'day1'!N739</f>
        <v>1</v>
      </c>
      <c r="AW957" s="6">
        <f t="shared" si="499"/>
        <v>1</v>
      </c>
      <c r="AX957" s="6" t="str">
        <f t="shared" si="500"/>
        <v>SR807</v>
      </c>
      <c r="AY957" s="6">
        <f t="shared" si="471"/>
        <v>0</v>
      </c>
      <c r="AZ957" s="6">
        <f t="shared" si="472"/>
        <v>20180327</v>
      </c>
    </row>
    <row r="958" spans="1:52" s="6" customFormat="1" x14ac:dyDescent="0.25">
      <c r="A958" s="6" t="str">
        <f t="shared" si="455"/>
        <v>comment</v>
      </c>
      <c r="B958" s="140" t="str">
        <f>'day1'!B740</f>
        <v>2018032610000097</v>
      </c>
      <c r="C958" s="140" t="str">
        <f>'day1'!C740</f>
        <v>6001</v>
      </c>
      <c r="D958" s="140" t="str">
        <f>'day1'!D740</f>
        <v>B00101</v>
      </c>
      <c r="E958" s="140" t="str">
        <f>'day1'!E740</f>
        <v>6001</v>
      </c>
      <c r="F958" s="6">
        <f t="shared" si="456"/>
        <v>20180327</v>
      </c>
      <c r="G958" s="6">
        <f>'day1'!G740</f>
        <v>20180326</v>
      </c>
      <c r="H958" s="6" t="str">
        <f t="shared" si="457"/>
        <v>CZCE</v>
      </c>
      <c r="I958" s="6" t="str">
        <f>'day1'!I740</f>
        <v>SR807P6500</v>
      </c>
      <c r="J958" s="6">
        <f>'day1'!J740</f>
        <v>1</v>
      </c>
      <c r="K958" s="6">
        <f t="shared" si="458"/>
        <v>3</v>
      </c>
      <c r="L958" s="6">
        <f>'day1'!L740</f>
        <v>1</v>
      </c>
      <c r="M958" s="229">
        <f t="shared" si="492"/>
        <v>0</v>
      </c>
      <c r="N958" s="6">
        <f t="shared" si="493"/>
        <v>0</v>
      </c>
      <c r="O958" s="6">
        <f t="shared" si="459"/>
        <v>0</v>
      </c>
      <c r="P958" s="12">
        <f t="shared" si="460"/>
        <v>0</v>
      </c>
      <c r="Q958" s="12">
        <f t="shared" si="501"/>
        <v>6.0000000000000005E-2</v>
      </c>
      <c r="R958" s="12">
        <f t="shared" si="502"/>
        <v>6</v>
      </c>
      <c r="S958" s="12">
        <f t="shared" si="503"/>
        <v>0.04</v>
      </c>
      <c r="T958" s="12">
        <f t="shared" si="504"/>
        <v>4</v>
      </c>
      <c r="U958" s="12">
        <f t="shared" si="494"/>
        <v>10</v>
      </c>
      <c r="V958" s="12">
        <f t="shared" si="439"/>
        <v>6500</v>
      </c>
      <c r="W958" s="12">
        <f t="shared" si="440"/>
        <v>615</v>
      </c>
      <c r="X958" s="12">
        <f t="shared" si="441"/>
        <v>6155</v>
      </c>
      <c r="Y958" s="12">
        <f>'day1'!Y740</f>
        <v>617</v>
      </c>
      <c r="Z958" s="12">
        <f t="shared" si="442"/>
        <v>620</v>
      </c>
      <c r="AA958" s="12">
        <f t="shared" si="475"/>
        <v>0.5</v>
      </c>
      <c r="AB958" s="12">
        <f t="shared" si="475"/>
        <v>0.5</v>
      </c>
      <c r="AC958" s="12">
        <f t="shared" si="505"/>
        <v>0</v>
      </c>
      <c r="AD958" s="12">
        <f t="shared" si="495"/>
        <v>1</v>
      </c>
      <c r="AE958" s="12">
        <f t="shared" si="445"/>
        <v>0</v>
      </c>
      <c r="AF958" s="12">
        <f t="shared" si="463"/>
        <v>0</v>
      </c>
      <c r="AG958" s="12">
        <f t="shared" si="473"/>
        <v>0</v>
      </c>
      <c r="AH958" s="12">
        <f t="shared" si="474"/>
        <v>0</v>
      </c>
      <c r="AI958" s="12">
        <f t="shared" si="506"/>
        <v>6150</v>
      </c>
      <c r="AJ958" s="12">
        <v>1</v>
      </c>
      <c r="AK958" s="12">
        <f t="shared" si="496"/>
        <v>1</v>
      </c>
      <c r="AL958" s="12">
        <f t="shared" si="507"/>
        <v>0</v>
      </c>
      <c r="AM958" s="12">
        <f t="shared" si="508"/>
        <v>0</v>
      </c>
      <c r="AN958" s="12">
        <f t="shared" si="509"/>
        <v>0</v>
      </c>
      <c r="AO958" s="12">
        <f t="shared" si="510"/>
        <v>0</v>
      </c>
      <c r="AP958" s="12">
        <f t="shared" si="497"/>
        <v>0</v>
      </c>
      <c r="AQ958" s="3" t="str">
        <f t="shared" si="498"/>
        <v>SR807</v>
      </c>
      <c r="AR958" s="3" t="str">
        <f t="shared" si="467"/>
        <v>SR80710</v>
      </c>
      <c r="AS958" s="6" t="str">
        <f t="shared" si="468"/>
        <v>9999</v>
      </c>
      <c r="AT958" s="6" t="str">
        <f t="shared" si="469"/>
        <v>CNY</v>
      </c>
      <c r="AU958" s="6" t="str">
        <f t="shared" si="470"/>
        <v>50010001</v>
      </c>
      <c r="AV958" s="142">
        <f>'day1'!M740+'day1'!N740</f>
        <v>5</v>
      </c>
      <c r="AW958" s="6">
        <f t="shared" si="499"/>
        <v>1</v>
      </c>
      <c r="AX958" s="6" t="str">
        <f t="shared" si="500"/>
        <v>SR807</v>
      </c>
      <c r="AY958" s="6">
        <f t="shared" si="471"/>
        <v>0</v>
      </c>
      <c r="AZ958" s="6">
        <f t="shared" si="472"/>
        <v>20180327</v>
      </c>
    </row>
    <row r="959" spans="1:52" s="6" customFormat="1" x14ac:dyDescent="0.25">
      <c r="A959" s="6" t="str">
        <f t="shared" si="455"/>
        <v>comment</v>
      </c>
      <c r="B959" s="140" t="str">
        <f>'day1'!B741</f>
        <v>2018032610000098</v>
      </c>
      <c r="C959" s="140" t="str">
        <f>'day1'!C741</f>
        <v>6001</v>
      </c>
      <c r="D959" s="140" t="str">
        <f>'day1'!D741</f>
        <v>B00101</v>
      </c>
      <c r="E959" s="140" t="str">
        <f>'day1'!E741</f>
        <v>6001</v>
      </c>
      <c r="F959" s="6">
        <f t="shared" si="456"/>
        <v>20180327</v>
      </c>
      <c r="G959" s="6">
        <f>'day1'!G741</f>
        <v>20180326</v>
      </c>
      <c r="H959" s="6" t="str">
        <f t="shared" si="457"/>
        <v>CZCE</v>
      </c>
      <c r="I959" s="6" t="str">
        <f>'day1'!I741</f>
        <v>SR807P6500</v>
      </c>
      <c r="J959" s="6">
        <f>'day1'!J741</f>
        <v>0</v>
      </c>
      <c r="K959" s="6">
        <f t="shared" si="458"/>
        <v>2</v>
      </c>
      <c r="L959" s="6">
        <f>'day1'!L741</f>
        <v>3</v>
      </c>
      <c r="M959" s="229">
        <f t="shared" si="492"/>
        <v>0</v>
      </c>
      <c r="N959" s="6">
        <f t="shared" si="493"/>
        <v>0</v>
      </c>
      <c r="O959" s="6">
        <f t="shared" si="459"/>
        <v>0</v>
      </c>
      <c r="P959" s="12">
        <f t="shared" si="460"/>
        <v>0</v>
      </c>
      <c r="Q959" s="12">
        <f t="shared" si="501"/>
        <v>6.4000000000000001E-2</v>
      </c>
      <c r="R959" s="12">
        <f t="shared" si="502"/>
        <v>6.32</v>
      </c>
      <c r="S959" s="12">
        <f t="shared" si="503"/>
        <v>4.2000000000000003E-2</v>
      </c>
      <c r="T959" s="12">
        <f t="shared" si="504"/>
        <v>4.2</v>
      </c>
      <c r="U959" s="12">
        <f t="shared" si="494"/>
        <v>10</v>
      </c>
      <c r="V959" s="12">
        <f t="shared" si="439"/>
        <v>6500</v>
      </c>
      <c r="W959" s="12">
        <f t="shared" si="440"/>
        <v>615</v>
      </c>
      <c r="X959" s="12">
        <f t="shared" si="441"/>
        <v>6155</v>
      </c>
      <c r="Y959" s="12">
        <f>'day1'!Y741</f>
        <v>618</v>
      </c>
      <c r="Z959" s="12">
        <f t="shared" si="442"/>
        <v>620</v>
      </c>
      <c r="AA959" s="12">
        <f t="shared" si="475"/>
        <v>0.5</v>
      </c>
      <c r="AB959" s="12">
        <f t="shared" si="475"/>
        <v>0.5</v>
      </c>
      <c r="AC959" s="12">
        <f t="shared" si="505"/>
        <v>0</v>
      </c>
      <c r="AD959" s="12">
        <f t="shared" si="495"/>
        <v>1</v>
      </c>
      <c r="AE959" s="12">
        <f t="shared" si="445"/>
        <v>0</v>
      </c>
      <c r="AF959" s="12">
        <f t="shared" si="463"/>
        <v>0</v>
      </c>
      <c r="AG959" s="12">
        <f t="shared" si="473"/>
        <v>0</v>
      </c>
      <c r="AH959" s="12">
        <f t="shared" si="474"/>
        <v>0</v>
      </c>
      <c r="AI959" s="12">
        <f t="shared" si="506"/>
        <v>6150</v>
      </c>
      <c r="AJ959" s="12">
        <v>1</v>
      </c>
      <c r="AK959" s="12">
        <f t="shared" si="496"/>
        <v>1</v>
      </c>
      <c r="AL959" s="12">
        <f t="shared" si="507"/>
        <v>0</v>
      </c>
      <c r="AM959" s="12">
        <f t="shared" si="508"/>
        <v>0</v>
      </c>
      <c r="AN959" s="12">
        <f t="shared" si="509"/>
        <v>0</v>
      </c>
      <c r="AO959" s="12">
        <f t="shared" si="510"/>
        <v>0</v>
      </c>
      <c r="AP959" s="12">
        <f t="shared" si="497"/>
        <v>0</v>
      </c>
      <c r="AQ959" s="3" t="str">
        <f t="shared" si="498"/>
        <v>SR807</v>
      </c>
      <c r="AR959" s="3" t="str">
        <f t="shared" si="467"/>
        <v>SR80730</v>
      </c>
      <c r="AS959" s="6" t="str">
        <f t="shared" si="468"/>
        <v>9999</v>
      </c>
      <c r="AT959" s="6" t="str">
        <f t="shared" si="469"/>
        <v>CNY</v>
      </c>
      <c r="AU959" s="6" t="str">
        <f t="shared" si="470"/>
        <v>50010001</v>
      </c>
      <c r="AV959" s="142">
        <f>'day1'!M741+'day1'!N741</f>
        <v>2</v>
      </c>
      <c r="AW959" s="6">
        <f t="shared" si="499"/>
        <v>1</v>
      </c>
      <c r="AX959" s="6" t="str">
        <f t="shared" si="500"/>
        <v>SR807</v>
      </c>
      <c r="AY959" s="6">
        <f t="shared" si="471"/>
        <v>0</v>
      </c>
      <c r="AZ959" s="6">
        <f t="shared" si="472"/>
        <v>20180327</v>
      </c>
    </row>
    <row r="960" spans="1:52" s="6" customFormat="1" x14ac:dyDescent="0.25">
      <c r="A960" s="6" t="str">
        <f t="shared" si="455"/>
        <v>comment</v>
      </c>
      <c r="B960" s="140" t="str">
        <f>'day1'!B742</f>
        <v>2018032610000099</v>
      </c>
      <c r="C960" s="140" t="str">
        <f>'day1'!C742</f>
        <v>6001</v>
      </c>
      <c r="D960" s="140" t="str">
        <f>'day1'!D742</f>
        <v>B00101</v>
      </c>
      <c r="E960" s="140" t="str">
        <f>'day1'!E742</f>
        <v>6001</v>
      </c>
      <c r="F960" s="6">
        <f t="shared" si="456"/>
        <v>20180327</v>
      </c>
      <c r="G960" s="6">
        <f>'day1'!G742</f>
        <v>20180326</v>
      </c>
      <c r="H960" s="6" t="str">
        <f t="shared" si="457"/>
        <v>CZCE</v>
      </c>
      <c r="I960" s="6" t="str">
        <f>'day1'!I742</f>
        <v>SR807P6500</v>
      </c>
      <c r="J960" s="6">
        <f>'day1'!J742</f>
        <v>1</v>
      </c>
      <c r="K960" s="6">
        <f t="shared" si="458"/>
        <v>3</v>
      </c>
      <c r="L960" s="6">
        <f>'day1'!L742</f>
        <v>3</v>
      </c>
      <c r="M960" s="229">
        <f t="shared" si="492"/>
        <v>0</v>
      </c>
      <c r="N960" s="6">
        <f t="shared" si="493"/>
        <v>0</v>
      </c>
      <c r="O960" s="6">
        <f t="shared" si="459"/>
        <v>0</v>
      </c>
      <c r="P960" s="12">
        <f t="shared" si="460"/>
        <v>0</v>
      </c>
      <c r="Q960" s="12">
        <f t="shared" si="501"/>
        <v>6.4000000000000001E-2</v>
      </c>
      <c r="R960" s="12">
        <f t="shared" si="502"/>
        <v>6.32</v>
      </c>
      <c r="S960" s="12">
        <f t="shared" si="503"/>
        <v>4.2000000000000003E-2</v>
      </c>
      <c r="T960" s="12">
        <f t="shared" si="504"/>
        <v>4.2</v>
      </c>
      <c r="U960" s="12">
        <f t="shared" si="494"/>
        <v>10</v>
      </c>
      <c r="V960" s="12">
        <f t="shared" si="439"/>
        <v>6500</v>
      </c>
      <c r="W960" s="12">
        <f t="shared" si="440"/>
        <v>615</v>
      </c>
      <c r="X960" s="12">
        <f t="shared" si="441"/>
        <v>6155</v>
      </c>
      <c r="Y960" s="12">
        <f>'day1'!Y742</f>
        <v>619</v>
      </c>
      <c r="Z960" s="12">
        <f t="shared" si="442"/>
        <v>620</v>
      </c>
      <c r="AA960" s="12">
        <f t="shared" si="475"/>
        <v>0.5</v>
      </c>
      <c r="AB960" s="12">
        <f t="shared" si="475"/>
        <v>0.5</v>
      </c>
      <c r="AC960" s="12">
        <f t="shared" si="505"/>
        <v>0</v>
      </c>
      <c r="AD960" s="12">
        <f t="shared" si="495"/>
        <v>1</v>
      </c>
      <c r="AE960" s="12">
        <f t="shared" si="445"/>
        <v>0</v>
      </c>
      <c r="AF960" s="12">
        <f t="shared" si="463"/>
        <v>0</v>
      </c>
      <c r="AG960" s="12">
        <f t="shared" si="473"/>
        <v>0</v>
      </c>
      <c r="AH960" s="12">
        <f t="shared" si="474"/>
        <v>0</v>
      </c>
      <c r="AI960" s="12">
        <f t="shared" si="506"/>
        <v>6150</v>
      </c>
      <c r="AJ960" s="12">
        <v>1</v>
      </c>
      <c r="AK960" s="12">
        <f t="shared" si="496"/>
        <v>1</v>
      </c>
      <c r="AL960" s="12">
        <f t="shared" si="507"/>
        <v>0</v>
      </c>
      <c r="AM960" s="12">
        <f t="shared" si="508"/>
        <v>0</v>
      </c>
      <c r="AN960" s="12">
        <f t="shared" si="509"/>
        <v>0</v>
      </c>
      <c r="AO960" s="12">
        <f t="shared" si="510"/>
        <v>0</v>
      </c>
      <c r="AP960" s="12">
        <f t="shared" si="497"/>
        <v>0</v>
      </c>
      <c r="AQ960" s="3" t="str">
        <f t="shared" si="498"/>
        <v>SR807</v>
      </c>
      <c r="AR960" s="3" t="str">
        <f t="shared" si="467"/>
        <v>SR80730</v>
      </c>
      <c r="AS960" s="6" t="str">
        <f t="shared" si="468"/>
        <v>9999</v>
      </c>
      <c r="AT960" s="6" t="str">
        <f t="shared" si="469"/>
        <v>CNY</v>
      </c>
      <c r="AU960" s="6" t="str">
        <f t="shared" si="470"/>
        <v>50010001</v>
      </c>
      <c r="AV960" s="142">
        <f>'day1'!M742+'day1'!N742</f>
        <v>3</v>
      </c>
      <c r="AW960" s="6">
        <f t="shared" si="499"/>
        <v>1</v>
      </c>
      <c r="AX960" s="6" t="str">
        <f t="shared" si="500"/>
        <v>SR807</v>
      </c>
      <c r="AY960" s="6">
        <f t="shared" si="471"/>
        <v>0</v>
      </c>
      <c r="AZ960" s="6">
        <f t="shared" si="472"/>
        <v>20180327</v>
      </c>
    </row>
    <row r="961" spans="1:52" s="6" customFormat="1" x14ac:dyDescent="0.25">
      <c r="A961" s="6" t="str">
        <f t="shared" si="455"/>
        <v>comment</v>
      </c>
      <c r="B961" s="140" t="str">
        <f>'day1'!B743</f>
        <v>2018032610000100</v>
      </c>
      <c r="C961" s="140" t="str">
        <f>'day1'!C743</f>
        <v>6001</v>
      </c>
      <c r="D961" s="140" t="str">
        <f>'day1'!D743</f>
        <v>B00101</v>
      </c>
      <c r="E961" s="140" t="str">
        <f>'day1'!E743</f>
        <v>6001</v>
      </c>
      <c r="F961" s="6">
        <f t="shared" si="456"/>
        <v>20180327</v>
      </c>
      <c r="G961" s="6">
        <f>'day1'!G743</f>
        <v>20180326</v>
      </c>
      <c r="H961" s="6" t="str">
        <f t="shared" si="457"/>
        <v>CZCE</v>
      </c>
      <c r="I961" s="6" t="str">
        <f>'day1'!I743</f>
        <v>SR807P6400</v>
      </c>
      <c r="J961" s="6">
        <f>'day1'!J743</f>
        <v>0</v>
      </c>
      <c r="K961" s="6">
        <f t="shared" si="458"/>
        <v>2</v>
      </c>
      <c r="L961" s="6">
        <f>'day1'!L743</f>
        <v>1</v>
      </c>
      <c r="M961" s="229">
        <f t="shared" si="492"/>
        <v>0</v>
      </c>
      <c r="N961" s="6">
        <f t="shared" si="493"/>
        <v>0</v>
      </c>
      <c r="O961" s="6">
        <f t="shared" si="459"/>
        <v>0</v>
      </c>
      <c r="P961" s="12">
        <f t="shared" si="460"/>
        <v>0</v>
      </c>
      <c r="Q961" s="12">
        <f t="shared" si="501"/>
        <v>6.0000000000000005E-2</v>
      </c>
      <c r="R961" s="12">
        <f t="shared" si="502"/>
        <v>6</v>
      </c>
      <c r="S961" s="12">
        <f t="shared" si="503"/>
        <v>0.04</v>
      </c>
      <c r="T961" s="12">
        <f t="shared" si="504"/>
        <v>4</v>
      </c>
      <c r="U961" s="12">
        <f t="shared" si="494"/>
        <v>10</v>
      </c>
      <c r="V961" s="12">
        <f t="shared" si="439"/>
        <v>6400</v>
      </c>
      <c r="W961" s="12">
        <f t="shared" si="440"/>
        <v>620</v>
      </c>
      <c r="X961" s="12">
        <f t="shared" si="441"/>
        <v>6155</v>
      </c>
      <c r="Y961" s="12">
        <f>'day1'!Y743</f>
        <v>620</v>
      </c>
      <c r="Z961" s="12">
        <f t="shared" si="442"/>
        <v>625</v>
      </c>
      <c r="AA961" s="12">
        <f t="shared" si="475"/>
        <v>0.5</v>
      </c>
      <c r="AB961" s="12">
        <f t="shared" si="475"/>
        <v>0.5</v>
      </c>
      <c r="AC961" s="12">
        <f t="shared" si="505"/>
        <v>0</v>
      </c>
      <c r="AD961" s="12">
        <f t="shared" si="495"/>
        <v>1</v>
      </c>
      <c r="AE961" s="12">
        <f t="shared" si="445"/>
        <v>0</v>
      </c>
      <c r="AF961" s="12">
        <f t="shared" si="463"/>
        <v>0</v>
      </c>
      <c r="AG961" s="12">
        <f t="shared" si="473"/>
        <v>0</v>
      </c>
      <c r="AH961" s="12">
        <f t="shared" si="474"/>
        <v>0</v>
      </c>
      <c r="AI961" s="12">
        <f t="shared" si="506"/>
        <v>6200</v>
      </c>
      <c r="AJ961" s="12">
        <v>1</v>
      </c>
      <c r="AK961" s="12">
        <f t="shared" si="496"/>
        <v>1</v>
      </c>
      <c r="AL961" s="12">
        <f t="shared" si="507"/>
        <v>0</v>
      </c>
      <c r="AM961" s="12">
        <f t="shared" si="508"/>
        <v>0</v>
      </c>
      <c r="AN961" s="12">
        <f t="shared" si="509"/>
        <v>0</v>
      </c>
      <c r="AO961" s="12">
        <f t="shared" si="510"/>
        <v>0</v>
      </c>
      <c r="AP961" s="12">
        <f t="shared" si="497"/>
        <v>0</v>
      </c>
      <c r="AQ961" s="3" t="str">
        <f t="shared" si="498"/>
        <v>SR807</v>
      </c>
      <c r="AR961" s="3" t="str">
        <f t="shared" si="467"/>
        <v>SR80710</v>
      </c>
      <c r="AS961" s="6" t="str">
        <f t="shared" si="468"/>
        <v>9999</v>
      </c>
      <c r="AT961" s="6" t="str">
        <f t="shared" si="469"/>
        <v>CNY</v>
      </c>
      <c r="AU961" s="6" t="str">
        <f t="shared" si="470"/>
        <v>50010001</v>
      </c>
      <c r="AV961" s="142">
        <f>'day1'!M743+'day1'!N743</f>
        <v>1</v>
      </c>
      <c r="AW961" s="6">
        <f t="shared" si="499"/>
        <v>1</v>
      </c>
      <c r="AX961" s="6" t="str">
        <f t="shared" si="500"/>
        <v>SR807</v>
      </c>
      <c r="AY961" s="6">
        <f t="shared" si="471"/>
        <v>0</v>
      </c>
      <c r="AZ961" s="6">
        <f t="shared" si="472"/>
        <v>20180327</v>
      </c>
    </row>
    <row r="962" spans="1:52" s="6" customFormat="1" x14ac:dyDescent="0.25">
      <c r="A962" s="6" t="str">
        <f t="shared" si="455"/>
        <v>comment</v>
      </c>
      <c r="B962" s="140" t="str">
        <f>'day1'!B744</f>
        <v>2018032610000101</v>
      </c>
      <c r="C962" s="140" t="str">
        <f>'day1'!C744</f>
        <v>6001</v>
      </c>
      <c r="D962" s="140" t="str">
        <f>'day1'!D744</f>
        <v>B00101</v>
      </c>
      <c r="E962" s="140" t="str">
        <f>'day1'!E744</f>
        <v>6001</v>
      </c>
      <c r="F962" s="6">
        <f t="shared" si="456"/>
        <v>20180327</v>
      </c>
      <c r="G962" s="6">
        <f>'day1'!G744</f>
        <v>20180326</v>
      </c>
      <c r="H962" s="6" t="str">
        <f t="shared" si="457"/>
        <v>CZCE</v>
      </c>
      <c r="I962" s="6" t="str">
        <f>'day1'!I744</f>
        <v>SR807P6400</v>
      </c>
      <c r="J962" s="6">
        <f>'day1'!J744</f>
        <v>0</v>
      </c>
      <c r="K962" s="6">
        <f t="shared" si="458"/>
        <v>2</v>
      </c>
      <c r="L962" s="6">
        <f>'day1'!L744</f>
        <v>1</v>
      </c>
      <c r="M962" s="229">
        <f t="shared" si="492"/>
        <v>0</v>
      </c>
      <c r="N962" s="6">
        <f t="shared" si="493"/>
        <v>0</v>
      </c>
      <c r="O962" s="6">
        <f t="shared" si="459"/>
        <v>0</v>
      </c>
      <c r="P962" s="12">
        <f t="shared" si="460"/>
        <v>0</v>
      </c>
      <c r="Q962" s="12">
        <f t="shared" si="501"/>
        <v>6.0000000000000005E-2</v>
      </c>
      <c r="R962" s="12">
        <f t="shared" si="502"/>
        <v>6</v>
      </c>
      <c r="S962" s="12">
        <f t="shared" si="503"/>
        <v>0.04</v>
      </c>
      <c r="T962" s="12">
        <f t="shared" si="504"/>
        <v>4</v>
      </c>
      <c r="U962" s="12">
        <f t="shared" si="494"/>
        <v>10</v>
      </c>
      <c r="V962" s="12">
        <f t="shared" si="439"/>
        <v>6400</v>
      </c>
      <c r="W962" s="12">
        <f t="shared" si="440"/>
        <v>620</v>
      </c>
      <c r="X962" s="12">
        <f t="shared" si="441"/>
        <v>6155</v>
      </c>
      <c r="Y962" s="12">
        <f>'day1'!Y744</f>
        <v>621</v>
      </c>
      <c r="Z962" s="12">
        <f t="shared" si="442"/>
        <v>625</v>
      </c>
      <c r="AA962" s="12">
        <f t="shared" si="475"/>
        <v>0.5</v>
      </c>
      <c r="AB962" s="12">
        <f t="shared" si="475"/>
        <v>0.5</v>
      </c>
      <c r="AC962" s="12">
        <f t="shared" si="505"/>
        <v>0</v>
      </c>
      <c r="AD962" s="12">
        <f t="shared" si="495"/>
        <v>1</v>
      </c>
      <c r="AE962" s="12">
        <f t="shared" si="445"/>
        <v>0</v>
      </c>
      <c r="AF962" s="12">
        <f t="shared" si="463"/>
        <v>0</v>
      </c>
      <c r="AG962" s="12">
        <f t="shared" si="473"/>
        <v>0</v>
      </c>
      <c r="AH962" s="12">
        <f t="shared" si="474"/>
        <v>0</v>
      </c>
      <c r="AI962" s="12">
        <f t="shared" si="506"/>
        <v>6200</v>
      </c>
      <c r="AJ962" s="12">
        <v>1</v>
      </c>
      <c r="AK962" s="12">
        <f t="shared" si="496"/>
        <v>1</v>
      </c>
      <c r="AL962" s="12">
        <f t="shared" si="507"/>
        <v>0</v>
      </c>
      <c r="AM962" s="12">
        <f t="shared" si="508"/>
        <v>0</v>
      </c>
      <c r="AN962" s="12">
        <f t="shared" si="509"/>
        <v>0</v>
      </c>
      <c r="AO962" s="12">
        <f t="shared" si="510"/>
        <v>0</v>
      </c>
      <c r="AP962" s="12">
        <f t="shared" si="497"/>
        <v>0</v>
      </c>
      <c r="AQ962" s="3" t="str">
        <f t="shared" si="498"/>
        <v>SR807</v>
      </c>
      <c r="AR962" s="3" t="str">
        <f t="shared" si="467"/>
        <v>SR80710</v>
      </c>
      <c r="AS962" s="6" t="str">
        <f t="shared" si="468"/>
        <v>9999</v>
      </c>
      <c r="AT962" s="6" t="str">
        <f t="shared" si="469"/>
        <v>CNY</v>
      </c>
      <c r="AU962" s="6" t="str">
        <f t="shared" si="470"/>
        <v>50010001</v>
      </c>
      <c r="AV962" s="142">
        <f>'day1'!M744+'day1'!N744</f>
        <v>1</v>
      </c>
      <c r="AW962" s="6">
        <f t="shared" si="499"/>
        <v>1</v>
      </c>
      <c r="AX962" s="6" t="str">
        <f t="shared" si="500"/>
        <v>SR807</v>
      </c>
      <c r="AY962" s="6">
        <f t="shared" si="471"/>
        <v>0</v>
      </c>
      <c r="AZ962" s="6">
        <f t="shared" si="472"/>
        <v>20180327</v>
      </c>
    </row>
    <row r="963" spans="1:52" s="6" customFormat="1" x14ac:dyDescent="0.25">
      <c r="A963" s="6" t="str">
        <f t="shared" si="455"/>
        <v>comment</v>
      </c>
      <c r="B963" s="140" t="str">
        <f>'day1'!B745</f>
        <v>2018032610000102</v>
      </c>
      <c r="C963" s="140" t="str">
        <f>'day1'!C745</f>
        <v>6001</v>
      </c>
      <c r="D963" s="140" t="str">
        <f>'day1'!D745</f>
        <v>B00101</v>
      </c>
      <c r="E963" s="140" t="str">
        <f>'day1'!E745</f>
        <v>6001</v>
      </c>
      <c r="F963" s="6">
        <f t="shared" si="456"/>
        <v>20180327</v>
      </c>
      <c r="G963" s="6">
        <f>'day1'!G745</f>
        <v>20180326</v>
      </c>
      <c r="H963" s="6" t="str">
        <f t="shared" si="457"/>
        <v>CZCE</v>
      </c>
      <c r="I963" s="6" t="str">
        <f>'day1'!I745</f>
        <v>SR807P6400</v>
      </c>
      <c r="J963" s="6">
        <f>'day1'!J745</f>
        <v>1</v>
      </c>
      <c r="K963" s="6">
        <f t="shared" si="458"/>
        <v>3</v>
      </c>
      <c r="L963" s="6">
        <f>'day1'!L745</f>
        <v>1</v>
      </c>
      <c r="M963" s="229">
        <f t="shared" si="492"/>
        <v>0</v>
      </c>
      <c r="N963" s="6">
        <f t="shared" si="493"/>
        <v>0</v>
      </c>
      <c r="O963" s="6">
        <f t="shared" si="459"/>
        <v>0</v>
      </c>
      <c r="P963" s="12">
        <f t="shared" si="460"/>
        <v>0</v>
      </c>
      <c r="Q963" s="12">
        <f t="shared" si="501"/>
        <v>6.0000000000000005E-2</v>
      </c>
      <c r="R963" s="12">
        <f t="shared" si="502"/>
        <v>6</v>
      </c>
      <c r="S963" s="12">
        <f t="shared" si="503"/>
        <v>0.04</v>
      </c>
      <c r="T963" s="12">
        <f t="shared" si="504"/>
        <v>4</v>
      </c>
      <c r="U963" s="12">
        <f t="shared" si="494"/>
        <v>10</v>
      </c>
      <c r="V963" s="12">
        <f t="shared" si="439"/>
        <v>6400</v>
      </c>
      <c r="W963" s="12">
        <f t="shared" si="440"/>
        <v>620</v>
      </c>
      <c r="X963" s="12">
        <f t="shared" si="441"/>
        <v>6155</v>
      </c>
      <c r="Y963" s="12">
        <f>'day1'!Y745</f>
        <v>622</v>
      </c>
      <c r="Z963" s="12">
        <f t="shared" si="442"/>
        <v>625</v>
      </c>
      <c r="AA963" s="12">
        <f t="shared" si="475"/>
        <v>0.5</v>
      </c>
      <c r="AB963" s="12">
        <f t="shared" si="475"/>
        <v>0.5</v>
      </c>
      <c r="AC963" s="12">
        <f t="shared" si="505"/>
        <v>0</v>
      </c>
      <c r="AD963" s="12">
        <f t="shared" si="495"/>
        <v>1</v>
      </c>
      <c r="AE963" s="12">
        <f t="shared" si="445"/>
        <v>0</v>
      </c>
      <c r="AF963" s="12">
        <f t="shared" si="463"/>
        <v>0</v>
      </c>
      <c r="AG963" s="12">
        <f t="shared" si="473"/>
        <v>0</v>
      </c>
      <c r="AH963" s="12">
        <f t="shared" si="474"/>
        <v>0</v>
      </c>
      <c r="AI963" s="12">
        <f t="shared" si="506"/>
        <v>6200</v>
      </c>
      <c r="AJ963" s="12">
        <v>1</v>
      </c>
      <c r="AK963" s="12">
        <f t="shared" si="496"/>
        <v>1</v>
      </c>
      <c r="AL963" s="12">
        <f t="shared" si="507"/>
        <v>0</v>
      </c>
      <c r="AM963" s="12">
        <f t="shared" si="508"/>
        <v>0</v>
      </c>
      <c r="AN963" s="12">
        <f t="shared" si="509"/>
        <v>0</v>
      </c>
      <c r="AO963" s="12">
        <f t="shared" si="510"/>
        <v>0</v>
      </c>
      <c r="AP963" s="12">
        <f t="shared" si="497"/>
        <v>0</v>
      </c>
      <c r="AQ963" s="3" t="str">
        <f t="shared" si="498"/>
        <v>SR807</v>
      </c>
      <c r="AR963" s="3" t="str">
        <f t="shared" si="467"/>
        <v>SR80710</v>
      </c>
      <c r="AS963" s="6" t="str">
        <f t="shared" si="468"/>
        <v>9999</v>
      </c>
      <c r="AT963" s="6" t="str">
        <f t="shared" si="469"/>
        <v>CNY</v>
      </c>
      <c r="AU963" s="6" t="str">
        <f t="shared" si="470"/>
        <v>50010001</v>
      </c>
      <c r="AV963" s="229">
        <f>'day1'!M745+'day1'!N745</f>
        <v>1</v>
      </c>
      <c r="AW963" s="6">
        <f t="shared" si="499"/>
        <v>1</v>
      </c>
      <c r="AX963" s="6" t="str">
        <f t="shared" si="500"/>
        <v>SR807</v>
      </c>
      <c r="AY963" s="6">
        <f t="shared" si="471"/>
        <v>0</v>
      </c>
      <c r="AZ963" s="6">
        <f t="shared" si="472"/>
        <v>20180327</v>
      </c>
    </row>
    <row r="964" spans="1:52" s="388" customFormat="1" x14ac:dyDescent="0.25">
      <c r="B964" s="393" t="str">
        <f>'day1'!B746</f>
        <v>2018032610000150</v>
      </c>
      <c r="C964" s="393" t="str">
        <f>'day1'!C746</f>
        <v>6001</v>
      </c>
      <c r="D964" s="393" t="str">
        <f>'day1'!D746</f>
        <v>B00101</v>
      </c>
      <c r="E964" s="393" t="str">
        <f>'day1'!E746</f>
        <v>6001</v>
      </c>
      <c r="F964" s="388">
        <f t="shared" si="456"/>
        <v>20180327</v>
      </c>
      <c r="G964" s="388">
        <f>'day1'!G746</f>
        <v>20180326</v>
      </c>
      <c r="H964" s="388" t="str">
        <f t="shared" si="457"/>
        <v>CZCE</v>
      </c>
      <c r="I964" s="388" t="str">
        <f>'day1'!I746</f>
        <v>SR809C6600</v>
      </c>
      <c r="J964" s="388">
        <f>'day1'!J746</f>
        <v>1</v>
      </c>
      <c r="K964" s="388">
        <f t="shared" ref="K964" si="511">IF(J964=0,2,3)</f>
        <v>3</v>
      </c>
      <c r="L964" s="388">
        <f>'day1'!L746</f>
        <v>1</v>
      </c>
      <c r="M964" s="506">
        <f t="shared" si="492"/>
        <v>2</v>
      </c>
      <c r="N964" s="388">
        <f t="shared" ref="N964" si="512">SUMPRODUCT(($E$876:$E$915=B964)*($F$876:$F$915=C964)*($G$876:$G$915=D964)*($I$876:$I$915=I964)*($J$876:$J$915=L964)*($L$876:$L$915=J964)*($N$876:$N$915))</f>
        <v>0</v>
      </c>
      <c r="O964" s="388">
        <f t="shared" ref="O964" si="513">IF(AK964=0,0,M964*U964*W964)</f>
        <v>12800</v>
      </c>
      <c r="P964" s="223">
        <f>IF(AK964=0,0,(M964+N964)*U964*W964)</f>
        <v>12800</v>
      </c>
      <c r="Q964" s="12">
        <f t="shared" si="501"/>
        <v>6.2E-2</v>
      </c>
      <c r="R964" s="12">
        <f t="shared" si="502"/>
        <v>6.21</v>
      </c>
      <c r="S964" s="223">
        <f t="shared" ref="S964" si="514">VLOOKUP(AR964,$F$53:$L$72,2,FALSE)</f>
        <v>4.1000000000000002E-2</v>
      </c>
      <c r="T964" s="223">
        <f t="shared" ref="T964" si="515">VLOOKUP(AR964,$F$53:$L$72,3,FALSE)</f>
        <v>4.0999999999999996</v>
      </c>
      <c r="U964" s="223">
        <f t="shared" ref="U964" si="516" xml:space="preserve"> VLOOKUP(I964,$C$19:$L$31,3,FALSE)</f>
        <v>10</v>
      </c>
      <c r="V964" s="223">
        <f t="shared" ref="V964" si="517" xml:space="preserve"> VLOOKUP(I964,$C$230:$F$242,4,FALSE)</f>
        <v>6600</v>
      </c>
      <c r="W964" s="223">
        <f t="shared" ref="W964" si="518" xml:space="preserve"> VLOOKUP(I964,$C$230:$F$242,3,FALSE)</f>
        <v>640</v>
      </c>
      <c r="X964" s="223">
        <f t="shared" ref="X964" si="519" xml:space="preserve"> VLOOKUP(I964,$C$230:$G$242,5,FALSE)</f>
        <v>6156</v>
      </c>
      <c r="Y964" s="223">
        <f>'day1'!Y746</f>
        <v>630</v>
      </c>
      <c r="Z964" s="223">
        <f t="shared" ref="Z964" si="520" xml:space="preserve"> VLOOKUP(I964,$C$230:$F$242,2,FALSE)</f>
        <v>645</v>
      </c>
      <c r="AA964" s="223">
        <f t="shared" si="475"/>
        <v>0.5</v>
      </c>
      <c r="AB964" s="223">
        <f t="shared" si="475"/>
        <v>0.5</v>
      </c>
      <c r="AC964" s="223">
        <f>IF(AD964=0,MAX((V964-X964)*U964,0),MAX((X964-V964)*U964,0))</f>
        <v>4440</v>
      </c>
      <c r="AD964" s="223">
        <f xml:space="preserve"> VLOOKUP(I964,$C$19:$L$31,6,FALSE)</f>
        <v>0</v>
      </c>
      <c r="AE964" s="12">
        <f>IF(AND(F964=AZ964,AK964&lt;&gt;0),0,ROUND(IF(AK964=0,Q964*U964*W964*M964+R964*M964,IF(J964=0,0,MAX(AI964+(Q964*U964*X964+R964)*AJ964-AC964*AA964,AI964+(Q964*U964*X964+R964)*AB964*AW964)*M964)),2))</f>
        <v>16622.93</v>
      </c>
      <c r="AF964" s="12">
        <f>IF(AND(F964=AZ964,AK964&lt;&gt;0),0,ROUND(IF(AK964=0,S964*U964*W964*M964+T964*M964,IF(J964=0,0,MAX(AI964+(S964*U964*X964+T964)*AJ964-AC964*AA964,AI964+(S964*U964*X964+T964)*AB964*AW964))*M964),2))</f>
        <v>15328.06</v>
      </c>
      <c r="AG964" s="223">
        <f t="shared" ref="AG964" si="521">ROUND(IF(AK964=0,Q964*U964*W964*N964+R964*N964,IF(J964=0,0,MAX(AI964+(Q964*U964*X964+R964)*AJ964-AC964*AA964,AI964+(Q964*U964*X964+R964)*AB964*AW964)*N964)),2)</f>
        <v>0</v>
      </c>
      <c r="AH964" s="223">
        <f t="shared" ref="AH964" si="522">ROUND(IF(AK964=0,S964*U964*W964*N964+T964*N964,IF(J964=0,0,MAX(AI964+(S964*U964*X964+T964)*AJ964-AC964*AA964,AI964+(S964*U964*X964+T964)*AB964*AW964)*N964)),2)</f>
        <v>0</v>
      </c>
      <c r="AI964" s="223">
        <f>IF(AK964=1,1*U964*W964,0)</f>
        <v>6400</v>
      </c>
      <c r="AJ964" s="223">
        <v>1</v>
      </c>
      <c r="AK964" s="223">
        <f t="shared" ref="AK964" si="523" xml:space="preserve"> VLOOKUP(I964,$C$19:$L$31,10,FALSE)</f>
        <v>1</v>
      </c>
      <c r="AL964" s="223">
        <f t="shared" ref="AL964" si="524">IF(AK964=0,IF(F964=G964,IF(J964=0,(W964-Y964)*U964*M964,-(W964-Y964)*U964*M964),IF(J964=0,(W964-Z964)*U964*M964,-(W964-Z964)*U964*M964)),0)</f>
        <v>0</v>
      </c>
      <c r="AM964" s="223">
        <f t="shared" ref="AM964" si="525">IF(AK964=0,IF(J964=0,(W964-Y964)*U964*M964,-(W964-Y964)*U964*M964),0)</f>
        <v>0</v>
      </c>
      <c r="AN964" s="223">
        <f t="shared" ref="AN964" si="526">IF(AK964=0,IF(F964=G964,IF(J964=0,(W964-Y964)*U964*N964,-(W964-Y964)*U964*N964),IF(J964=0,(W964-Z964)*U964*N964,-(W964-Z964)*U964*N964)),0)</f>
        <v>0</v>
      </c>
      <c r="AO964" s="223">
        <f t="shared" ref="AO964" si="527">IF(AK964=0,IF(J964=0,(W964-Y964)*U964*N964,-(W964-Y964)*U964*N964),0)</f>
        <v>0</v>
      </c>
      <c r="AP964" s="223">
        <f t="shared" ref="AP964" si="528" xml:space="preserve"> VLOOKUP(I964,$C$19:$L$31,9,FALSE)</f>
        <v>0</v>
      </c>
      <c r="AQ964" s="391" t="str">
        <f t="shared" ref="AQ964" si="529" xml:space="preserve"> VLOOKUP(I964,$C$19:$L$31,7,FALSE)</f>
        <v>SR809</v>
      </c>
      <c r="AR964" s="3" t="str">
        <f t="shared" si="467"/>
        <v>SR80911</v>
      </c>
      <c r="AS964" s="388" t="str">
        <f t="shared" si="468"/>
        <v>9999</v>
      </c>
      <c r="AT964" s="388" t="str">
        <f t="shared" si="469"/>
        <v>CNY</v>
      </c>
      <c r="AU964" s="388" t="str">
        <f t="shared" ref="AU964" si="530">VLOOKUP(D964,$C$5:$G$6,5,FALSE)</f>
        <v>50010001</v>
      </c>
      <c r="AV964" s="506">
        <f>'day1'!M746+'day1'!N746</f>
        <v>4</v>
      </c>
      <c r="AW964" s="388">
        <f t="shared" ref="AW964" si="531">VLOOKUP(I964,$C$19:$M$31,11,FALSE)</f>
        <v>1</v>
      </c>
      <c r="AX964" s="388" t="str">
        <f t="shared" ref="AX964" si="532">VLOOKUP(I964,$C$19:$M$31,7,FALSE)</f>
        <v>SR809</v>
      </c>
      <c r="AY964" s="388">
        <f t="shared" ref="AY964" si="533">(M964+N964)*U964*Y964</f>
        <v>12600</v>
      </c>
      <c r="AZ964" s="6">
        <f t="shared" si="472"/>
        <v>20180332</v>
      </c>
    </row>
    <row r="965" spans="1:52" s="6" customFormat="1" x14ac:dyDescent="0.25">
      <c r="A965" s="6" t="str">
        <f t="shared" ref="A965:A972" si="534">IF( AND(M965=0,N965=0),"comment","")</f>
        <v>comment</v>
      </c>
      <c r="B965" s="140" t="str">
        <f>'day1'!B747</f>
        <v>2018032610000103</v>
      </c>
      <c r="C965" s="140" t="str">
        <f>'day1'!C747</f>
        <v>6001</v>
      </c>
      <c r="D965" s="140" t="str">
        <f>'day1'!D747</f>
        <v>B00102</v>
      </c>
      <c r="E965" s="140" t="str">
        <f>'day1'!E747</f>
        <v>6001</v>
      </c>
      <c r="F965" s="6">
        <f t="shared" si="456"/>
        <v>20180327</v>
      </c>
      <c r="G965" s="6">
        <f>'day1'!G747</f>
        <v>20180326</v>
      </c>
      <c r="H965" s="6" t="str">
        <f t="shared" si="457"/>
        <v>CZCE</v>
      </c>
      <c r="I965" s="6" t="str">
        <f>'day1'!I747</f>
        <v>PTA807C6500</v>
      </c>
      <c r="J965" s="6">
        <f>'day1'!J747</f>
        <v>0</v>
      </c>
      <c r="K965" s="6">
        <f t="shared" ref="K965:K972" si="535">IF(J965=0,2,3)</f>
        <v>2</v>
      </c>
      <c r="L965" s="6">
        <f>'day1'!L747</f>
        <v>1</v>
      </c>
      <c r="M965" s="229">
        <f t="shared" si="492"/>
        <v>0</v>
      </c>
      <c r="N965" s="6">
        <f t="shared" si="493"/>
        <v>0</v>
      </c>
      <c r="O965" s="6">
        <f t="shared" si="459"/>
        <v>0</v>
      </c>
      <c r="P965" s="12">
        <f t="shared" ref="P965:P972" si="536">IF(AK965=0,0,(M965+N965)*U965*W965)</f>
        <v>0</v>
      </c>
      <c r="Q965" s="12">
        <f t="shared" ref="Q965:Q972" si="537">IF(AK965=0, VLOOKUP(AR965,$F$53:$L$72,4,FALSE),VLOOKUP(AR965,$F$53:$L$72,4,FALSE)+VLOOKUP(AR965,$F$53:$L$72,6,FALSE) )</f>
        <v>6.2E-2</v>
      </c>
      <c r="R965" s="12">
        <f t="shared" ref="R965:R972" si="538">IF(AK965=0, VLOOKUP(AR965,$F$53:$L$72,5,FALSE),VLOOKUP(AR965,$F$53:$L$72,5,FALSE)+VLOOKUP(AR965,$F$53:$L$72,7,FALSE) )</f>
        <v>6.21</v>
      </c>
      <c r="S965" s="12">
        <f t="shared" ref="S965:S972" si="539">VLOOKUP(AR965,$F$53:$L$72,2,FALSE)</f>
        <v>4.1000000000000002E-2</v>
      </c>
      <c r="T965" s="12">
        <f t="shared" ref="T965:T972" si="540">VLOOKUP(AR965,$F$53:$L$72,3,FALSE)</f>
        <v>4.0999999999999996</v>
      </c>
      <c r="U965" s="12">
        <f t="shared" si="494"/>
        <v>5</v>
      </c>
      <c r="V965" s="12">
        <f t="shared" ref="V965:V976" si="541" xml:space="preserve"> VLOOKUP(I965,$C$230:$F$242,4,FALSE)</f>
        <v>6500</v>
      </c>
      <c r="W965" s="12">
        <f t="shared" ref="W965:W976" si="542" xml:space="preserve"> VLOOKUP(I965,$C$230:$F$242,3,FALSE)</f>
        <v>580</v>
      </c>
      <c r="X965" s="12">
        <f t="shared" ref="X965:X976" si="543" xml:space="preserve"> VLOOKUP(I965,$C$230:$G$242,5,FALSE)</f>
        <v>6160</v>
      </c>
      <c r="Y965" s="12">
        <f>'day1'!Y747</f>
        <v>623</v>
      </c>
      <c r="Z965" s="12">
        <f t="shared" ref="Z965:Z976" si="544" xml:space="preserve"> VLOOKUP(I965,$C$230:$F$242,2,FALSE)</f>
        <v>600</v>
      </c>
      <c r="AA965" s="12">
        <f t="shared" si="475"/>
        <v>0.5</v>
      </c>
      <c r="AB965" s="12">
        <f t="shared" si="475"/>
        <v>0.5</v>
      </c>
      <c r="AC965" s="12">
        <f t="shared" ref="AC965:AC972" si="545">IF(AD965=0,MAX((V965-X965)*U965,0),MAX((X965-V965)*U965,0))</f>
        <v>1700</v>
      </c>
      <c r="AD965" s="12">
        <f t="shared" si="495"/>
        <v>0</v>
      </c>
      <c r="AE965" s="12">
        <f t="shared" ref="AE965:AE998" si="546">IF(AND(F965=AZ965,AK965&lt;&gt;0),0,ROUND(IF(AK965=0,Q965*U965*W965*M965+R965*M965,IF(J965=0,0,MAX(AI965+(Q965*U965*X965+R965)*AJ965-AC965*AA965,AI965+(Q965*U965*X965+R965)*AB965*AW965)*M965)),2))</f>
        <v>0</v>
      </c>
      <c r="AF965" s="12">
        <f t="shared" ref="AF965:AF998" si="547">IF(AND(F965=AZ965,AK965&lt;&gt;0),0,ROUND(IF(AK965=0,S965*U965*W965*M965+T965*M965,IF(J965=0,0,MAX(AI965+(S965*U965*X965+T965)*AJ965-AC965*AA965,AI965+(S965*U965*X965+T965)*AB965*AW965)*M965)),2))</f>
        <v>0</v>
      </c>
      <c r="AG965" s="12">
        <f t="shared" si="473"/>
        <v>0</v>
      </c>
      <c r="AH965" s="12">
        <f t="shared" si="474"/>
        <v>0</v>
      </c>
      <c r="AI965" s="12">
        <f t="shared" ref="AI965:AI972" si="548">IF(AK965=1,1*U965*W965,0)</f>
        <v>2900</v>
      </c>
      <c r="AJ965" s="12">
        <v>1</v>
      </c>
      <c r="AK965" s="12">
        <f t="shared" si="496"/>
        <v>1</v>
      </c>
      <c r="AL965" s="12">
        <f t="shared" ref="AL965:AL972" si="549">IF(AK965=0,IF(F965=G965,IF(J965=0,(W965-Y965)*U965*M965,-(W965-Y965)*U965*M965),IF(J965=0,(W965-Z965)*U965*M965,-(W965-Z965)*U965*M965)),0)</f>
        <v>0</v>
      </c>
      <c r="AM965" s="12">
        <f t="shared" ref="AM965:AM972" si="550">IF(AK965=0,IF(J965=0,(W965-Y965)*U965*M965,-(W965-Y965)*U965*M965),0)</f>
        <v>0</v>
      </c>
      <c r="AN965" s="12">
        <f t="shared" ref="AN965:AN972" si="551">IF(AK965=0,IF(F965=G965,IF(J965=0,(W965-Y965)*U965*N965,-(W965-Y965)*U965*N965),IF(J965=0,(W965-Z965)*U965*N965,-(W965-Z965)*U965*N965)),0)</f>
        <v>0</v>
      </c>
      <c r="AO965" s="12">
        <f t="shared" ref="AO965:AO972" si="552">IF(AK965=0,IF(J965=0,(W965-Y965)*U965*N965,-(W965-Y965)*U965*N965),0)</f>
        <v>0</v>
      </c>
      <c r="AP965" s="12">
        <f t="shared" si="497"/>
        <v>0</v>
      </c>
      <c r="AQ965" s="3" t="str">
        <f t="shared" si="498"/>
        <v>PTA807</v>
      </c>
      <c r="AR965" s="3" t="str">
        <f t="shared" si="467"/>
        <v>PTA80711</v>
      </c>
      <c r="AS965" s="6" t="str">
        <f t="shared" si="468"/>
        <v>9999</v>
      </c>
      <c r="AT965" s="6" t="str">
        <f t="shared" si="469"/>
        <v>CNY</v>
      </c>
      <c r="AU965" s="6" t="str">
        <f t="shared" ref="AU965:AU972" si="553">VLOOKUP(D965,$C$5:$G$6,5,FALSE)</f>
        <v>50010002</v>
      </c>
      <c r="AV965" s="229">
        <f>'day1'!M747+'day1'!N747</f>
        <v>8</v>
      </c>
      <c r="AW965" s="6">
        <f t="shared" si="499"/>
        <v>1</v>
      </c>
      <c r="AX965" s="6" t="str">
        <f t="shared" si="500"/>
        <v>PTA807</v>
      </c>
      <c r="AY965" s="6">
        <f t="shared" si="471"/>
        <v>0</v>
      </c>
      <c r="AZ965" s="6">
        <f t="shared" si="472"/>
        <v>20180328</v>
      </c>
    </row>
    <row r="966" spans="1:52" s="6" customFormat="1" x14ac:dyDescent="0.25">
      <c r="A966" s="6" t="str">
        <f t="shared" si="534"/>
        <v>comment</v>
      </c>
      <c r="B966" s="140" t="str">
        <f>'day1'!B748</f>
        <v>2018032610000104</v>
      </c>
      <c r="C966" s="140" t="str">
        <f>'day1'!C748</f>
        <v>6001</v>
      </c>
      <c r="D966" s="140" t="str">
        <f>'day1'!D748</f>
        <v>B00102</v>
      </c>
      <c r="E966" s="140" t="str">
        <f>'day1'!E748</f>
        <v>6001</v>
      </c>
      <c r="F966" s="6">
        <f t="shared" si="456"/>
        <v>20180327</v>
      </c>
      <c r="G966" s="6">
        <f>'day1'!G748</f>
        <v>20180326</v>
      </c>
      <c r="H966" s="6" t="str">
        <f t="shared" si="457"/>
        <v>CZCE</v>
      </c>
      <c r="I966" s="6" t="str">
        <f>'day1'!I748</f>
        <v>PTA807C6500</v>
      </c>
      <c r="J966" s="6">
        <f>'day1'!J748</f>
        <v>1</v>
      </c>
      <c r="K966" s="6">
        <f t="shared" si="535"/>
        <v>3</v>
      </c>
      <c r="L966" s="6">
        <f>'day1'!L748</f>
        <v>1</v>
      </c>
      <c r="M966" s="229">
        <f t="shared" si="492"/>
        <v>0</v>
      </c>
      <c r="N966" s="6">
        <f t="shared" si="493"/>
        <v>0</v>
      </c>
      <c r="O966" s="6">
        <f t="shared" si="459"/>
        <v>0</v>
      </c>
      <c r="P966" s="12">
        <f t="shared" si="536"/>
        <v>0</v>
      </c>
      <c r="Q966" s="12">
        <f t="shared" si="537"/>
        <v>6.2E-2</v>
      </c>
      <c r="R966" s="12">
        <f t="shared" si="538"/>
        <v>6.21</v>
      </c>
      <c r="S966" s="12">
        <f t="shared" si="539"/>
        <v>4.1000000000000002E-2</v>
      </c>
      <c r="T966" s="12">
        <f t="shared" si="540"/>
        <v>4.0999999999999996</v>
      </c>
      <c r="U966" s="12">
        <f t="shared" si="494"/>
        <v>5</v>
      </c>
      <c r="V966" s="12">
        <f t="shared" si="541"/>
        <v>6500</v>
      </c>
      <c r="W966" s="12">
        <f t="shared" si="542"/>
        <v>580</v>
      </c>
      <c r="X966" s="12">
        <f t="shared" si="543"/>
        <v>6160</v>
      </c>
      <c r="Y966" s="12">
        <f>'day1'!Y748</f>
        <v>624</v>
      </c>
      <c r="Z966" s="12">
        <f t="shared" si="544"/>
        <v>600</v>
      </c>
      <c r="AA966" s="12">
        <f t="shared" si="475"/>
        <v>0.5</v>
      </c>
      <c r="AB966" s="12">
        <f t="shared" si="475"/>
        <v>0.5</v>
      </c>
      <c r="AC966" s="12">
        <f t="shared" si="545"/>
        <v>1700</v>
      </c>
      <c r="AD966" s="12">
        <f t="shared" si="495"/>
        <v>0</v>
      </c>
      <c r="AE966" s="12">
        <f t="shared" si="546"/>
        <v>0</v>
      </c>
      <c r="AF966" s="12">
        <f t="shared" si="547"/>
        <v>0</v>
      </c>
      <c r="AG966" s="12">
        <f t="shared" si="473"/>
        <v>0</v>
      </c>
      <c r="AH966" s="12">
        <f t="shared" si="474"/>
        <v>0</v>
      </c>
      <c r="AI966" s="12">
        <f t="shared" si="548"/>
        <v>2900</v>
      </c>
      <c r="AJ966" s="12">
        <v>1</v>
      </c>
      <c r="AK966" s="12">
        <f t="shared" si="496"/>
        <v>1</v>
      </c>
      <c r="AL966" s="12">
        <f t="shared" si="549"/>
        <v>0</v>
      </c>
      <c r="AM966" s="12">
        <f t="shared" si="550"/>
        <v>0</v>
      </c>
      <c r="AN966" s="12">
        <f t="shared" si="551"/>
        <v>0</v>
      </c>
      <c r="AO966" s="12">
        <f t="shared" si="552"/>
        <v>0</v>
      </c>
      <c r="AP966" s="12">
        <f t="shared" si="497"/>
        <v>0</v>
      </c>
      <c r="AQ966" s="3" t="str">
        <f t="shared" si="498"/>
        <v>PTA807</v>
      </c>
      <c r="AR966" s="3" t="str">
        <f t="shared" si="467"/>
        <v>PTA80711</v>
      </c>
      <c r="AS966" s="6" t="str">
        <f t="shared" si="468"/>
        <v>9999</v>
      </c>
      <c r="AT966" s="6" t="str">
        <f t="shared" si="469"/>
        <v>CNY</v>
      </c>
      <c r="AU966" s="6" t="str">
        <f t="shared" si="553"/>
        <v>50010002</v>
      </c>
      <c r="AV966" s="229">
        <f>'day1'!M748+'day1'!N748</f>
        <v>8</v>
      </c>
      <c r="AW966" s="6">
        <f t="shared" si="499"/>
        <v>1</v>
      </c>
      <c r="AX966" s="6" t="str">
        <f t="shared" si="500"/>
        <v>PTA807</v>
      </c>
      <c r="AY966" s="6">
        <f t="shared" si="471"/>
        <v>0</v>
      </c>
      <c r="AZ966" s="6">
        <f t="shared" si="472"/>
        <v>20180328</v>
      </c>
    </row>
    <row r="967" spans="1:52" s="6" customFormat="1" x14ac:dyDescent="0.25">
      <c r="A967" s="6" t="str">
        <f t="shared" si="534"/>
        <v>comment</v>
      </c>
      <c r="B967" s="140" t="str">
        <f>'day1'!B749</f>
        <v>2018032610000105</v>
      </c>
      <c r="C967" s="140" t="str">
        <f>'day1'!C749</f>
        <v>6001</v>
      </c>
      <c r="D967" s="140" t="str">
        <f>'day1'!D749</f>
        <v>B00102</v>
      </c>
      <c r="E967" s="140" t="str">
        <f>'day1'!E749</f>
        <v>6001</v>
      </c>
      <c r="F967" s="6">
        <f t="shared" si="456"/>
        <v>20180327</v>
      </c>
      <c r="G967" s="6">
        <f>'day1'!G749</f>
        <v>20180326</v>
      </c>
      <c r="H967" s="6" t="str">
        <f t="shared" si="457"/>
        <v>CZCE</v>
      </c>
      <c r="I967" s="6" t="str">
        <f>'day1'!I749</f>
        <v>PTA807C6500</v>
      </c>
      <c r="J967" s="6">
        <f>'day1'!J749</f>
        <v>0</v>
      </c>
      <c r="K967" s="6">
        <f t="shared" si="535"/>
        <v>2</v>
      </c>
      <c r="L967" s="6">
        <f>'day1'!L749</f>
        <v>3</v>
      </c>
      <c r="M967" s="229">
        <f t="shared" si="492"/>
        <v>0</v>
      </c>
      <c r="N967" s="6">
        <f t="shared" si="493"/>
        <v>0</v>
      </c>
      <c r="O967" s="6">
        <f t="shared" si="459"/>
        <v>0</v>
      </c>
      <c r="P967" s="12">
        <f t="shared" si="536"/>
        <v>0</v>
      </c>
      <c r="Q967" s="12">
        <f t="shared" si="537"/>
        <v>6.6000000000000003E-2</v>
      </c>
      <c r="R967" s="12">
        <f t="shared" si="538"/>
        <v>6.43</v>
      </c>
      <c r="S967" s="12">
        <f t="shared" si="539"/>
        <v>4.2999999999999997E-2</v>
      </c>
      <c r="T967" s="12">
        <f t="shared" si="540"/>
        <v>4.3</v>
      </c>
      <c r="U967" s="12">
        <f t="shared" si="494"/>
        <v>5</v>
      </c>
      <c r="V967" s="12">
        <f t="shared" si="541"/>
        <v>6500</v>
      </c>
      <c r="W967" s="12">
        <f t="shared" si="542"/>
        <v>580</v>
      </c>
      <c r="X967" s="12">
        <f t="shared" si="543"/>
        <v>6160</v>
      </c>
      <c r="Y967" s="12">
        <f>'day1'!Y749</f>
        <v>625</v>
      </c>
      <c r="Z967" s="12">
        <f t="shared" si="544"/>
        <v>600</v>
      </c>
      <c r="AA967" s="12">
        <f t="shared" si="475"/>
        <v>0.5</v>
      </c>
      <c r="AB967" s="12">
        <f t="shared" si="475"/>
        <v>0.5</v>
      </c>
      <c r="AC967" s="12">
        <f t="shared" si="545"/>
        <v>1700</v>
      </c>
      <c r="AD967" s="12">
        <f t="shared" si="495"/>
        <v>0</v>
      </c>
      <c r="AE967" s="12">
        <f t="shared" si="546"/>
        <v>0</v>
      </c>
      <c r="AF967" s="12">
        <f t="shared" si="547"/>
        <v>0</v>
      </c>
      <c r="AG967" s="12">
        <f t="shared" si="473"/>
        <v>0</v>
      </c>
      <c r="AH967" s="12">
        <f t="shared" si="474"/>
        <v>0</v>
      </c>
      <c r="AI967" s="12">
        <f t="shared" si="548"/>
        <v>2900</v>
      </c>
      <c r="AJ967" s="12">
        <v>1</v>
      </c>
      <c r="AK967" s="12">
        <f t="shared" si="496"/>
        <v>1</v>
      </c>
      <c r="AL967" s="12">
        <f t="shared" si="549"/>
        <v>0</v>
      </c>
      <c r="AM967" s="12">
        <f t="shared" si="550"/>
        <v>0</v>
      </c>
      <c r="AN967" s="12">
        <f t="shared" si="551"/>
        <v>0</v>
      </c>
      <c r="AO967" s="12">
        <f t="shared" si="552"/>
        <v>0</v>
      </c>
      <c r="AP967" s="12">
        <f t="shared" si="497"/>
        <v>0</v>
      </c>
      <c r="AQ967" s="3" t="str">
        <f t="shared" si="498"/>
        <v>PTA807</v>
      </c>
      <c r="AR967" s="3" t="str">
        <f t="shared" si="467"/>
        <v>PTA80731</v>
      </c>
      <c r="AS967" s="6" t="str">
        <f t="shared" si="468"/>
        <v>9999</v>
      </c>
      <c r="AT967" s="6" t="str">
        <f t="shared" si="469"/>
        <v>CNY</v>
      </c>
      <c r="AU967" s="6" t="str">
        <f t="shared" si="553"/>
        <v>50010002</v>
      </c>
      <c r="AV967" s="229">
        <f>'day1'!M749+'day1'!N749</f>
        <v>5</v>
      </c>
      <c r="AW967" s="6">
        <f t="shared" si="499"/>
        <v>1</v>
      </c>
      <c r="AX967" s="6" t="str">
        <f t="shared" si="500"/>
        <v>PTA807</v>
      </c>
      <c r="AY967" s="6">
        <f t="shared" si="471"/>
        <v>0</v>
      </c>
      <c r="AZ967" s="6">
        <f t="shared" si="472"/>
        <v>20180328</v>
      </c>
    </row>
    <row r="968" spans="1:52" s="6" customFormat="1" x14ac:dyDescent="0.25">
      <c r="A968" s="6" t="str">
        <f t="shared" si="534"/>
        <v>comment</v>
      </c>
      <c r="B968" s="140" t="str">
        <f>'day1'!B750</f>
        <v>2018032610000106</v>
      </c>
      <c r="C968" s="140" t="str">
        <f>'day1'!C750</f>
        <v>6001</v>
      </c>
      <c r="D968" s="140" t="str">
        <f>'day1'!D750</f>
        <v>B00102</v>
      </c>
      <c r="E968" s="140" t="str">
        <f>'day1'!E750</f>
        <v>6001</v>
      </c>
      <c r="F968" s="6">
        <f t="shared" si="456"/>
        <v>20180327</v>
      </c>
      <c r="G968" s="6">
        <f>'day1'!G750</f>
        <v>20180326</v>
      </c>
      <c r="H968" s="6" t="str">
        <f t="shared" si="457"/>
        <v>CZCE</v>
      </c>
      <c r="I968" s="6" t="str">
        <f>'day1'!I750</f>
        <v>PTA807C6500</v>
      </c>
      <c r="J968" s="6">
        <f>'day1'!J750</f>
        <v>1</v>
      </c>
      <c r="K968" s="6">
        <f t="shared" si="535"/>
        <v>3</v>
      </c>
      <c r="L968" s="6">
        <f>'day1'!L750</f>
        <v>3</v>
      </c>
      <c r="M968" s="229">
        <f t="shared" si="492"/>
        <v>0</v>
      </c>
      <c r="N968" s="6">
        <f t="shared" si="493"/>
        <v>0</v>
      </c>
      <c r="O968" s="6">
        <f t="shared" si="459"/>
        <v>0</v>
      </c>
      <c r="P968" s="12">
        <f t="shared" si="536"/>
        <v>0</v>
      </c>
      <c r="Q968" s="12">
        <f t="shared" si="537"/>
        <v>6.6000000000000003E-2</v>
      </c>
      <c r="R968" s="12">
        <f t="shared" si="538"/>
        <v>6.43</v>
      </c>
      <c r="S968" s="12">
        <f t="shared" si="539"/>
        <v>4.2999999999999997E-2</v>
      </c>
      <c r="T968" s="12">
        <f t="shared" si="540"/>
        <v>4.3</v>
      </c>
      <c r="U968" s="12">
        <f t="shared" si="494"/>
        <v>5</v>
      </c>
      <c r="V968" s="12">
        <f t="shared" si="541"/>
        <v>6500</v>
      </c>
      <c r="W968" s="12">
        <f t="shared" si="542"/>
        <v>580</v>
      </c>
      <c r="X968" s="12">
        <f t="shared" si="543"/>
        <v>6160</v>
      </c>
      <c r="Y968" s="12">
        <f>'day1'!Y750</f>
        <v>626</v>
      </c>
      <c r="Z968" s="12">
        <f t="shared" si="544"/>
        <v>600</v>
      </c>
      <c r="AA968" s="12">
        <f t="shared" si="475"/>
        <v>0.5</v>
      </c>
      <c r="AB968" s="12">
        <f t="shared" si="475"/>
        <v>0.5</v>
      </c>
      <c r="AC968" s="12">
        <f t="shared" si="545"/>
        <v>1700</v>
      </c>
      <c r="AD968" s="12">
        <f t="shared" si="495"/>
        <v>0</v>
      </c>
      <c r="AE968" s="12">
        <f t="shared" si="546"/>
        <v>0</v>
      </c>
      <c r="AF968" s="12">
        <f t="shared" si="547"/>
        <v>0</v>
      </c>
      <c r="AG968" s="12">
        <f t="shared" si="473"/>
        <v>0</v>
      </c>
      <c r="AH968" s="12">
        <f t="shared" si="474"/>
        <v>0</v>
      </c>
      <c r="AI968" s="12">
        <f t="shared" si="548"/>
        <v>2900</v>
      </c>
      <c r="AJ968" s="12">
        <v>1</v>
      </c>
      <c r="AK968" s="12">
        <f t="shared" si="496"/>
        <v>1</v>
      </c>
      <c r="AL968" s="12">
        <f t="shared" si="549"/>
        <v>0</v>
      </c>
      <c r="AM968" s="12">
        <f t="shared" si="550"/>
        <v>0</v>
      </c>
      <c r="AN968" s="12">
        <f t="shared" si="551"/>
        <v>0</v>
      </c>
      <c r="AO968" s="12">
        <f t="shared" si="552"/>
        <v>0</v>
      </c>
      <c r="AP968" s="12">
        <f t="shared" si="497"/>
        <v>0</v>
      </c>
      <c r="AQ968" s="3" t="str">
        <f t="shared" si="498"/>
        <v>PTA807</v>
      </c>
      <c r="AR968" s="3" t="str">
        <f t="shared" si="467"/>
        <v>PTA80731</v>
      </c>
      <c r="AS968" s="6" t="str">
        <f t="shared" si="468"/>
        <v>9999</v>
      </c>
      <c r="AT968" s="6" t="str">
        <f t="shared" si="469"/>
        <v>CNY</v>
      </c>
      <c r="AU968" s="6" t="str">
        <f t="shared" si="553"/>
        <v>50010002</v>
      </c>
      <c r="AV968" s="229">
        <f>'day1'!M750+'day1'!N750</f>
        <v>10</v>
      </c>
      <c r="AW968" s="6">
        <f t="shared" si="499"/>
        <v>1</v>
      </c>
      <c r="AX968" s="6" t="str">
        <f t="shared" si="500"/>
        <v>PTA807</v>
      </c>
      <c r="AY968" s="6">
        <f t="shared" si="471"/>
        <v>0</v>
      </c>
      <c r="AZ968" s="6">
        <f t="shared" si="472"/>
        <v>20180328</v>
      </c>
    </row>
    <row r="969" spans="1:52" s="6" customFormat="1" x14ac:dyDescent="0.25">
      <c r="A969" s="6" t="str">
        <f t="shared" si="534"/>
        <v>comment</v>
      </c>
      <c r="B969" s="140" t="str">
        <f>'day1'!B751</f>
        <v>2018032610000109</v>
      </c>
      <c r="C969" s="140" t="str">
        <f>'day1'!C751</f>
        <v>6001</v>
      </c>
      <c r="D969" s="140" t="str">
        <f>'day1'!D751</f>
        <v>B00102</v>
      </c>
      <c r="E969" s="140" t="str">
        <f>'day1'!E751</f>
        <v>6001</v>
      </c>
      <c r="F969" s="6">
        <f t="shared" si="456"/>
        <v>20180327</v>
      </c>
      <c r="G969" s="6">
        <f>'day1'!G751</f>
        <v>20180326</v>
      </c>
      <c r="H969" s="6" t="str">
        <f t="shared" si="457"/>
        <v>CZCE</v>
      </c>
      <c r="I969" s="6" t="str">
        <f>'day1'!I751</f>
        <v>PTA807P6200</v>
      </c>
      <c r="J969" s="6">
        <f>'day1'!J751</f>
        <v>0</v>
      </c>
      <c r="K969" s="6">
        <f t="shared" si="535"/>
        <v>2</v>
      </c>
      <c r="L969" s="6">
        <f>'day1'!L751</f>
        <v>1</v>
      </c>
      <c r="M969" s="229">
        <f t="shared" si="492"/>
        <v>0</v>
      </c>
      <c r="N969" s="6">
        <f t="shared" si="493"/>
        <v>0</v>
      </c>
      <c r="O969" s="6">
        <f t="shared" si="459"/>
        <v>0</v>
      </c>
      <c r="P969" s="12">
        <f t="shared" si="536"/>
        <v>0</v>
      </c>
      <c r="Q969" s="12">
        <f t="shared" si="537"/>
        <v>6.0000000000000005E-2</v>
      </c>
      <c r="R969" s="12">
        <f t="shared" si="538"/>
        <v>6</v>
      </c>
      <c r="S969" s="12">
        <f t="shared" si="539"/>
        <v>0.04</v>
      </c>
      <c r="T969" s="12">
        <f t="shared" si="540"/>
        <v>4</v>
      </c>
      <c r="U969" s="12">
        <f t="shared" si="494"/>
        <v>5</v>
      </c>
      <c r="V969" s="12">
        <f t="shared" si="541"/>
        <v>6200</v>
      </c>
      <c r="W969" s="12">
        <f t="shared" si="542"/>
        <v>600</v>
      </c>
      <c r="X969" s="12">
        <f t="shared" si="543"/>
        <v>6160</v>
      </c>
      <c r="Y969" s="12">
        <f>'day1'!Y751</f>
        <v>629</v>
      </c>
      <c r="Z969" s="12">
        <f t="shared" si="544"/>
        <v>605</v>
      </c>
      <c r="AA969" s="12">
        <f t="shared" si="475"/>
        <v>0.5</v>
      </c>
      <c r="AB969" s="12">
        <f t="shared" si="475"/>
        <v>0.5</v>
      </c>
      <c r="AC969" s="12">
        <f t="shared" si="545"/>
        <v>0</v>
      </c>
      <c r="AD969" s="12">
        <f t="shared" si="495"/>
        <v>1</v>
      </c>
      <c r="AE969" s="12">
        <f t="shared" si="546"/>
        <v>0</v>
      </c>
      <c r="AF969" s="12">
        <f t="shared" si="547"/>
        <v>0</v>
      </c>
      <c r="AG969" s="12">
        <f t="shared" si="473"/>
        <v>0</v>
      </c>
      <c r="AH969" s="12">
        <f t="shared" si="474"/>
        <v>0</v>
      </c>
      <c r="AI969" s="12">
        <f t="shared" si="548"/>
        <v>3000</v>
      </c>
      <c r="AJ969" s="12">
        <v>1</v>
      </c>
      <c r="AK969" s="12">
        <f t="shared" si="496"/>
        <v>1</v>
      </c>
      <c r="AL969" s="12">
        <f t="shared" si="549"/>
        <v>0</v>
      </c>
      <c r="AM969" s="12">
        <f t="shared" si="550"/>
        <v>0</v>
      </c>
      <c r="AN969" s="12">
        <f t="shared" si="551"/>
        <v>0</v>
      </c>
      <c r="AO969" s="12">
        <f t="shared" si="552"/>
        <v>0</v>
      </c>
      <c r="AP969" s="12">
        <f t="shared" si="497"/>
        <v>0</v>
      </c>
      <c r="AQ969" s="3" t="str">
        <f t="shared" si="498"/>
        <v>PTA807</v>
      </c>
      <c r="AR969" s="3" t="str">
        <f t="shared" si="467"/>
        <v>PTA80710</v>
      </c>
      <c r="AS969" s="6" t="str">
        <f t="shared" si="468"/>
        <v>9999</v>
      </c>
      <c r="AT969" s="6" t="str">
        <f t="shared" si="469"/>
        <v>CNY</v>
      </c>
      <c r="AU969" s="6" t="str">
        <f t="shared" si="553"/>
        <v>50010002</v>
      </c>
      <c r="AV969" s="229">
        <f>'day1'!M751+'day1'!N751</f>
        <v>1</v>
      </c>
      <c r="AW969" s="6">
        <f t="shared" si="499"/>
        <v>1</v>
      </c>
      <c r="AX969" s="6" t="str">
        <f t="shared" si="500"/>
        <v>PTA807</v>
      </c>
      <c r="AY969" s="6">
        <f t="shared" si="471"/>
        <v>0</v>
      </c>
      <c r="AZ969" s="6">
        <f t="shared" si="472"/>
        <v>20180328</v>
      </c>
    </row>
    <row r="970" spans="1:52" s="6" customFormat="1" x14ac:dyDescent="0.25">
      <c r="A970" s="6" t="str">
        <f t="shared" si="534"/>
        <v>comment</v>
      </c>
      <c r="B970" s="140" t="str">
        <f>'day1'!B752</f>
        <v>2018032610000110</v>
      </c>
      <c r="C970" s="140" t="str">
        <f>'day1'!C752</f>
        <v>6001</v>
      </c>
      <c r="D970" s="140" t="str">
        <f>'day1'!D752</f>
        <v>B00102</v>
      </c>
      <c r="E970" s="140" t="str">
        <f>'day1'!E752</f>
        <v>6001</v>
      </c>
      <c r="F970" s="6">
        <f t="shared" si="456"/>
        <v>20180327</v>
      </c>
      <c r="G970" s="6">
        <f>'day1'!G752</f>
        <v>20180326</v>
      </c>
      <c r="H970" s="6" t="str">
        <f t="shared" si="457"/>
        <v>CZCE</v>
      </c>
      <c r="I970" s="6" t="str">
        <f>'day1'!I752</f>
        <v>PTA807P6200</v>
      </c>
      <c r="J970" s="6">
        <f>'day1'!J752</f>
        <v>1</v>
      </c>
      <c r="K970" s="6">
        <f t="shared" si="535"/>
        <v>3</v>
      </c>
      <c r="L970" s="6">
        <f>'day1'!L752</f>
        <v>1</v>
      </c>
      <c r="M970" s="229">
        <f t="shared" si="492"/>
        <v>0</v>
      </c>
      <c r="N970" s="6">
        <f t="shared" si="493"/>
        <v>0</v>
      </c>
      <c r="O970" s="6">
        <f t="shared" si="459"/>
        <v>0</v>
      </c>
      <c r="P970" s="12">
        <f t="shared" si="536"/>
        <v>0</v>
      </c>
      <c r="Q970" s="12">
        <f t="shared" si="537"/>
        <v>6.0000000000000005E-2</v>
      </c>
      <c r="R970" s="12">
        <f t="shared" si="538"/>
        <v>6</v>
      </c>
      <c r="S970" s="12">
        <f t="shared" si="539"/>
        <v>0.04</v>
      </c>
      <c r="T970" s="12">
        <f t="shared" si="540"/>
        <v>4</v>
      </c>
      <c r="U970" s="12">
        <f t="shared" si="494"/>
        <v>5</v>
      </c>
      <c r="V970" s="12">
        <f t="shared" si="541"/>
        <v>6200</v>
      </c>
      <c r="W970" s="12">
        <f t="shared" si="542"/>
        <v>600</v>
      </c>
      <c r="X970" s="12">
        <f t="shared" si="543"/>
        <v>6160</v>
      </c>
      <c r="Y970" s="12">
        <f>'day1'!Y752</f>
        <v>630</v>
      </c>
      <c r="Z970" s="12">
        <f t="shared" si="544"/>
        <v>605</v>
      </c>
      <c r="AA970" s="12">
        <f t="shared" si="475"/>
        <v>0.5</v>
      </c>
      <c r="AB970" s="12">
        <f t="shared" si="475"/>
        <v>0.5</v>
      </c>
      <c r="AC970" s="12">
        <f t="shared" si="545"/>
        <v>0</v>
      </c>
      <c r="AD970" s="12">
        <f t="shared" si="495"/>
        <v>1</v>
      </c>
      <c r="AE970" s="12">
        <f t="shared" si="546"/>
        <v>0</v>
      </c>
      <c r="AF970" s="12">
        <f t="shared" si="547"/>
        <v>0</v>
      </c>
      <c r="AG970" s="12">
        <f t="shared" si="473"/>
        <v>0</v>
      </c>
      <c r="AH970" s="12">
        <f t="shared" si="474"/>
        <v>0</v>
      </c>
      <c r="AI970" s="12">
        <f t="shared" si="548"/>
        <v>3000</v>
      </c>
      <c r="AJ970" s="12">
        <v>1</v>
      </c>
      <c r="AK970" s="12">
        <f t="shared" si="496"/>
        <v>1</v>
      </c>
      <c r="AL970" s="12">
        <f t="shared" si="549"/>
        <v>0</v>
      </c>
      <c r="AM970" s="12">
        <f t="shared" si="550"/>
        <v>0</v>
      </c>
      <c r="AN970" s="12">
        <f t="shared" si="551"/>
        <v>0</v>
      </c>
      <c r="AO970" s="12">
        <f t="shared" si="552"/>
        <v>0</v>
      </c>
      <c r="AP970" s="12">
        <f t="shared" si="497"/>
        <v>0</v>
      </c>
      <c r="AQ970" s="3" t="str">
        <f t="shared" si="498"/>
        <v>PTA807</v>
      </c>
      <c r="AR970" s="3" t="str">
        <f t="shared" si="467"/>
        <v>PTA80710</v>
      </c>
      <c r="AS970" s="6" t="str">
        <f t="shared" si="468"/>
        <v>9999</v>
      </c>
      <c r="AT970" s="6" t="str">
        <f t="shared" si="469"/>
        <v>CNY</v>
      </c>
      <c r="AU970" s="6" t="str">
        <f t="shared" si="553"/>
        <v>50010002</v>
      </c>
      <c r="AV970" s="229">
        <f>'day1'!M752+'day1'!N752</f>
        <v>3</v>
      </c>
      <c r="AW970" s="6">
        <f t="shared" si="499"/>
        <v>1</v>
      </c>
      <c r="AX970" s="6" t="str">
        <f t="shared" si="500"/>
        <v>PTA807</v>
      </c>
      <c r="AY970" s="6">
        <f t="shared" si="471"/>
        <v>0</v>
      </c>
      <c r="AZ970" s="6">
        <f t="shared" si="472"/>
        <v>20180328</v>
      </c>
    </row>
    <row r="971" spans="1:52" s="6" customFormat="1" x14ac:dyDescent="0.25">
      <c r="A971" s="6" t="str">
        <f t="shared" si="534"/>
        <v>comment</v>
      </c>
      <c r="B971" s="140" t="str">
        <f>'day1'!B753</f>
        <v>2018032610000111</v>
      </c>
      <c r="C971" s="140" t="str">
        <f>'day1'!C753</f>
        <v>6001</v>
      </c>
      <c r="D971" s="140" t="str">
        <f>'day1'!D753</f>
        <v>B00102</v>
      </c>
      <c r="E971" s="140" t="str">
        <f>'day1'!E753</f>
        <v>6001</v>
      </c>
      <c r="F971" s="6">
        <f t="shared" si="456"/>
        <v>20180327</v>
      </c>
      <c r="G971" s="6">
        <f>'day1'!G753</f>
        <v>20180326</v>
      </c>
      <c r="H971" s="6" t="str">
        <f t="shared" si="457"/>
        <v>CZCE</v>
      </c>
      <c r="I971" s="6" t="str">
        <f>'day1'!I753</f>
        <v>PTA807P6500</v>
      </c>
      <c r="J971" s="6">
        <f>'day1'!J753</f>
        <v>0</v>
      </c>
      <c r="K971" s="6">
        <f t="shared" si="535"/>
        <v>2</v>
      </c>
      <c r="L971" s="6">
        <f>'day1'!L753</f>
        <v>1</v>
      </c>
      <c r="M971" s="229">
        <f t="shared" si="492"/>
        <v>0</v>
      </c>
      <c r="N971" s="6">
        <f t="shared" si="493"/>
        <v>0</v>
      </c>
      <c r="O971" s="6">
        <f t="shared" si="459"/>
        <v>0</v>
      </c>
      <c r="P971" s="12">
        <f t="shared" si="536"/>
        <v>0</v>
      </c>
      <c r="Q971" s="12">
        <f t="shared" si="537"/>
        <v>6.0000000000000005E-2</v>
      </c>
      <c r="R971" s="12">
        <f t="shared" si="538"/>
        <v>6</v>
      </c>
      <c r="S971" s="12">
        <f t="shared" si="539"/>
        <v>0.04</v>
      </c>
      <c r="T971" s="12">
        <f t="shared" si="540"/>
        <v>4</v>
      </c>
      <c r="U971" s="12">
        <f t="shared" si="494"/>
        <v>5</v>
      </c>
      <c r="V971" s="12">
        <f t="shared" si="541"/>
        <v>6500</v>
      </c>
      <c r="W971" s="12">
        <f t="shared" si="542"/>
        <v>620</v>
      </c>
      <c r="X971" s="12">
        <f t="shared" si="543"/>
        <v>6160</v>
      </c>
      <c r="Y971" s="12">
        <f>'day1'!Y753</f>
        <v>631</v>
      </c>
      <c r="Z971" s="12">
        <f t="shared" si="544"/>
        <v>610</v>
      </c>
      <c r="AA971" s="12">
        <f t="shared" si="475"/>
        <v>0.5</v>
      </c>
      <c r="AB971" s="12">
        <f t="shared" si="475"/>
        <v>0.5</v>
      </c>
      <c r="AC971" s="12">
        <f t="shared" si="545"/>
        <v>0</v>
      </c>
      <c r="AD971" s="12">
        <f t="shared" si="495"/>
        <v>1</v>
      </c>
      <c r="AE971" s="12">
        <f t="shared" si="546"/>
        <v>0</v>
      </c>
      <c r="AF971" s="12">
        <f t="shared" si="547"/>
        <v>0</v>
      </c>
      <c r="AG971" s="12">
        <f t="shared" si="473"/>
        <v>0</v>
      </c>
      <c r="AH971" s="12">
        <f t="shared" si="474"/>
        <v>0</v>
      </c>
      <c r="AI971" s="12">
        <f t="shared" si="548"/>
        <v>3100</v>
      </c>
      <c r="AJ971" s="12">
        <v>1</v>
      </c>
      <c r="AK971" s="12">
        <f t="shared" si="496"/>
        <v>1</v>
      </c>
      <c r="AL971" s="12">
        <f t="shared" si="549"/>
        <v>0</v>
      </c>
      <c r="AM971" s="12">
        <f t="shared" si="550"/>
        <v>0</v>
      </c>
      <c r="AN971" s="12">
        <f t="shared" si="551"/>
        <v>0</v>
      </c>
      <c r="AO971" s="12">
        <f t="shared" si="552"/>
        <v>0</v>
      </c>
      <c r="AP971" s="12">
        <f t="shared" si="497"/>
        <v>0</v>
      </c>
      <c r="AQ971" s="3" t="str">
        <f t="shared" si="498"/>
        <v>PTA807</v>
      </c>
      <c r="AR971" s="3" t="str">
        <f t="shared" si="467"/>
        <v>PTA80710</v>
      </c>
      <c r="AS971" s="6" t="str">
        <f t="shared" si="468"/>
        <v>9999</v>
      </c>
      <c r="AT971" s="6" t="str">
        <f t="shared" si="469"/>
        <v>CNY</v>
      </c>
      <c r="AU971" s="6" t="str">
        <f t="shared" si="553"/>
        <v>50010002</v>
      </c>
      <c r="AV971" s="229">
        <f>'day1'!M753+'day1'!N753</f>
        <v>1</v>
      </c>
      <c r="AW971" s="6">
        <f t="shared" si="499"/>
        <v>1</v>
      </c>
      <c r="AX971" s="6" t="str">
        <f t="shared" si="500"/>
        <v>PTA807</v>
      </c>
      <c r="AY971" s="6">
        <f t="shared" si="471"/>
        <v>0</v>
      </c>
      <c r="AZ971" s="6">
        <f t="shared" si="472"/>
        <v>20180328</v>
      </c>
    </row>
    <row r="972" spans="1:52" s="6" customFormat="1" x14ac:dyDescent="0.25">
      <c r="A972" s="6" t="str">
        <f t="shared" si="534"/>
        <v>comment</v>
      </c>
      <c r="B972" s="140" t="str">
        <f>'day1'!B754</f>
        <v>2018032610000112</v>
      </c>
      <c r="C972" s="140" t="str">
        <f>'day1'!C754</f>
        <v>6001</v>
      </c>
      <c r="D972" s="140" t="str">
        <f>'day1'!D754</f>
        <v>B00102</v>
      </c>
      <c r="E972" s="140" t="str">
        <f>'day1'!E754</f>
        <v>6001</v>
      </c>
      <c r="F972" s="6">
        <f t="shared" si="456"/>
        <v>20180327</v>
      </c>
      <c r="G972" s="6">
        <f>'day1'!G754</f>
        <v>20180326</v>
      </c>
      <c r="H972" s="6" t="str">
        <f t="shared" si="457"/>
        <v>CZCE</v>
      </c>
      <c r="I972" s="6" t="str">
        <f>'day1'!I754</f>
        <v>PTA807P6500</v>
      </c>
      <c r="J972" s="6">
        <f>'day1'!J754</f>
        <v>1</v>
      </c>
      <c r="K972" s="6">
        <f t="shared" si="535"/>
        <v>3</v>
      </c>
      <c r="L972" s="6">
        <f>'day1'!L754</f>
        <v>1</v>
      </c>
      <c r="M972" s="229">
        <f t="shared" si="492"/>
        <v>0</v>
      </c>
      <c r="N972" s="6">
        <f t="shared" si="493"/>
        <v>0</v>
      </c>
      <c r="O972" s="6">
        <f t="shared" si="459"/>
        <v>0</v>
      </c>
      <c r="P972" s="12">
        <f t="shared" si="536"/>
        <v>0</v>
      </c>
      <c r="Q972" s="12">
        <f t="shared" si="537"/>
        <v>6.0000000000000005E-2</v>
      </c>
      <c r="R972" s="12">
        <f t="shared" si="538"/>
        <v>6</v>
      </c>
      <c r="S972" s="12">
        <f t="shared" si="539"/>
        <v>0.04</v>
      </c>
      <c r="T972" s="12">
        <f t="shared" si="540"/>
        <v>4</v>
      </c>
      <c r="U972" s="12">
        <f t="shared" si="494"/>
        <v>5</v>
      </c>
      <c r="V972" s="12">
        <f t="shared" si="541"/>
        <v>6500</v>
      </c>
      <c r="W972" s="12">
        <f t="shared" si="542"/>
        <v>620</v>
      </c>
      <c r="X972" s="12">
        <f t="shared" si="543"/>
        <v>6160</v>
      </c>
      <c r="Y972" s="12">
        <f>'day1'!Y754</f>
        <v>632</v>
      </c>
      <c r="Z972" s="12">
        <f t="shared" si="544"/>
        <v>610</v>
      </c>
      <c r="AA972" s="12">
        <f t="shared" si="475"/>
        <v>0.5</v>
      </c>
      <c r="AB972" s="12">
        <f t="shared" si="475"/>
        <v>0.5</v>
      </c>
      <c r="AC972" s="12">
        <f t="shared" si="545"/>
        <v>0</v>
      </c>
      <c r="AD972" s="12">
        <f t="shared" si="495"/>
        <v>1</v>
      </c>
      <c r="AE972" s="12">
        <f t="shared" si="546"/>
        <v>0</v>
      </c>
      <c r="AF972" s="12">
        <f t="shared" si="547"/>
        <v>0</v>
      </c>
      <c r="AG972" s="12">
        <f t="shared" si="473"/>
        <v>0</v>
      </c>
      <c r="AH972" s="12">
        <f t="shared" si="474"/>
        <v>0</v>
      </c>
      <c r="AI972" s="12">
        <f t="shared" si="548"/>
        <v>3100</v>
      </c>
      <c r="AJ972" s="12">
        <v>1</v>
      </c>
      <c r="AK972" s="12">
        <f t="shared" si="496"/>
        <v>1</v>
      </c>
      <c r="AL972" s="12">
        <f t="shared" si="549"/>
        <v>0</v>
      </c>
      <c r="AM972" s="12">
        <f t="shared" si="550"/>
        <v>0</v>
      </c>
      <c r="AN972" s="12">
        <f t="shared" si="551"/>
        <v>0</v>
      </c>
      <c r="AO972" s="12">
        <f t="shared" si="552"/>
        <v>0</v>
      </c>
      <c r="AP972" s="12">
        <f t="shared" si="497"/>
        <v>0</v>
      </c>
      <c r="AQ972" s="3" t="str">
        <f t="shared" si="498"/>
        <v>PTA807</v>
      </c>
      <c r="AR972" s="3" t="str">
        <f t="shared" si="467"/>
        <v>PTA80710</v>
      </c>
      <c r="AS972" s="6" t="str">
        <f t="shared" si="468"/>
        <v>9999</v>
      </c>
      <c r="AT972" s="6" t="str">
        <f t="shared" si="469"/>
        <v>CNY</v>
      </c>
      <c r="AU972" s="6" t="str">
        <f t="shared" si="553"/>
        <v>50010002</v>
      </c>
      <c r="AV972" s="229">
        <f>'day1'!M754+'day1'!N754</f>
        <v>1</v>
      </c>
      <c r="AW972" s="6">
        <f t="shared" si="499"/>
        <v>1</v>
      </c>
      <c r="AX972" s="6" t="str">
        <f t="shared" si="500"/>
        <v>PTA807</v>
      </c>
      <c r="AY972" s="6">
        <f t="shared" si="471"/>
        <v>0</v>
      </c>
      <c r="AZ972" s="6">
        <f t="shared" si="472"/>
        <v>20180328</v>
      </c>
    </row>
    <row r="973" spans="1:52" s="6" customFormat="1" x14ac:dyDescent="0.25">
      <c r="A973" s="6" t="str">
        <f>IF( AND(M973=0,N973=0),"comment","")</f>
        <v>comment</v>
      </c>
      <c r="B973" s="140" t="str">
        <f>C700</f>
        <v>2018032710000017</v>
      </c>
      <c r="C973" s="6" t="str">
        <f t="shared" ref="C973:C998" si="554">VLOOKUP(B973,  $C$693:$AN$761, 3,FALSE)</f>
        <v>6001</v>
      </c>
      <c r="D973" s="6" t="str">
        <f t="shared" ref="D973:D998" si="555">VLOOKUP(B973,  $C$693:$AN$761, 4,FALSE)</f>
        <v>B00101</v>
      </c>
      <c r="E973" s="6" t="str">
        <f t="shared" ref="E973:E998" si="556">VLOOKUP(B973,  $C$693:$AN$761, 5,FALSE)</f>
        <v>6001</v>
      </c>
      <c r="F973" s="6">
        <f t="shared" si="456"/>
        <v>20180327</v>
      </c>
      <c r="G973" s="6">
        <f t="shared" si="456"/>
        <v>20180327</v>
      </c>
      <c r="H973" s="6" t="str">
        <f t="shared" si="457"/>
        <v>CZCE</v>
      </c>
      <c r="I973" s="6" t="str">
        <f t="shared" ref="I973:I998" si="557">VLOOKUP(B973, $C$693:$AN$761, 10,FALSE)</f>
        <v>SR807</v>
      </c>
      <c r="J973" s="6">
        <f t="shared" ref="J973:J998" si="558">VLOOKUP(B973,$C$693:$AN$761, 13,FALSE)</f>
        <v>0</v>
      </c>
      <c r="K973" s="6">
        <f t="shared" si="458"/>
        <v>2</v>
      </c>
      <c r="L973" s="6">
        <f t="shared" ref="L973:L998" si="559">VLOOKUP(B973,$C$693:$AN$761, 14,FALSE)</f>
        <v>1</v>
      </c>
      <c r="M973" s="229">
        <f t="shared" si="492"/>
        <v>0</v>
      </c>
      <c r="N973" s="6">
        <f t="shared" si="493"/>
        <v>0</v>
      </c>
      <c r="O973" s="6">
        <f t="shared" si="459"/>
        <v>0</v>
      </c>
      <c r="P973" s="12">
        <f t="shared" si="460"/>
        <v>0</v>
      </c>
      <c r="Q973" s="12">
        <f t="shared" ref="Q973:Q998" si="560">IF(AK973=0, VLOOKUP(AR973,$F$53:$L$72,4,FALSE),VLOOKUP(AR973,$F$53:$L$72,4,FALSE)+VLOOKUP(AR973,$F$53:$L$72,6,FALSE) )</f>
        <v>0.05</v>
      </c>
      <c r="R973" s="12">
        <f t="shared" ref="R973:R998" si="561">IF(AK973=0, VLOOKUP(AR973,$F$53:$L$72,5,FALSE),VLOOKUP(AR973,$F$53:$L$72,5,FALSE)+VLOOKUP(AR973,$F$53:$L$72,7,FALSE) )</f>
        <v>5</v>
      </c>
      <c r="S973" s="12">
        <f t="shared" ref="S973:S998" si="562">VLOOKUP(AR973,$F$53:$L$72,2,FALSE)</f>
        <v>0.04</v>
      </c>
      <c r="T973" s="12">
        <f t="shared" ref="T973:T998" si="563">VLOOKUP(AR973,$F$53:$L$72,3,FALSE)</f>
        <v>4</v>
      </c>
      <c r="U973" s="12">
        <f t="shared" si="494"/>
        <v>10</v>
      </c>
      <c r="V973" s="12">
        <f t="shared" si="541"/>
        <v>0</v>
      </c>
      <c r="W973" s="12">
        <f t="shared" si="542"/>
        <v>6155</v>
      </c>
      <c r="X973" s="12">
        <f t="shared" si="543"/>
        <v>0</v>
      </c>
      <c r="Y973" s="12">
        <f t="shared" ref="Y973:Y998" si="564">VLOOKUP(B973,$C$693:$AN$761, 17,FALSE)</f>
        <v>6111</v>
      </c>
      <c r="Z973" s="12">
        <f t="shared" si="544"/>
        <v>6150</v>
      </c>
      <c r="AA973" s="12">
        <f t="shared" si="475"/>
        <v>0.5</v>
      </c>
      <c r="AB973" s="12">
        <f t="shared" si="475"/>
        <v>0.5</v>
      </c>
      <c r="AC973" s="12">
        <f t="shared" ref="AC973:AC998" si="565">IF(AD973=0,MAX((V973-X973)*U973,0),MAX((X973-V973)*U973,0))</f>
        <v>0</v>
      </c>
      <c r="AD973" s="12">
        <f t="shared" si="495"/>
        <v>9</v>
      </c>
      <c r="AE973" s="12">
        <f t="shared" si="546"/>
        <v>0</v>
      </c>
      <c r="AF973" s="12">
        <f t="shared" si="547"/>
        <v>0</v>
      </c>
      <c r="AG973" s="12">
        <f t="shared" si="473"/>
        <v>0</v>
      </c>
      <c r="AH973" s="12">
        <f t="shared" si="474"/>
        <v>0</v>
      </c>
      <c r="AI973" s="12">
        <f t="shared" ref="AI973:AI998" si="566">IF(AK973=1,1*U973*W973,0)</f>
        <v>0</v>
      </c>
      <c r="AJ973" s="12">
        <v>1</v>
      </c>
      <c r="AK973" s="12">
        <f t="shared" si="496"/>
        <v>0</v>
      </c>
      <c r="AL973" s="12">
        <f t="shared" ref="AL973:AL998" si="567">IF(AK973=0,IF(F973=G973,IF(J973=0,(W973-Y973)*U973*M973,-(W973-Y973)*U973*M973),IF(J973=0,(W973-Z973)*U973*M973,-(W973-Z973)*U973*M973)),0)</f>
        <v>0</v>
      </c>
      <c r="AM973" s="12">
        <f t="shared" ref="AM973:AM998" si="568">IF(AK973=0,IF(J973=0,(W973-Y973)*U973*M973,-(W973-Y973)*U973*M973),0)</f>
        <v>0</v>
      </c>
      <c r="AN973" s="12">
        <f t="shared" ref="AN973:AN998" si="569">IF(AK973=0,IF(F973=G973,IF(J973=0,(W973-Y973)*U973*N973,-(W973-Y973)*U973*N973),IF(J973=0,(W973-Z973)*U973*N973,-(W973-Z973)*U973*N973)),0)</f>
        <v>0</v>
      </c>
      <c r="AO973" s="12">
        <f t="shared" ref="AO973:AO998" si="570">IF(AK973=0,IF(J973=0,(W973-Y973)*U973*N973,-(W973-Y973)*U973*N973),0)</f>
        <v>0</v>
      </c>
      <c r="AP973" s="12">
        <f t="shared" si="497"/>
        <v>0</v>
      </c>
      <c r="AQ973" s="3" t="str">
        <f t="shared" si="498"/>
        <v>SR807</v>
      </c>
      <c r="AR973" s="3" t="str">
        <f t="shared" si="467"/>
        <v>SR80710</v>
      </c>
      <c r="AS973" s="6" t="str">
        <f t="shared" si="468"/>
        <v>9999</v>
      </c>
      <c r="AT973" s="6" t="str">
        <f t="shared" si="469"/>
        <v>CNY</v>
      </c>
      <c r="AU973" s="6" t="str">
        <f t="shared" ref="AU973:AU998" si="571">VLOOKUP(D973,$C$5:$G$6,5,FALSE)</f>
        <v>50010001</v>
      </c>
      <c r="AV973" s="229">
        <v>0</v>
      </c>
      <c r="AW973" s="6">
        <f t="shared" si="499"/>
        <v>1</v>
      </c>
      <c r="AX973" s="6" t="str">
        <f t="shared" si="500"/>
        <v>SR807</v>
      </c>
      <c r="AY973" s="6">
        <f t="shared" si="471"/>
        <v>0</v>
      </c>
      <c r="AZ973" s="6">
        <f t="shared" si="472"/>
        <v>20180328</v>
      </c>
    </row>
    <row r="974" spans="1:52" s="6" customFormat="1" x14ac:dyDescent="0.25">
      <c r="A974" s="6" t="str">
        <f t="shared" ref="A974:A977" si="572">IF( AND(M974=0,N974=0),"comment","")</f>
        <v/>
      </c>
      <c r="B974" s="140" t="str">
        <f>C701</f>
        <v>2018032710000018</v>
      </c>
      <c r="C974" s="6" t="str">
        <f t="shared" si="554"/>
        <v>6001</v>
      </c>
      <c r="D974" s="6" t="str">
        <f t="shared" si="555"/>
        <v>B00101</v>
      </c>
      <c r="E974" s="6" t="str">
        <f t="shared" si="556"/>
        <v>6001</v>
      </c>
      <c r="F974" s="6">
        <f t="shared" si="456"/>
        <v>20180327</v>
      </c>
      <c r="G974" s="6">
        <f t="shared" si="456"/>
        <v>20180327</v>
      </c>
      <c r="H974" s="6" t="str">
        <f t="shared" si="457"/>
        <v>CZCE</v>
      </c>
      <c r="I974" s="6" t="str">
        <f t="shared" si="557"/>
        <v>SR807</v>
      </c>
      <c r="J974" s="6">
        <f t="shared" si="558"/>
        <v>0</v>
      </c>
      <c r="K974" s="6">
        <f t="shared" si="458"/>
        <v>2</v>
      </c>
      <c r="L974" s="6">
        <f t="shared" si="559"/>
        <v>3</v>
      </c>
      <c r="M974" s="229">
        <f t="shared" si="492"/>
        <v>4</v>
      </c>
      <c r="N974" s="6">
        <f t="shared" si="493"/>
        <v>0</v>
      </c>
      <c r="O974" s="6">
        <f t="shared" si="459"/>
        <v>0</v>
      </c>
      <c r="P974" s="12">
        <f t="shared" si="460"/>
        <v>0</v>
      </c>
      <c r="Q974" s="12">
        <f t="shared" si="560"/>
        <v>5.1999999999999998E-2</v>
      </c>
      <c r="R974" s="12">
        <f t="shared" si="561"/>
        <v>5.2</v>
      </c>
      <c r="S974" s="12">
        <f t="shared" si="562"/>
        <v>4.2000000000000003E-2</v>
      </c>
      <c r="T974" s="12">
        <f t="shared" si="563"/>
        <v>4.2</v>
      </c>
      <c r="U974" s="12">
        <f t="shared" si="494"/>
        <v>10</v>
      </c>
      <c r="V974" s="12">
        <f t="shared" si="541"/>
        <v>0</v>
      </c>
      <c r="W974" s="250">
        <f t="shared" si="542"/>
        <v>6155</v>
      </c>
      <c r="X974" s="12">
        <f t="shared" si="543"/>
        <v>0</v>
      </c>
      <c r="Y974" s="250">
        <f t="shared" si="564"/>
        <v>6112</v>
      </c>
      <c r="Z974" s="250">
        <f t="shared" si="544"/>
        <v>6150</v>
      </c>
      <c r="AA974" s="12">
        <f t="shared" ref="AA974:AB998" si="573">$F$190</f>
        <v>0.5</v>
      </c>
      <c r="AB974" s="12">
        <f t="shared" si="573"/>
        <v>0.5</v>
      </c>
      <c r="AC974" s="12">
        <f t="shared" si="565"/>
        <v>0</v>
      </c>
      <c r="AD974" s="12">
        <f t="shared" si="495"/>
        <v>9</v>
      </c>
      <c r="AE974" s="12">
        <f t="shared" si="546"/>
        <v>12823.2</v>
      </c>
      <c r="AF974" s="12">
        <f t="shared" si="547"/>
        <v>10357.200000000001</v>
      </c>
      <c r="AG974" s="12">
        <f t="shared" si="473"/>
        <v>0</v>
      </c>
      <c r="AH974" s="12">
        <f t="shared" si="474"/>
        <v>0</v>
      </c>
      <c r="AI974" s="12">
        <f t="shared" si="566"/>
        <v>0</v>
      </c>
      <c r="AJ974" s="12">
        <v>1</v>
      </c>
      <c r="AK974" s="12">
        <f t="shared" si="496"/>
        <v>0</v>
      </c>
      <c r="AL974" s="12">
        <f t="shared" si="567"/>
        <v>1720</v>
      </c>
      <c r="AM974" s="12">
        <f t="shared" si="568"/>
        <v>1720</v>
      </c>
      <c r="AN974" s="12">
        <f t="shared" si="569"/>
        <v>0</v>
      </c>
      <c r="AO974" s="12">
        <f t="shared" si="570"/>
        <v>0</v>
      </c>
      <c r="AP974" s="12">
        <f t="shared" si="497"/>
        <v>0</v>
      </c>
      <c r="AQ974" s="3" t="str">
        <f t="shared" si="498"/>
        <v>SR807</v>
      </c>
      <c r="AR974" s="3" t="str">
        <f t="shared" si="467"/>
        <v>SR80730</v>
      </c>
      <c r="AS974" s="6" t="str">
        <f t="shared" si="468"/>
        <v>9999</v>
      </c>
      <c r="AT974" s="6" t="str">
        <f t="shared" si="469"/>
        <v>CNY</v>
      </c>
      <c r="AU974" s="6" t="str">
        <f t="shared" si="571"/>
        <v>50010001</v>
      </c>
      <c r="AV974" s="229">
        <v>0</v>
      </c>
      <c r="AW974" s="6">
        <f t="shared" si="499"/>
        <v>1</v>
      </c>
      <c r="AX974" s="6" t="str">
        <f t="shared" si="500"/>
        <v>SR807</v>
      </c>
      <c r="AY974" s="6">
        <f t="shared" si="471"/>
        <v>244480</v>
      </c>
      <c r="AZ974" s="6">
        <f t="shared" si="472"/>
        <v>20180328</v>
      </c>
    </row>
    <row r="975" spans="1:52" s="6" customFormat="1" x14ac:dyDescent="0.25">
      <c r="A975" s="6" t="str">
        <f t="shared" si="572"/>
        <v/>
      </c>
      <c r="B975" s="140" t="str">
        <f>C714</f>
        <v>2018032710000052</v>
      </c>
      <c r="C975" s="6" t="str">
        <f t="shared" si="554"/>
        <v>6001</v>
      </c>
      <c r="D975" s="6" t="str">
        <f t="shared" si="555"/>
        <v>B00102</v>
      </c>
      <c r="E975" s="6" t="str">
        <f t="shared" si="556"/>
        <v>6001</v>
      </c>
      <c r="F975" s="6">
        <f t="shared" si="456"/>
        <v>20180327</v>
      </c>
      <c r="G975" s="6">
        <f t="shared" si="456"/>
        <v>20180327</v>
      </c>
      <c r="H975" s="6" t="str">
        <f t="shared" si="457"/>
        <v>CZCE</v>
      </c>
      <c r="I975" s="6" t="str">
        <f t="shared" si="557"/>
        <v>PTA807</v>
      </c>
      <c r="J975" s="6">
        <f t="shared" si="558"/>
        <v>1</v>
      </c>
      <c r="K975" s="6">
        <f t="shared" si="458"/>
        <v>3</v>
      </c>
      <c r="L975" s="6">
        <f t="shared" si="559"/>
        <v>1</v>
      </c>
      <c r="M975" s="229">
        <f t="shared" si="492"/>
        <v>0</v>
      </c>
      <c r="N975" s="6">
        <f t="shared" si="493"/>
        <v>2</v>
      </c>
      <c r="O975" s="6">
        <f t="shared" si="459"/>
        <v>0</v>
      </c>
      <c r="P975" s="12">
        <f t="shared" si="460"/>
        <v>0</v>
      </c>
      <c r="Q975" s="12">
        <f t="shared" si="560"/>
        <v>5.0999999999999997E-2</v>
      </c>
      <c r="R975" s="12">
        <f t="shared" si="561"/>
        <v>5.0999999999999996</v>
      </c>
      <c r="S975" s="12">
        <f t="shared" si="562"/>
        <v>4.1000000000000002E-2</v>
      </c>
      <c r="T975" s="12">
        <f t="shared" si="563"/>
        <v>4.0999999999999996</v>
      </c>
      <c r="U975" s="12">
        <f t="shared" si="494"/>
        <v>5</v>
      </c>
      <c r="V975" s="12">
        <f t="shared" si="541"/>
        <v>0</v>
      </c>
      <c r="W975" s="250">
        <f t="shared" si="542"/>
        <v>6160</v>
      </c>
      <c r="X975" s="12">
        <f t="shared" si="543"/>
        <v>0</v>
      </c>
      <c r="Y975" s="250">
        <f t="shared" si="564"/>
        <v>6115</v>
      </c>
      <c r="Z975" s="250">
        <f t="shared" si="544"/>
        <v>6165</v>
      </c>
      <c r="AA975" s="12">
        <f t="shared" si="573"/>
        <v>0.5</v>
      </c>
      <c r="AB975" s="12">
        <f t="shared" si="573"/>
        <v>0.5</v>
      </c>
      <c r="AC975" s="12">
        <f t="shared" si="565"/>
        <v>0</v>
      </c>
      <c r="AD975" s="12">
        <f t="shared" si="495"/>
        <v>9</v>
      </c>
      <c r="AE975" s="12">
        <f t="shared" si="546"/>
        <v>0</v>
      </c>
      <c r="AF975" s="12">
        <f t="shared" si="547"/>
        <v>0</v>
      </c>
      <c r="AG975" s="12">
        <f t="shared" si="473"/>
        <v>3151.8</v>
      </c>
      <c r="AH975" s="12">
        <f t="shared" si="474"/>
        <v>2533.8000000000002</v>
      </c>
      <c r="AI975" s="12">
        <f t="shared" si="566"/>
        <v>0</v>
      </c>
      <c r="AJ975" s="12">
        <v>1</v>
      </c>
      <c r="AK975" s="12">
        <f t="shared" si="496"/>
        <v>0</v>
      </c>
      <c r="AL975" s="12">
        <f t="shared" si="567"/>
        <v>0</v>
      </c>
      <c r="AM975" s="12">
        <f t="shared" si="568"/>
        <v>0</v>
      </c>
      <c r="AN975" s="12">
        <f t="shared" si="569"/>
        <v>-450</v>
      </c>
      <c r="AO975" s="12">
        <f t="shared" si="570"/>
        <v>-450</v>
      </c>
      <c r="AP975" s="12">
        <f t="shared" si="497"/>
        <v>1</v>
      </c>
      <c r="AQ975" s="3" t="str">
        <f t="shared" si="498"/>
        <v>PTA807</v>
      </c>
      <c r="AR975" s="3" t="str">
        <f t="shared" si="467"/>
        <v>PTA80711</v>
      </c>
      <c r="AS975" s="6" t="str">
        <f t="shared" si="468"/>
        <v>9999</v>
      </c>
      <c r="AT975" s="6" t="str">
        <f t="shared" si="469"/>
        <v>CNY</v>
      </c>
      <c r="AU975" s="6" t="str">
        <f t="shared" si="571"/>
        <v>50010002</v>
      </c>
      <c r="AV975" s="229">
        <v>0</v>
      </c>
      <c r="AW975" s="6">
        <f t="shared" si="499"/>
        <v>1</v>
      </c>
      <c r="AX975" s="6" t="str">
        <f t="shared" si="500"/>
        <v>PTA807</v>
      </c>
      <c r="AY975" s="6">
        <f t="shared" si="471"/>
        <v>61150</v>
      </c>
      <c r="AZ975" s="6">
        <f t="shared" si="472"/>
        <v>20180328</v>
      </c>
    </row>
    <row r="976" spans="1:52" s="6" customFormat="1" x14ac:dyDescent="0.25">
      <c r="A976" s="6" t="str">
        <f t="shared" si="572"/>
        <v/>
      </c>
      <c r="B976" s="140" t="str">
        <f>C715</f>
        <v>2018032710000053</v>
      </c>
      <c r="C976" s="6" t="str">
        <f t="shared" si="554"/>
        <v>6001</v>
      </c>
      <c r="D976" s="6" t="str">
        <f t="shared" si="555"/>
        <v>B00102</v>
      </c>
      <c r="E976" s="6" t="str">
        <f t="shared" si="556"/>
        <v>6001</v>
      </c>
      <c r="F976" s="6">
        <f t="shared" si="456"/>
        <v>20180327</v>
      </c>
      <c r="G976" s="6">
        <f t="shared" si="456"/>
        <v>20180327</v>
      </c>
      <c r="H976" s="6" t="str">
        <f t="shared" si="457"/>
        <v>CZCE</v>
      </c>
      <c r="I976" s="6" t="str">
        <f t="shared" si="557"/>
        <v>PTA807</v>
      </c>
      <c r="J976" s="6">
        <f t="shared" si="558"/>
        <v>1</v>
      </c>
      <c r="K976" s="6">
        <f t="shared" si="458"/>
        <v>3</v>
      </c>
      <c r="L976" s="6">
        <f t="shared" si="559"/>
        <v>3</v>
      </c>
      <c r="M976" s="229">
        <f t="shared" si="492"/>
        <v>1</v>
      </c>
      <c r="N976" s="6">
        <f t="shared" si="493"/>
        <v>0</v>
      </c>
      <c r="O976" s="6">
        <f t="shared" si="459"/>
        <v>0</v>
      </c>
      <c r="P976" s="12">
        <f t="shared" si="460"/>
        <v>0</v>
      </c>
      <c r="Q976" s="12">
        <f t="shared" si="560"/>
        <v>5.2999999999999999E-2</v>
      </c>
      <c r="R976" s="12">
        <f t="shared" si="561"/>
        <v>5.3</v>
      </c>
      <c r="S976" s="12">
        <f t="shared" si="562"/>
        <v>4.2999999999999997E-2</v>
      </c>
      <c r="T976" s="12">
        <f t="shared" si="563"/>
        <v>4.3</v>
      </c>
      <c r="U976" s="12">
        <f t="shared" si="494"/>
        <v>5</v>
      </c>
      <c r="V976" s="12">
        <f t="shared" si="541"/>
        <v>0</v>
      </c>
      <c r="W976" s="250">
        <f t="shared" si="542"/>
        <v>6160</v>
      </c>
      <c r="X976" s="12">
        <f t="shared" si="543"/>
        <v>0</v>
      </c>
      <c r="Y976" s="250">
        <f t="shared" si="564"/>
        <v>6116</v>
      </c>
      <c r="Z976" s="250">
        <f t="shared" si="544"/>
        <v>6165</v>
      </c>
      <c r="AA976" s="12">
        <f t="shared" si="573"/>
        <v>0.5</v>
      </c>
      <c r="AB976" s="12">
        <f t="shared" si="573"/>
        <v>0.5</v>
      </c>
      <c r="AC976" s="12">
        <f t="shared" si="565"/>
        <v>0</v>
      </c>
      <c r="AD976" s="12">
        <f t="shared" si="495"/>
        <v>9</v>
      </c>
      <c r="AE976" s="12">
        <f t="shared" si="546"/>
        <v>1637.7</v>
      </c>
      <c r="AF976" s="12">
        <f t="shared" si="547"/>
        <v>1328.7</v>
      </c>
      <c r="AG976" s="12">
        <f t="shared" si="473"/>
        <v>0</v>
      </c>
      <c r="AH976" s="12">
        <f t="shared" si="474"/>
        <v>0</v>
      </c>
      <c r="AI976" s="12">
        <f t="shared" si="566"/>
        <v>0</v>
      </c>
      <c r="AJ976" s="12">
        <v>1</v>
      </c>
      <c r="AK976" s="12">
        <f t="shared" si="496"/>
        <v>0</v>
      </c>
      <c r="AL976" s="12">
        <f t="shared" si="567"/>
        <v>-220</v>
      </c>
      <c r="AM976" s="12">
        <f t="shared" si="568"/>
        <v>-220</v>
      </c>
      <c r="AN976" s="12">
        <f t="shared" si="569"/>
        <v>0</v>
      </c>
      <c r="AO976" s="12">
        <f t="shared" si="570"/>
        <v>0</v>
      </c>
      <c r="AP976" s="12">
        <f t="shared" si="497"/>
        <v>1</v>
      </c>
      <c r="AQ976" s="3" t="str">
        <f t="shared" si="498"/>
        <v>PTA807</v>
      </c>
      <c r="AR976" s="3" t="str">
        <f t="shared" si="467"/>
        <v>PTA80731</v>
      </c>
      <c r="AS976" s="6" t="str">
        <f t="shared" si="468"/>
        <v>9999</v>
      </c>
      <c r="AT976" s="6" t="str">
        <f t="shared" si="469"/>
        <v>CNY</v>
      </c>
      <c r="AU976" s="6" t="str">
        <f t="shared" si="571"/>
        <v>50010002</v>
      </c>
      <c r="AV976" s="229">
        <v>0</v>
      </c>
      <c r="AW976" s="6">
        <f t="shared" si="499"/>
        <v>1</v>
      </c>
      <c r="AX976" s="6" t="str">
        <f t="shared" si="500"/>
        <v>PTA807</v>
      </c>
      <c r="AY976" s="6">
        <f t="shared" si="471"/>
        <v>30580</v>
      </c>
      <c r="AZ976" s="6">
        <f t="shared" si="472"/>
        <v>20180328</v>
      </c>
    </row>
    <row r="977" spans="1:52" s="13" customFormat="1" x14ac:dyDescent="0.25">
      <c r="A977" s="13" t="str">
        <f t="shared" si="572"/>
        <v>comment</v>
      </c>
      <c r="B977" s="227" t="str">
        <f t="shared" ref="B977:B994" si="574">C721</f>
        <v>2018032710000064</v>
      </c>
      <c r="C977" s="13" t="str">
        <f t="shared" si="554"/>
        <v>6001</v>
      </c>
      <c r="D977" s="13" t="str">
        <f t="shared" si="555"/>
        <v>B00102</v>
      </c>
      <c r="E977" s="13" t="str">
        <f t="shared" si="556"/>
        <v>6001</v>
      </c>
      <c r="F977" s="13">
        <f t="shared" si="456"/>
        <v>20180327</v>
      </c>
      <c r="G977" s="13">
        <f t="shared" si="456"/>
        <v>20180327</v>
      </c>
      <c r="H977" s="13" t="str">
        <f t="shared" si="457"/>
        <v>CZCE</v>
      </c>
      <c r="I977" s="13" t="str">
        <f t="shared" si="557"/>
        <v>PTA809</v>
      </c>
      <c r="J977" s="13">
        <f t="shared" si="558"/>
        <v>1</v>
      </c>
      <c r="K977" s="13">
        <f t="shared" ref="K977" si="575">IF(J977=0,2,3)</f>
        <v>3</v>
      </c>
      <c r="L977" s="13">
        <f t="shared" si="559"/>
        <v>1</v>
      </c>
      <c r="M977" s="228">
        <f t="shared" si="492"/>
        <v>0</v>
      </c>
      <c r="N977" s="13">
        <f t="shared" ref="N977" si="576">SUMPRODUCT(($E$876:$E$915=B977)*($F$876:$F$915=C977)*($G$876:$G$915=D977)*($I$876:$I$915=I977)*($J$876:$J$915=L977)*($L$876:$L$915=J977)*($N$876:$N$915))</f>
        <v>0</v>
      </c>
      <c r="O977" s="13">
        <f t="shared" ref="O977" si="577">IF(AK977=0,0,M977*U977*W977)</f>
        <v>0</v>
      </c>
      <c r="P977" s="100">
        <f t="shared" ref="P977" si="578">IF(AK977=0,0,(M977+N977)*U977*W977)</f>
        <v>0</v>
      </c>
      <c r="Q977" s="100">
        <f t="shared" ref="Q977" si="579">IF(AK977=0, VLOOKUP(AR977,$F$53:$L$72,4,FALSE),VLOOKUP(AR977,$F$53:$L$72,4,FALSE)+VLOOKUP(AR977,$F$53:$L$72,6,FALSE) )</f>
        <v>5.0999999999999997E-2</v>
      </c>
      <c r="R977" s="100">
        <f t="shared" ref="R977" si="580">IF(AK977=0, VLOOKUP(AR977,$F$53:$L$72,5,FALSE),VLOOKUP(AR977,$F$53:$L$72,5,FALSE)+VLOOKUP(AR977,$F$53:$L$72,7,FALSE) )</f>
        <v>5.0999999999999996</v>
      </c>
      <c r="S977" s="100">
        <f t="shared" ref="S977" si="581">VLOOKUP(AR977,$F$53:$L$72,2,FALSE)</f>
        <v>4.1000000000000002E-2</v>
      </c>
      <c r="T977" s="100">
        <f t="shared" ref="T977" si="582">VLOOKUP(AR977,$F$53:$L$72,3,FALSE)</f>
        <v>4.0999999999999996</v>
      </c>
      <c r="U977" s="100">
        <f t="shared" ref="U977" si="583" xml:space="preserve"> VLOOKUP(I977,$C$19:$L$31,3,FALSE)</f>
        <v>5</v>
      </c>
      <c r="V977" s="100">
        <f t="shared" ref="V977" si="584" xml:space="preserve"> VLOOKUP(I977,$C$230:$F$242,4,FALSE)</f>
        <v>0</v>
      </c>
      <c r="W977" s="251">
        <f t="shared" ref="W977" si="585" xml:space="preserve"> VLOOKUP(I977,$C$230:$F$242,3,FALSE)</f>
        <v>6165</v>
      </c>
      <c r="X977" s="100">
        <f t="shared" ref="X977" si="586" xml:space="preserve"> VLOOKUP(I977,$C$230:$G$242,5,FALSE)</f>
        <v>0</v>
      </c>
      <c r="Y977" s="251">
        <f t="shared" si="564"/>
        <v>6123</v>
      </c>
      <c r="Z977" s="251">
        <f t="shared" ref="Z977" si="587" xml:space="preserve"> VLOOKUP(I977,$C$230:$F$242,2,FALSE)</f>
        <v>6170</v>
      </c>
      <c r="AA977" s="100">
        <f t="shared" si="573"/>
        <v>0.5</v>
      </c>
      <c r="AB977" s="100">
        <f t="shared" si="573"/>
        <v>0.5</v>
      </c>
      <c r="AC977" s="100">
        <f t="shared" ref="AC977" si="588">IF(AD977=0,MAX((V977-X977)*U977,0),MAX((X977-V977)*U977,0))</f>
        <v>0</v>
      </c>
      <c r="AD977" s="100">
        <f t="shared" ref="AD977" si="589" xml:space="preserve"> VLOOKUP(I977,$C$19:$L$31,6,FALSE)</f>
        <v>9</v>
      </c>
      <c r="AE977" s="12">
        <f t="shared" si="546"/>
        <v>0</v>
      </c>
      <c r="AF977" s="12">
        <f t="shared" si="547"/>
        <v>0</v>
      </c>
      <c r="AG977" s="100">
        <f t="shared" ref="AG977" si="590">ROUND(IF(AK977=0,Q977*U977*W977*N977+R977*N977,IF(J977=0,0,MAX(AI977+(Q977*U977*X977+R977)*AJ977-AC977*AA977,AI977+(Q977*U977*X977+R977)*AB977*AW977)*N977)),2)</f>
        <v>0</v>
      </c>
      <c r="AH977" s="100">
        <f t="shared" ref="AH977" si="591">ROUND(IF(AK977=0,S977*U977*W977*N977+T977*N977,IF(J977=0,0,MAX(AI977+(S977*U977*X977+T977)*AJ977-AC977*AA977,AI977+(S977*U977*X977+T977)*AB977*AW977)*N977)),2)</f>
        <v>0</v>
      </c>
      <c r="AI977" s="100">
        <f t="shared" ref="AI977" si="592">IF(AK977=1,1*U977*W977,0)</f>
        <v>0</v>
      </c>
      <c r="AJ977" s="100">
        <v>2</v>
      </c>
      <c r="AK977" s="100">
        <f t="shared" ref="AK977" si="593" xml:space="preserve"> VLOOKUP(I977,$C$19:$L$31,10,FALSE)</f>
        <v>0</v>
      </c>
      <c r="AL977" s="100">
        <f t="shared" ref="AL977" si="594">IF(AK977=0,IF(F977=G977,IF(J977=0,(W977-Y977)*U977*M977,-(W977-Y977)*U977*M977),IF(J977=0,(W977-Z977)*U977*M977,-(W977-Z977)*U977*M977)),0)</f>
        <v>0</v>
      </c>
      <c r="AM977" s="100">
        <f t="shared" ref="AM977" si="595">IF(AK977=0,IF(J977=0,(W977-Y977)*U977*M977,-(W977-Y977)*U977*M977),0)</f>
        <v>0</v>
      </c>
      <c r="AN977" s="100">
        <f t="shared" ref="AN977" si="596">IF(AK977=0,IF(F977=G977,IF(J977=0,(W977-Y977)*U977*N977,-(W977-Y977)*U977*N977),IF(J977=0,(W977-Z977)*U977*N977,-(W977-Z977)*U977*N977)),0)</f>
        <v>0</v>
      </c>
      <c r="AO977" s="100">
        <f t="shared" ref="AO977" si="597">IF(AK977=0,IF(J977=0,(W977-Y977)*U977*N977,-(W977-Y977)*U977*N977),0)</f>
        <v>0</v>
      </c>
      <c r="AP977" s="100">
        <f t="shared" ref="AP977" si="598" xml:space="preserve"> VLOOKUP(I977,$C$19:$L$31,9,FALSE)</f>
        <v>1</v>
      </c>
      <c r="AQ977" s="221" t="str">
        <f t="shared" ref="AQ977" si="599" xml:space="preserve"> VLOOKUP(I977,$C$19:$L$31,7,FALSE)</f>
        <v>PTA809</v>
      </c>
      <c r="AR977" s="3" t="str">
        <f t="shared" si="467"/>
        <v>PTA80911</v>
      </c>
      <c r="AS977" s="13" t="str">
        <f t="shared" si="468"/>
        <v>9999</v>
      </c>
      <c r="AT977" s="13" t="str">
        <f t="shared" si="469"/>
        <v>CNY</v>
      </c>
      <c r="AU977" s="13" t="str">
        <f t="shared" ref="AU977" si="600">VLOOKUP(D977,$C$5:$G$6,5,FALSE)</f>
        <v>50010002</v>
      </c>
      <c r="AV977" s="228">
        <v>0</v>
      </c>
      <c r="AW977" s="13">
        <f t="shared" ref="AW977" si="601">VLOOKUP(I977,$C$19:$M$31,11,FALSE)</f>
        <v>1</v>
      </c>
      <c r="AX977" s="13" t="str">
        <f t="shared" ref="AX977" si="602">VLOOKUP(I977,$C$19:$M$31,7,FALSE)</f>
        <v>PTA809</v>
      </c>
      <c r="AY977" s="13">
        <f t="shared" ref="AY977" si="603">(M977+N977)*U977*Y977</f>
        <v>0</v>
      </c>
      <c r="AZ977" s="6">
        <f t="shared" si="472"/>
        <v>20180333</v>
      </c>
    </row>
    <row r="978" spans="1:52" s="6" customFormat="1" x14ac:dyDescent="0.25">
      <c r="A978" s="6" t="str">
        <f t="shared" ref="A978:A998" si="604">IF( AND(M978=0,N978=0),"comment","")</f>
        <v>comment</v>
      </c>
      <c r="B978" s="140" t="str">
        <f t="shared" si="574"/>
        <v>2018032710000070</v>
      </c>
      <c r="C978" s="6" t="str">
        <f t="shared" si="554"/>
        <v>6001</v>
      </c>
      <c r="D978" s="6" t="str">
        <f t="shared" si="555"/>
        <v>B00101</v>
      </c>
      <c r="E978" s="6" t="str">
        <f t="shared" si="556"/>
        <v>6001</v>
      </c>
      <c r="F978" s="6">
        <f t="shared" si="456"/>
        <v>20180327</v>
      </c>
      <c r="G978" s="6">
        <f t="shared" si="456"/>
        <v>20180327</v>
      </c>
      <c r="H978" s="6" t="str">
        <f t="shared" si="457"/>
        <v>CZCE</v>
      </c>
      <c r="I978" s="6" t="str">
        <f t="shared" si="557"/>
        <v>SR807</v>
      </c>
      <c r="J978" s="6">
        <f t="shared" si="558"/>
        <v>0</v>
      </c>
      <c r="K978" s="6">
        <f t="shared" si="458"/>
        <v>2</v>
      </c>
      <c r="L978" s="6">
        <f t="shared" si="559"/>
        <v>1</v>
      </c>
      <c r="M978" s="229">
        <f t="shared" si="492"/>
        <v>0</v>
      </c>
      <c r="N978" s="6">
        <f t="shared" si="493"/>
        <v>0</v>
      </c>
      <c r="O978" s="6">
        <f t="shared" si="459"/>
        <v>0</v>
      </c>
      <c r="P978" s="12">
        <f t="shared" si="460"/>
        <v>0</v>
      </c>
      <c r="Q978" s="12">
        <f t="shared" si="560"/>
        <v>0.05</v>
      </c>
      <c r="R978" s="12">
        <f t="shared" si="561"/>
        <v>5</v>
      </c>
      <c r="S978" s="12">
        <f t="shared" si="562"/>
        <v>0.04</v>
      </c>
      <c r="T978" s="12">
        <f t="shared" si="563"/>
        <v>4</v>
      </c>
      <c r="U978" s="12">
        <f t="shared" si="494"/>
        <v>10</v>
      </c>
      <c r="V978" s="12">
        <f t="shared" ref="V978:V995" si="605" xml:space="preserve"> VLOOKUP(I978,$C$230:$F$242,4,FALSE)</f>
        <v>0</v>
      </c>
      <c r="W978" s="12">
        <f t="shared" ref="W978:W995" si="606" xml:space="preserve"> VLOOKUP(I978,$C$230:$F$242,3,FALSE)</f>
        <v>6155</v>
      </c>
      <c r="X978" s="12">
        <f t="shared" ref="X978:X995" si="607" xml:space="preserve"> VLOOKUP(I978,$C$230:$G$242,5,FALSE)</f>
        <v>0</v>
      </c>
      <c r="Y978" s="12">
        <f t="shared" si="564"/>
        <v>6400</v>
      </c>
      <c r="Z978" s="12">
        <f t="shared" ref="Z978:Z995" si="608" xml:space="preserve"> VLOOKUP(I978,$C$230:$F$242,2,FALSE)</f>
        <v>6150</v>
      </c>
      <c r="AA978" s="12">
        <f t="shared" si="573"/>
        <v>0.5</v>
      </c>
      <c r="AB978" s="12">
        <f t="shared" si="573"/>
        <v>0.5</v>
      </c>
      <c r="AC978" s="12">
        <f t="shared" si="565"/>
        <v>0</v>
      </c>
      <c r="AD978" s="12">
        <f t="shared" si="495"/>
        <v>9</v>
      </c>
      <c r="AE978" s="12">
        <f t="shared" si="546"/>
        <v>0</v>
      </c>
      <c r="AF978" s="12">
        <f t="shared" si="547"/>
        <v>0</v>
      </c>
      <c r="AG978" s="12">
        <f t="shared" si="473"/>
        <v>0</v>
      </c>
      <c r="AH978" s="12">
        <f t="shared" si="474"/>
        <v>0</v>
      </c>
      <c r="AI978" s="12">
        <f t="shared" si="566"/>
        <v>0</v>
      </c>
      <c r="AJ978" s="12">
        <v>1</v>
      </c>
      <c r="AK978" s="12">
        <f t="shared" si="496"/>
        <v>0</v>
      </c>
      <c r="AL978" s="12">
        <f t="shared" si="567"/>
        <v>0</v>
      </c>
      <c r="AM978" s="12">
        <f t="shared" si="568"/>
        <v>0</v>
      </c>
      <c r="AN978" s="12">
        <f t="shared" si="569"/>
        <v>0</v>
      </c>
      <c r="AO978" s="12">
        <f t="shared" si="570"/>
        <v>0</v>
      </c>
      <c r="AP978" s="12">
        <f t="shared" si="497"/>
        <v>0</v>
      </c>
      <c r="AQ978" s="3" t="str">
        <f t="shared" si="498"/>
        <v>SR807</v>
      </c>
      <c r="AR978" s="3" t="str">
        <f t="shared" si="467"/>
        <v>SR80710</v>
      </c>
      <c r="AS978" s="6" t="str">
        <f t="shared" si="468"/>
        <v>9999</v>
      </c>
      <c r="AT978" s="6" t="str">
        <f t="shared" si="469"/>
        <v>CNY</v>
      </c>
      <c r="AU978" s="6" t="str">
        <f t="shared" si="571"/>
        <v>50010001</v>
      </c>
      <c r="AV978" s="229">
        <v>0</v>
      </c>
      <c r="AW978" s="6">
        <f t="shared" si="499"/>
        <v>1</v>
      </c>
      <c r="AX978" s="6" t="str">
        <f t="shared" si="500"/>
        <v>SR807</v>
      </c>
      <c r="AY978" s="6">
        <f t="shared" si="471"/>
        <v>0</v>
      </c>
      <c r="AZ978" s="6">
        <f t="shared" si="472"/>
        <v>20180328</v>
      </c>
    </row>
    <row r="979" spans="1:52" s="6" customFormat="1" x14ac:dyDescent="0.25">
      <c r="A979" s="6" t="str">
        <f t="shared" si="604"/>
        <v>comment</v>
      </c>
      <c r="B979" s="140" t="str">
        <f t="shared" si="574"/>
        <v>2018032710000071</v>
      </c>
      <c r="C979" s="6" t="str">
        <f t="shared" si="554"/>
        <v>6001</v>
      </c>
      <c r="D979" s="6" t="str">
        <f t="shared" si="555"/>
        <v>B00101</v>
      </c>
      <c r="E979" s="6" t="str">
        <f t="shared" si="556"/>
        <v>6001</v>
      </c>
      <c r="F979" s="6">
        <f t="shared" si="456"/>
        <v>20180327</v>
      </c>
      <c r="G979" s="6">
        <f t="shared" si="456"/>
        <v>20180327</v>
      </c>
      <c r="H979" s="6" t="str">
        <f t="shared" si="457"/>
        <v>CZCE</v>
      </c>
      <c r="I979" s="6" t="str">
        <f t="shared" si="557"/>
        <v>SR807</v>
      </c>
      <c r="J979" s="6">
        <f t="shared" si="558"/>
        <v>0</v>
      </c>
      <c r="K979" s="6">
        <f t="shared" si="458"/>
        <v>2</v>
      </c>
      <c r="L979" s="6">
        <f t="shared" si="559"/>
        <v>3</v>
      </c>
      <c r="M979" s="229">
        <f t="shared" si="492"/>
        <v>0</v>
      </c>
      <c r="N979" s="6">
        <f t="shared" si="493"/>
        <v>0</v>
      </c>
      <c r="O979" s="6">
        <f t="shared" si="459"/>
        <v>0</v>
      </c>
      <c r="P979" s="12">
        <f t="shared" si="460"/>
        <v>0</v>
      </c>
      <c r="Q979" s="12">
        <f t="shared" si="560"/>
        <v>5.1999999999999998E-2</v>
      </c>
      <c r="R979" s="12">
        <f t="shared" si="561"/>
        <v>5.2</v>
      </c>
      <c r="S979" s="12">
        <f t="shared" si="562"/>
        <v>4.2000000000000003E-2</v>
      </c>
      <c r="T979" s="12">
        <f t="shared" si="563"/>
        <v>4.2</v>
      </c>
      <c r="U979" s="12">
        <f t="shared" si="494"/>
        <v>10</v>
      </c>
      <c r="V979" s="12">
        <f t="shared" si="605"/>
        <v>0</v>
      </c>
      <c r="W979" s="12">
        <f t="shared" si="606"/>
        <v>6155</v>
      </c>
      <c r="X979" s="12">
        <f t="shared" si="607"/>
        <v>0</v>
      </c>
      <c r="Y979" s="12">
        <f t="shared" si="564"/>
        <v>6400</v>
      </c>
      <c r="Z979" s="12">
        <f t="shared" si="608"/>
        <v>6150</v>
      </c>
      <c r="AA979" s="12">
        <f t="shared" si="573"/>
        <v>0.5</v>
      </c>
      <c r="AB979" s="12">
        <f t="shared" si="573"/>
        <v>0.5</v>
      </c>
      <c r="AC979" s="12">
        <f t="shared" si="565"/>
        <v>0</v>
      </c>
      <c r="AD979" s="12">
        <f t="shared" si="495"/>
        <v>9</v>
      </c>
      <c r="AE979" s="12">
        <f t="shared" si="546"/>
        <v>0</v>
      </c>
      <c r="AF979" s="12">
        <f t="shared" si="547"/>
        <v>0</v>
      </c>
      <c r="AG979" s="12">
        <f t="shared" si="473"/>
        <v>0</v>
      </c>
      <c r="AH979" s="12">
        <f t="shared" si="474"/>
        <v>0</v>
      </c>
      <c r="AI979" s="12">
        <f t="shared" si="566"/>
        <v>0</v>
      </c>
      <c r="AJ979" s="12">
        <v>1</v>
      </c>
      <c r="AK979" s="12">
        <f t="shared" si="496"/>
        <v>0</v>
      </c>
      <c r="AL979" s="12">
        <f t="shared" si="567"/>
        <v>0</v>
      </c>
      <c r="AM979" s="12">
        <f t="shared" si="568"/>
        <v>0</v>
      </c>
      <c r="AN979" s="12">
        <f t="shared" si="569"/>
        <v>0</v>
      </c>
      <c r="AO979" s="12">
        <f t="shared" si="570"/>
        <v>0</v>
      </c>
      <c r="AP979" s="12">
        <f t="shared" si="497"/>
        <v>0</v>
      </c>
      <c r="AQ979" s="3" t="str">
        <f t="shared" si="498"/>
        <v>SR807</v>
      </c>
      <c r="AR979" s="3" t="str">
        <f t="shared" si="467"/>
        <v>SR80730</v>
      </c>
      <c r="AS979" s="6" t="str">
        <f t="shared" si="468"/>
        <v>9999</v>
      </c>
      <c r="AT979" s="6" t="str">
        <f t="shared" si="469"/>
        <v>CNY</v>
      </c>
      <c r="AU979" s="6" t="str">
        <f t="shared" si="571"/>
        <v>50010001</v>
      </c>
      <c r="AV979" s="229">
        <v>0</v>
      </c>
      <c r="AW979" s="6">
        <f t="shared" si="499"/>
        <v>1</v>
      </c>
      <c r="AX979" s="6" t="str">
        <f t="shared" si="500"/>
        <v>SR807</v>
      </c>
      <c r="AY979" s="6">
        <f t="shared" si="471"/>
        <v>0</v>
      </c>
      <c r="AZ979" s="6">
        <f t="shared" si="472"/>
        <v>20180328</v>
      </c>
    </row>
    <row r="980" spans="1:52" s="6" customFormat="1" x14ac:dyDescent="0.25">
      <c r="A980" s="6" t="str">
        <f t="shared" si="604"/>
        <v/>
      </c>
      <c r="B980" s="140" t="str">
        <f t="shared" si="574"/>
        <v>2018032710000072</v>
      </c>
      <c r="C980" s="6" t="str">
        <f t="shared" si="554"/>
        <v>6001</v>
      </c>
      <c r="D980" s="6" t="str">
        <f t="shared" si="555"/>
        <v>B00101</v>
      </c>
      <c r="E980" s="6" t="str">
        <f t="shared" si="556"/>
        <v>6001</v>
      </c>
      <c r="F980" s="6">
        <f t="shared" si="456"/>
        <v>20180327</v>
      </c>
      <c r="G980" s="6">
        <f t="shared" si="456"/>
        <v>20180327</v>
      </c>
      <c r="H980" s="6" t="str">
        <f t="shared" si="457"/>
        <v>CZCE</v>
      </c>
      <c r="I980" s="6" t="str">
        <f t="shared" si="557"/>
        <v>SR807</v>
      </c>
      <c r="J980" s="6">
        <f t="shared" si="558"/>
        <v>1</v>
      </c>
      <c r="K980" s="6">
        <f t="shared" si="458"/>
        <v>3</v>
      </c>
      <c r="L980" s="6">
        <f t="shared" si="559"/>
        <v>1</v>
      </c>
      <c r="M980" s="229">
        <f t="shared" si="492"/>
        <v>2</v>
      </c>
      <c r="N980" s="6">
        <f t="shared" si="493"/>
        <v>0</v>
      </c>
      <c r="O980" s="6">
        <f t="shared" si="459"/>
        <v>0</v>
      </c>
      <c r="P980" s="12">
        <f t="shared" si="460"/>
        <v>0</v>
      </c>
      <c r="Q980" s="12">
        <f t="shared" si="560"/>
        <v>5.0999999999999997E-2</v>
      </c>
      <c r="R980" s="12">
        <f t="shared" si="561"/>
        <v>5.0999999999999996</v>
      </c>
      <c r="S980" s="12">
        <f t="shared" si="562"/>
        <v>4.1000000000000002E-2</v>
      </c>
      <c r="T980" s="12">
        <f t="shared" si="563"/>
        <v>4.0999999999999996</v>
      </c>
      <c r="U980" s="12">
        <f t="shared" si="494"/>
        <v>10</v>
      </c>
      <c r="V980" s="12">
        <f t="shared" si="605"/>
        <v>0</v>
      </c>
      <c r="W980" s="250">
        <f t="shared" si="606"/>
        <v>6155</v>
      </c>
      <c r="X980" s="12">
        <f t="shared" si="607"/>
        <v>0</v>
      </c>
      <c r="Y980" s="250">
        <f t="shared" si="564"/>
        <v>6400</v>
      </c>
      <c r="Z980" s="250">
        <f t="shared" si="608"/>
        <v>6150</v>
      </c>
      <c r="AA980" s="12">
        <f t="shared" si="573"/>
        <v>0.5</v>
      </c>
      <c r="AB980" s="12">
        <f t="shared" si="573"/>
        <v>0.5</v>
      </c>
      <c r="AC980" s="12">
        <f t="shared" si="565"/>
        <v>0</v>
      </c>
      <c r="AD980" s="12">
        <f t="shared" si="495"/>
        <v>9</v>
      </c>
      <c r="AE980" s="12">
        <f t="shared" si="546"/>
        <v>6288.3</v>
      </c>
      <c r="AF980" s="12">
        <f t="shared" si="547"/>
        <v>5055.3</v>
      </c>
      <c r="AG980" s="12">
        <f t="shared" si="473"/>
        <v>0</v>
      </c>
      <c r="AH980" s="12">
        <f t="shared" si="474"/>
        <v>0</v>
      </c>
      <c r="AI980" s="12">
        <f t="shared" si="566"/>
        <v>0</v>
      </c>
      <c r="AJ980" s="12">
        <v>1</v>
      </c>
      <c r="AK980" s="12">
        <f t="shared" si="496"/>
        <v>0</v>
      </c>
      <c r="AL980" s="12">
        <f t="shared" si="567"/>
        <v>4900</v>
      </c>
      <c r="AM980" s="12">
        <f t="shared" si="568"/>
        <v>4900</v>
      </c>
      <c r="AN980" s="12">
        <f t="shared" si="569"/>
        <v>0</v>
      </c>
      <c r="AO980" s="12">
        <f t="shared" si="570"/>
        <v>0</v>
      </c>
      <c r="AP980" s="12">
        <f t="shared" si="497"/>
        <v>0</v>
      </c>
      <c r="AQ980" s="3" t="str">
        <f t="shared" si="498"/>
        <v>SR807</v>
      </c>
      <c r="AR980" s="3" t="str">
        <f t="shared" si="467"/>
        <v>SR80711</v>
      </c>
      <c r="AS980" s="6" t="str">
        <f t="shared" si="468"/>
        <v>9999</v>
      </c>
      <c r="AT980" s="6" t="str">
        <f t="shared" si="469"/>
        <v>CNY</v>
      </c>
      <c r="AU980" s="6" t="str">
        <f t="shared" si="571"/>
        <v>50010001</v>
      </c>
      <c r="AV980" s="229">
        <v>0</v>
      </c>
      <c r="AW980" s="6">
        <f t="shared" si="499"/>
        <v>1</v>
      </c>
      <c r="AX980" s="6" t="str">
        <f t="shared" si="500"/>
        <v>SR807</v>
      </c>
      <c r="AY980" s="6">
        <f t="shared" si="471"/>
        <v>128000</v>
      </c>
      <c r="AZ980" s="6">
        <f t="shared" si="472"/>
        <v>20180328</v>
      </c>
    </row>
    <row r="981" spans="1:52" s="6" customFormat="1" x14ac:dyDescent="0.25">
      <c r="A981" s="6" t="str">
        <f t="shared" si="604"/>
        <v>comment</v>
      </c>
      <c r="B981" s="140" t="str">
        <f t="shared" si="574"/>
        <v>2018032710000073</v>
      </c>
      <c r="C981" s="6" t="str">
        <f t="shared" si="554"/>
        <v>6001</v>
      </c>
      <c r="D981" s="6" t="str">
        <f t="shared" si="555"/>
        <v>B00101</v>
      </c>
      <c r="E981" s="6" t="str">
        <f t="shared" si="556"/>
        <v>6001</v>
      </c>
      <c r="F981" s="6">
        <f t="shared" si="456"/>
        <v>20180327</v>
      </c>
      <c r="G981" s="6">
        <f t="shared" si="456"/>
        <v>20180327</v>
      </c>
      <c r="H981" s="6" t="str">
        <f t="shared" si="457"/>
        <v>CZCE</v>
      </c>
      <c r="I981" s="6" t="str">
        <f t="shared" si="557"/>
        <v>SR807</v>
      </c>
      <c r="J981" s="6">
        <f t="shared" si="558"/>
        <v>1</v>
      </c>
      <c r="K981" s="6">
        <f t="shared" si="458"/>
        <v>3</v>
      </c>
      <c r="L981" s="6">
        <f t="shared" si="559"/>
        <v>3</v>
      </c>
      <c r="M981" s="229">
        <f t="shared" si="492"/>
        <v>0</v>
      </c>
      <c r="N981" s="6">
        <f t="shared" si="493"/>
        <v>0</v>
      </c>
      <c r="O981" s="6">
        <f t="shared" si="459"/>
        <v>0</v>
      </c>
      <c r="P981" s="12">
        <f t="shared" si="460"/>
        <v>0</v>
      </c>
      <c r="Q981" s="12">
        <f t="shared" si="560"/>
        <v>5.2999999999999999E-2</v>
      </c>
      <c r="R981" s="12">
        <f t="shared" si="561"/>
        <v>5.3</v>
      </c>
      <c r="S981" s="12">
        <f t="shared" si="562"/>
        <v>4.2999999999999997E-2</v>
      </c>
      <c r="T981" s="12">
        <f t="shared" si="563"/>
        <v>4.3</v>
      </c>
      <c r="U981" s="12">
        <f t="shared" si="494"/>
        <v>10</v>
      </c>
      <c r="V981" s="12">
        <f t="shared" si="605"/>
        <v>0</v>
      </c>
      <c r="W981" s="12">
        <f t="shared" si="606"/>
        <v>6155</v>
      </c>
      <c r="X981" s="12">
        <f t="shared" si="607"/>
        <v>0</v>
      </c>
      <c r="Y981" s="12">
        <f t="shared" si="564"/>
        <v>6400</v>
      </c>
      <c r="Z981" s="12">
        <f t="shared" si="608"/>
        <v>6150</v>
      </c>
      <c r="AA981" s="12">
        <f t="shared" si="573"/>
        <v>0.5</v>
      </c>
      <c r="AB981" s="12">
        <f t="shared" si="573"/>
        <v>0.5</v>
      </c>
      <c r="AC981" s="12">
        <f t="shared" si="565"/>
        <v>0</v>
      </c>
      <c r="AD981" s="12">
        <f t="shared" si="495"/>
        <v>9</v>
      </c>
      <c r="AE981" s="12">
        <f t="shared" si="546"/>
        <v>0</v>
      </c>
      <c r="AF981" s="12">
        <f t="shared" si="547"/>
        <v>0</v>
      </c>
      <c r="AG981" s="12">
        <f t="shared" si="473"/>
        <v>0</v>
      </c>
      <c r="AH981" s="12">
        <f t="shared" si="474"/>
        <v>0</v>
      </c>
      <c r="AI981" s="12">
        <f t="shared" si="566"/>
        <v>0</v>
      </c>
      <c r="AJ981" s="12">
        <v>1</v>
      </c>
      <c r="AK981" s="12">
        <f t="shared" si="496"/>
        <v>0</v>
      </c>
      <c r="AL981" s="12">
        <f t="shared" si="567"/>
        <v>0</v>
      </c>
      <c r="AM981" s="12">
        <f t="shared" si="568"/>
        <v>0</v>
      </c>
      <c r="AN981" s="12">
        <f t="shared" si="569"/>
        <v>0</v>
      </c>
      <c r="AO981" s="12">
        <f t="shared" si="570"/>
        <v>0</v>
      </c>
      <c r="AP981" s="12">
        <f t="shared" si="497"/>
        <v>0</v>
      </c>
      <c r="AQ981" s="3" t="str">
        <f t="shared" si="498"/>
        <v>SR807</v>
      </c>
      <c r="AR981" s="3" t="str">
        <f t="shared" si="467"/>
        <v>SR80731</v>
      </c>
      <c r="AS981" s="6" t="str">
        <f t="shared" si="468"/>
        <v>9999</v>
      </c>
      <c r="AT981" s="6" t="str">
        <f t="shared" si="469"/>
        <v>CNY</v>
      </c>
      <c r="AU981" s="6" t="str">
        <f t="shared" si="571"/>
        <v>50010001</v>
      </c>
      <c r="AV981" s="229">
        <v>0</v>
      </c>
      <c r="AW981" s="6">
        <f>VLOOKUP(I981,$C$19:$M$31,11,FALSE)</f>
        <v>1</v>
      </c>
      <c r="AX981" s="6" t="str">
        <f t="shared" si="500"/>
        <v>SR807</v>
      </c>
      <c r="AY981" s="6">
        <f t="shared" si="471"/>
        <v>0</v>
      </c>
      <c r="AZ981" s="6">
        <f t="shared" si="472"/>
        <v>20180328</v>
      </c>
    </row>
    <row r="982" spans="1:52" s="13" customFormat="1" x14ac:dyDescent="0.25">
      <c r="A982" s="13" t="str">
        <f t="shared" si="604"/>
        <v/>
      </c>
      <c r="B982" s="227" t="str">
        <f t="shared" si="574"/>
        <v>2018032710000074</v>
      </c>
      <c r="C982" s="13" t="str">
        <f t="shared" si="554"/>
        <v>6001</v>
      </c>
      <c r="D982" s="13" t="str">
        <f t="shared" si="555"/>
        <v>B00101</v>
      </c>
      <c r="E982" s="13" t="str">
        <f t="shared" si="556"/>
        <v>6001</v>
      </c>
      <c r="F982" s="13">
        <f t="shared" si="456"/>
        <v>20180327</v>
      </c>
      <c r="G982" s="13">
        <f t="shared" si="456"/>
        <v>20180327</v>
      </c>
      <c r="H982" s="13" t="str">
        <f t="shared" si="457"/>
        <v>CZCE</v>
      </c>
      <c r="I982" s="13" t="str">
        <f t="shared" si="557"/>
        <v>SR807</v>
      </c>
      <c r="J982" s="13">
        <f t="shared" si="558"/>
        <v>0</v>
      </c>
      <c r="K982" s="13">
        <f t="shared" si="458"/>
        <v>2</v>
      </c>
      <c r="L982" s="13">
        <f t="shared" si="559"/>
        <v>1</v>
      </c>
      <c r="M982" s="228">
        <f t="shared" si="492"/>
        <v>11</v>
      </c>
      <c r="N982" s="13">
        <f t="shared" si="493"/>
        <v>4</v>
      </c>
      <c r="O982" s="13">
        <f t="shared" si="459"/>
        <v>0</v>
      </c>
      <c r="P982" s="100">
        <f t="shared" si="460"/>
        <v>0</v>
      </c>
      <c r="Q982" s="100">
        <f t="shared" si="560"/>
        <v>0.05</v>
      </c>
      <c r="R982" s="100">
        <f t="shared" si="561"/>
        <v>5</v>
      </c>
      <c r="S982" s="100">
        <f t="shared" si="562"/>
        <v>0.04</v>
      </c>
      <c r="T982" s="100">
        <f t="shared" si="563"/>
        <v>4</v>
      </c>
      <c r="U982" s="100">
        <f t="shared" si="494"/>
        <v>10</v>
      </c>
      <c r="V982" s="100">
        <f t="shared" si="605"/>
        <v>0</v>
      </c>
      <c r="W982" s="251">
        <f t="shared" si="606"/>
        <v>6155</v>
      </c>
      <c r="X982" s="100">
        <f t="shared" si="607"/>
        <v>0</v>
      </c>
      <c r="Y982" s="251">
        <f t="shared" si="564"/>
        <v>6500</v>
      </c>
      <c r="Z982" s="251">
        <f t="shared" si="608"/>
        <v>6150</v>
      </c>
      <c r="AA982" s="100">
        <f t="shared" si="573"/>
        <v>0.5</v>
      </c>
      <c r="AB982" s="100">
        <f t="shared" si="573"/>
        <v>0.5</v>
      </c>
      <c r="AC982" s="100">
        <f t="shared" si="565"/>
        <v>0</v>
      </c>
      <c r="AD982" s="100">
        <f t="shared" si="495"/>
        <v>9</v>
      </c>
      <c r="AE982" s="12">
        <f t="shared" si="546"/>
        <v>33907.5</v>
      </c>
      <c r="AF982" s="12">
        <f t="shared" si="547"/>
        <v>27126</v>
      </c>
      <c r="AG982" s="100">
        <f t="shared" si="473"/>
        <v>12330</v>
      </c>
      <c r="AH982" s="100">
        <f t="shared" si="474"/>
        <v>9864</v>
      </c>
      <c r="AI982" s="100">
        <f t="shared" si="566"/>
        <v>0</v>
      </c>
      <c r="AJ982" s="100">
        <v>1</v>
      </c>
      <c r="AK982" s="100">
        <f t="shared" si="496"/>
        <v>0</v>
      </c>
      <c r="AL982" s="100">
        <f t="shared" si="567"/>
        <v>-37950</v>
      </c>
      <c r="AM982" s="100">
        <f t="shared" si="568"/>
        <v>-37950</v>
      </c>
      <c r="AN982" s="100">
        <f t="shared" si="569"/>
        <v>-13800</v>
      </c>
      <c r="AO982" s="100">
        <f t="shared" si="570"/>
        <v>-13800</v>
      </c>
      <c r="AP982" s="100">
        <f t="shared" si="497"/>
        <v>0</v>
      </c>
      <c r="AQ982" s="221" t="str">
        <f t="shared" si="498"/>
        <v>SR807</v>
      </c>
      <c r="AR982" s="3" t="str">
        <f t="shared" si="467"/>
        <v>SR80710</v>
      </c>
      <c r="AS982" s="13" t="str">
        <f t="shared" si="468"/>
        <v>9999</v>
      </c>
      <c r="AT982" s="13" t="str">
        <f t="shared" si="469"/>
        <v>CNY</v>
      </c>
      <c r="AU982" s="13" t="str">
        <f t="shared" si="571"/>
        <v>50010001</v>
      </c>
      <c r="AV982" s="228">
        <v>0</v>
      </c>
      <c r="AW982" s="13">
        <f t="shared" si="499"/>
        <v>1</v>
      </c>
      <c r="AX982" s="13" t="str">
        <f t="shared" si="500"/>
        <v>SR807</v>
      </c>
      <c r="AY982" s="13">
        <f t="shared" si="471"/>
        <v>975000</v>
      </c>
      <c r="AZ982" s="6">
        <f t="shared" si="472"/>
        <v>20180328</v>
      </c>
    </row>
    <row r="983" spans="1:52" s="6" customFormat="1" x14ac:dyDescent="0.25">
      <c r="A983" s="6" t="str">
        <f t="shared" si="604"/>
        <v>comment</v>
      </c>
      <c r="B983" s="140" t="str">
        <f t="shared" si="574"/>
        <v>2018032710000075</v>
      </c>
      <c r="C983" s="6" t="str">
        <f t="shared" si="554"/>
        <v>6001</v>
      </c>
      <c r="D983" s="6" t="str">
        <f t="shared" si="555"/>
        <v>B00101</v>
      </c>
      <c r="E983" s="6" t="str">
        <f t="shared" si="556"/>
        <v>6001</v>
      </c>
      <c r="F983" s="6">
        <f t="shared" si="456"/>
        <v>20180327</v>
      </c>
      <c r="G983" s="6">
        <f t="shared" si="456"/>
        <v>20180327</v>
      </c>
      <c r="H983" s="6" t="str">
        <f t="shared" si="457"/>
        <v>CZCE</v>
      </c>
      <c r="I983" s="6" t="str">
        <f t="shared" si="557"/>
        <v>SR807</v>
      </c>
      <c r="J983" s="6">
        <f t="shared" si="558"/>
        <v>0</v>
      </c>
      <c r="K983" s="6">
        <f t="shared" si="458"/>
        <v>2</v>
      </c>
      <c r="L983" s="6">
        <f t="shared" si="559"/>
        <v>3</v>
      </c>
      <c r="M983" s="229">
        <f t="shared" si="492"/>
        <v>0</v>
      </c>
      <c r="N983" s="6">
        <f t="shared" si="493"/>
        <v>0</v>
      </c>
      <c r="O983" s="6">
        <f t="shared" si="459"/>
        <v>0</v>
      </c>
      <c r="P983" s="12">
        <f t="shared" si="460"/>
        <v>0</v>
      </c>
      <c r="Q983" s="12">
        <f t="shared" si="560"/>
        <v>5.1999999999999998E-2</v>
      </c>
      <c r="R983" s="12">
        <f t="shared" si="561"/>
        <v>5.2</v>
      </c>
      <c r="S983" s="12">
        <f t="shared" si="562"/>
        <v>4.2000000000000003E-2</v>
      </c>
      <c r="T983" s="12">
        <f t="shared" si="563"/>
        <v>4.2</v>
      </c>
      <c r="U983" s="12">
        <f t="shared" si="494"/>
        <v>10</v>
      </c>
      <c r="V983" s="12">
        <f t="shared" si="605"/>
        <v>0</v>
      </c>
      <c r="W983" s="12">
        <f t="shared" si="606"/>
        <v>6155</v>
      </c>
      <c r="X983" s="12">
        <f t="shared" si="607"/>
        <v>0</v>
      </c>
      <c r="Y983" s="12">
        <f t="shared" si="564"/>
        <v>6500</v>
      </c>
      <c r="Z983" s="12">
        <f t="shared" si="608"/>
        <v>6150</v>
      </c>
      <c r="AA983" s="12">
        <f t="shared" si="573"/>
        <v>0.5</v>
      </c>
      <c r="AB983" s="12">
        <f t="shared" si="573"/>
        <v>0.5</v>
      </c>
      <c r="AC983" s="12">
        <f t="shared" si="565"/>
        <v>0</v>
      </c>
      <c r="AD983" s="12">
        <f t="shared" si="495"/>
        <v>9</v>
      </c>
      <c r="AE983" s="12">
        <f t="shared" si="546"/>
        <v>0</v>
      </c>
      <c r="AF983" s="12">
        <f t="shared" si="547"/>
        <v>0</v>
      </c>
      <c r="AG983" s="12">
        <f t="shared" si="473"/>
        <v>0</v>
      </c>
      <c r="AH983" s="12">
        <f t="shared" si="474"/>
        <v>0</v>
      </c>
      <c r="AI983" s="12">
        <f t="shared" si="566"/>
        <v>0</v>
      </c>
      <c r="AJ983" s="12">
        <v>1</v>
      </c>
      <c r="AK983" s="12">
        <f t="shared" si="496"/>
        <v>0</v>
      </c>
      <c r="AL983" s="12">
        <f t="shared" si="567"/>
        <v>0</v>
      </c>
      <c r="AM983" s="12">
        <f t="shared" si="568"/>
        <v>0</v>
      </c>
      <c r="AN983" s="12">
        <f t="shared" si="569"/>
        <v>0</v>
      </c>
      <c r="AO983" s="12">
        <f t="shared" si="570"/>
        <v>0</v>
      </c>
      <c r="AP983" s="12">
        <f t="shared" si="497"/>
        <v>0</v>
      </c>
      <c r="AQ983" s="3" t="str">
        <f t="shared" si="498"/>
        <v>SR807</v>
      </c>
      <c r="AR983" s="3" t="str">
        <f t="shared" si="467"/>
        <v>SR80730</v>
      </c>
      <c r="AS983" s="6" t="str">
        <f t="shared" si="468"/>
        <v>9999</v>
      </c>
      <c r="AT983" s="6" t="str">
        <f t="shared" si="469"/>
        <v>CNY</v>
      </c>
      <c r="AU983" s="6" t="str">
        <f t="shared" si="571"/>
        <v>50010001</v>
      </c>
      <c r="AV983" s="229">
        <v>0</v>
      </c>
      <c r="AW983" s="6">
        <f t="shared" si="499"/>
        <v>1</v>
      </c>
      <c r="AX983" s="6" t="str">
        <f t="shared" si="500"/>
        <v>SR807</v>
      </c>
      <c r="AY983" s="6">
        <f t="shared" si="471"/>
        <v>0</v>
      </c>
      <c r="AZ983" s="6">
        <f t="shared" si="472"/>
        <v>20180328</v>
      </c>
    </row>
    <row r="984" spans="1:52" s="6" customFormat="1" x14ac:dyDescent="0.25">
      <c r="A984" s="6" t="str">
        <f t="shared" si="604"/>
        <v>comment</v>
      </c>
      <c r="B984" s="140" t="str">
        <f t="shared" si="574"/>
        <v>2018032710000076</v>
      </c>
      <c r="C984" s="6" t="str">
        <f t="shared" si="554"/>
        <v>6001</v>
      </c>
      <c r="D984" s="6" t="str">
        <f t="shared" si="555"/>
        <v>B00101</v>
      </c>
      <c r="E984" s="6" t="str">
        <f t="shared" si="556"/>
        <v>6001</v>
      </c>
      <c r="F984" s="6">
        <f t="shared" si="456"/>
        <v>20180327</v>
      </c>
      <c r="G984" s="6">
        <f t="shared" si="456"/>
        <v>20180327</v>
      </c>
      <c r="H984" s="6" t="str">
        <f t="shared" si="457"/>
        <v>CZCE</v>
      </c>
      <c r="I984" s="6" t="str">
        <f t="shared" si="557"/>
        <v>SR807</v>
      </c>
      <c r="J984" s="6">
        <f t="shared" si="558"/>
        <v>1</v>
      </c>
      <c r="K984" s="6">
        <f t="shared" si="458"/>
        <v>3</v>
      </c>
      <c r="L984" s="6">
        <f t="shared" si="559"/>
        <v>1</v>
      </c>
      <c r="M984" s="229">
        <f t="shared" si="492"/>
        <v>0</v>
      </c>
      <c r="N984" s="6">
        <f t="shared" si="493"/>
        <v>0</v>
      </c>
      <c r="O984" s="6">
        <f t="shared" si="459"/>
        <v>0</v>
      </c>
      <c r="P984" s="12">
        <f t="shared" si="460"/>
        <v>0</v>
      </c>
      <c r="Q984" s="12">
        <f t="shared" si="560"/>
        <v>5.0999999999999997E-2</v>
      </c>
      <c r="R984" s="12">
        <f t="shared" si="561"/>
        <v>5.0999999999999996</v>
      </c>
      <c r="S984" s="12">
        <f t="shared" si="562"/>
        <v>4.1000000000000002E-2</v>
      </c>
      <c r="T984" s="12">
        <f t="shared" si="563"/>
        <v>4.0999999999999996</v>
      </c>
      <c r="U984" s="12">
        <f t="shared" si="494"/>
        <v>10</v>
      </c>
      <c r="V984" s="12">
        <f t="shared" si="605"/>
        <v>0</v>
      </c>
      <c r="W984" s="12">
        <f t="shared" si="606"/>
        <v>6155</v>
      </c>
      <c r="X984" s="12">
        <f t="shared" si="607"/>
        <v>0</v>
      </c>
      <c r="Y984" s="12">
        <f t="shared" si="564"/>
        <v>6500</v>
      </c>
      <c r="Z984" s="12">
        <f t="shared" si="608"/>
        <v>6150</v>
      </c>
      <c r="AA984" s="12">
        <f t="shared" si="573"/>
        <v>0.5</v>
      </c>
      <c r="AB984" s="12">
        <f t="shared" si="573"/>
        <v>0.5</v>
      </c>
      <c r="AC984" s="12">
        <f t="shared" si="565"/>
        <v>0</v>
      </c>
      <c r="AD984" s="12">
        <f t="shared" si="495"/>
        <v>9</v>
      </c>
      <c r="AE984" s="12">
        <f t="shared" si="546"/>
        <v>0</v>
      </c>
      <c r="AF984" s="12">
        <f t="shared" si="547"/>
        <v>0</v>
      </c>
      <c r="AG984" s="12">
        <f t="shared" si="473"/>
        <v>0</v>
      </c>
      <c r="AH984" s="12">
        <f t="shared" si="474"/>
        <v>0</v>
      </c>
      <c r="AI984" s="12">
        <f t="shared" si="566"/>
        <v>0</v>
      </c>
      <c r="AJ984" s="12">
        <v>1</v>
      </c>
      <c r="AK984" s="12">
        <f t="shared" si="496"/>
        <v>0</v>
      </c>
      <c r="AL984" s="12">
        <f t="shared" si="567"/>
        <v>0</v>
      </c>
      <c r="AM984" s="12">
        <f t="shared" si="568"/>
        <v>0</v>
      </c>
      <c r="AN984" s="12">
        <f t="shared" si="569"/>
        <v>0</v>
      </c>
      <c r="AO984" s="12">
        <f t="shared" si="570"/>
        <v>0</v>
      </c>
      <c r="AP984" s="12">
        <f t="shared" si="497"/>
        <v>0</v>
      </c>
      <c r="AQ984" s="3" t="str">
        <f t="shared" si="498"/>
        <v>SR807</v>
      </c>
      <c r="AR984" s="3" t="str">
        <f t="shared" si="467"/>
        <v>SR80711</v>
      </c>
      <c r="AS984" s="6" t="str">
        <f t="shared" si="468"/>
        <v>9999</v>
      </c>
      <c r="AT984" s="6" t="str">
        <f t="shared" si="469"/>
        <v>CNY</v>
      </c>
      <c r="AU984" s="6" t="str">
        <f t="shared" si="571"/>
        <v>50010001</v>
      </c>
      <c r="AV984" s="229">
        <v>0</v>
      </c>
      <c r="AW984" s="6">
        <f t="shared" si="499"/>
        <v>1</v>
      </c>
      <c r="AX984" s="6" t="str">
        <f t="shared" si="500"/>
        <v>SR807</v>
      </c>
      <c r="AY984" s="6">
        <f t="shared" si="471"/>
        <v>0</v>
      </c>
      <c r="AZ984" s="6">
        <f t="shared" si="472"/>
        <v>20180328</v>
      </c>
    </row>
    <row r="985" spans="1:52" s="6" customFormat="1" x14ac:dyDescent="0.25">
      <c r="A985" s="6" t="str">
        <f t="shared" si="604"/>
        <v/>
      </c>
      <c r="B985" s="140" t="str">
        <f t="shared" si="574"/>
        <v>2018032710000077</v>
      </c>
      <c r="C985" s="6" t="str">
        <f t="shared" si="554"/>
        <v>6001</v>
      </c>
      <c r="D985" s="6" t="str">
        <f t="shared" si="555"/>
        <v>B00101</v>
      </c>
      <c r="E985" s="6" t="str">
        <f t="shared" si="556"/>
        <v>6001</v>
      </c>
      <c r="F985" s="6">
        <f>$B$2</f>
        <v>20180327</v>
      </c>
      <c r="G985" s="6">
        <f t="shared" si="456"/>
        <v>20180327</v>
      </c>
      <c r="H985" s="6" t="str">
        <f t="shared" si="457"/>
        <v>CZCE</v>
      </c>
      <c r="I985" s="6" t="str">
        <f t="shared" si="557"/>
        <v>SR807</v>
      </c>
      <c r="J985" s="6">
        <f t="shared" si="558"/>
        <v>1</v>
      </c>
      <c r="K985" s="6">
        <f t="shared" si="458"/>
        <v>3</v>
      </c>
      <c r="L985" s="6">
        <f t="shared" si="559"/>
        <v>3</v>
      </c>
      <c r="M985" s="229">
        <f t="shared" si="492"/>
        <v>10</v>
      </c>
      <c r="N985" s="6">
        <f t="shared" si="493"/>
        <v>0</v>
      </c>
      <c r="O985" s="6">
        <f t="shared" si="459"/>
        <v>0</v>
      </c>
      <c r="P985" s="12">
        <f t="shared" si="460"/>
        <v>0</v>
      </c>
      <c r="Q985" s="12">
        <f t="shared" si="560"/>
        <v>5.2999999999999999E-2</v>
      </c>
      <c r="R985" s="12">
        <f t="shared" si="561"/>
        <v>5.3</v>
      </c>
      <c r="S985" s="12">
        <f t="shared" si="562"/>
        <v>4.2999999999999997E-2</v>
      </c>
      <c r="T985" s="12">
        <f t="shared" si="563"/>
        <v>4.3</v>
      </c>
      <c r="U985" s="12">
        <f t="shared" si="494"/>
        <v>10</v>
      </c>
      <c r="V985" s="12">
        <f t="shared" si="605"/>
        <v>0</v>
      </c>
      <c r="W985" s="250">
        <f t="shared" si="606"/>
        <v>6155</v>
      </c>
      <c r="X985" s="12">
        <f t="shared" si="607"/>
        <v>0</v>
      </c>
      <c r="Y985" s="250">
        <f t="shared" si="564"/>
        <v>6500</v>
      </c>
      <c r="Z985" s="250">
        <f t="shared" si="608"/>
        <v>6150</v>
      </c>
      <c r="AA985" s="12">
        <f t="shared" si="573"/>
        <v>0.5</v>
      </c>
      <c r="AB985" s="12">
        <f t="shared" si="573"/>
        <v>0.5</v>
      </c>
      <c r="AC985" s="12">
        <f t="shared" si="565"/>
        <v>0</v>
      </c>
      <c r="AD985" s="12">
        <f t="shared" si="495"/>
        <v>9</v>
      </c>
      <c r="AE985" s="12">
        <f t="shared" si="546"/>
        <v>32674.5</v>
      </c>
      <c r="AF985" s="12">
        <f t="shared" si="547"/>
        <v>26509.5</v>
      </c>
      <c r="AG985" s="12">
        <f t="shared" si="473"/>
        <v>0</v>
      </c>
      <c r="AH985" s="12">
        <f t="shared" si="474"/>
        <v>0</v>
      </c>
      <c r="AI985" s="12">
        <f t="shared" si="566"/>
        <v>0</v>
      </c>
      <c r="AJ985" s="12">
        <v>1</v>
      </c>
      <c r="AK985" s="12">
        <f t="shared" si="496"/>
        <v>0</v>
      </c>
      <c r="AL985" s="12">
        <f t="shared" si="567"/>
        <v>34500</v>
      </c>
      <c r="AM985" s="12">
        <f t="shared" si="568"/>
        <v>34500</v>
      </c>
      <c r="AN985" s="12">
        <f t="shared" si="569"/>
        <v>0</v>
      </c>
      <c r="AO985" s="12">
        <f t="shared" si="570"/>
        <v>0</v>
      </c>
      <c r="AP985" s="12">
        <f t="shared" si="497"/>
        <v>0</v>
      </c>
      <c r="AQ985" s="3" t="str">
        <f t="shared" si="498"/>
        <v>SR807</v>
      </c>
      <c r="AR985" s="3" t="str">
        <f t="shared" si="467"/>
        <v>SR80731</v>
      </c>
      <c r="AS985" s="6" t="str">
        <f t="shared" si="468"/>
        <v>9999</v>
      </c>
      <c r="AT985" s="6" t="str">
        <f t="shared" si="469"/>
        <v>CNY</v>
      </c>
      <c r="AU985" s="6" t="str">
        <f t="shared" si="571"/>
        <v>50010001</v>
      </c>
      <c r="AV985" s="229">
        <v>0</v>
      </c>
      <c r="AW985" s="6">
        <f t="shared" si="499"/>
        <v>1</v>
      </c>
      <c r="AX985" s="6" t="str">
        <f t="shared" si="500"/>
        <v>SR807</v>
      </c>
      <c r="AY985" s="6">
        <f t="shared" si="471"/>
        <v>650000</v>
      </c>
      <c r="AZ985" s="6">
        <f t="shared" si="472"/>
        <v>20180328</v>
      </c>
    </row>
    <row r="986" spans="1:52" s="6" customFormat="1" x14ac:dyDescent="0.25">
      <c r="A986" s="6" t="str">
        <f t="shared" si="604"/>
        <v>comment</v>
      </c>
      <c r="B986" s="140" t="str">
        <f t="shared" si="574"/>
        <v>2018032710000170</v>
      </c>
      <c r="C986" s="6" t="str">
        <f t="shared" si="554"/>
        <v>6001</v>
      </c>
      <c r="D986" s="6" t="str">
        <f t="shared" si="555"/>
        <v>B00102</v>
      </c>
      <c r="E986" s="6" t="str">
        <f t="shared" si="556"/>
        <v>6001</v>
      </c>
      <c r="F986" s="6">
        <f t="shared" ref="F986:F994" si="609">$B$2</f>
        <v>20180327</v>
      </c>
      <c r="G986" s="6">
        <f t="shared" si="456"/>
        <v>20180327</v>
      </c>
      <c r="H986" s="6" t="str">
        <f t="shared" si="457"/>
        <v>CZCE</v>
      </c>
      <c r="I986" s="6" t="str">
        <f t="shared" si="557"/>
        <v>PTA807</v>
      </c>
      <c r="J986" s="6">
        <f t="shared" si="558"/>
        <v>0</v>
      </c>
      <c r="K986" s="6">
        <f t="shared" ref="K986:K993" si="610">IF(J986=0,2,3)</f>
        <v>2</v>
      </c>
      <c r="L986" s="6">
        <f t="shared" si="559"/>
        <v>1</v>
      </c>
      <c r="M986" s="229">
        <f t="shared" ref="M986:M993" si="611">SUMPRODUCT(($C$693:$C$761=B986)*($E$693:$E$761=C986)*($F$693:$F$761=D986)*($G$693:$G$761=E986)*($L$693:$L$761=I986)*($O$693:$O$761=J986)*($P$693:$P$761=L986)*($N$693:$N$761=0)*($Q$693:$Q$761))-SUMPRODUCT(($D$693:$D$761=B986)*($E$693:$E$761=C986)*($F$693:$F$761=D986)*($G$693:$G$761=E986)*($L$693:$L$761=I986)*($O$693:$O$761&lt;&gt;J986)*($P$693:$P$761=L986)*($N$693:$N$761&lt;&gt;0)*($Q$693:$Q$761))+AV986-SUMPRODUCT(($B$842:$B$869=B986)*($C$842:$C$869=C986)*($D$842:$D$869=D986)*($O$842:$O$869&lt;&gt;2)*($N$842:$N$869))-N986</f>
        <v>0</v>
      </c>
      <c r="N986" s="6">
        <f t="shared" si="493"/>
        <v>0</v>
      </c>
      <c r="O986" s="6">
        <f t="shared" ref="O986:O993" si="612">IF(AK986=0,0,M986*U986*W986)</f>
        <v>0</v>
      </c>
      <c r="P986" s="12">
        <f t="shared" ref="P986:P993" si="613">IF(AK986=0,0,(M986+N986)*U986*W986)</f>
        <v>0</v>
      </c>
      <c r="Q986" s="12">
        <f t="shared" ref="Q986:Q993" si="614">IF(AK986=0, VLOOKUP(AR986,$F$53:$L$72,4,FALSE),VLOOKUP(AR986,$F$53:$L$72,4,FALSE)+VLOOKUP(AR986,$F$53:$L$72,6,FALSE) )</f>
        <v>0.05</v>
      </c>
      <c r="R986" s="12">
        <f t="shared" ref="R986:R993" si="615">IF(AK986=0, VLOOKUP(AR986,$F$53:$L$72,5,FALSE),VLOOKUP(AR986,$F$53:$L$72,5,FALSE)+VLOOKUP(AR986,$F$53:$L$72,7,FALSE) )</f>
        <v>5</v>
      </c>
      <c r="S986" s="12">
        <f t="shared" ref="S986:S993" si="616">VLOOKUP(AR986,$F$53:$L$72,2,FALSE)</f>
        <v>0.04</v>
      </c>
      <c r="T986" s="12">
        <f t="shared" ref="T986:T993" si="617">VLOOKUP(AR986,$F$53:$L$72,3,FALSE)</f>
        <v>4</v>
      </c>
      <c r="U986" s="12">
        <f t="shared" si="494"/>
        <v>5</v>
      </c>
      <c r="V986" s="12">
        <f t="shared" si="605"/>
        <v>0</v>
      </c>
      <c r="W986" s="250">
        <f t="shared" si="606"/>
        <v>6160</v>
      </c>
      <c r="X986" s="12">
        <f t="shared" si="607"/>
        <v>0</v>
      </c>
      <c r="Y986" s="250">
        <f t="shared" si="564"/>
        <v>6500</v>
      </c>
      <c r="Z986" s="250">
        <f t="shared" si="608"/>
        <v>6165</v>
      </c>
      <c r="AA986" s="12">
        <f t="shared" si="573"/>
        <v>0.5</v>
      </c>
      <c r="AB986" s="12">
        <f t="shared" si="573"/>
        <v>0.5</v>
      </c>
      <c r="AC986" s="12">
        <f t="shared" ref="AC986:AC993" si="618">IF(AD986=0,MAX((V986-X986)*U986,0),MAX((X986-V986)*U986,0))</f>
        <v>0</v>
      </c>
      <c r="AD986" s="12">
        <f t="shared" si="495"/>
        <v>9</v>
      </c>
      <c r="AE986" s="12">
        <f t="shared" si="546"/>
        <v>0</v>
      </c>
      <c r="AF986" s="12">
        <f t="shared" si="547"/>
        <v>0</v>
      </c>
      <c r="AG986" s="12">
        <f t="shared" si="473"/>
        <v>0</v>
      </c>
      <c r="AH986" s="12">
        <f t="shared" si="474"/>
        <v>0</v>
      </c>
      <c r="AI986" s="12">
        <f t="shared" ref="AI986:AI993" si="619">IF(AK986=1,1*U986*W986,0)</f>
        <v>0</v>
      </c>
      <c r="AJ986" s="12">
        <v>1</v>
      </c>
      <c r="AK986" s="12">
        <f t="shared" si="496"/>
        <v>0</v>
      </c>
      <c r="AL986" s="12">
        <f t="shared" ref="AL986:AL993" si="620">IF(AK986=0,IF(F986=G986,IF(J986=0,(W986-Y986)*U986*M986,-(W986-Y986)*U986*M986),IF(J986=0,(W986-Z986)*U986*M986,-(W986-Z986)*U986*M986)),0)</f>
        <v>0</v>
      </c>
      <c r="AM986" s="12">
        <f t="shared" ref="AM986:AM993" si="621">IF(AK986=0,IF(J986=0,(W986-Y986)*U986*M986,-(W986-Y986)*U986*M986),0)</f>
        <v>0</v>
      </c>
      <c r="AN986" s="12">
        <f t="shared" ref="AN986:AN993" si="622">IF(AK986=0,IF(F986=G986,IF(J986=0,(W986-Y986)*U986*N986,-(W986-Y986)*U986*N986),IF(J986=0,(W986-Z986)*U986*N986,-(W986-Z986)*U986*N986)),0)</f>
        <v>0</v>
      </c>
      <c r="AO986" s="12">
        <f t="shared" ref="AO986:AO993" si="623">IF(AK986=0,IF(J986=0,(W986-Y986)*U986*N986,-(W986-Y986)*U986*N986),0)</f>
        <v>0</v>
      </c>
      <c r="AP986" s="12">
        <f t="shared" si="497"/>
        <v>1</v>
      </c>
      <c r="AQ986" s="3" t="str">
        <f t="shared" si="498"/>
        <v>PTA807</v>
      </c>
      <c r="AR986" s="3" t="str">
        <f t="shared" si="467"/>
        <v>PTA80710</v>
      </c>
      <c r="AS986" s="6" t="str">
        <f t="shared" si="468"/>
        <v>9999</v>
      </c>
      <c r="AT986" s="6" t="str">
        <f t="shared" si="469"/>
        <v>CNY</v>
      </c>
      <c r="AU986" s="6" t="str">
        <f t="shared" ref="AU986:AU993" si="624">VLOOKUP(D986,$C$5:$G$6,5,FALSE)</f>
        <v>50010002</v>
      </c>
      <c r="AV986" s="229">
        <v>0</v>
      </c>
      <c r="AW986" s="6">
        <f t="shared" si="499"/>
        <v>1</v>
      </c>
      <c r="AX986" s="6" t="str">
        <f t="shared" si="500"/>
        <v>PTA807</v>
      </c>
      <c r="AY986" s="6">
        <f t="shared" si="471"/>
        <v>0</v>
      </c>
      <c r="AZ986" s="6">
        <f t="shared" si="472"/>
        <v>20180328</v>
      </c>
    </row>
    <row r="987" spans="1:52" s="6" customFormat="1" x14ac:dyDescent="0.25">
      <c r="A987" s="6" t="str">
        <f t="shared" si="604"/>
        <v>comment</v>
      </c>
      <c r="B987" s="140" t="str">
        <f t="shared" si="574"/>
        <v>2018032710000171</v>
      </c>
      <c r="C987" s="6" t="str">
        <f t="shared" si="554"/>
        <v>6001</v>
      </c>
      <c r="D987" s="6" t="str">
        <f t="shared" si="555"/>
        <v>B00102</v>
      </c>
      <c r="E987" s="6" t="str">
        <f t="shared" si="556"/>
        <v>6001</v>
      </c>
      <c r="F987" s="6">
        <f t="shared" si="609"/>
        <v>20180327</v>
      </c>
      <c r="G987" s="6">
        <f t="shared" si="456"/>
        <v>20180327</v>
      </c>
      <c r="H987" s="6" t="str">
        <f t="shared" si="457"/>
        <v>CZCE</v>
      </c>
      <c r="I987" s="6" t="str">
        <f t="shared" si="557"/>
        <v>PTA807</v>
      </c>
      <c r="J987" s="6">
        <f t="shared" si="558"/>
        <v>0</v>
      </c>
      <c r="K987" s="6">
        <f t="shared" si="610"/>
        <v>2</v>
      </c>
      <c r="L987" s="6">
        <f t="shared" si="559"/>
        <v>3</v>
      </c>
      <c r="M987" s="229">
        <f t="shared" si="611"/>
        <v>0</v>
      </c>
      <c r="N987" s="6">
        <f t="shared" si="493"/>
        <v>0</v>
      </c>
      <c r="O987" s="6">
        <f t="shared" si="612"/>
        <v>0</v>
      </c>
      <c r="P987" s="12">
        <f t="shared" si="613"/>
        <v>0</v>
      </c>
      <c r="Q987" s="12">
        <f t="shared" si="614"/>
        <v>5.1999999999999998E-2</v>
      </c>
      <c r="R987" s="12">
        <f t="shared" si="615"/>
        <v>5.2</v>
      </c>
      <c r="S987" s="12">
        <f t="shared" si="616"/>
        <v>4.2000000000000003E-2</v>
      </c>
      <c r="T987" s="12">
        <f t="shared" si="617"/>
        <v>4.2</v>
      </c>
      <c r="U987" s="12">
        <f t="shared" si="494"/>
        <v>5</v>
      </c>
      <c r="V987" s="12">
        <f t="shared" si="605"/>
        <v>0</v>
      </c>
      <c r="W987" s="250">
        <f t="shared" si="606"/>
        <v>6160</v>
      </c>
      <c r="X987" s="12">
        <f t="shared" si="607"/>
        <v>0</v>
      </c>
      <c r="Y987" s="250">
        <f t="shared" si="564"/>
        <v>6500</v>
      </c>
      <c r="Z987" s="250">
        <f t="shared" si="608"/>
        <v>6165</v>
      </c>
      <c r="AA987" s="12">
        <f t="shared" si="573"/>
        <v>0.5</v>
      </c>
      <c r="AB987" s="12">
        <f t="shared" si="573"/>
        <v>0.5</v>
      </c>
      <c r="AC987" s="12">
        <f t="shared" si="618"/>
        <v>0</v>
      </c>
      <c r="AD987" s="12">
        <f t="shared" si="495"/>
        <v>9</v>
      </c>
      <c r="AE987" s="12">
        <f t="shared" si="546"/>
        <v>0</v>
      </c>
      <c r="AF987" s="12">
        <f t="shared" si="547"/>
        <v>0</v>
      </c>
      <c r="AG987" s="12">
        <f t="shared" si="473"/>
        <v>0</v>
      </c>
      <c r="AH987" s="12">
        <f t="shared" si="474"/>
        <v>0</v>
      </c>
      <c r="AI987" s="12">
        <f t="shared" si="619"/>
        <v>0</v>
      </c>
      <c r="AJ987" s="12">
        <v>1</v>
      </c>
      <c r="AK987" s="12">
        <f t="shared" si="496"/>
        <v>0</v>
      </c>
      <c r="AL987" s="12">
        <f t="shared" si="620"/>
        <v>0</v>
      </c>
      <c r="AM987" s="12">
        <f t="shared" si="621"/>
        <v>0</v>
      </c>
      <c r="AN987" s="12">
        <f t="shared" si="622"/>
        <v>0</v>
      </c>
      <c r="AO987" s="12">
        <f t="shared" si="623"/>
        <v>0</v>
      </c>
      <c r="AP987" s="12">
        <f t="shared" si="497"/>
        <v>1</v>
      </c>
      <c r="AQ987" s="3" t="str">
        <f t="shared" si="498"/>
        <v>PTA807</v>
      </c>
      <c r="AR987" s="3" t="str">
        <f t="shared" ref="AR987:AR998" si="625">IF(AK987=0,AQ987&amp;L987&amp;J987,IF(AD987=0,AQ987&amp;L987&amp;1,AQ987&amp;L987&amp;0))</f>
        <v>PTA80730</v>
      </c>
      <c r="AS987" s="6" t="str">
        <f t="shared" si="468"/>
        <v>9999</v>
      </c>
      <c r="AT987" s="6" t="str">
        <f t="shared" si="469"/>
        <v>CNY</v>
      </c>
      <c r="AU987" s="6" t="str">
        <f t="shared" si="624"/>
        <v>50010002</v>
      </c>
      <c r="AV987" s="229">
        <v>0</v>
      </c>
      <c r="AW987" s="6">
        <f t="shared" si="499"/>
        <v>1</v>
      </c>
      <c r="AX987" s="6" t="str">
        <f t="shared" si="500"/>
        <v>PTA807</v>
      </c>
      <c r="AY987" s="6">
        <f t="shared" si="471"/>
        <v>0</v>
      </c>
      <c r="AZ987" s="6">
        <f t="shared" ref="AZ987:AZ998" si="626">VLOOKUP(I987,$C$19:$F$31,4,FALSE)</f>
        <v>20180328</v>
      </c>
    </row>
    <row r="988" spans="1:52" s="6" customFormat="1" x14ac:dyDescent="0.25">
      <c r="A988" s="6" t="str">
        <f t="shared" si="604"/>
        <v>comment</v>
      </c>
      <c r="B988" s="140" t="str">
        <f t="shared" si="574"/>
        <v>2018032710000172</v>
      </c>
      <c r="C988" s="6" t="str">
        <f t="shared" si="554"/>
        <v>6001</v>
      </c>
      <c r="D988" s="6" t="str">
        <f t="shared" si="555"/>
        <v>B00102</v>
      </c>
      <c r="E988" s="6" t="str">
        <f t="shared" si="556"/>
        <v>6001</v>
      </c>
      <c r="F988" s="6">
        <f t="shared" si="609"/>
        <v>20180327</v>
      </c>
      <c r="G988" s="6">
        <f t="shared" si="456"/>
        <v>20180327</v>
      </c>
      <c r="H988" s="6" t="str">
        <f t="shared" si="457"/>
        <v>CZCE</v>
      </c>
      <c r="I988" s="6" t="str">
        <f t="shared" si="557"/>
        <v>PTA807</v>
      </c>
      <c r="J988" s="6">
        <f t="shared" si="558"/>
        <v>1</v>
      </c>
      <c r="K988" s="6">
        <f t="shared" si="610"/>
        <v>3</v>
      </c>
      <c r="L988" s="6">
        <f t="shared" si="559"/>
        <v>1</v>
      </c>
      <c r="M988" s="229">
        <f t="shared" si="611"/>
        <v>0</v>
      </c>
      <c r="N988" s="6">
        <f t="shared" ref="N988:N998" si="627">SUMPRODUCT(($E$876:$E$915=B988)*($F$876:$F$915=C988)*($G$876:$G$915=D988)*($I$876:$I$915=I988)*($J$876:$J$915=L988)*($L$876:$L$915=J988)*($N$876:$N$915))</f>
        <v>0</v>
      </c>
      <c r="O988" s="6">
        <f t="shared" si="612"/>
        <v>0</v>
      </c>
      <c r="P988" s="12">
        <f t="shared" si="613"/>
        <v>0</v>
      </c>
      <c r="Q988" s="12">
        <f t="shared" si="614"/>
        <v>5.0999999999999997E-2</v>
      </c>
      <c r="R988" s="12">
        <f t="shared" si="615"/>
        <v>5.0999999999999996</v>
      </c>
      <c r="S988" s="12">
        <f t="shared" si="616"/>
        <v>4.1000000000000002E-2</v>
      </c>
      <c r="T988" s="12">
        <f t="shared" si="617"/>
        <v>4.0999999999999996</v>
      </c>
      <c r="U988" s="12">
        <f t="shared" ref="U988:U995" si="628" xml:space="preserve"> VLOOKUP(I988,$C$19:$L$31,3,FALSE)</f>
        <v>5</v>
      </c>
      <c r="V988" s="12">
        <f t="shared" si="605"/>
        <v>0</v>
      </c>
      <c r="W988" s="250">
        <f t="shared" si="606"/>
        <v>6160</v>
      </c>
      <c r="X988" s="12">
        <f t="shared" si="607"/>
        <v>0</v>
      </c>
      <c r="Y988" s="250">
        <f t="shared" si="564"/>
        <v>6500</v>
      </c>
      <c r="Z988" s="250">
        <f t="shared" si="608"/>
        <v>6165</v>
      </c>
      <c r="AA988" s="12">
        <f t="shared" si="573"/>
        <v>0.5</v>
      </c>
      <c r="AB988" s="12">
        <f t="shared" si="573"/>
        <v>0.5</v>
      </c>
      <c r="AC988" s="12">
        <f t="shared" si="618"/>
        <v>0</v>
      </c>
      <c r="AD988" s="12">
        <f t="shared" ref="AD988:AD995" si="629" xml:space="preserve"> VLOOKUP(I988,$C$19:$L$31,6,FALSE)</f>
        <v>9</v>
      </c>
      <c r="AE988" s="12">
        <f t="shared" si="546"/>
        <v>0</v>
      </c>
      <c r="AF988" s="12">
        <f t="shared" si="547"/>
        <v>0</v>
      </c>
      <c r="AG988" s="12">
        <f t="shared" si="473"/>
        <v>0</v>
      </c>
      <c r="AH988" s="12">
        <f t="shared" si="474"/>
        <v>0</v>
      </c>
      <c r="AI988" s="12">
        <f t="shared" si="619"/>
        <v>0</v>
      </c>
      <c r="AJ988" s="12">
        <v>1</v>
      </c>
      <c r="AK988" s="12">
        <f t="shared" ref="AK988:AK995" si="630" xml:space="preserve"> VLOOKUP(I988,$C$19:$L$31,10,FALSE)</f>
        <v>0</v>
      </c>
      <c r="AL988" s="12">
        <f t="shared" si="620"/>
        <v>0</v>
      </c>
      <c r="AM988" s="12">
        <f t="shared" si="621"/>
        <v>0</v>
      </c>
      <c r="AN988" s="12">
        <f t="shared" si="622"/>
        <v>0</v>
      </c>
      <c r="AO988" s="12">
        <f t="shared" si="623"/>
        <v>0</v>
      </c>
      <c r="AP988" s="12">
        <f t="shared" ref="AP988:AP995" si="631" xml:space="preserve"> VLOOKUP(I988,$C$19:$L$31,9,FALSE)</f>
        <v>1</v>
      </c>
      <c r="AQ988" s="3" t="str">
        <f t="shared" ref="AQ988:AQ995" si="632" xml:space="preserve"> VLOOKUP(I988,$C$19:$L$31,7,FALSE)</f>
        <v>PTA807</v>
      </c>
      <c r="AR988" s="3" t="str">
        <f t="shared" si="625"/>
        <v>PTA80711</v>
      </c>
      <c r="AS988" s="6" t="str">
        <f t="shared" si="468"/>
        <v>9999</v>
      </c>
      <c r="AT988" s="6" t="str">
        <f t="shared" si="469"/>
        <v>CNY</v>
      </c>
      <c r="AU988" s="6" t="str">
        <f t="shared" si="624"/>
        <v>50010002</v>
      </c>
      <c r="AV988" s="229">
        <v>0</v>
      </c>
      <c r="AW988" s="6">
        <f t="shared" ref="AW988:AW998" si="633">VLOOKUP(I988,$C$19:$M$31,11,FALSE)</f>
        <v>1</v>
      </c>
      <c r="AX988" s="6" t="str">
        <f t="shared" ref="AX988:AX998" si="634">VLOOKUP(I988,$C$19:$M$31,7,FALSE)</f>
        <v>PTA807</v>
      </c>
      <c r="AY988" s="6">
        <f t="shared" si="471"/>
        <v>0</v>
      </c>
      <c r="AZ988" s="6">
        <f t="shared" si="626"/>
        <v>20180328</v>
      </c>
    </row>
    <row r="989" spans="1:52" s="6" customFormat="1" x14ac:dyDescent="0.25">
      <c r="A989" s="6" t="str">
        <f t="shared" si="604"/>
        <v>comment</v>
      </c>
      <c r="B989" s="140" t="str">
        <f t="shared" si="574"/>
        <v>2018032710000173</v>
      </c>
      <c r="C989" s="6" t="str">
        <f t="shared" si="554"/>
        <v>6001</v>
      </c>
      <c r="D989" s="6" t="str">
        <f t="shared" si="555"/>
        <v>B00102</v>
      </c>
      <c r="E989" s="6" t="str">
        <f t="shared" si="556"/>
        <v>6001</v>
      </c>
      <c r="F989" s="6">
        <f t="shared" si="609"/>
        <v>20180327</v>
      </c>
      <c r="G989" s="6">
        <f t="shared" si="456"/>
        <v>20180327</v>
      </c>
      <c r="H989" s="6" t="str">
        <f t="shared" si="457"/>
        <v>CZCE</v>
      </c>
      <c r="I989" s="6" t="str">
        <f t="shared" si="557"/>
        <v>PTA807</v>
      </c>
      <c r="J989" s="6">
        <f t="shared" si="558"/>
        <v>1</v>
      </c>
      <c r="K989" s="6">
        <f t="shared" si="610"/>
        <v>3</v>
      </c>
      <c r="L989" s="6">
        <f t="shared" si="559"/>
        <v>3</v>
      </c>
      <c r="M989" s="229">
        <f t="shared" si="611"/>
        <v>0</v>
      </c>
      <c r="N989" s="6">
        <f t="shared" si="627"/>
        <v>0</v>
      </c>
      <c r="O989" s="6">
        <f t="shared" si="612"/>
        <v>0</v>
      </c>
      <c r="P989" s="12">
        <f t="shared" si="613"/>
        <v>0</v>
      </c>
      <c r="Q989" s="12">
        <f t="shared" si="614"/>
        <v>5.2999999999999999E-2</v>
      </c>
      <c r="R989" s="12">
        <f t="shared" si="615"/>
        <v>5.3</v>
      </c>
      <c r="S989" s="12">
        <f t="shared" si="616"/>
        <v>4.2999999999999997E-2</v>
      </c>
      <c r="T989" s="12">
        <f t="shared" si="617"/>
        <v>4.3</v>
      </c>
      <c r="U989" s="12">
        <f t="shared" si="628"/>
        <v>5</v>
      </c>
      <c r="V989" s="12">
        <f t="shared" si="605"/>
        <v>0</v>
      </c>
      <c r="W989" s="250">
        <f t="shared" si="606"/>
        <v>6160</v>
      </c>
      <c r="X989" s="12">
        <f t="shared" si="607"/>
        <v>0</v>
      </c>
      <c r="Y989" s="250">
        <f t="shared" si="564"/>
        <v>6500</v>
      </c>
      <c r="Z989" s="250">
        <f t="shared" si="608"/>
        <v>6165</v>
      </c>
      <c r="AA989" s="12">
        <f t="shared" si="573"/>
        <v>0.5</v>
      </c>
      <c r="AB989" s="12">
        <f t="shared" si="573"/>
        <v>0.5</v>
      </c>
      <c r="AC989" s="12">
        <f t="shared" si="618"/>
        <v>0</v>
      </c>
      <c r="AD989" s="12">
        <f t="shared" si="629"/>
        <v>9</v>
      </c>
      <c r="AE989" s="12">
        <f t="shared" si="546"/>
        <v>0</v>
      </c>
      <c r="AF989" s="12">
        <f t="shared" si="547"/>
        <v>0</v>
      </c>
      <c r="AG989" s="12">
        <f t="shared" si="473"/>
        <v>0</v>
      </c>
      <c r="AH989" s="12">
        <f t="shared" si="474"/>
        <v>0</v>
      </c>
      <c r="AI989" s="12">
        <f t="shared" si="619"/>
        <v>0</v>
      </c>
      <c r="AJ989" s="12">
        <v>1</v>
      </c>
      <c r="AK989" s="12">
        <f t="shared" si="630"/>
        <v>0</v>
      </c>
      <c r="AL989" s="12">
        <f t="shared" si="620"/>
        <v>0</v>
      </c>
      <c r="AM989" s="12">
        <f t="shared" si="621"/>
        <v>0</v>
      </c>
      <c r="AN989" s="12">
        <f t="shared" si="622"/>
        <v>0</v>
      </c>
      <c r="AO989" s="12">
        <f t="shared" si="623"/>
        <v>0</v>
      </c>
      <c r="AP989" s="12">
        <f t="shared" si="631"/>
        <v>1</v>
      </c>
      <c r="AQ989" s="3" t="str">
        <f t="shared" si="632"/>
        <v>PTA807</v>
      </c>
      <c r="AR989" s="3" t="str">
        <f t="shared" si="625"/>
        <v>PTA80731</v>
      </c>
      <c r="AS989" s="6" t="str">
        <f t="shared" si="468"/>
        <v>9999</v>
      </c>
      <c r="AT989" s="6" t="str">
        <f t="shared" si="469"/>
        <v>CNY</v>
      </c>
      <c r="AU989" s="6" t="str">
        <f t="shared" si="624"/>
        <v>50010002</v>
      </c>
      <c r="AV989" s="229">
        <v>0</v>
      </c>
      <c r="AW989" s="6">
        <f t="shared" si="633"/>
        <v>1</v>
      </c>
      <c r="AX989" s="6" t="str">
        <f t="shared" si="634"/>
        <v>PTA807</v>
      </c>
      <c r="AY989" s="6">
        <f t="shared" ref="AY989:AY998" si="635">(M989+N989)*U989*Y989</f>
        <v>0</v>
      </c>
      <c r="AZ989" s="6">
        <f t="shared" si="626"/>
        <v>20180328</v>
      </c>
    </row>
    <row r="990" spans="1:52" s="13" customFormat="1" x14ac:dyDescent="0.25">
      <c r="A990" s="13" t="str">
        <f t="shared" si="604"/>
        <v/>
      </c>
      <c r="B990" s="227" t="str">
        <f t="shared" si="574"/>
        <v>2018032710000174</v>
      </c>
      <c r="C990" s="13" t="str">
        <f t="shared" si="554"/>
        <v>6001</v>
      </c>
      <c r="D990" s="13" t="str">
        <f t="shared" si="555"/>
        <v>B00102</v>
      </c>
      <c r="E990" s="13" t="str">
        <f t="shared" si="556"/>
        <v>6001</v>
      </c>
      <c r="F990" s="13">
        <f t="shared" si="609"/>
        <v>20180327</v>
      </c>
      <c r="G990" s="13">
        <f t="shared" si="456"/>
        <v>20180327</v>
      </c>
      <c r="H990" s="13" t="str">
        <f t="shared" si="457"/>
        <v>CZCE</v>
      </c>
      <c r="I990" s="13" t="str">
        <f t="shared" si="557"/>
        <v>PTA807</v>
      </c>
      <c r="J990" s="13">
        <f t="shared" si="558"/>
        <v>0</v>
      </c>
      <c r="K990" s="13">
        <f t="shared" si="610"/>
        <v>2</v>
      </c>
      <c r="L990" s="13">
        <f t="shared" si="559"/>
        <v>1</v>
      </c>
      <c r="M990" s="228">
        <f t="shared" si="611"/>
        <v>3</v>
      </c>
      <c r="N990" s="13">
        <f t="shared" si="627"/>
        <v>0</v>
      </c>
      <c r="O990" s="13">
        <f t="shared" si="612"/>
        <v>0</v>
      </c>
      <c r="P990" s="100">
        <f t="shared" si="613"/>
        <v>0</v>
      </c>
      <c r="Q990" s="100">
        <f t="shared" si="614"/>
        <v>0.05</v>
      </c>
      <c r="R990" s="100">
        <f t="shared" si="615"/>
        <v>5</v>
      </c>
      <c r="S990" s="100">
        <f t="shared" si="616"/>
        <v>0.04</v>
      </c>
      <c r="T990" s="100">
        <f t="shared" si="617"/>
        <v>4</v>
      </c>
      <c r="U990" s="100">
        <f t="shared" si="628"/>
        <v>5</v>
      </c>
      <c r="V990" s="100">
        <f t="shared" si="605"/>
        <v>0</v>
      </c>
      <c r="W990" s="251">
        <f t="shared" si="606"/>
        <v>6160</v>
      </c>
      <c r="X990" s="100">
        <f t="shared" si="607"/>
        <v>0</v>
      </c>
      <c r="Y990" s="251">
        <f t="shared" si="564"/>
        <v>6200</v>
      </c>
      <c r="Z990" s="251">
        <f t="shared" si="608"/>
        <v>6165</v>
      </c>
      <c r="AA990" s="100">
        <f t="shared" si="573"/>
        <v>0.5</v>
      </c>
      <c r="AB990" s="100">
        <f t="shared" si="573"/>
        <v>0.5</v>
      </c>
      <c r="AC990" s="100">
        <f t="shared" si="618"/>
        <v>0</v>
      </c>
      <c r="AD990" s="100">
        <f t="shared" si="629"/>
        <v>9</v>
      </c>
      <c r="AE990" s="12">
        <f t="shared" si="546"/>
        <v>4635</v>
      </c>
      <c r="AF990" s="12">
        <f t="shared" si="547"/>
        <v>3708</v>
      </c>
      <c r="AG990" s="100">
        <f t="shared" si="473"/>
        <v>0</v>
      </c>
      <c r="AH990" s="100">
        <f t="shared" si="474"/>
        <v>0</v>
      </c>
      <c r="AI990" s="100">
        <f t="shared" si="619"/>
        <v>0</v>
      </c>
      <c r="AJ990" s="100">
        <v>1</v>
      </c>
      <c r="AK990" s="100">
        <f t="shared" si="630"/>
        <v>0</v>
      </c>
      <c r="AL990" s="100">
        <f t="shared" si="620"/>
        <v>-600</v>
      </c>
      <c r="AM990" s="100">
        <f t="shared" si="621"/>
        <v>-600</v>
      </c>
      <c r="AN990" s="100">
        <f t="shared" si="622"/>
        <v>0</v>
      </c>
      <c r="AO990" s="100">
        <f t="shared" si="623"/>
        <v>0</v>
      </c>
      <c r="AP990" s="100">
        <f t="shared" si="631"/>
        <v>1</v>
      </c>
      <c r="AQ990" s="221" t="str">
        <f t="shared" si="632"/>
        <v>PTA807</v>
      </c>
      <c r="AR990" s="3" t="str">
        <f t="shared" si="625"/>
        <v>PTA80710</v>
      </c>
      <c r="AS990" s="13" t="str">
        <f t="shared" si="468"/>
        <v>9999</v>
      </c>
      <c r="AT990" s="13" t="str">
        <f t="shared" si="469"/>
        <v>CNY</v>
      </c>
      <c r="AU990" s="13" t="str">
        <f t="shared" si="624"/>
        <v>50010002</v>
      </c>
      <c r="AV990" s="228">
        <v>0</v>
      </c>
      <c r="AW990" s="13">
        <f t="shared" si="633"/>
        <v>1</v>
      </c>
      <c r="AX990" s="13" t="str">
        <f t="shared" si="634"/>
        <v>PTA807</v>
      </c>
      <c r="AY990" s="13">
        <f t="shared" si="635"/>
        <v>93000</v>
      </c>
      <c r="AZ990" s="6">
        <f t="shared" si="626"/>
        <v>20180328</v>
      </c>
    </row>
    <row r="991" spans="1:52" s="6" customFormat="1" x14ac:dyDescent="0.25">
      <c r="A991" s="6" t="str">
        <f t="shared" si="604"/>
        <v>comment</v>
      </c>
      <c r="B991" s="140" t="str">
        <f t="shared" si="574"/>
        <v>2018032710000175</v>
      </c>
      <c r="C991" s="6" t="str">
        <f t="shared" si="554"/>
        <v>6001</v>
      </c>
      <c r="D991" s="6" t="str">
        <f t="shared" si="555"/>
        <v>B00102</v>
      </c>
      <c r="E991" s="6" t="str">
        <f t="shared" si="556"/>
        <v>6001</v>
      </c>
      <c r="F991" s="6">
        <f t="shared" si="609"/>
        <v>20180327</v>
      </c>
      <c r="G991" s="6">
        <f t="shared" si="456"/>
        <v>20180327</v>
      </c>
      <c r="H991" s="6" t="str">
        <f t="shared" si="457"/>
        <v>CZCE</v>
      </c>
      <c r="I991" s="6" t="str">
        <f t="shared" si="557"/>
        <v>PTA807</v>
      </c>
      <c r="J991" s="6">
        <f t="shared" si="558"/>
        <v>0</v>
      </c>
      <c r="K991" s="6">
        <f t="shared" si="610"/>
        <v>2</v>
      </c>
      <c r="L991" s="6">
        <f t="shared" si="559"/>
        <v>3</v>
      </c>
      <c r="M991" s="229">
        <f t="shared" si="611"/>
        <v>0</v>
      </c>
      <c r="N991" s="6">
        <f t="shared" si="627"/>
        <v>0</v>
      </c>
      <c r="O991" s="6">
        <f t="shared" si="612"/>
        <v>0</v>
      </c>
      <c r="P991" s="12">
        <f t="shared" si="613"/>
        <v>0</v>
      </c>
      <c r="Q991" s="12">
        <f t="shared" si="614"/>
        <v>5.1999999999999998E-2</v>
      </c>
      <c r="R991" s="12">
        <f t="shared" si="615"/>
        <v>5.2</v>
      </c>
      <c r="S991" s="12">
        <f t="shared" si="616"/>
        <v>4.2000000000000003E-2</v>
      </c>
      <c r="T991" s="12">
        <f t="shared" si="617"/>
        <v>4.2</v>
      </c>
      <c r="U991" s="12">
        <f t="shared" si="628"/>
        <v>5</v>
      </c>
      <c r="V991" s="12">
        <f t="shared" si="605"/>
        <v>0</v>
      </c>
      <c r="W991" s="250">
        <f t="shared" si="606"/>
        <v>6160</v>
      </c>
      <c r="X991" s="12">
        <f t="shared" si="607"/>
        <v>0</v>
      </c>
      <c r="Y991" s="250">
        <f t="shared" si="564"/>
        <v>6200</v>
      </c>
      <c r="Z991" s="250">
        <f t="shared" si="608"/>
        <v>6165</v>
      </c>
      <c r="AA991" s="12">
        <f t="shared" si="573"/>
        <v>0.5</v>
      </c>
      <c r="AB991" s="12">
        <f t="shared" si="573"/>
        <v>0.5</v>
      </c>
      <c r="AC991" s="12">
        <f t="shared" si="618"/>
        <v>0</v>
      </c>
      <c r="AD991" s="12">
        <f t="shared" si="629"/>
        <v>9</v>
      </c>
      <c r="AE991" s="12">
        <f t="shared" si="546"/>
        <v>0</v>
      </c>
      <c r="AF991" s="12">
        <f t="shared" si="547"/>
        <v>0</v>
      </c>
      <c r="AG991" s="12">
        <f t="shared" si="473"/>
        <v>0</v>
      </c>
      <c r="AH991" s="12">
        <f t="shared" si="474"/>
        <v>0</v>
      </c>
      <c r="AI991" s="12">
        <f t="shared" si="619"/>
        <v>0</v>
      </c>
      <c r="AJ991" s="12">
        <v>1</v>
      </c>
      <c r="AK991" s="12">
        <f t="shared" si="630"/>
        <v>0</v>
      </c>
      <c r="AL991" s="12">
        <f t="shared" si="620"/>
        <v>0</v>
      </c>
      <c r="AM991" s="12">
        <f t="shared" si="621"/>
        <v>0</v>
      </c>
      <c r="AN991" s="12">
        <f t="shared" si="622"/>
        <v>0</v>
      </c>
      <c r="AO991" s="12">
        <f t="shared" si="623"/>
        <v>0</v>
      </c>
      <c r="AP991" s="12">
        <f t="shared" si="631"/>
        <v>1</v>
      </c>
      <c r="AQ991" s="3" t="str">
        <f t="shared" si="632"/>
        <v>PTA807</v>
      </c>
      <c r="AR991" s="3" t="str">
        <f t="shared" si="625"/>
        <v>PTA80730</v>
      </c>
      <c r="AS991" s="6" t="str">
        <f t="shared" si="468"/>
        <v>9999</v>
      </c>
      <c r="AT991" s="6" t="str">
        <f t="shared" si="469"/>
        <v>CNY</v>
      </c>
      <c r="AU991" s="6" t="str">
        <f t="shared" si="624"/>
        <v>50010002</v>
      </c>
      <c r="AV991" s="229">
        <v>0</v>
      </c>
      <c r="AW991" s="6">
        <f t="shared" si="633"/>
        <v>1</v>
      </c>
      <c r="AX991" s="6" t="str">
        <f t="shared" si="634"/>
        <v>PTA807</v>
      </c>
      <c r="AY991" s="6">
        <f t="shared" si="635"/>
        <v>0</v>
      </c>
      <c r="AZ991" s="6">
        <f t="shared" si="626"/>
        <v>20180328</v>
      </c>
    </row>
    <row r="992" spans="1:52" s="6" customFormat="1" x14ac:dyDescent="0.25">
      <c r="A992" s="6" t="str">
        <f t="shared" si="604"/>
        <v/>
      </c>
      <c r="B992" s="140" t="str">
        <f t="shared" si="574"/>
        <v>2018032710000176</v>
      </c>
      <c r="C992" s="6" t="str">
        <f t="shared" si="554"/>
        <v>6001</v>
      </c>
      <c r="D992" s="6" t="str">
        <f t="shared" si="555"/>
        <v>B00102</v>
      </c>
      <c r="E992" s="6" t="str">
        <f t="shared" si="556"/>
        <v>6001</v>
      </c>
      <c r="F992" s="6">
        <f t="shared" si="609"/>
        <v>20180327</v>
      </c>
      <c r="G992" s="6">
        <f t="shared" si="456"/>
        <v>20180327</v>
      </c>
      <c r="H992" s="6" t="str">
        <f t="shared" si="457"/>
        <v>CZCE</v>
      </c>
      <c r="I992" s="6" t="str">
        <f t="shared" si="557"/>
        <v>PTA807</v>
      </c>
      <c r="J992" s="6">
        <f t="shared" si="558"/>
        <v>1</v>
      </c>
      <c r="K992" s="6">
        <f t="shared" si="610"/>
        <v>3</v>
      </c>
      <c r="L992" s="6">
        <f t="shared" si="559"/>
        <v>1</v>
      </c>
      <c r="M992" s="229">
        <f t="shared" si="611"/>
        <v>1</v>
      </c>
      <c r="N992" s="6">
        <f t="shared" si="627"/>
        <v>0</v>
      </c>
      <c r="O992" s="6">
        <f t="shared" si="612"/>
        <v>0</v>
      </c>
      <c r="P992" s="12">
        <f t="shared" si="613"/>
        <v>0</v>
      </c>
      <c r="Q992" s="12">
        <f t="shared" si="614"/>
        <v>5.0999999999999997E-2</v>
      </c>
      <c r="R992" s="12">
        <f t="shared" si="615"/>
        <v>5.0999999999999996</v>
      </c>
      <c r="S992" s="12">
        <f t="shared" si="616"/>
        <v>4.1000000000000002E-2</v>
      </c>
      <c r="T992" s="12">
        <f t="shared" si="617"/>
        <v>4.0999999999999996</v>
      </c>
      <c r="U992" s="12">
        <f t="shared" si="628"/>
        <v>5</v>
      </c>
      <c r="V992" s="12">
        <f t="shared" si="605"/>
        <v>0</v>
      </c>
      <c r="W992" s="250">
        <f t="shared" si="606"/>
        <v>6160</v>
      </c>
      <c r="X992" s="12">
        <f t="shared" si="607"/>
        <v>0</v>
      </c>
      <c r="Y992" s="250">
        <f t="shared" si="564"/>
        <v>6200</v>
      </c>
      <c r="Z992" s="250">
        <f t="shared" si="608"/>
        <v>6165</v>
      </c>
      <c r="AA992" s="12">
        <f t="shared" si="573"/>
        <v>0.5</v>
      </c>
      <c r="AB992" s="12">
        <f t="shared" si="573"/>
        <v>0.5</v>
      </c>
      <c r="AC992" s="12">
        <f t="shared" si="618"/>
        <v>0</v>
      </c>
      <c r="AD992" s="12">
        <f t="shared" si="629"/>
        <v>9</v>
      </c>
      <c r="AE992" s="12">
        <f t="shared" si="546"/>
        <v>1575.9</v>
      </c>
      <c r="AF992" s="12">
        <f t="shared" si="547"/>
        <v>1266.9000000000001</v>
      </c>
      <c r="AG992" s="12">
        <f t="shared" si="473"/>
        <v>0</v>
      </c>
      <c r="AH992" s="12">
        <f t="shared" si="474"/>
        <v>0</v>
      </c>
      <c r="AI992" s="12">
        <f t="shared" si="619"/>
        <v>0</v>
      </c>
      <c r="AJ992" s="12">
        <v>1</v>
      </c>
      <c r="AK992" s="12">
        <f t="shared" si="630"/>
        <v>0</v>
      </c>
      <c r="AL992" s="12">
        <f t="shared" si="620"/>
        <v>200</v>
      </c>
      <c r="AM992" s="12">
        <f t="shared" si="621"/>
        <v>200</v>
      </c>
      <c r="AN992" s="12">
        <f t="shared" si="622"/>
        <v>0</v>
      </c>
      <c r="AO992" s="12">
        <f t="shared" si="623"/>
        <v>0</v>
      </c>
      <c r="AP992" s="12">
        <f t="shared" si="631"/>
        <v>1</v>
      </c>
      <c r="AQ992" s="3" t="str">
        <f t="shared" si="632"/>
        <v>PTA807</v>
      </c>
      <c r="AR992" s="3" t="str">
        <f t="shared" si="625"/>
        <v>PTA80711</v>
      </c>
      <c r="AS992" s="6" t="str">
        <f t="shared" si="468"/>
        <v>9999</v>
      </c>
      <c r="AT992" s="6" t="str">
        <f t="shared" si="469"/>
        <v>CNY</v>
      </c>
      <c r="AU992" s="6" t="str">
        <f t="shared" si="624"/>
        <v>50010002</v>
      </c>
      <c r="AV992" s="229">
        <v>0</v>
      </c>
      <c r="AW992" s="6">
        <f t="shared" si="633"/>
        <v>1</v>
      </c>
      <c r="AX992" s="6" t="str">
        <f t="shared" si="634"/>
        <v>PTA807</v>
      </c>
      <c r="AY992" s="6">
        <f t="shared" si="635"/>
        <v>31000</v>
      </c>
      <c r="AZ992" s="6">
        <f t="shared" si="626"/>
        <v>20180328</v>
      </c>
    </row>
    <row r="993" spans="1:58" s="6" customFormat="1" x14ac:dyDescent="0.25">
      <c r="A993" s="6" t="str">
        <f t="shared" si="604"/>
        <v>comment</v>
      </c>
      <c r="B993" s="140" t="str">
        <f t="shared" si="574"/>
        <v>2018032710000177</v>
      </c>
      <c r="C993" s="6" t="str">
        <f t="shared" si="554"/>
        <v>6001</v>
      </c>
      <c r="D993" s="6" t="str">
        <f t="shared" si="555"/>
        <v>B00102</v>
      </c>
      <c r="E993" s="6" t="str">
        <f t="shared" si="556"/>
        <v>6001</v>
      </c>
      <c r="F993" s="6">
        <f t="shared" si="609"/>
        <v>20180327</v>
      </c>
      <c r="G993" s="6">
        <f t="shared" si="456"/>
        <v>20180327</v>
      </c>
      <c r="H993" s="6" t="str">
        <f t="shared" si="457"/>
        <v>CZCE</v>
      </c>
      <c r="I993" s="6" t="str">
        <f t="shared" si="557"/>
        <v>PTA807</v>
      </c>
      <c r="J993" s="6">
        <f t="shared" si="558"/>
        <v>1</v>
      </c>
      <c r="K993" s="6">
        <f t="shared" si="610"/>
        <v>3</v>
      </c>
      <c r="L993" s="6">
        <f t="shared" si="559"/>
        <v>3</v>
      </c>
      <c r="M993" s="229">
        <f t="shared" si="611"/>
        <v>0</v>
      </c>
      <c r="N993" s="6">
        <f t="shared" si="627"/>
        <v>0</v>
      </c>
      <c r="O993" s="6">
        <f t="shared" si="612"/>
        <v>0</v>
      </c>
      <c r="P993" s="12">
        <f t="shared" si="613"/>
        <v>0</v>
      </c>
      <c r="Q993" s="12">
        <f t="shared" si="614"/>
        <v>5.2999999999999999E-2</v>
      </c>
      <c r="R993" s="12">
        <f t="shared" si="615"/>
        <v>5.3</v>
      </c>
      <c r="S993" s="12">
        <f t="shared" si="616"/>
        <v>4.2999999999999997E-2</v>
      </c>
      <c r="T993" s="12">
        <f t="shared" si="617"/>
        <v>4.3</v>
      </c>
      <c r="U993" s="12">
        <f t="shared" si="628"/>
        <v>5</v>
      </c>
      <c r="V993" s="12">
        <f t="shared" si="605"/>
        <v>0</v>
      </c>
      <c r="W993" s="250">
        <f t="shared" si="606"/>
        <v>6160</v>
      </c>
      <c r="X993" s="12">
        <f t="shared" si="607"/>
        <v>0</v>
      </c>
      <c r="Y993" s="250">
        <f t="shared" si="564"/>
        <v>6200</v>
      </c>
      <c r="Z993" s="250">
        <f t="shared" si="608"/>
        <v>6165</v>
      </c>
      <c r="AA993" s="12">
        <f t="shared" si="573"/>
        <v>0.5</v>
      </c>
      <c r="AB993" s="12">
        <f t="shared" si="573"/>
        <v>0.5</v>
      </c>
      <c r="AC993" s="12">
        <f t="shared" si="618"/>
        <v>0</v>
      </c>
      <c r="AD993" s="12">
        <f t="shared" si="629"/>
        <v>9</v>
      </c>
      <c r="AE993" s="12">
        <f t="shared" si="546"/>
        <v>0</v>
      </c>
      <c r="AF993" s="12">
        <f t="shared" si="547"/>
        <v>0</v>
      </c>
      <c r="AG993" s="12">
        <f t="shared" si="473"/>
        <v>0</v>
      </c>
      <c r="AH993" s="12">
        <f t="shared" si="474"/>
        <v>0</v>
      </c>
      <c r="AI993" s="12">
        <f t="shared" si="619"/>
        <v>0</v>
      </c>
      <c r="AJ993" s="12">
        <v>1</v>
      </c>
      <c r="AK993" s="12">
        <f t="shared" si="630"/>
        <v>0</v>
      </c>
      <c r="AL993" s="12">
        <f t="shared" si="620"/>
        <v>0</v>
      </c>
      <c r="AM993" s="12">
        <f t="shared" si="621"/>
        <v>0</v>
      </c>
      <c r="AN993" s="12">
        <f t="shared" si="622"/>
        <v>0</v>
      </c>
      <c r="AO993" s="12">
        <f t="shared" si="623"/>
        <v>0</v>
      </c>
      <c r="AP993" s="12">
        <f t="shared" si="631"/>
        <v>1</v>
      </c>
      <c r="AQ993" s="3" t="str">
        <f t="shared" si="632"/>
        <v>PTA807</v>
      </c>
      <c r="AR993" s="3" t="str">
        <f t="shared" si="625"/>
        <v>PTA80731</v>
      </c>
      <c r="AS993" s="6" t="str">
        <f t="shared" si="468"/>
        <v>9999</v>
      </c>
      <c r="AT993" s="6" t="str">
        <f t="shared" si="469"/>
        <v>CNY</v>
      </c>
      <c r="AU993" s="6" t="str">
        <f t="shared" si="624"/>
        <v>50010002</v>
      </c>
      <c r="AV993" s="229">
        <v>0</v>
      </c>
      <c r="AW993" s="6">
        <f t="shared" si="633"/>
        <v>1</v>
      </c>
      <c r="AX993" s="6" t="str">
        <f t="shared" si="634"/>
        <v>PTA807</v>
      </c>
      <c r="AY993" s="6">
        <f t="shared" si="635"/>
        <v>0</v>
      </c>
      <c r="AZ993" s="6">
        <f t="shared" si="626"/>
        <v>20180328</v>
      </c>
    </row>
    <row r="994" spans="1:58" s="13" customFormat="1" x14ac:dyDescent="0.25">
      <c r="A994" s="13" t="str">
        <f t="shared" si="604"/>
        <v/>
      </c>
      <c r="B994" s="227" t="str">
        <f t="shared" si="574"/>
        <v>2018032710000178</v>
      </c>
      <c r="C994" s="13" t="str">
        <f t="shared" ref="C994" si="636">VLOOKUP(B994,  $C$693:$AN$761, 3,FALSE)</f>
        <v>6001</v>
      </c>
      <c r="D994" s="13" t="str">
        <f t="shared" ref="D994" si="637">VLOOKUP(B994,  $C$693:$AN$761, 4,FALSE)</f>
        <v>B00101</v>
      </c>
      <c r="E994" s="13" t="str">
        <f t="shared" ref="E994" si="638">VLOOKUP(B994,  $C$693:$AN$761, 5,FALSE)</f>
        <v>6001</v>
      </c>
      <c r="F994" s="13">
        <f t="shared" si="609"/>
        <v>20180327</v>
      </c>
      <c r="G994" s="13">
        <f t="shared" si="456"/>
        <v>20180327</v>
      </c>
      <c r="H994" s="13" t="str">
        <f t="shared" si="457"/>
        <v>CZCE</v>
      </c>
      <c r="I994" s="13" t="str">
        <f t="shared" ref="I994" si="639">VLOOKUP(B994, $C$693:$AN$761, 10,FALSE)</f>
        <v>SR809</v>
      </c>
      <c r="J994" s="13">
        <f t="shared" ref="J994" si="640">VLOOKUP(B994,$C$693:$AN$761, 13,FALSE)</f>
        <v>1</v>
      </c>
      <c r="K994" s="13">
        <f t="shared" ref="K994" si="641">IF(J994=0,2,3)</f>
        <v>3</v>
      </c>
      <c r="L994" s="13">
        <f t="shared" ref="L994" si="642">VLOOKUP(B994,$C$693:$AN$761, 14,FALSE)</f>
        <v>1</v>
      </c>
      <c r="M994" s="228">
        <f t="shared" ref="M994" si="643">SUMPRODUCT(($C$693:$C$761=B994)*($E$693:$E$761=C994)*($F$693:$F$761=D994)*($G$693:$G$761=E994)*($L$693:$L$761=I994)*($O$693:$O$761=J994)*($P$693:$P$761=L994)*($N$693:$N$761=0)*($Q$693:$Q$761))-SUMPRODUCT(($D$693:$D$761=B994)*($E$693:$E$761=C994)*($F$693:$F$761=D994)*($G$693:$G$761=E994)*($L$693:$L$761=I994)*($O$693:$O$761&lt;&gt;J994)*($P$693:$P$761=L994)*($N$693:$N$761&lt;&gt;0)*($Q$693:$Q$761))+AV994-SUMPRODUCT(($B$842:$B$869=B994)*($C$842:$C$869=C994)*($D$842:$D$869=D994)*($O$842:$O$869&lt;&gt;2)*($N$842:$N$869))-N994</f>
        <v>2</v>
      </c>
      <c r="N994" s="13">
        <f t="shared" ref="N994" si="644">SUMPRODUCT(($E$876:$E$915=B994)*($F$876:$F$915=C994)*($G$876:$G$915=D994)*($I$876:$I$915=I994)*($J$876:$J$915=L994)*($L$876:$L$915=J994)*($N$876:$N$915))</f>
        <v>0</v>
      </c>
      <c r="O994" s="13">
        <f t="shared" ref="O994" si="645">IF(AK994=0,0,M994*U994*W994)</f>
        <v>0</v>
      </c>
      <c r="P994" s="100">
        <f t="shared" ref="P994" si="646">IF(AK994=0,0,(M994+N994)*U994*W994)</f>
        <v>0</v>
      </c>
      <c r="Q994" s="100">
        <f t="shared" ref="Q994" si="647">IF(AK994=0, VLOOKUP(AR994,$F$53:$L$72,4,FALSE),VLOOKUP(AR994,$F$53:$L$72,4,FALSE)+VLOOKUP(AR994,$F$53:$L$72,6,FALSE) )</f>
        <v>5.0999999999999997E-2</v>
      </c>
      <c r="R994" s="100">
        <f t="shared" ref="R994" si="648">IF(AK994=0, VLOOKUP(AR994,$F$53:$L$72,5,FALSE),VLOOKUP(AR994,$F$53:$L$72,5,FALSE)+VLOOKUP(AR994,$F$53:$L$72,7,FALSE) )</f>
        <v>5.0999999999999996</v>
      </c>
      <c r="S994" s="100">
        <f t="shared" ref="S994" si="649">VLOOKUP(AR994,$F$53:$L$72,2,FALSE)</f>
        <v>4.1000000000000002E-2</v>
      </c>
      <c r="T994" s="100">
        <f t="shared" ref="T994" si="650">VLOOKUP(AR994,$F$53:$L$72,3,FALSE)</f>
        <v>4.0999999999999996</v>
      </c>
      <c r="U994" s="100">
        <f t="shared" ref="U994" si="651" xml:space="preserve"> VLOOKUP(I994,$C$19:$L$31,3,FALSE)</f>
        <v>10</v>
      </c>
      <c r="V994" s="100">
        <f t="shared" ref="V994" si="652" xml:space="preserve"> VLOOKUP(I994,$C$230:$F$242,4,FALSE)</f>
        <v>0</v>
      </c>
      <c r="W994" s="251">
        <f t="shared" ref="W994" si="653" xml:space="preserve"> VLOOKUP(I994,$C$230:$F$242,3,FALSE)</f>
        <v>6156</v>
      </c>
      <c r="X994" s="100">
        <f t="shared" ref="X994" si="654" xml:space="preserve"> VLOOKUP(I994,$C$230:$G$242,5,FALSE)</f>
        <v>0</v>
      </c>
      <c r="Y994" s="251">
        <f t="shared" ref="Y994" si="655">VLOOKUP(B994,$C$693:$AN$761, 17,FALSE)</f>
        <v>6600</v>
      </c>
      <c r="Z994" s="251">
        <f t="shared" ref="Z994" si="656" xml:space="preserve"> VLOOKUP(I994,$C$230:$F$242,2,FALSE)</f>
        <v>6155</v>
      </c>
      <c r="AA994" s="100">
        <f t="shared" si="573"/>
        <v>0.5</v>
      </c>
      <c r="AB994" s="100">
        <f t="shared" si="573"/>
        <v>0.5</v>
      </c>
      <c r="AC994" s="100">
        <f t="shared" ref="AC994" si="657">IF(AD994=0,MAX((V994-X994)*U994,0),MAX((X994-V994)*U994,0))</f>
        <v>0</v>
      </c>
      <c r="AD994" s="100">
        <f t="shared" ref="AD994" si="658" xml:space="preserve"> VLOOKUP(I994,$C$19:$L$31,6,FALSE)</f>
        <v>9</v>
      </c>
      <c r="AE994" s="100">
        <f t="shared" ref="AE994" si="659">IF(AND(F994=AZ994,AK994&lt;&gt;0),0,ROUND(IF(AK994=0,Q994*U994*W994*M994+R994*M994,IF(J994=0,0,MAX(AI994+(Q994*U994*X994+R994)*AJ994-AC994*AA994,AI994+(Q994*U994*X994+R994)*AB994*AW994)*M994)),2))</f>
        <v>6289.32</v>
      </c>
      <c r="AF994" s="100">
        <f t="shared" ref="AF994" si="660">IF(AND(F994=AZ994,AK994&lt;&gt;0),0,ROUND(IF(AK994=0,S994*U994*W994*M994+T994*M994,IF(J994=0,0,MAX(AI994+(S994*U994*X994+T994)*AJ994-AC994*AA994,AI994+(S994*U994*X994+T994)*AB994*AW994)*M994)),2))</f>
        <v>5056.12</v>
      </c>
      <c r="AG994" s="100">
        <f t="shared" ref="AG994" si="661">ROUND(IF(AK994=0,Q994*U994*W994*N994+R994*N994,IF(J994=0,0,MAX(AI994+(Q994*U994*X994+R994)*AJ994-AC994*AA994,AI994+(Q994*U994*X994+R994)*AB994*AW994)*N994)),2)</f>
        <v>0</v>
      </c>
      <c r="AH994" s="100">
        <f t="shared" ref="AH994" si="662">ROUND(IF(AK994=0,S994*U994*W994*N994+T994*N994,IF(J994=0,0,MAX(AI994+(S994*U994*X994+T994)*AJ994-AC994*AA994,AI994+(S994*U994*X994+T994)*AB994*AW994)*N994)),2)</f>
        <v>0</v>
      </c>
      <c r="AI994" s="100">
        <f t="shared" ref="AI994" si="663">IF(AK994=1,1*U994*W994,0)</f>
        <v>0</v>
      </c>
      <c r="AJ994" s="100">
        <v>2</v>
      </c>
      <c r="AK994" s="100">
        <f t="shared" ref="AK994" si="664" xml:space="preserve"> VLOOKUP(I994,$C$19:$L$31,10,FALSE)</f>
        <v>0</v>
      </c>
      <c r="AL994" s="100">
        <f t="shared" ref="AL994" si="665">IF(AK994=0,IF(F994=G994,IF(J994=0,(W994-Y994)*U994*M994,-(W994-Y994)*U994*M994),IF(J994=0,(W994-Z994)*U994*M994,-(W994-Z994)*U994*M994)),0)</f>
        <v>8880</v>
      </c>
      <c r="AM994" s="100">
        <f t="shared" ref="AM994" si="666">IF(AK994=0,IF(J994=0,(W994-Y994)*U994*M994,-(W994-Y994)*U994*M994),0)</f>
        <v>8880</v>
      </c>
      <c r="AN994" s="100">
        <f t="shared" ref="AN994" si="667">IF(AK994=0,IF(F994=G994,IF(J994=0,(W994-Y994)*U994*N994,-(W994-Y994)*U994*N994),IF(J994=0,(W994-Z994)*U994*N994,-(W994-Z994)*U994*N994)),0)</f>
        <v>0</v>
      </c>
      <c r="AO994" s="100">
        <f t="shared" ref="AO994" si="668">IF(AK994=0,IF(J994=0,(W994-Y994)*U994*N994,-(W994-Y994)*U994*N994),0)</f>
        <v>0</v>
      </c>
      <c r="AP994" s="100">
        <f t="shared" ref="AP994" si="669" xml:space="preserve"> VLOOKUP(I994,$C$19:$L$31,9,FALSE)</f>
        <v>0</v>
      </c>
      <c r="AQ994" s="221" t="str">
        <f t="shared" ref="AQ994" si="670" xml:space="preserve"> VLOOKUP(I994,$C$19:$L$31,7,FALSE)</f>
        <v>SR809</v>
      </c>
      <c r="AR994" s="221" t="str">
        <f t="shared" ref="AR994" si="671">IF(AK994=0,AQ994&amp;L994&amp;J994,IF(AD994=0,AQ994&amp;L994&amp;1,AQ994&amp;L994&amp;0))</f>
        <v>SR80911</v>
      </c>
      <c r="AS994" s="13" t="str">
        <f t="shared" si="468"/>
        <v>9999</v>
      </c>
      <c r="AT994" s="13" t="str">
        <f t="shared" si="469"/>
        <v>CNY</v>
      </c>
      <c r="AU994" s="13" t="str">
        <f t="shared" ref="AU994" si="672">VLOOKUP(D994,$C$5:$G$6,5,FALSE)</f>
        <v>50010001</v>
      </c>
      <c r="AV994" s="228">
        <v>0</v>
      </c>
      <c r="AW994" s="13">
        <f t="shared" ref="AW994" si="673">VLOOKUP(I994,$C$19:$M$31,11,FALSE)</f>
        <v>1</v>
      </c>
      <c r="AX994" s="13" t="str">
        <f t="shared" ref="AX994" si="674">VLOOKUP(I994,$C$19:$M$31,7,FALSE)</f>
        <v>SR809</v>
      </c>
      <c r="AY994" s="13">
        <f t="shared" ref="AY994" si="675">(M994+N994)*U994*Y994</f>
        <v>132000</v>
      </c>
      <c r="AZ994" s="13">
        <f t="shared" ref="AZ994" si="676">VLOOKUP(I994,$C$19:$F$31,4,FALSE)</f>
        <v>20180333</v>
      </c>
    </row>
    <row r="995" spans="1:58" s="4" customFormat="1" x14ac:dyDescent="0.25">
      <c r="A995" s="6" t="str">
        <f t="shared" si="604"/>
        <v>comment</v>
      </c>
      <c r="B995" s="308" t="str">
        <f>C744</f>
        <v>2018032710000182</v>
      </c>
      <c r="C995" s="4" t="str">
        <f t="shared" si="554"/>
        <v>6001</v>
      </c>
      <c r="D995" s="4" t="str">
        <f t="shared" si="555"/>
        <v>B00102</v>
      </c>
      <c r="E995" s="4" t="str">
        <f t="shared" si="556"/>
        <v>6001</v>
      </c>
      <c r="F995" s="6">
        <f t="shared" ref="F995:F996" si="677">$B$2</f>
        <v>20180327</v>
      </c>
      <c r="G995" s="6">
        <f t="shared" si="456"/>
        <v>20180327</v>
      </c>
      <c r="H995" s="6" t="str">
        <f t="shared" si="457"/>
        <v>CZCE</v>
      </c>
      <c r="I995" s="4" t="str">
        <f t="shared" si="557"/>
        <v>PTA807C6500</v>
      </c>
      <c r="J995" s="4">
        <f t="shared" si="558"/>
        <v>0</v>
      </c>
      <c r="K995" s="4">
        <f t="shared" si="458"/>
        <v>2</v>
      </c>
      <c r="L995" s="4">
        <f t="shared" si="559"/>
        <v>1</v>
      </c>
      <c r="M995" s="309">
        <f>SUMPRODUCT(($C$693:$C$761=B995)*($E$693:$E$761=C995)*($F$693:$F$761=D995)*($G$693:$G$761=E995)*($L$693:$L$761=I995)*($O$693:$O$761=J995)*($P$693:$P$761=L995)*($N$693:$N$761=0)*($Q$693:$Q$761))-SUMPRODUCT(($D$693:$D$761=B995)*($E$693:$E$761=C995)*($F$693:$F$761=D995)*($G$693:$G$761=E995)*($L$693:$L$761=I995)*($O$693:$O$761&lt;&gt;J995)*($P$693:$P$761=L995)*($N$693:$N$761&lt;&gt;0)*($Q$693:$Q$761))+AV995-SUMPRODUCT(($B$842:$B$869=B995)*($C$842:$C$869=C995)*($D$842:$D$869=D995)*($O$842:$O$869&lt;&gt;2)*($N$842:$N$869))-N995</f>
        <v>0</v>
      </c>
      <c r="N995" s="4">
        <f t="shared" si="627"/>
        <v>0</v>
      </c>
      <c r="O995" s="6">
        <f t="shared" si="459"/>
        <v>0</v>
      </c>
      <c r="P995" s="29"/>
      <c r="Q995" s="29">
        <f t="shared" si="560"/>
        <v>6.2E-2</v>
      </c>
      <c r="R995" s="29">
        <f t="shared" si="561"/>
        <v>6.21</v>
      </c>
      <c r="S995" s="29">
        <f t="shared" si="562"/>
        <v>4.1000000000000002E-2</v>
      </c>
      <c r="T995" s="29">
        <f t="shared" si="563"/>
        <v>4.0999999999999996</v>
      </c>
      <c r="U995" s="29">
        <f t="shared" si="628"/>
        <v>5</v>
      </c>
      <c r="V995" s="29">
        <f t="shared" si="605"/>
        <v>6500</v>
      </c>
      <c r="W995" s="303">
        <f t="shared" si="606"/>
        <v>580</v>
      </c>
      <c r="X995" s="29">
        <f t="shared" si="607"/>
        <v>6160</v>
      </c>
      <c r="Y995" s="303">
        <f t="shared" si="564"/>
        <v>602</v>
      </c>
      <c r="Z995" s="303">
        <f t="shared" si="608"/>
        <v>600</v>
      </c>
      <c r="AA995" s="12">
        <f t="shared" si="573"/>
        <v>0.5</v>
      </c>
      <c r="AB995" s="12">
        <f t="shared" si="573"/>
        <v>0.5</v>
      </c>
      <c r="AC995" s="29">
        <f t="shared" si="565"/>
        <v>1700</v>
      </c>
      <c r="AD995" s="29">
        <f t="shared" si="629"/>
        <v>0</v>
      </c>
      <c r="AE995" s="12">
        <f t="shared" si="546"/>
        <v>0</v>
      </c>
      <c r="AF995" s="12">
        <f t="shared" si="547"/>
        <v>0</v>
      </c>
      <c r="AG995" s="12">
        <f t="shared" ref="AG995:AG998" si="678">ROUND(IF(AK995=0,Q995*U995*W995*N995+R995*N995,IF(J995=0,0,MAX(AI995+(Q995*U995*X995+R995)*AJ995-AC995*AA995,AI995+(Q995*U995*X995+R995)*AB995*AW995)*N995)),2)</f>
        <v>0</v>
      </c>
      <c r="AH995" s="12">
        <f t="shared" ref="AH995:AH998" si="679">ROUND(IF(AK995=0,S995*U995*W995*N995+T995*N995,IF(J995=0,0,MAX(AI995+(S995*U995*X995+T995)*AJ995-AC995*AA995,AI995+(S995*U995*X995+T995)*AB995*AW995)*N995)),2)</f>
        <v>0</v>
      </c>
      <c r="AI995" s="29">
        <f t="shared" si="566"/>
        <v>2900</v>
      </c>
      <c r="AJ995" s="12">
        <v>1</v>
      </c>
      <c r="AK995" s="29">
        <f t="shared" si="630"/>
        <v>1</v>
      </c>
      <c r="AL995" s="12">
        <f t="shared" ref="AL995:AL996" si="680">IF(AK995=0,IF(F995=G995,IF(J995=0,(W995-Y995)*U995*M995,-(W995-Y995)*U995*M995),IF(J995=0,(W995-Z995)*U995*M995,-(W995-Z995)*U995*M995)),0)</f>
        <v>0</v>
      </c>
      <c r="AM995" s="12">
        <f t="shared" ref="AM995:AM996" si="681">IF(AK995=0,IF(J995=0,(W995-Y995)*U995*M995,-(W995-Y995)*U995*M995),0)</f>
        <v>0</v>
      </c>
      <c r="AN995" s="12">
        <f t="shared" ref="AN995:AN996" si="682">IF(AK995=0,IF(F995=G995,IF(J995=0,(W995-Y995)*U995*N995,-(W995-Y995)*U995*N995),IF(J995=0,(W995-Z995)*U995*N995,-(W995-Z995)*U995*N995)),0)</f>
        <v>0</v>
      </c>
      <c r="AO995" s="29">
        <f t="shared" si="570"/>
        <v>0</v>
      </c>
      <c r="AP995" s="29">
        <f t="shared" si="631"/>
        <v>0</v>
      </c>
      <c r="AQ995" s="36" t="str">
        <f t="shared" si="632"/>
        <v>PTA807</v>
      </c>
      <c r="AR995" s="3" t="str">
        <f t="shared" si="625"/>
        <v>PTA80711</v>
      </c>
      <c r="AS995" s="6" t="str">
        <f t="shared" si="468"/>
        <v>9999</v>
      </c>
      <c r="AT995" s="6" t="str">
        <f t="shared" si="469"/>
        <v>CNY</v>
      </c>
      <c r="AU995" s="4" t="str">
        <f t="shared" si="571"/>
        <v>50010002</v>
      </c>
      <c r="AV995" s="229">
        <v>0</v>
      </c>
      <c r="AW995" s="6">
        <f t="shared" si="633"/>
        <v>1</v>
      </c>
      <c r="AX995" s="6" t="str">
        <f t="shared" si="634"/>
        <v>PTA807</v>
      </c>
      <c r="AY995" s="6">
        <f t="shared" si="635"/>
        <v>0</v>
      </c>
      <c r="AZ995" s="6">
        <f t="shared" si="626"/>
        <v>20180328</v>
      </c>
    </row>
    <row r="996" spans="1:58" s="4" customFormat="1" x14ac:dyDescent="0.25">
      <c r="A996" s="6" t="str">
        <f t="shared" si="604"/>
        <v>comment</v>
      </c>
      <c r="B996" s="308" t="str">
        <f>C745</f>
        <v>2018032710000183</v>
      </c>
      <c r="C996" s="4" t="str">
        <f t="shared" si="554"/>
        <v>6001</v>
      </c>
      <c r="D996" s="4" t="str">
        <f t="shared" si="555"/>
        <v>B00102</v>
      </c>
      <c r="E996" s="4" t="str">
        <f t="shared" si="556"/>
        <v>6001</v>
      </c>
      <c r="F996" s="6">
        <f t="shared" si="677"/>
        <v>20180327</v>
      </c>
      <c r="G996" s="6">
        <f t="shared" si="456"/>
        <v>20180327</v>
      </c>
      <c r="H996" s="6" t="str">
        <f t="shared" si="457"/>
        <v>CZCE</v>
      </c>
      <c r="I996" s="4" t="str">
        <f t="shared" si="557"/>
        <v>PTA807C6500</v>
      </c>
      <c r="J996" s="4">
        <f t="shared" si="558"/>
        <v>0</v>
      </c>
      <c r="K996" s="4">
        <f t="shared" ref="K996" si="683">IF(J996=0,2,3)</f>
        <v>2</v>
      </c>
      <c r="L996" s="4">
        <f t="shared" si="559"/>
        <v>3</v>
      </c>
      <c r="M996" s="309">
        <f>SUMPRODUCT(($C$693:$C$761=B996)*($E$693:$E$761=C996)*($F$693:$F$761=D996)*($G$693:$G$761=E996)*($L$693:$L$761=I996)*($O$693:$O$761=J996)*($P$693:$P$761=L996)*($N$693:$N$761=0)*($Q$693:$Q$761))-SUMPRODUCT(($D$693:$D$761=B996)*($E$693:$E$761=C996)*($F$693:$F$761=D996)*($G$693:$G$761=E996)*($L$693:$L$761=I996)*($O$693:$O$761&lt;&gt;J996)*($P$693:$P$761=L996)*($N$693:$N$761&lt;&gt;0)*($Q$693:$Q$761))+AV996-SUMPRODUCT(($B$842:$B$869=B996)*($C$842:$C$869=C996)*($D$842:$D$869=D996)*($O$842:$O$869&lt;&gt;2)*($N$842:$N$869))-N996</f>
        <v>0</v>
      </c>
      <c r="N996" s="4">
        <f t="shared" si="627"/>
        <v>0</v>
      </c>
      <c r="O996" s="6">
        <f t="shared" si="459"/>
        <v>0</v>
      </c>
      <c r="P996" s="29"/>
      <c r="Q996" s="29">
        <f t="shared" ref="Q996" si="684">IF(AK996=0, VLOOKUP(AR996,$F$53:$L$72,4,FALSE),VLOOKUP(AR996,$F$53:$L$72,4,FALSE)+VLOOKUP(AR996,$F$53:$L$72,6,FALSE) )</f>
        <v>6.6000000000000003E-2</v>
      </c>
      <c r="R996" s="29">
        <f t="shared" ref="R996" si="685">IF(AK996=0, VLOOKUP(AR996,$F$53:$L$72,5,FALSE),VLOOKUP(AR996,$F$53:$L$72,5,FALSE)+VLOOKUP(AR996,$F$53:$L$72,7,FALSE) )</f>
        <v>6.43</v>
      </c>
      <c r="S996" s="29">
        <f t="shared" ref="S996" si="686">VLOOKUP(AR996,$F$53:$L$72,2,FALSE)</f>
        <v>4.2999999999999997E-2</v>
      </c>
      <c r="T996" s="29">
        <f t="shared" ref="T996" si="687">VLOOKUP(AR996,$F$53:$L$72,3,FALSE)</f>
        <v>4.3</v>
      </c>
      <c r="U996" s="29">
        <f t="shared" ref="U996" si="688" xml:space="preserve"> VLOOKUP(I996,$C$19:$L$31,3,FALSE)</f>
        <v>5</v>
      </c>
      <c r="V996" s="29">
        <f t="shared" ref="V996" si="689" xml:space="preserve"> VLOOKUP(I996,$C$230:$F$242,4,FALSE)</f>
        <v>6500</v>
      </c>
      <c r="W996" s="303">
        <f t="shared" ref="W996" si="690" xml:space="preserve"> VLOOKUP(I996,$C$230:$F$242,3,FALSE)</f>
        <v>580</v>
      </c>
      <c r="X996" s="29">
        <f t="shared" ref="X996" si="691" xml:space="preserve"> VLOOKUP(I996,$C$230:$G$242,5,FALSE)</f>
        <v>6160</v>
      </c>
      <c r="Y996" s="303">
        <f t="shared" si="564"/>
        <v>603</v>
      </c>
      <c r="Z996" s="303">
        <f t="shared" ref="Z996" si="692" xml:space="preserve"> VLOOKUP(I996,$C$230:$F$242,2,FALSE)</f>
        <v>600</v>
      </c>
      <c r="AA996" s="12">
        <f t="shared" si="573"/>
        <v>0.5</v>
      </c>
      <c r="AB996" s="12">
        <f t="shared" si="573"/>
        <v>0.5</v>
      </c>
      <c r="AC996" s="29">
        <f t="shared" ref="AC996" si="693">IF(AD996=0,MAX((V996-X996)*U996,0),MAX((X996-V996)*U996,0))</f>
        <v>1700</v>
      </c>
      <c r="AD996" s="29">
        <f t="shared" ref="AD996" si="694" xml:space="preserve"> VLOOKUP(I996,$C$19:$L$31,6,FALSE)</f>
        <v>0</v>
      </c>
      <c r="AE996" s="12">
        <f t="shared" si="546"/>
        <v>0</v>
      </c>
      <c r="AF996" s="12">
        <f t="shared" si="547"/>
        <v>0</v>
      </c>
      <c r="AG996" s="12">
        <f t="shared" si="678"/>
        <v>0</v>
      </c>
      <c r="AH996" s="12">
        <f t="shared" si="679"/>
        <v>0</v>
      </c>
      <c r="AI996" s="29">
        <f t="shared" ref="AI996" si="695">IF(AK996=1,1*U996*W996,0)</f>
        <v>2900</v>
      </c>
      <c r="AJ996" s="12">
        <v>1</v>
      </c>
      <c r="AK996" s="29">
        <f t="shared" ref="AK996" si="696" xml:space="preserve"> VLOOKUP(I996,$C$19:$L$31,10,FALSE)</f>
        <v>1</v>
      </c>
      <c r="AL996" s="12">
        <f t="shared" si="680"/>
        <v>0</v>
      </c>
      <c r="AM996" s="12">
        <f t="shared" si="681"/>
        <v>0</v>
      </c>
      <c r="AN996" s="12">
        <f t="shared" si="682"/>
        <v>0</v>
      </c>
      <c r="AO996" s="29">
        <f t="shared" ref="AO996" si="697">IF(AK996=0,IF(J996=0,(W996-Y996)*U996*N996,-(W996-Y996)*U996*N996),0)</f>
        <v>0</v>
      </c>
      <c r="AP996" s="29">
        <f t="shared" ref="AP996" si="698" xml:space="preserve"> VLOOKUP(I996,$C$19:$L$31,9,FALSE)</f>
        <v>0</v>
      </c>
      <c r="AQ996" s="36" t="str">
        <f t="shared" ref="AQ996" si="699" xml:space="preserve"> VLOOKUP(I996,$C$19:$L$31,7,FALSE)</f>
        <v>PTA807</v>
      </c>
      <c r="AR996" s="3" t="str">
        <f t="shared" si="625"/>
        <v>PTA80731</v>
      </c>
      <c r="AS996" s="6" t="str">
        <f t="shared" si="468"/>
        <v>9999</v>
      </c>
      <c r="AT996" s="6" t="str">
        <f t="shared" si="469"/>
        <v>CNY</v>
      </c>
      <c r="AU996" s="4" t="str">
        <f t="shared" ref="AU996" si="700">VLOOKUP(D996,$C$5:$G$6,5,FALSE)</f>
        <v>50010002</v>
      </c>
      <c r="AV996" s="229">
        <v>0</v>
      </c>
      <c r="AW996" s="6">
        <f t="shared" si="633"/>
        <v>1</v>
      </c>
      <c r="AX996" s="6" t="str">
        <f t="shared" si="634"/>
        <v>PTA807</v>
      </c>
      <c r="AY996" s="6">
        <f t="shared" si="635"/>
        <v>0</v>
      </c>
      <c r="AZ996" s="6">
        <f t="shared" si="626"/>
        <v>20180328</v>
      </c>
    </row>
    <row r="997" spans="1:58" s="6" customFormat="1" x14ac:dyDescent="0.25">
      <c r="A997" s="6" t="str">
        <f t="shared" si="604"/>
        <v>comment</v>
      </c>
      <c r="B997" s="140" t="str">
        <f>C754</f>
        <v>2018032710000083</v>
      </c>
      <c r="C997" s="6" t="str">
        <f t="shared" si="554"/>
        <v>6001</v>
      </c>
      <c r="D997" s="6" t="str">
        <f t="shared" si="555"/>
        <v>B00101</v>
      </c>
      <c r="E997" s="6" t="str">
        <f t="shared" si="556"/>
        <v>6001</v>
      </c>
      <c r="F997" s="6">
        <f t="shared" si="456"/>
        <v>20180327</v>
      </c>
      <c r="G997" s="6">
        <f t="shared" si="456"/>
        <v>20180327</v>
      </c>
      <c r="H997" s="6" t="str">
        <f t="shared" si="457"/>
        <v>CZCE</v>
      </c>
      <c r="I997" s="6" t="str">
        <f t="shared" si="557"/>
        <v>SR807C6500</v>
      </c>
      <c r="J997" s="6">
        <f t="shared" si="558"/>
        <v>1</v>
      </c>
      <c r="K997" s="6">
        <f t="shared" si="458"/>
        <v>3</v>
      </c>
      <c r="L997" s="6">
        <f t="shared" si="559"/>
        <v>1</v>
      </c>
      <c r="M997" s="229">
        <f>SUMPRODUCT(($C$693:$C$761=B997)*($E$693:$E$761=C997)*($F$693:$F$761=D997)*($G$693:$G$761=E997)*($L$693:$L$761=I997)*($O$693:$O$761=J997)*($P$693:$P$761=L997)*($N$693:$N$761=0)*($Q$693:$Q$761))-SUMPRODUCT(($D$693:$D$761=B997)*($E$693:$E$761=C997)*($F$693:$F$761=D997)*($G$693:$G$761=E997)*($L$693:$L$761=I997)*($O$693:$O$761&lt;&gt;J997)*($P$693:$P$761=L997)*($N$693:$N$761&lt;&gt;0)*($Q$693:$Q$761))+AV997-SUMPRODUCT(($B$842:$B$869=B997)*($C$842:$C$869=C997)*($D$842:$D$869=D997)*($O$842:$O$869&lt;&gt;2)*($N$842:$N$869))-N997</f>
        <v>0</v>
      </c>
      <c r="N997" s="6">
        <f t="shared" si="627"/>
        <v>0</v>
      </c>
      <c r="O997" s="6">
        <f t="shared" si="459"/>
        <v>0</v>
      </c>
      <c r="P997" s="12">
        <f t="shared" si="460"/>
        <v>0</v>
      </c>
      <c r="Q997" s="12">
        <f t="shared" si="560"/>
        <v>6.2E-2</v>
      </c>
      <c r="R997" s="12">
        <f t="shared" si="561"/>
        <v>6.21</v>
      </c>
      <c r="S997" s="12">
        <f t="shared" si="562"/>
        <v>4.1000000000000002E-2</v>
      </c>
      <c r="T997" s="12">
        <f t="shared" si="563"/>
        <v>4.0999999999999996</v>
      </c>
      <c r="U997" s="12">
        <f xml:space="preserve"> VLOOKUP(I997,$C$19:$L$31,3,FALSE)</f>
        <v>10</v>
      </c>
      <c r="V997" s="12">
        <f xml:space="preserve"> VLOOKUP(I997,$C$230:$F$242,4,FALSE)</f>
        <v>6500</v>
      </c>
      <c r="W997" s="12">
        <f xml:space="preserve"> VLOOKUP(I997,$C$230:$F$242,3,FALSE)</f>
        <v>610</v>
      </c>
      <c r="X997" s="12">
        <f xml:space="preserve"> VLOOKUP(I997,$C$230:$G$242,5,FALSE)</f>
        <v>6155</v>
      </c>
      <c r="Y997" s="12">
        <f t="shared" si="564"/>
        <v>603</v>
      </c>
      <c r="Z997" s="12">
        <f xml:space="preserve"> VLOOKUP(I997,$C$230:$F$242,2,FALSE)</f>
        <v>615</v>
      </c>
      <c r="AA997" s="12">
        <f t="shared" si="573"/>
        <v>0.5</v>
      </c>
      <c r="AB997" s="12">
        <f t="shared" si="573"/>
        <v>0.5</v>
      </c>
      <c r="AC997" s="12">
        <f t="shared" si="565"/>
        <v>3450</v>
      </c>
      <c r="AD997" s="12">
        <f xml:space="preserve"> VLOOKUP(I997,$C$19:$L$31,6,FALSE)</f>
        <v>0</v>
      </c>
      <c r="AE997" s="12">
        <f t="shared" si="546"/>
        <v>0</v>
      </c>
      <c r="AF997" s="12">
        <f t="shared" si="547"/>
        <v>0</v>
      </c>
      <c r="AG997" s="12">
        <f t="shared" si="678"/>
        <v>0</v>
      </c>
      <c r="AH997" s="12">
        <f t="shared" si="679"/>
        <v>0</v>
      </c>
      <c r="AI997" s="12">
        <f t="shared" si="566"/>
        <v>6100</v>
      </c>
      <c r="AJ997" s="12">
        <v>1</v>
      </c>
      <c r="AK997" s="12">
        <f xml:space="preserve"> VLOOKUP(I997,$C$19:$L$31,10,FALSE)</f>
        <v>1</v>
      </c>
      <c r="AL997" s="12">
        <f t="shared" si="567"/>
        <v>0</v>
      </c>
      <c r="AM997" s="12">
        <f t="shared" si="568"/>
        <v>0</v>
      </c>
      <c r="AN997" s="12">
        <f t="shared" si="569"/>
        <v>0</v>
      </c>
      <c r="AO997" s="12">
        <f t="shared" si="570"/>
        <v>0</v>
      </c>
      <c r="AP997" s="12">
        <f xml:space="preserve"> VLOOKUP(I997,$C$19:$L$31,9,FALSE)</f>
        <v>0</v>
      </c>
      <c r="AQ997" s="3" t="str">
        <f xml:space="preserve"> VLOOKUP(I997,$C$19:$L$31,7,FALSE)</f>
        <v>SR807</v>
      </c>
      <c r="AR997" s="3" t="str">
        <f t="shared" si="625"/>
        <v>SR80711</v>
      </c>
      <c r="AS997" s="6" t="str">
        <f t="shared" si="468"/>
        <v>9999</v>
      </c>
      <c r="AT997" s="6" t="str">
        <f t="shared" si="469"/>
        <v>CNY</v>
      </c>
      <c r="AU997" s="6" t="str">
        <f t="shared" si="571"/>
        <v>50010001</v>
      </c>
      <c r="AV997" s="229">
        <v>0</v>
      </c>
      <c r="AW997" s="6">
        <f t="shared" si="633"/>
        <v>1</v>
      </c>
      <c r="AX997" s="6" t="str">
        <f t="shared" si="634"/>
        <v>SR807</v>
      </c>
      <c r="AY997" s="6">
        <f t="shared" si="635"/>
        <v>0</v>
      </c>
      <c r="AZ997" s="6">
        <f t="shared" si="626"/>
        <v>20180327</v>
      </c>
    </row>
    <row r="998" spans="1:58" s="6" customFormat="1" x14ac:dyDescent="0.25">
      <c r="A998" s="6" t="str">
        <f t="shared" si="604"/>
        <v>comment</v>
      </c>
      <c r="B998" s="140" t="str">
        <f>C755</f>
        <v>2018032710000084</v>
      </c>
      <c r="C998" s="6" t="str">
        <f t="shared" si="554"/>
        <v>6001</v>
      </c>
      <c r="D998" s="6" t="str">
        <f t="shared" si="555"/>
        <v>B00101</v>
      </c>
      <c r="E998" s="6" t="str">
        <f t="shared" si="556"/>
        <v>6001</v>
      </c>
      <c r="F998" s="6">
        <f t="shared" si="456"/>
        <v>20180327</v>
      </c>
      <c r="G998" s="6">
        <f t="shared" si="456"/>
        <v>20180327</v>
      </c>
      <c r="H998" s="6" t="str">
        <f t="shared" si="457"/>
        <v>CZCE</v>
      </c>
      <c r="I998" s="6" t="str">
        <f t="shared" si="557"/>
        <v>SR807C6500</v>
      </c>
      <c r="J998" s="6">
        <f t="shared" si="558"/>
        <v>1</v>
      </c>
      <c r="K998" s="6">
        <f t="shared" si="458"/>
        <v>3</v>
      </c>
      <c r="L998" s="6">
        <f t="shared" si="559"/>
        <v>3</v>
      </c>
      <c r="M998" s="229">
        <f>SUMPRODUCT(($C$693:$C$761=B998)*($E$693:$E$761=C998)*($F$693:$F$761=D998)*($G$693:$G$761=E998)*($L$693:$L$761=I998)*($O$693:$O$761=J998)*($P$693:$P$761=L998)*($N$693:$N$761=0)*($Q$693:$Q$761))-SUMPRODUCT(($D$693:$D$761=B998)*($E$693:$E$761=C998)*($F$693:$F$761=D998)*($G$693:$G$761=E998)*($L$693:$L$761=I998)*($O$693:$O$761&lt;&gt;J998)*($P$693:$P$761=L998)*($N$693:$N$761&lt;&gt;0)*($Q$693:$Q$761))+AV998-SUMPRODUCT(($B$842:$B$869=B998)*($C$842:$C$869=C998)*($D$842:$D$869=D998)*($O$842:$O$869&lt;&gt;2)*($N$842:$N$869))-N998</f>
        <v>0</v>
      </c>
      <c r="N998" s="6">
        <f t="shared" si="627"/>
        <v>0</v>
      </c>
      <c r="O998" s="6">
        <f t="shared" si="459"/>
        <v>0</v>
      </c>
      <c r="P998" s="12">
        <f t="shared" si="460"/>
        <v>0</v>
      </c>
      <c r="Q998" s="12">
        <f t="shared" si="560"/>
        <v>6.6000000000000003E-2</v>
      </c>
      <c r="R998" s="12">
        <f t="shared" si="561"/>
        <v>6.43</v>
      </c>
      <c r="S998" s="12">
        <f t="shared" si="562"/>
        <v>4.2999999999999997E-2</v>
      </c>
      <c r="T998" s="12">
        <f t="shared" si="563"/>
        <v>4.3</v>
      </c>
      <c r="U998" s="12">
        <f xml:space="preserve"> VLOOKUP(I998,$C$19:$L$31,3,FALSE)</f>
        <v>10</v>
      </c>
      <c r="V998" s="12">
        <f xml:space="preserve"> VLOOKUP(I998,$C$230:$F$242,4,FALSE)</f>
        <v>6500</v>
      </c>
      <c r="W998" s="12">
        <f xml:space="preserve"> VLOOKUP(I998,$C$230:$F$242,3,FALSE)</f>
        <v>610</v>
      </c>
      <c r="X998" s="12">
        <f xml:space="preserve"> VLOOKUP(I998,$C$230:$G$242,5,FALSE)</f>
        <v>6155</v>
      </c>
      <c r="Y998" s="12">
        <f t="shared" si="564"/>
        <v>604</v>
      </c>
      <c r="Z998" s="12">
        <f xml:space="preserve"> VLOOKUP(I998,$C$230:$F$242,2,FALSE)</f>
        <v>615</v>
      </c>
      <c r="AA998" s="12">
        <f t="shared" si="573"/>
        <v>0.5</v>
      </c>
      <c r="AB998" s="12">
        <f t="shared" si="573"/>
        <v>0.5</v>
      </c>
      <c r="AC998" s="12">
        <f t="shared" si="565"/>
        <v>3450</v>
      </c>
      <c r="AD998" s="12">
        <f xml:space="preserve"> VLOOKUP(I998,$C$19:$L$31,6,FALSE)</f>
        <v>0</v>
      </c>
      <c r="AE998" s="12">
        <f t="shared" si="546"/>
        <v>0</v>
      </c>
      <c r="AF998" s="12">
        <f t="shared" si="547"/>
        <v>0</v>
      </c>
      <c r="AG998" s="12">
        <f t="shared" si="678"/>
        <v>0</v>
      </c>
      <c r="AH998" s="12">
        <f t="shared" si="679"/>
        <v>0</v>
      </c>
      <c r="AI998" s="12">
        <f t="shared" si="566"/>
        <v>6100</v>
      </c>
      <c r="AJ998" s="12">
        <v>1</v>
      </c>
      <c r="AK998" s="12">
        <f xml:space="preserve"> VLOOKUP(I998,$C$19:$L$31,10,FALSE)</f>
        <v>1</v>
      </c>
      <c r="AL998" s="12">
        <f t="shared" si="567"/>
        <v>0</v>
      </c>
      <c r="AM998" s="12">
        <f t="shared" si="568"/>
        <v>0</v>
      </c>
      <c r="AN998" s="12">
        <f t="shared" si="569"/>
        <v>0</v>
      </c>
      <c r="AO998" s="12">
        <f t="shared" si="570"/>
        <v>0</v>
      </c>
      <c r="AP998" s="12">
        <f xml:space="preserve"> VLOOKUP(I998,$C$19:$L$31,9,FALSE)</f>
        <v>0</v>
      </c>
      <c r="AQ998" s="3" t="str">
        <f xml:space="preserve"> VLOOKUP(I998,$C$19:$L$31,7,FALSE)</f>
        <v>SR807</v>
      </c>
      <c r="AR998" s="3" t="str">
        <f t="shared" si="625"/>
        <v>SR80731</v>
      </c>
      <c r="AS998" s="6" t="str">
        <f t="shared" si="468"/>
        <v>9999</v>
      </c>
      <c r="AT998" s="6" t="str">
        <f t="shared" si="469"/>
        <v>CNY</v>
      </c>
      <c r="AU998" s="6" t="str">
        <f t="shared" si="571"/>
        <v>50010001</v>
      </c>
      <c r="AV998" s="229">
        <v>0</v>
      </c>
      <c r="AW998" s="6">
        <f t="shared" si="633"/>
        <v>1</v>
      </c>
      <c r="AX998" s="6" t="str">
        <f t="shared" si="634"/>
        <v>SR807</v>
      </c>
      <c r="AY998" s="6">
        <f t="shared" si="635"/>
        <v>0</v>
      </c>
      <c r="AZ998" s="6">
        <f t="shared" si="626"/>
        <v>20180327</v>
      </c>
    </row>
    <row r="999" spans="1:58" s="6" customFormat="1" x14ac:dyDescent="0.25">
      <c r="M999" s="229"/>
      <c r="AE999" s="229"/>
      <c r="AF999" s="234"/>
    </row>
    <row r="1000" spans="1:58" s="6" customFormat="1" x14ac:dyDescent="0.25">
      <c r="A1000" s="6" t="s">
        <v>359</v>
      </c>
      <c r="B1000" s="6" t="s">
        <v>1052</v>
      </c>
      <c r="AC1000" s="19"/>
      <c r="AF1000" s="234"/>
    </row>
    <row r="1001" spans="1:58" x14ac:dyDescent="0.25">
      <c r="A1001" t="s">
        <v>359</v>
      </c>
      <c r="B1001" s="7" t="s">
        <v>286</v>
      </c>
      <c r="C1001" s="7" t="s">
        <v>287</v>
      </c>
      <c r="D1001" s="7" t="s">
        <v>120</v>
      </c>
      <c r="E1001" s="7" t="s">
        <v>5</v>
      </c>
      <c r="F1001" s="7" t="s">
        <v>52</v>
      </c>
      <c r="G1001" s="7" t="s">
        <v>7</v>
      </c>
      <c r="H1001" s="7" t="s">
        <v>294</v>
      </c>
      <c r="I1001" s="7" t="s">
        <v>9</v>
      </c>
      <c r="J1001" s="7" t="s">
        <v>20</v>
      </c>
      <c r="K1001" s="7"/>
      <c r="L1001" s="7" t="s">
        <v>58</v>
      </c>
      <c r="M1001" s="7"/>
      <c r="N1001" s="7" t="s">
        <v>13</v>
      </c>
      <c r="O1001" s="7" t="s">
        <v>592</v>
      </c>
      <c r="P1001" s="7" t="s">
        <v>73</v>
      </c>
      <c r="Q1001" s="7" t="s">
        <v>72</v>
      </c>
      <c r="R1001" s="7" t="s">
        <v>64</v>
      </c>
      <c r="S1001" s="7" t="s">
        <v>65</v>
      </c>
      <c r="T1001" s="7" t="s">
        <v>66</v>
      </c>
      <c r="U1001" s="7" t="s">
        <v>67</v>
      </c>
      <c r="V1001" s="7" t="s">
        <v>75</v>
      </c>
      <c r="W1001" s="7" t="s">
        <v>74</v>
      </c>
      <c r="X1001" s="7" t="s">
        <v>76</v>
      </c>
      <c r="Y1001" s="123" t="s">
        <v>483</v>
      </c>
      <c r="AC1001" s="19"/>
      <c r="AD1001" s="6"/>
      <c r="AE1001" s="6"/>
      <c r="AF1001" s="6"/>
      <c r="AG1001" s="6"/>
      <c r="AH1001" s="6"/>
      <c r="AI1001" s="6"/>
      <c r="AJ1001" s="6"/>
      <c r="AK1001" s="6"/>
      <c r="AL1001" s="6"/>
      <c r="AM1001" s="6"/>
      <c r="AN1001" s="6"/>
      <c r="AO1001" s="6"/>
      <c r="AP1001" s="6"/>
      <c r="AQ1001" s="6"/>
      <c r="AR1001" s="6"/>
      <c r="AS1001" s="6"/>
      <c r="AT1001" s="6"/>
    </row>
    <row r="1002" spans="1:58" x14ac:dyDescent="0.25">
      <c r="A1002" t="s">
        <v>173</v>
      </c>
      <c r="B1002" s="12" t="str">
        <f>$B$5</f>
        <v>6001</v>
      </c>
      <c r="C1002" s="12" t="str">
        <f>$C$5</f>
        <v>B00101</v>
      </c>
      <c r="D1002" s="12" t="str">
        <f>$D$5</f>
        <v>6001</v>
      </c>
      <c r="E1002" s="12" t="str">
        <f>$B$19</f>
        <v>CZCE</v>
      </c>
      <c r="F1002" s="12" t="str">
        <f xml:space="preserve"> $C$19</f>
        <v>SR807</v>
      </c>
      <c r="G1002" s="12">
        <f xml:space="preserve"> VLOOKUP(F1002,$C$19:$L$31,3,FALSE)</f>
        <v>10</v>
      </c>
      <c r="H1002" s="12">
        <v>1</v>
      </c>
      <c r="I1002" s="12">
        <v>1</v>
      </c>
      <c r="J1002" s="24">
        <f>VLOOKUP(Y1002,$F$53:$L$72,4,FALSE)</f>
        <v>5.0999999999999997E-2</v>
      </c>
      <c r="K1002" s="24">
        <f>VLOOKUP(Y1002,$F$53:$L$72,5,FALSE)</f>
        <v>5.0999999999999996</v>
      </c>
      <c r="L1002" s="24">
        <f>VLOOKUP(Y1002,$F$53:$L$72,2,FALSE)</f>
        <v>4.1000000000000002E-2</v>
      </c>
      <c r="M1002" s="24">
        <f>VLOOKUP(Y1002,$F$53:$L$72,3,FALSE)</f>
        <v>4.0999999999999996</v>
      </c>
      <c r="N1002" s="24">
        <f xml:space="preserve"> VLOOKUP(F1002,$C$230:$F$242,3,FALSE)</f>
        <v>6155</v>
      </c>
      <c r="O1002" s="27">
        <v>2</v>
      </c>
      <c r="P1002" s="27">
        <f>J1002*N1002*O1002*G1002+K1002*O1002</f>
        <v>6288.2999999999993</v>
      </c>
      <c r="Q1002" s="27">
        <f>L1002*N1002*O1002*G1002+O1002*M1002</f>
        <v>5055.3</v>
      </c>
      <c r="R1002" s="27">
        <f>SUMPRODUCT(($D$922:$D$998=C1002)*($E$922:$E$998=D1002)*(($L$922:$L$998=I1002)*($J$922:$J$998=0)*($I$922:$I$998=F1002)*($AE$922:$AE$998)))</f>
        <v>33907.5</v>
      </c>
      <c r="S1002" s="27">
        <f>SUMPRODUCT(($D$922:$D$998=C1002)*($E$922:$E$998=D1002)*(($L$922:$L$998=I1002)*($J$922:$J$998=1)*($I$922:$I$998=F1002)*($AE$922:$AE$998)))</f>
        <v>34585.65</v>
      </c>
      <c r="T1002" s="27">
        <f>SUMPRODUCT(($D$922:$D$998=C1002)*($E$922:$E$998=D1002)*(($L$922:$L$998=I1002)*($J$922:$J$998=0)*($I$922:$I$998=F1002)*($AF$922:$AF$998)))</f>
        <v>27126</v>
      </c>
      <c r="U1002" s="27">
        <f>SUMPRODUCT(($D$922:$D$998=C1002)*($E$922:$E$998=D1002)*(($L$922:$L$998=I1002)*($J$922:$J$998=1)*($I$922:$I$998=F1002)*($AF$922:$AF$998)))</f>
        <v>27804.149999999998</v>
      </c>
      <c r="V1002" s="28">
        <f>IF((S1002+S1003)&lt;=(R1002+R1003),0,MIN(MAX(0,S1002-R1002),P1002))</f>
        <v>678.15000000000146</v>
      </c>
      <c r="W1002" s="28">
        <f>IF((U1002+U1003)&lt;=(T1002+T1003),0,MIN(U1002-T1002,Q1002))</f>
        <v>678.14999999999782</v>
      </c>
      <c r="X1002" s="27">
        <f>IF(S1002&lt;=R1002,0,MIN(S1002-R1002,P1002))</f>
        <v>678.15000000000146</v>
      </c>
      <c r="Y1002" s="142" t="str">
        <f>F1002&amp;I1002&amp;H1002</f>
        <v>SR80711</v>
      </c>
      <c r="AC1002" s="19"/>
      <c r="AD1002" s="6"/>
      <c r="AE1002" s="6"/>
      <c r="AF1002" s="6"/>
      <c r="AG1002" s="6"/>
      <c r="AH1002" s="6"/>
      <c r="AI1002" s="6"/>
      <c r="AJ1002" s="6"/>
      <c r="AK1002" s="6"/>
      <c r="AL1002" s="6"/>
      <c r="AM1002" s="6"/>
      <c r="AN1002" s="6"/>
      <c r="AO1002" s="6"/>
      <c r="AP1002" s="6"/>
      <c r="AQ1002" s="6"/>
      <c r="AR1002" s="6"/>
      <c r="AS1002" s="6"/>
      <c r="AT1002" s="6"/>
    </row>
    <row r="1003" spans="1:58" x14ac:dyDescent="0.25">
      <c r="A1003" t="s">
        <v>173</v>
      </c>
      <c r="B1003" s="24" t="str">
        <f>B1002</f>
        <v>6001</v>
      </c>
      <c r="C1003" s="12" t="str">
        <f>$C$5</f>
        <v>B00101</v>
      </c>
      <c r="D1003" s="12" t="str">
        <f>$D$5</f>
        <v>6001</v>
      </c>
      <c r="E1003" s="12" t="str">
        <f>$B$19</f>
        <v>CZCE</v>
      </c>
      <c r="F1003" s="24" t="str">
        <f>F1002</f>
        <v>SR807</v>
      </c>
      <c r="G1003" s="12">
        <f xml:space="preserve"> VLOOKUP(F1003,$C$19:$L$31,3,FALSE)</f>
        <v>10</v>
      </c>
      <c r="H1003" s="24">
        <v>1</v>
      </c>
      <c r="I1003" s="24">
        <v>3</v>
      </c>
      <c r="J1003" s="24">
        <f>VLOOKUP(Y1003,$F$53:$L$72,4,FALSE)</f>
        <v>5.2999999999999999E-2</v>
      </c>
      <c r="K1003" s="24">
        <f>VLOOKUP(Y1003,$F$53:$L$72,5,FALSE)</f>
        <v>5.3</v>
      </c>
      <c r="L1003" s="24">
        <f>VLOOKUP(Y1003,$F$53:$L$72,2,FALSE)</f>
        <v>4.2999999999999997E-2</v>
      </c>
      <c r="M1003" s="24">
        <f>VLOOKUP(Y1003,$F$53:$L$72,3,FALSE)</f>
        <v>4.3</v>
      </c>
      <c r="N1003" s="24">
        <f xml:space="preserve"> VLOOKUP(F1003,$C$230:$F$242,3,FALSE)</f>
        <v>6155</v>
      </c>
      <c r="O1003" s="24">
        <v>3</v>
      </c>
      <c r="P1003" s="27">
        <f>J1003*N1003*O1003*G1003+K1003*O1003</f>
        <v>9802.35</v>
      </c>
      <c r="Q1003" s="27">
        <f>L1003*N1003*O1003*G1003+O1003*M1003</f>
        <v>7952.8499999999985</v>
      </c>
      <c r="R1003" s="27">
        <f>SUMPRODUCT(($D$922:$D$998=C1003)*($E$922:$E$998=D1003)*(($L$922:$L$998=I1003)*($J$922:$J$998=0)*($I$922:$I$998=F1003)*($AE$922:$AE$998)))</f>
        <v>16029</v>
      </c>
      <c r="S1003" s="27">
        <f>SUMPRODUCT(($D$922:$D$998=C1003)*($E$922:$E$998=D1003)*(($L$922:$L$998=I1003)*($J$922:$J$998=1)*($I$922:$I$998=F1003)*($AE$922:$AE$998)))</f>
        <v>68616.45</v>
      </c>
      <c r="T1003" s="27">
        <f>SUMPRODUCT(($D$922:$D$998=C1003)*($E$922:$E$998=D1003)*(($L$922:$L$998=I1003)*($J$922:$J$998=0)*($I$922:$I$998=F1003)*($AF$922:$AF$998)))</f>
        <v>12946.5</v>
      </c>
      <c r="U1003" s="27">
        <f>SUMPRODUCT(($D$922:$D$998=C1003)*($E$922:$E$998=D1003)*(($L$922:$L$998=I1003)*($J$922:$J$998=1)*($I$922:$I$998=F1003)*($AF$922:$AF$998)))</f>
        <v>55669.95</v>
      </c>
      <c r="V1003" s="28">
        <f>IF((S1002+S1003)&lt;=(R1002+R1003),0,MIN(MAX(0,S1003-R1003),P1003))</f>
        <v>9802.35</v>
      </c>
      <c r="W1003" s="28">
        <f>IF((U1003+U1002)&lt;=(T1003+T1002),0,MIN(U1003-T1003,Q1003))</f>
        <v>7952.8499999999985</v>
      </c>
      <c r="X1003" s="27">
        <f>IF(S1003&lt;=R1003,0,MIN(S1003-R1003,P1003))</f>
        <v>9802.35</v>
      </c>
      <c r="Y1003" s="142" t="str">
        <f>F1003&amp;I1003&amp;H1003</f>
        <v>SR80731</v>
      </c>
      <c r="Z1003" s="2"/>
      <c r="AA1003" s="2"/>
      <c r="AB1003" s="3"/>
      <c r="AC1003" s="18"/>
      <c r="AD1003" s="6"/>
      <c r="AE1003" s="6"/>
      <c r="AF1003" s="6"/>
      <c r="AG1003" s="6"/>
      <c r="AH1003" s="6"/>
      <c r="AI1003" s="6"/>
      <c r="AJ1003" s="6"/>
      <c r="AK1003" s="6"/>
      <c r="AL1003" s="6"/>
      <c r="AM1003" s="6"/>
      <c r="AN1003" s="6"/>
      <c r="AO1003" s="6"/>
      <c r="AP1003" s="12"/>
      <c r="AQ1003" s="12"/>
      <c r="AR1003" s="12"/>
      <c r="AS1003" s="12"/>
      <c r="AT1003" s="12"/>
      <c r="AU1003" s="3"/>
      <c r="AV1003" s="3"/>
      <c r="AW1003" s="6"/>
      <c r="AX1003" s="6"/>
      <c r="AY1003" s="6"/>
      <c r="AZ1003" s="6"/>
      <c r="BA1003" s="6"/>
      <c r="BB1003" s="6"/>
      <c r="BC1003" s="6"/>
      <c r="BD1003" s="6"/>
      <c r="BE1003" s="6"/>
      <c r="BF1003" s="6"/>
    </row>
    <row r="1004" spans="1:58" x14ac:dyDescent="0.25">
      <c r="A1004" t="s">
        <v>173</v>
      </c>
      <c r="B1004" s="122"/>
      <c r="C1004" s="3"/>
      <c r="D1004" s="3"/>
      <c r="E1004" s="3"/>
      <c r="F1004" s="39"/>
      <c r="G1004" s="3"/>
      <c r="H1004" s="39"/>
      <c r="I1004" s="39"/>
      <c r="J1004" s="39"/>
      <c r="K1004" s="39"/>
      <c r="L1004" s="39"/>
      <c r="M1004" s="39"/>
      <c r="N1004" s="39"/>
      <c r="O1004" s="39"/>
      <c r="P1004" s="40"/>
      <c r="Q1004" s="40"/>
      <c r="R1004" s="40"/>
      <c r="S1004" s="40"/>
      <c r="T1004" s="40"/>
      <c r="U1004" s="40"/>
      <c r="V1004" s="143"/>
      <c r="W1004" s="143"/>
      <c r="X1004" s="40"/>
      <c r="Y1004" s="142"/>
      <c r="Z1004" s="2"/>
      <c r="AA1004" s="2"/>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6"/>
      <c r="AX1004" s="6"/>
      <c r="AY1004" s="6"/>
      <c r="AZ1004" s="6"/>
      <c r="BA1004" s="6"/>
      <c r="BB1004" s="6"/>
      <c r="BC1004" s="6"/>
      <c r="BD1004" s="6"/>
      <c r="BE1004" s="6"/>
      <c r="BF1004" s="6"/>
    </row>
    <row r="1005" spans="1:58" x14ac:dyDescent="0.25">
      <c r="A1005" s="57" t="s">
        <v>124</v>
      </c>
      <c r="B1005" s="9" t="s">
        <v>980</v>
      </c>
      <c r="C1005" s="3"/>
      <c r="D1005" s="3"/>
      <c r="E1005" s="3"/>
      <c r="F1005" s="39"/>
      <c r="G1005" s="3"/>
      <c r="H1005" s="39"/>
      <c r="I1005" s="39"/>
      <c r="J1005" s="39"/>
      <c r="K1005" s="39"/>
      <c r="L1005" s="39"/>
      <c r="M1005" s="39"/>
      <c r="N1005" s="39"/>
      <c r="O1005" s="39"/>
      <c r="P1005" s="40"/>
      <c r="Q1005" s="40"/>
      <c r="R1005" s="40"/>
      <c r="S1005" s="40"/>
      <c r="T1005" s="40"/>
      <c r="U1005" s="40"/>
      <c r="V1005" s="143"/>
      <c r="W1005" s="143"/>
      <c r="X1005" s="40"/>
      <c r="Y1005" s="142"/>
      <c r="Z1005" s="2"/>
      <c r="AA1005" s="2"/>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6"/>
      <c r="AX1005" s="6"/>
      <c r="AY1005" s="6"/>
      <c r="AZ1005" s="6"/>
      <c r="BA1005" s="6"/>
      <c r="BB1005" s="6"/>
      <c r="BC1005" s="6"/>
      <c r="BD1005" s="6"/>
      <c r="BE1005" s="6"/>
      <c r="BF1005" s="6"/>
    </row>
    <row r="1006" spans="1:58" x14ac:dyDescent="0.25">
      <c r="A1006" s="57" t="s">
        <v>306</v>
      </c>
      <c r="B1006" s="719" t="s">
        <v>1535</v>
      </c>
      <c r="C1006" s="720"/>
      <c r="D1006" s="720"/>
      <c r="E1006" s="720"/>
      <c r="F1006" s="720"/>
      <c r="G1006" s="720"/>
      <c r="H1006" s="720"/>
      <c r="I1006" s="720"/>
      <c r="J1006" s="720"/>
      <c r="K1006" s="720"/>
      <c r="L1006" s="720"/>
      <c r="M1006" s="39"/>
      <c r="N1006" s="39"/>
      <c r="O1006" s="39"/>
      <c r="P1006" s="40"/>
      <c r="Q1006" s="40"/>
      <c r="R1006" s="40"/>
      <c r="S1006" s="40"/>
      <c r="T1006" s="40"/>
      <c r="U1006" s="40"/>
      <c r="V1006" s="143"/>
      <c r="W1006" s="143"/>
      <c r="X1006" s="40"/>
      <c r="Y1006" s="142"/>
      <c r="Z1006" s="2"/>
      <c r="AA1006" s="2"/>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6"/>
      <c r="AX1006" s="6"/>
      <c r="AY1006" s="6"/>
      <c r="AZ1006" s="6"/>
      <c r="BA1006" s="6"/>
      <c r="BB1006" s="6"/>
      <c r="BC1006" s="6"/>
      <c r="BD1006" s="6"/>
      <c r="BE1006" s="6"/>
      <c r="BF1006" s="6"/>
    </row>
    <row r="1007" spans="1:58" x14ac:dyDescent="0.25">
      <c r="A1007" t="s">
        <v>1367</v>
      </c>
      <c r="B1007" s="144" t="s">
        <v>365</v>
      </c>
      <c r="C1007" s="7" t="s">
        <v>191</v>
      </c>
      <c r="D1007" s="7" t="s">
        <v>5</v>
      </c>
      <c r="E1007" s="7" t="s">
        <v>286</v>
      </c>
      <c r="F1007" s="7" t="s">
        <v>287</v>
      </c>
      <c r="G1007" s="7" t="s">
        <v>120</v>
      </c>
      <c r="H1007" s="144" t="s">
        <v>591</v>
      </c>
      <c r="I1007" s="144" t="s">
        <v>52</v>
      </c>
      <c r="J1007" s="144" t="s">
        <v>294</v>
      </c>
      <c r="K1007" s="144" t="s">
        <v>9</v>
      </c>
      <c r="L1007" s="144" t="s">
        <v>592</v>
      </c>
      <c r="M1007" s="39"/>
      <c r="N1007" s="39"/>
      <c r="O1007" s="39"/>
      <c r="P1007" s="40"/>
      <c r="Q1007" s="40"/>
      <c r="R1007" s="40"/>
      <c r="S1007" s="40"/>
      <c r="T1007" s="40"/>
      <c r="U1007" s="40"/>
      <c r="V1007" s="143"/>
      <c r="W1007" s="143"/>
      <c r="X1007" s="40"/>
      <c r="Y1007" s="142"/>
      <c r="Z1007" s="2"/>
      <c r="AA1007" s="2"/>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6"/>
      <c r="AX1007" s="6"/>
      <c r="AY1007" s="6"/>
      <c r="AZ1007" s="6"/>
      <c r="BA1007" s="6"/>
      <c r="BB1007" s="6"/>
      <c r="BC1007" s="6"/>
      <c r="BD1007" s="6"/>
      <c r="BE1007" s="6"/>
      <c r="BF1007" s="6"/>
    </row>
    <row r="1008" spans="1:58" ht="24" x14ac:dyDescent="0.25">
      <c r="B1008" s="144" t="s">
        <v>325</v>
      </c>
      <c r="C1008" s="7" t="s">
        <v>346</v>
      </c>
      <c r="D1008" s="7" t="s">
        <v>327</v>
      </c>
      <c r="E1008" s="7" t="s">
        <v>321</v>
      </c>
      <c r="F1008" s="144" t="s">
        <v>322</v>
      </c>
      <c r="G1008" s="7" t="s">
        <v>323</v>
      </c>
      <c r="H1008" s="37" t="s">
        <v>1010</v>
      </c>
      <c r="I1008" s="144" t="s">
        <v>328</v>
      </c>
      <c r="J1008" s="144" t="s">
        <v>331</v>
      </c>
      <c r="K1008" s="144" t="s">
        <v>332</v>
      </c>
      <c r="L1008" s="144" t="s">
        <v>333</v>
      </c>
      <c r="M1008" s="39"/>
      <c r="N1008" s="39"/>
      <c r="O1008" s="39"/>
      <c r="P1008" s="40"/>
      <c r="Q1008" s="40"/>
      <c r="R1008" s="40"/>
      <c r="S1008" s="40"/>
      <c r="T1008" s="40"/>
      <c r="U1008" s="40"/>
      <c r="V1008" s="143"/>
      <c r="W1008" s="143"/>
      <c r="X1008" s="40"/>
      <c r="Y1008" s="142"/>
      <c r="Z1008" s="2"/>
      <c r="AA1008" s="2"/>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6"/>
      <c r="AX1008" s="6"/>
      <c r="AY1008" s="6"/>
      <c r="AZ1008" s="6"/>
      <c r="BA1008" s="6"/>
      <c r="BB1008" s="6"/>
      <c r="BC1008" s="6"/>
      <c r="BD1008" s="6"/>
      <c r="BE1008" s="6"/>
      <c r="BF1008" s="6"/>
    </row>
    <row r="1009" spans="1:74" x14ac:dyDescent="0.25">
      <c r="B1009" s="145">
        <f>$B$2</f>
        <v>20180327</v>
      </c>
      <c r="C1009" s="12" t="str">
        <f>$F$5</f>
        <v>9999</v>
      </c>
      <c r="D1009" s="12" t="str">
        <f>$B$19</f>
        <v>CZCE</v>
      </c>
      <c r="E1009" s="12" t="str">
        <f>B1002</f>
        <v>6001</v>
      </c>
      <c r="F1009" s="12" t="str">
        <f t="shared" ref="F1009:G1010" si="701">C1002</f>
        <v>B00101</v>
      </c>
      <c r="G1009" s="12" t="str">
        <f t="shared" si="701"/>
        <v>6001</v>
      </c>
      <c r="H1009" s="12" t="s">
        <v>228</v>
      </c>
      <c r="I1009" s="125" t="str">
        <f>F1002</f>
        <v>SR807</v>
      </c>
      <c r="J1009" s="125">
        <f>IF(H1002=0,2,3)</f>
        <v>3</v>
      </c>
      <c r="K1009" s="125">
        <f>I1002</f>
        <v>1</v>
      </c>
      <c r="L1009" s="125">
        <f>O1002</f>
        <v>2</v>
      </c>
      <c r="M1009" s="39"/>
      <c r="N1009" s="39"/>
      <c r="O1009" s="39"/>
      <c r="P1009" s="40"/>
      <c r="Q1009" s="40"/>
      <c r="R1009" s="40"/>
      <c r="S1009" s="40"/>
      <c r="T1009" s="40"/>
      <c r="U1009" s="40"/>
      <c r="V1009" s="143"/>
      <c r="W1009" s="143"/>
      <c r="X1009" s="40"/>
      <c r="Y1009" s="142"/>
      <c r="Z1009" s="2"/>
      <c r="AA1009" s="2"/>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6"/>
      <c r="AX1009" s="6"/>
      <c r="AY1009" s="6"/>
      <c r="AZ1009" s="6"/>
      <c r="BA1009" s="6"/>
      <c r="BB1009" s="6"/>
      <c r="BC1009" s="6"/>
      <c r="BD1009" s="6"/>
      <c r="BE1009" s="6"/>
      <c r="BF1009" s="6"/>
    </row>
    <row r="1010" spans="1:74" x14ac:dyDescent="0.25">
      <c r="B1010" s="145">
        <f>$B$2</f>
        <v>20180327</v>
      </c>
      <c r="C1010" s="12" t="str">
        <f>$F$5</f>
        <v>9999</v>
      </c>
      <c r="D1010" s="12" t="str">
        <f>$B$19</f>
        <v>CZCE</v>
      </c>
      <c r="E1010" s="12" t="str">
        <f>B1003</f>
        <v>6001</v>
      </c>
      <c r="F1010" s="12" t="str">
        <f t="shared" si="701"/>
        <v>B00101</v>
      </c>
      <c r="G1010" s="12" t="str">
        <f t="shared" si="701"/>
        <v>6001</v>
      </c>
      <c r="H1010" s="12" t="s">
        <v>228</v>
      </c>
      <c r="I1010" s="125" t="str">
        <f>F1003</f>
        <v>SR807</v>
      </c>
      <c r="J1010" s="125">
        <f>IF(H1003=0,2,3)</f>
        <v>3</v>
      </c>
      <c r="K1010" s="125">
        <f>I1003</f>
        <v>3</v>
      </c>
      <c r="L1010" s="125">
        <f>O1003</f>
        <v>3</v>
      </c>
      <c r="M1010" s="39"/>
      <c r="N1010" s="39"/>
      <c r="O1010" s="39"/>
      <c r="P1010" s="40"/>
      <c r="Q1010" s="40"/>
      <c r="R1010" s="40"/>
      <c r="S1010" s="40"/>
      <c r="T1010" s="40"/>
      <c r="U1010" s="40"/>
      <c r="V1010" s="143"/>
      <c r="W1010" s="143"/>
      <c r="X1010" s="40"/>
      <c r="Y1010" s="142"/>
      <c r="Z1010" s="2"/>
      <c r="AA1010" s="2"/>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6"/>
      <c r="AX1010" s="6"/>
      <c r="AY1010" s="6"/>
      <c r="AZ1010" s="6"/>
      <c r="BA1010" s="6"/>
      <c r="BB1010" s="6"/>
      <c r="BC1010" s="6"/>
      <c r="BD1010" s="6"/>
      <c r="BE1010" s="6"/>
      <c r="BF1010" s="6"/>
    </row>
    <row r="1011" spans="1:74" x14ac:dyDescent="0.25">
      <c r="U1011" s="3"/>
      <c r="V1011" s="3"/>
      <c r="W1011" s="141"/>
      <c r="X1011" s="141"/>
      <c r="Y1011" s="141"/>
      <c r="Z1011" s="141"/>
      <c r="AA1011" s="141"/>
      <c r="AB1011" s="3"/>
      <c r="AC1011" s="3"/>
      <c r="AD1011" s="3"/>
      <c r="AE1011" s="3"/>
      <c r="AF1011" s="3"/>
      <c r="AG1011" s="3"/>
      <c r="AH1011" s="3"/>
      <c r="AI1011" s="3"/>
      <c r="AJ1011" s="3"/>
      <c r="AK1011" s="3"/>
      <c r="AL1011" s="3"/>
      <c r="AM1011" s="3"/>
      <c r="AN1011" s="3"/>
      <c r="AO1011" s="3"/>
      <c r="AP1011" s="3"/>
      <c r="AQ1011" s="3"/>
      <c r="AR1011" s="3"/>
      <c r="AS1011" s="6"/>
      <c r="AT1011" s="6"/>
      <c r="AU1011" s="6"/>
      <c r="AV1011" s="6"/>
      <c r="AW1011" s="6"/>
      <c r="AX1011" s="6"/>
      <c r="AY1011" s="6"/>
      <c r="AZ1011" s="6"/>
      <c r="BA1011" s="6"/>
      <c r="BB1011" s="6"/>
      <c r="BC1011" s="6"/>
      <c r="BD1011" s="6"/>
      <c r="BE1011" s="6"/>
      <c r="BF1011" s="6"/>
    </row>
    <row r="1012" spans="1:74" x14ac:dyDescent="0.25">
      <c r="A1012" t="s">
        <v>173</v>
      </c>
      <c r="B1012" t="s">
        <v>539</v>
      </c>
    </row>
    <row r="1013" spans="1:74" x14ac:dyDescent="0.25">
      <c r="A1013" s="57" t="s">
        <v>124</v>
      </c>
      <c r="B1013" s="57" t="s">
        <v>980</v>
      </c>
      <c r="C1013" s="9"/>
      <c r="L1013" s="142"/>
      <c r="O1013" s="142"/>
      <c r="AT1013" t="s">
        <v>2018</v>
      </c>
    </row>
    <row r="1014" spans="1:74" x14ac:dyDescent="0.25">
      <c r="A1014" t="s">
        <v>306</v>
      </c>
      <c r="B1014" s="719" t="s">
        <v>1856</v>
      </c>
      <c r="C1014" s="720"/>
      <c r="D1014" s="720"/>
      <c r="E1014" s="720"/>
      <c r="F1014" s="720"/>
      <c r="G1014" s="720"/>
      <c r="H1014" s="720"/>
      <c r="I1014" s="720"/>
      <c r="J1014" s="720"/>
      <c r="K1014" s="720"/>
      <c r="L1014" s="720">
        <v>8614</v>
      </c>
      <c r="M1014" s="720"/>
      <c r="N1014" s="720"/>
      <c r="O1014" s="720"/>
      <c r="P1014" s="720"/>
      <c r="Q1014" s="720"/>
      <c r="R1014" s="720"/>
      <c r="S1014" s="720"/>
      <c r="T1014" s="720"/>
      <c r="U1014" s="720"/>
      <c r="V1014" s="720"/>
      <c r="W1014" s="720"/>
      <c r="X1014" s="720"/>
      <c r="Y1014" s="720"/>
      <c r="Z1014" s="720"/>
      <c r="AA1014" s="720"/>
      <c r="AB1014" s="720"/>
      <c r="AC1014" s="720"/>
      <c r="AD1014" s="720"/>
      <c r="AE1014" s="720"/>
      <c r="AF1014" s="720"/>
      <c r="AG1014" s="720"/>
      <c r="AH1014" s="720"/>
      <c r="AI1014" s="720"/>
      <c r="AJ1014" s="720"/>
      <c r="AK1014" s="720"/>
      <c r="AL1014" s="720"/>
      <c r="AM1014" s="720"/>
      <c r="AN1014" s="720"/>
      <c r="AO1014" s="720"/>
      <c r="AP1014" s="720"/>
      <c r="AQ1014" s="720"/>
      <c r="AR1014" s="720"/>
      <c r="AS1014" s="720"/>
      <c r="AT1014" s="720"/>
      <c r="AU1014" s="720"/>
      <c r="AV1014" s="720"/>
      <c r="AW1014" s="720"/>
      <c r="AX1014" s="720"/>
      <c r="AY1014" s="720"/>
      <c r="AZ1014" s="720"/>
      <c r="BA1014" s="720"/>
      <c r="BB1014" s="720"/>
      <c r="BC1014" s="720"/>
      <c r="BD1014" s="720"/>
      <c r="BE1014" s="720"/>
      <c r="BF1014" s="720"/>
      <c r="BG1014" s="720"/>
      <c r="BH1014" s="720"/>
      <c r="BI1014" s="720"/>
      <c r="BJ1014" s="720"/>
      <c r="BK1014" s="720"/>
      <c r="BL1014" s="720"/>
      <c r="BM1014" s="720"/>
      <c r="BN1014" s="720"/>
      <c r="BO1014" s="720"/>
      <c r="BP1014" s="720"/>
      <c r="BQ1014" s="720"/>
      <c r="BR1014" s="720"/>
      <c r="BS1014" s="720"/>
      <c r="BT1014" s="720"/>
      <c r="BU1014" s="720"/>
      <c r="BV1014" s="720"/>
    </row>
    <row r="1015" spans="1:74" x14ac:dyDescent="0.25">
      <c r="A1015" t="s">
        <v>359</v>
      </c>
      <c r="B1015" s="7" t="s">
        <v>286</v>
      </c>
      <c r="C1015" s="7" t="s">
        <v>287</v>
      </c>
      <c r="D1015" s="7" t="s">
        <v>120</v>
      </c>
      <c r="E1015" s="7" t="s">
        <v>226</v>
      </c>
      <c r="F1015" s="7" t="s">
        <v>515</v>
      </c>
      <c r="G1015" s="7" t="s">
        <v>541</v>
      </c>
      <c r="H1015" s="7" t="s">
        <v>542</v>
      </c>
      <c r="I1015" s="7" t="s">
        <v>543</v>
      </c>
      <c r="J1015" s="7" t="s">
        <v>544</v>
      </c>
      <c r="K1015" s="7" t="s">
        <v>545</v>
      </c>
      <c r="L1015" s="7" t="s">
        <v>546</v>
      </c>
      <c r="M1015" s="7" t="s">
        <v>547</v>
      </c>
      <c r="N1015" s="7" t="s">
        <v>548</v>
      </c>
      <c r="O1015" s="7" t="s">
        <v>549</v>
      </c>
      <c r="P1015" s="7" t="s">
        <v>711</v>
      </c>
      <c r="Q1015" s="7" t="s">
        <v>712</v>
      </c>
      <c r="R1015" s="7" t="s">
        <v>13</v>
      </c>
      <c r="S1015" s="7" t="s">
        <v>635</v>
      </c>
      <c r="T1015" s="7" t="s">
        <v>636</v>
      </c>
      <c r="U1015" s="7" t="s">
        <v>550</v>
      </c>
      <c r="V1015" s="7" t="s">
        <v>551</v>
      </c>
      <c r="W1015" s="7" t="s">
        <v>351</v>
      </c>
      <c r="X1015" s="7" t="s">
        <v>352</v>
      </c>
      <c r="Y1015" s="29" t="s">
        <v>571</v>
      </c>
      <c r="Z1015" s="29" t="s">
        <v>414</v>
      </c>
      <c r="AA1015" s="29" t="s">
        <v>570</v>
      </c>
      <c r="AB1015" s="29" t="s">
        <v>633</v>
      </c>
      <c r="AC1015" s="29" t="s">
        <v>630</v>
      </c>
      <c r="AD1015" s="100" t="s">
        <v>632</v>
      </c>
      <c r="AE1015" s="100" t="s">
        <v>298</v>
      </c>
      <c r="AF1015" s="100" t="s">
        <v>103</v>
      </c>
      <c r="AG1015" s="100" t="s">
        <v>414</v>
      </c>
      <c r="AH1015" s="100" t="s">
        <v>104</v>
      </c>
      <c r="AI1015" s="100" t="s">
        <v>55</v>
      </c>
      <c r="AJ1015" s="100" t="s">
        <v>665</v>
      </c>
      <c r="AK1015" s="100" t="s">
        <v>597</v>
      </c>
      <c r="AL1015" s="100" t="s">
        <v>598</v>
      </c>
      <c r="AM1015" s="100" t="s">
        <v>599</v>
      </c>
      <c r="AN1015" s="100" t="s">
        <v>600</v>
      </c>
      <c r="AO1015" s="100" t="s">
        <v>671</v>
      </c>
      <c r="AP1015" s="100" t="s">
        <v>672</v>
      </c>
      <c r="AQ1015" s="100" t="s">
        <v>673</v>
      </c>
      <c r="AR1015" s="100" t="s">
        <v>674</v>
      </c>
      <c r="AS1015" s="7" t="s">
        <v>553</v>
      </c>
      <c r="AT1015" s="7" t="s">
        <v>554</v>
      </c>
      <c r="AU1015" s="7" t="s">
        <v>555</v>
      </c>
      <c r="AV1015" s="7" t="s">
        <v>556</v>
      </c>
      <c r="AW1015" s="7" t="s">
        <v>557</v>
      </c>
      <c r="AX1015" s="7" t="s">
        <v>558</v>
      </c>
      <c r="AY1015" s="7" t="s">
        <v>559</v>
      </c>
      <c r="AZ1015" s="7" t="s">
        <v>560</v>
      </c>
      <c r="BA1015" s="7" t="s">
        <v>561</v>
      </c>
      <c r="BB1015" s="7" t="s">
        <v>562</v>
      </c>
      <c r="BC1015" s="7" t="s">
        <v>563</v>
      </c>
      <c r="BD1015" s="7" t="s">
        <v>564</v>
      </c>
      <c r="BE1015" s="7" t="s">
        <v>565</v>
      </c>
      <c r="BF1015" s="7" t="s">
        <v>566</v>
      </c>
      <c r="BG1015" s="7" t="s">
        <v>567</v>
      </c>
      <c r="BH1015" s="7" t="s">
        <v>568</v>
      </c>
      <c r="BI1015" s="7" t="s">
        <v>365</v>
      </c>
      <c r="BJ1015" s="7" t="s">
        <v>191</v>
      </c>
      <c r="BK1015" s="7" t="s">
        <v>643</v>
      </c>
      <c r="BL1015" s="7" t="s">
        <v>644</v>
      </c>
      <c r="BM1015" s="123" t="s">
        <v>655</v>
      </c>
      <c r="BN1015" s="123" t="s">
        <v>656</v>
      </c>
      <c r="BO1015" s="123" t="s">
        <v>660</v>
      </c>
      <c r="BP1015" s="123" t="s">
        <v>661</v>
      </c>
      <c r="BQ1015" s="123" t="s">
        <v>658</v>
      </c>
      <c r="BR1015" s="123" t="s">
        <v>657</v>
      </c>
      <c r="BS1015" s="123" t="s">
        <v>663</v>
      </c>
      <c r="BT1015" s="123" t="s">
        <v>662</v>
      </c>
      <c r="BU1015" s="7" t="s">
        <v>530</v>
      </c>
      <c r="BV1015" s="7" t="s">
        <v>697</v>
      </c>
    </row>
    <row r="1016" spans="1:74" x14ac:dyDescent="0.3">
      <c r="B1016" s="7" t="s">
        <v>321</v>
      </c>
      <c r="C1016" s="144" t="s">
        <v>322</v>
      </c>
      <c r="D1016" s="7" t="s">
        <v>323</v>
      </c>
      <c r="E1016" s="7" t="s">
        <v>1011</v>
      </c>
      <c r="F1016" s="7" t="s">
        <v>652</v>
      </c>
      <c r="G1016" s="7" t="s">
        <v>651</v>
      </c>
      <c r="H1016" s="7" t="s">
        <v>650</v>
      </c>
      <c r="I1016" s="7" t="s">
        <v>649</v>
      </c>
      <c r="J1016" s="7" t="s">
        <v>647</v>
      </c>
      <c r="K1016" s="7" t="s">
        <v>648</v>
      </c>
      <c r="L1016" s="7" t="s">
        <v>1048</v>
      </c>
      <c r="M1016" s="7" t="s">
        <v>727</v>
      </c>
      <c r="N1016" s="7" t="s">
        <v>1049</v>
      </c>
      <c r="O1016" s="7" t="s">
        <v>734</v>
      </c>
      <c r="P1016" s="7" t="s">
        <v>711</v>
      </c>
      <c r="Q1016" s="7" t="s">
        <v>712</v>
      </c>
      <c r="R1016" s="146" t="s">
        <v>637</v>
      </c>
      <c r="S1016" s="146" t="s">
        <v>1801</v>
      </c>
      <c r="T1016" s="146" t="s">
        <v>634</v>
      </c>
      <c r="U1016" s="146" t="s">
        <v>645</v>
      </c>
      <c r="V1016" s="146" t="s">
        <v>646</v>
      </c>
      <c r="W1016" s="146" t="s">
        <v>639</v>
      </c>
      <c r="X1016" s="146" t="s">
        <v>640</v>
      </c>
      <c r="Y1016" s="146" t="s">
        <v>621</v>
      </c>
      <c r="Z1016" s="146" t="s">
        <v>1497</v>
      </c>
      <c r="AA1016" s="146" t="s">
        <v>1498</v>
      </c>
      <c r="AB1016" s="146" t="s">
        <v>622</v>
      </c>
      <c r="AC1016" s="146" t="s">
        <v>623</v>
      </c>
      <c r="AD1016" s="146" t="s">
        <v>624</v>
      </c>
      <c r="AE1016" s="146" t="s">
        <v>31</v>
      </c>
      <c r="AF1016" s="146" t="s">
        <v>625</v>
      </c>
      <c r="AG1016" s="146" t="s">
        <v>626</v>
      </c>
      <c r="AH1016" s="146" t="s">
        <v>627</v>
      </c>
      <c r="AI1016" s="146" t="s">
        <v>628</v>
      </c>
      <c r="AJ1016" s="146" t="s">
        <v>629</v>
      </c>
      <c r="AK1016" s="146" t="s">
        <v>617</v>
      </c>
      <c r="AL1016" s="146" t="s">
        <v>618</v>
      </c>
      <c r="AM1016" s="146" t="s">
        <v>619</v>
      </c>
      <c r="AN1016" s="146" t="s">
        <v>620</v>
      </c>
      <c r="AO1016" s="56" t="s">
        <v>667</v>
      </c>
      <c r="AP1016" s="56" t="s">
        <v>668</v>
      </c>
      <c r="AQ1016" s="56" t="s">
        <v>669</v>
      </c>
      <c r="AR1016" s="56" t="s">
        <v>670</v>
      </c>
      <c r="AS1016" s="146" t="s">
        <v>601</v>
      </c>
      <c r="AT1016" s="146" t="s">
        <v>602</v>
      </c>
      <c r="AU1016" s="146" t="s">
        <v>603</v>
      </c>
      <c r="AV1016" s="146" t="s">
        <v>604</v>
      </c>
      <c r="AW1016" s="146" t="s">
        <v>605</v>
      </c>
      <c r="AX1016" s="146" t="s">
        <v>606</v>
      </c>
      <c r="AY1016" s="146" t="s">
        <v>607</v>
      </c>
      <c r="AZ1016" s="146" t="s">
        <v>608</v>
      </c>
      <c r="BA1016" s="146" t="s">
        <v>609</v>
      </c>
      <c r="BB1016" s="146" t="s">
        <v>610</v>
      </c>
      <c r="BC1016" s="146" t="s">
        <v>611</v>
      </c>
      <c r="BD1016" s="146" t="s">
        <v>612</v>
      </c>
      <c r="BE1016" s="146" t="s">
        <v>613</v>
      </c>
      <c r="BF1016" s="146" t="s">
        <v>614</v>
      </c>
      <c r="BG1016" s="146" t="s">
        <v>615</v>
      </c>
      <c r="BH1016" s="146" t="s">
        <v>616</v>
      </c>
      <c r="BI1016" s="56" t="s">
        <v>22</v>
      </c>
      <c r="BJ1016" s="56" t="s">
        <v>23</v>
      </c>
      <c r="BK1016" s="7" t="s">
        <v>643</v>
      </c>
      <c r="BL1016" s="7" t="s">
        <v>644</v>
      </c>
      <c r="BM1016" s="123" t="s">
        <v>655</v>
      </c>
      <c r="BN1016" s="123" t="s">
        <v>656</v>
      </c>
      <c r="BO1016" s="123" t="s">
        <v>660</v>
      </c>
      <c r="BP1016" s="123" t="s">
        <v>661</v>
      </c>
      <c r="BQ1016" s="123" t="s">
        <v>658</v>
      </c>
      <c r="BR1016" s="123" t="s">
        <v>657</v>
      </c>
      <c r="BS1016" s="123" t="s">
        <v>663</v>
      </c>
      <c r="BT1016" s="123" t="s">
        <v>662</v>
      </c>
      <c r="BU1016" s="7" t="s">
        <v>1598</v>
      </c>
      <c r="BV1016" s="7" t="s">
        <v>697</v>
      </c>
    </row>
    <row r="1017" spans="1:74" x14ac:dyDescent="0.25">
      <c r="A1017" t="str">
        <f>IF(AND(SUM(Y1017:AD1017)=0,SUM(J1017:K1017)=0),"comment","")</f>
        <v/>
      </c>
      <c r="B1017" s="12" t="str">
        <f>$B$5</f>
        <v>6001</v>
      </c>
      <c r="C1017" s="12" t="str">
        <f>$C$5</f>
        <v>B00101</v>
      </c>
      <c r="D1017" s="12" t="str">
        <f>$D$5</f>
        <v>6001</v>
      </c>
      <c r="E1017" s="12" t="s">
        <v>228</v>
      </c>
      <c r="F1017" s="50" t="str">
        <f>$B$19</f>
        <v>CZCE</v>
      </c>
      <c r="G1017" s="50" t="str">
        <f>C230</f>
        <v>SR807</v>
      </c>
      <c r="H1017" s="92">
        <v>1</v>
      </c>
      <c r="I1017" s="50">
        <f t="shared" ref="I1017:I1039" si="702" xml:space="preserve"> VLOOKUP(G1017,$C$19:$L$31,3,FALSE)</f>
        <v>10</v>
      </c>
      <c r="J1017" s="50">
        <f t="shared" ref="J1017:J1038" si="703">SUMPRODUCT(($D$922:$D$998=C1017)*($E$922:$E$998=D1017)*($L$922:$L$998=H1017)*($J$922:$J$998=0)*($I$922:$I$998=G1017)*($N$922:$N$998))+SUMPRODUCT(($D$922:$D$998=C1017)*($E$922:$E$998=D1017)*($L$922:$L$998=H1017)*($J$922:$J$998=0)*($I$922:$I$998=G1017)*($M$922:$M$998))</f>
        <v>15</v>
      </c>
      <c r="K1017" s="50">
        <f t="shared" ref="K1017:K1039" si="704">SUMPRODUCT(($D$922:$D$998=C1017)*($E$922:$E$998=D1017)*($L$922:$L$998=H1017)*($J$922:$J$998=1)*($I$922:$I$998=G1017)*($M$922:$M$998))+SUMPRODUCT(($D$922:$D$998=C1017)*($E$922:$E$998=D1017)*($L$922:$L$998=H1017)*($J$922:$J$998=1)*($I$922:$I$998=G1017)*($N$922:$N$998))</f>
        <v>13</v>
      </c>
      <c r="L1017" s="50">
        <f t="shared" ref="L1017:L1039" si="705">IF($G$190=0,BM1017,
IF(SUMPRODUCT(($C$1017:$C$1039=C1017)*($D$1017:$D$1039=D1017)*($G$1017:$G$1039=G1017)*($BM$1017:$BM$1039))&gt;=SUMPRODUCT(($C$1017:$C$1039=C1017)*($D$1017:$D$1039=D1017)*($G$1017:$G$1039=G1017)*($BN$1017:$BN$1039)),BM1017,0))+BO1017</f>
        <v>0</v>
      </c>
      <c r="M1017" s="223">
        <f t="shared" ref="M1017:M1039" si="706">IF($G$190=0,BN1017,
IF(SUMPRODUCT(($C$1017:$C$1039=C1017)*($D$1017:$D$1039=D1017)*($G$1017:$G$1039=G1017)*($BM$1017:$BM$1039))&lt;SUMPRODUCT(($C$1017:$C$1039=C1017)*($D$1017:$D$1039=D1017)*($G$1017:$G$1039=G1017)*($BN$1017:$BN$1039)),BN1017,0))+BP1017-BK1017</f>
        <v>40195.800000000003</v>
      </c>
      <c r="N1017" s="12">
        <f t="shared" ref="N1017:N1039" si="707">IF(SUMPRODUCT(($C$1017:$C$1039=C1017)*($D$1017:$D$1039=D1017)*($G$1017:$G$1039=G1017)*($BQ$1017:$BQ$1039))&gt;=SUMPRODUCT(($C$1017:$C$1039=C1017)*($D$1017:$D$1039=D1017)*($G$1017:$G$1039=G1017)*($BR$1017:$BR$1039)),BQ1017,0)+BS1017</f>
        <v>0</v>
      </c>
      <c r="O1017" s="12">
        <f t="shared" ref="O1017:O1039" si="708">IF(SUMPRODUCT(($C$1017:$C$1039=C1017)*($D$1017:$D$1039=D1017)*($G$1017:$G$1039=G1017)*($BQ$1017:$BQ$1039))&lt;SUMPRODUCT(($C$1017:$C$1039=C1017)*($D$1017:$D$1039=D1017)*($G$1017:$G$1039=G1017)*($BR$1017:$BR$1039)),BR1017,0)+BT1017-BL1017</f>
        <v>32181.3</v>
      </c>
      <c r="P1017" s="50">
        <f t="shared" ref="P1017:P1039" si="709">SUMPRODUCT(($F$822:$F$826=C1017)*($G$822:$G$826=D1017)*($K$822:$K$826=G1017)*($N$822:$N$826=H1017)*($Y$822:$Y$826))</f>
        <v>0</v>
      </c>
      <c r="Q1017" s="50">
        <f t="shared" ref="Q1017:Q1039" si="710">SUMPRODUCT(($F$822:$F$826=C1017)*($G$822:$G$826=D1017)*($K$822:$K$826=G1017)*($N$822:$N$826=H1017)*($Z$822:$Z$826))</f>
        <v>0</v>
      </c>
      <c r="R1017" s="50">
        <f t="shared" ref="R1017:R1039" si="711" xml:space="preserve"> VLOOKUP(G1017,$C$230:$F$242,3,FALSE)</f>
        <v>6155</v>
      </c>
      <c r="S1017" s="50">
        <f t="shared" ref="S1017:S1036" si="712">SUMPRODUCT(($D$922:$D$998=C1017)*($E$922:$E$998=D1017)*($L$922:$L$998=H1017)*($J$922:$J$998=0)*($I$922:$I$998=G1017)*($AY$922:$AY$998))</f>
        <v>975000</v>
      </c>
      <c r="T1017" s="50">
        <f t="shared" ref="T1017:T1039" si="713">SUMPRODUCT(($D$922:$D$998=C1017)*($E$922:$E$998=D1017)*($L$922:$L$998=H1017)*($J$922:$J$998=1)*($I$922:$I$998=G1017)*($AY$922:$AY$998))</f>
        <v>811230</v>
      </c>
      <c r="U1017" s="92">
        <f t="shared" ref="U1017:U1039" si="714" xml:space="preserve"> IF(BU1017=1,I1017*J1017*R1017,0)</f>
        <v>0</v>
      </c>
      <c r="V1017" s="92">
        <f t="shared" ref="V1017:V1039" si="715" xml:space="preserve"> IF(BU1017=1,I1017*K1017*R1017,0)</f>
        <v>0</v>
      </c>
      <c r="W1017" s="25">
        <f t="shared" ref="W1017:W1039" si="716">SUMPRODUCT(($F$693:$F$761=C1017)*($G$693:$G$761=D1017)*(($L$693:$L$761=G1017)*($P$693:$P$761=H1017)*($AJ$693:$AJ$761)))</f>
        <v>0</v>
      </c>
      <c r="X1017" s="25">
        <f t="shared" ref="X1017:X1039" si="717">SUMPRODUCT(($F$693:$F$761=C1017)*($G$693:$G$761=D1017)*(($L$693:$L$761=G1017)*($P$693:$P$761=H1017)*($AK$693:$AK$761)))</f>
        <v>0</v>
      </c>
      <c r="Y1017" s="92">
        <f t="shared" ref="Y1017:Y1039" si="718">ROUND(SUMPRODUCT(($F$693:$F$761=C1017)*($G$693:$G$761=D1017)*($L$693:$L$761=G1017)*($P$693:$P$761=H1017)*($AA$693:$AA$761)),2)</f>
        <v>1013.36</v>
      </c>
      <c r="Z1017" s="92">
        <f t="shared" ref="Z1017:Z1039" si="719">SUMPRODUCT(($E$806:$E$815=C1017)*($F$806:$F$815=D1017)*($I$806:$I$815=G1017)*($L$806:$L$815=H1017)*($O$806:$O$815=2)*($AC$806:$AC$815=1)*($U$806:$U$815))</f>
        <v>0</v>
      </c>
      <c r="AA1017" s="92">
        <f t="shared" ref="AA1017:AA1039" si="720">ROUND(SUMPRODUCT(($F$693:$F$761=C1017)*($G$693:$G$761=D1017)*($L$693:$L$761=G1017)*($P$693:$P$761=H1017)*($AQ$693:$AQ$761)),2)</f>
        <v>453.71</v>
      </c>
      <c r="AB1017" s="92">
        <v>0</v>
      </c>
      <c r="AC1017" s="92">
        <f t="shared" ref="AC1017:AC1039" si="721">SUMPRODUCT(($D$842:$D$869=C1017)*($E$842:$E$869=D1017)*($H$842:$H$869=G1017)*($L$842:$L$869=H1017)*($U$842:$U$869))</f>
        <v>0</v>
      </c>
      <c r="AD1017" s="92">
        <v>0</v>
      </c>
      <c r="AE1017" s="92">
        <f t="shared" ref="AE1017:AE1038" si="722">ROUND(SUMPRODUCT(($F$693:$F$761=C1017)*($G$693:$G$761=D1017)*($L$693:$L$761=G1017)*($P$693:$P$761=H1017)*($AB$693:$AB$761)),2)</f>
        <v>786.51</v>
      </c>
      <c r="AF1017" s="92">
        <v>0</v>
      </c>
      <c r="AG1017" s="92">
        <f t="shared" ref="AG1017:AG1039" si="723">SUMPRODUCT(($E$806:$E$815=C1017)*($F$806:$F$815=D1017)*($I$806:$I$815=G1017)*($L$806:$L$815=H1017)*($O$806:$O$815=1)*($AC$806:$AC$815=1)*($U$806:$U$815))</f>
        <v>0</v>
      </c>
      <c r="AH1017" s="92">
        <v>0</v>
      </c>
      <c r="AI1017" s="92">
        <f t="shared" ref="AI1017:AI1039" si="724">SUMPRODUCT(($D$842:$D$869=C1017)*($E$842:$E$869=D1017)*($H$842:$H$869=G1017)*($L$842:$L$869=H1017)*($V$842:$V$869))</f>
        <v>0</v>
      </c>
      <c r="AJ1017" s="92">
        <v>0</v>
      </c>
      <c r="AK1017" s="92">
        <f t="shared" ref="AK1017:AK1039" si="725">ROUND(SUMPRODUCT(($F$693:$F$761=C1017)*($G$693:$G$761=D1017)*($L$693:$L$761=G1017)*($P$693:$P$761=H1017)*($O$693:$O$761=0)*($AC$693:$AC$761)),2)</f>
        <v>0</v>
      </c>
      <c r="AL1017" s="92">
        <f t="shared" ref="AL1017:AL1039" si="726">ROUND(SUMPRODUCT(($F$693:$F$761=C1017)*($G$693:$G$761=D1017)*($L$693:$L$761=G1017)*($P$693:$P$761=H1017)*($O$693:$O$761=1)*($AC$693:$AC$761)),2)</f>
        <v>-3140</v>
      </c>
      <c r="AM1017" s="92">
        <f t="shared" ref="AM1017:AM1038" si="727">ROUND(SUMPRODUCT(($F$693:$F$761=C1017)*($G$693:$G$761=D1017)*($L$693:$L$761=G1017)*($P$693:$P$761=H1017)*($O$693:$O$761=0)*($AD$693:$AD$761)),2)</f>
        <v>0</v>
      </c>
      <c r="AN1017" s="147">
        <f t="shared" ref="AN1017:AN1038" si="728">ROUND(SUMPRODUCT(($F$693:$F$761=C1017)*($G$693:$G$761=D1017)*($L$693:$L$761=G1017)*($P$693:$P$761=H1017)*($O$693:$O$761=1)*($AD$693:$AD$761)),2)</f>
        <v>60</v>
      </c>
      <c r="AO1017" s="147">
        <f t="shared" ref="AO1017:AO1039" si="729">SUMPRODUCT(($D$922:$D$998=C1017)*($E$922:$E$998=D1017)*($L$922:$L$998=H1017)*($J$922:$J$998=0)*($I$922:$I$998=G1017)*($AL$922:$AL$998))+SUMPRODUCT(($D$922:$D$998=C1017)*($E$922:$E$998=D1017)*($L$922:$L$998=H1017)*($J$922:$J$998=0)*($I$922:$I$998=G1017)*($AN$922:$AN$998))</f>
        <v>-51750</v>
      </c>
      <c r="AP1017" s="147">
        <f t="shared" ref="AP1017:AP1039" si="730">SUMPRODUCT(($D$922:$D$998=C1017)*($E$922:$E$998=D1017)*($L$922:$L$998=H1017)*($J$922:$J$998=1)*($I$922:$I$998=G1017)*($AL$922:$AL$998))+SUMPRODUCT(($D$922:$D$998=C1017)*($E$922:$E$998=D1017)*($L$922:$L$998=H1017)*($J$922:$J$998=1)*($I$922:$I$998=G1017)*($AN$922:$AN$998))</f>
        <v>4350</v>
      </c>
      <c r="AQ1017" s="147">
        <f t="shared" ref="AQ1017:AQ1039" si="731">SUMPRODUCT(($D$922:$D$998=C1017)*($E$922:$E$998=D1017)*($L$922:$L$998=H1017)*($J$922:$J$998=0)*($I$922:$I$998=G1017)*($AM$922:$AM$998))+SUMPRODUCT(($D$922:$D$998=C1017)*($E$922:$E$998=D1017)*($L$922:$L$998=H1017)*($J$922:$J$998=0)*($I$922:$I$998=G1017)*($AO$922:$AO$998))</f>
        <v>-51750</v>
      </c>
      <c r="AR1017" s="147">
        <f t="shared" ref="AR1017:AR1039" si="732">SUMPRODUCT(($D$922:$D$998=C1017)*($E$922:$E$998=D1017)*($L$922:$L$998=H1017)*($J$922:$J$998=1)*($I$922:$I$998=G1017)*($AM$922:$AM$998))+SUMPRODUCT(($D$922:$D$998=C1017)*($E$922:$E$998=D1017)*($L$922:$L$998=H1017)*($J$922:$J$998=1)*($I$922:$I$998=G1017)*($AO$922:$AO$998))</f>
        <v>11080</v>
      </c>
      <c r="AS1017" s="92">
        <f t="shared" ref="AS1017:AS1039" si="733">SUMPRODUCT(($F$693:$F$761=C1017)*($G$693:$G$761=D1017)*($L$693:$L$761=G1017)*($P$693:$P$761=H1017)*($O$693:$O$761=0)*($Q$693:$Q$761))+SUMPRODUCT(($D$842:$D$869=C1017)*($E$842:$E$869=D1017)*($H$842:$H$869=G1017)*($L$842:$L$869=H1017)*($K$842:$K$869=1)*($O$842:$O$869=0)*($N$842:$N$869))</f>
        <v>18</v>
      </c>
      <c r="AT1017" s="92">
        <f>SUMPRODUCT(($F$693:$F$761=C1017)*($G$693:$G$761=D1017)*($L$693:$L$761=G1017)*($P$693:$P$761=H1017)*($O$693:$O$761=0)*($AE$693:$AE$761))</f>
        <v>1158330</v>
      </c>
      <c r="AU1017" s="92">
        <f t="shared" ref="AU1017:AU1039" si="734">SUMPRODUCT(($F$693:$F$761=C1017)*($G$693:$G$761=D1017)*($L$693:$L$761=G1017)*($P$693:$P$761=H1017)*($O$693:$O$761=0)*($N$693:$N$761=0)*($Q$693:$Q$761))</f>
        <v>18</v>
      </c>
      <c r="AV1017" s="92">
        <f t="shared" ref="AV1017:AV1039" si="735">SUMPRODUCT(($F$693:$F$761=C1017)*($G$693:$G$761=D1017)*($L$693:$L$761=G1017)*($P$693:$P$761=H1017)*($O$693:$O$761=0)*($N$693:$N$761=0)*($AE$693:$AE$761))</f>
        <v>1158330</v>
      </c>
      <c r="AW1017" s="92">
        <f t="shared" ref="AW1017:AW1039" si="736">SUMPRODUCT(($F$693:$F$761=C1017)*($G$693:$G$761=D1017)*($L$693:$L$761=G1017)*($P$693:$P$761=H1017)*($O$693:$O$761=0)*($N$693:$N$761=1)*($Q$693:$Q$761))+SUMPRODUCT(($D$842:$D$869=C1017)*($E$842:$E$869=D1017)*($H$842:$H$869=G1017)*($L$842:$L$869=H1017)*($K$842:$K$869=1)*($O$842:$O$869=0)*($AE$842:$AE$869=1)*($N$842:$N$869))</f>
        <v>0</v>
      </c>
      <c r="AX1017" s="92">
        <f t="shared" ref="AX1017:AX1039" si="737">SUMPRODUCT(($F$693:$F$761=C1017)*($G$693:$G$761=D1017)*($L$693:$L$761=G1017)*($P$693:$P$761=H1017)*($O$693:$O$761=0)*($N$693:$N$761=1)*($AE$693:$AE$761))</f>
        <v>0</v>
      </c>
      <c r="AY1017" s="92">
        <f t="shared" ref="AY1017:AY1039" si="738">SUMPRODUCT(($F$693:$F$761=C1017)*($G$693:$G$761=D1017)*($L$693:$L$761=G1017)*($P$693:$P$761=H1017)*($O$693:$O$761=0)*($N$693:$N$761=3)*($Q$693:$Q$761))+SUMPRODUCT(($D$842:$D$869=C1017)*($E$842:$E$869=D1017)*($H$842:$H$869=G1017)*($L$842:$L$869=H1017)*($K$842:$K$869=1)*($O$842:$O$869=0)*($AE$842:$AE$869=3)*($N$842:$N$869))</f>
        <v>0</v>
      </c>
      <c r="AZ1017" s="92">
        <f t="shared" ref="AZ1017:AZ1039" si="739">SUMPRODUCT(($F$693:$F$761=C1017)*($G$693:$G$761=D1017)*($L$693:$L$761=G1017)*($P$693:$P$761=H1017)*($O$693:$O$761=0)*($N$693:$N$761=3)*($AE$693:$AE$761))</f>
        <v>0</v>
      </c>
      <c r="BA1017" s="115">
        <f t="shared" ref="BA1017:BA1039" si="740">SUMPRODUCT(($F$693:$F$761=C1017)*($G$693:$G$761=D1017)*($L$693:$L$761=G1017)*($P$693:$P$761=H1017)*($O$693:$O$761=1)*($Q$693:$Q$761))+SUMPRODUCT(($D$842:$D$869=C1017)*($E$842:$E$869=D1017)*($H$842:$H$869=G1017)*($L$842:$L$869=H1017)*($K$842:$K$869=0)*($O$842:$O$869=0)*($N$842:$N$869))</f>
        <v>13</v>
      </c>
      <c r="BB1017" s="92">
        <f>SUMPRODUCT(($F$693:$F$761=C1017)*($G$693:$G$761=D1017)*($L$693:$L$761=G1017)*($P$693:$P$761=H1017)*($O$693:$O$761=1)*($AE$693:$AE$761))</f>
        <v>800190</v>
      </c>
      <c r="BC1017" s="92">
        <f t="shared" ref="BC1017:BC1039" si="741">SUMPRODUCT(($F$693:$F$761=C1017)*($G$693:$G$761=D1017)*($L$693:$L$761=G1017)*($P$693:$P$761=H1017)*($O$693:$O$761=1)*($N$693:$N$761=0)*($N$693:$N$761=0)*($Q$693:$Q$761))</f>
        <v>2</v>
      </c>
      <c r="BD1017" s="92">
        <f t="shared" ref="BD1017:BD1039" si="742">SUMPRODUCT(($F$693:$F$761=C1017)*($G$693:$G$761=D1017)*($L$693:$L$761=G1017)*($P$693:$P$761=H1017)*($O$693:$O$761=1)*($N$693:$N$761=0)*($AE$693:$AE$761))</f>
        <v>128000</v>
      </c>
      <c r="BE1017" s="92">
        <f t="shared" ref="BE1017:BE1039" si="743">SUMPRODUCT(($F$693:$F$761=C1017)*($G$693:$G$761=D1017)*($L$693:$L$761=G1017)*($P$693:$P$761=H1017)*($O$693:$O$761=1)*($N$693:$N$761=1)*($Q$693:$Q$761))+SUMPRODUCT(($D$842:$D$869=C1017)*($E$842:$E$869=D1017)*($H$842:$H$869=G1017)*($L$842:$L$869=H1017)*($K$842:$K$869=0)*($O$842:$O$869=0)*($AE$842:$AE$869=1)*($N$842:$N$869))</f>
        <v>8</v>
      </c>
      <c r="BF1017" s="92">
        <f t="shared" ref="BF1017:BF1039" si="744">SUMPRODUCT(($F$693:$F$761=C1017)*($G$693:$G$761=D1017)*($L$693:$L$761=G1017)*($P$693:$P$761=H1017)*($O$693:$O$761=1)*($N$693:$N$761=1)*($AE$693:$AE$761))</f>
        <v>488800</v>
      </c>
      <c r="BG1017" s="92">
        <f t="shared" ref="BG1017:BG1039" si="745">SUMPRODUCT(($F$693:$F$761=C1017)*($G$693:$G$761=D1017)*($L$693:$L$761=G1017)*($P$693:$P$761=H1017)*($O$693:$O$761=1)*($N$693:$N$761=3)*($Q$693:$Q$761))+SUMPRODUCT(($D$842:$D$869=C1017)*($E$842:$E$869=D1017)*($H$842:$H$869=G1017)*($L$842:$L$869=H1017)*($K$842:$K$869=0)*($O$842:$O$869=0)*($AE$842:$AE$869=3)*($N$842:$N$869))</f>
        <v>3</v>
      </c>
      <c r="BH1017" s="92">
        <f t="shared" ref="BH1017:BH1039" si="746">SUMPRODUCT(($F$693:$F$761=C1017)*($G$693:$G$761=D1017)*($L$693:$L$761=G1017)*($P$693:$P$761=H1017)*($O$693:$O$761=1)*($N$693:$N$761=3)*($AE$693:$AE$761))</f>
        <v>183390</v>
      </c>
      <c r="BI1017" s="145">
        <f t="shared" ref="BI1017:BI1039" si="747">$B$2</f>
        <v>20180327</v>
      </c>
      <c r="BJ1017" s="12" t="str">
        <f t="shared" ref="BJ1017:BJ1039" si="748">$F$5</f>
        <v>9999</v>
      </c>
      <c r="BK1017" s="25">
        <f>IF(G190=1,V1002,X1002)</f>
        <v>678.15000000000146</v>
      </c>
      <c r="BL1017" s="25">
        <f>W1002</f>
        <v>678.14999999999782</v>
      </c>
      <c r="BM1017">
        <f t="shared" ref="BM1017:BM1039" si="749">SUMPRODUCT(($D$922:$D$998=C1017)*($E$922:$E$998=D1017)*($L$922:$L$998=H1017)*($J$922:$J$998=0)*($I$922:$I$998=G1017)*($AE$922:$AE$998))</f>
        <v>33907.5</v>
      </c>
      <c r="BN1017">
        <f t="shared" ref="BN1017:BN1039" si="750">SUMPRODUCT(($D$922:$D$998=C1017)*($E$922:$E$998=D1017)*($L$922:$L$998=H1017)*($J$922:$J$998=1)*($I$922:$I$998=G1017)*($AE$922:$AE$998))</f>
        <v>34585.65</v>
      </c>
      <c r="BO1017">
        <f t="shared" ref="BO1017:BO1039" si="751">SUMPRODUCT(($G$876:$G$915=C1017)*($H$876:$H$915=D1017)*($I$876:$I$915=G1017)*($J$876:$J$915=H1017)*($L$876:$L$915=0)*($AF$876:$AF$915))</f>
        <v>0</v>
      </c>
      <c r="BP1017">
        <f t="shared" ref="BP1017:BP1039" si="752">SUMPRODUCT(($G$876:$G$915=C1017)*($H$876:$H$915=D1017)*($I$876:$I$915=G1017)*($J$876:$J$915=H1017)*($L$876:$L$915=1)*($AF$876:$AF$915))</f>
        <v>6288.3</v>
      </c>
      <c r="BQ1017">
        <f t="shared" ref="BQ1017:BQ1039" si="753">SUMPRODUCT(($D$922:$D$998=C1017)*($E$922:$E$998=D1017)*($L$922:$L$998=H1017)*($J$922:$J$998=0)*($I$922:$I$998=G1017)*($AF$922:$AF$998))</f>
        <v>27126</v>
      </c>
      <c r="BR1017">
        <f t="shared" ref="BR1017:BR1039" si="754">SUMPRODUCT(($D$922:$D$998=C1017)*($E$922:$E$998=D1017)*($L$922:$L$998=H1017)*($J$922:$J$998=1)*($I$922:$I$998=G1017)*($AF$922:$AF$998))</f>
        <v>27804.149999999998</v>
      </c>
      <c r="BS1017">
        <f t="shared" ref="BS1017:BS1039" si="755">SUMPRODUCT(($G$876:$G$915=C1017)*($H$876:$H$915=D1017)*($I$876:$I$915=G1017)*($J$876:$J$915=H1017)*($L$876:$L$915=0)*($AG$876:$AG$915))</f>
        <v>0</v>
      </c>
      <c r="BT1017">
        <f t="shared" ref="BT1017:BT1039" si="756">SUMPRODUCT(($G$876:$G$915=C1017)*($H$876:$H$915=D1017)*($I$876:$I$915=G1017)*($J$876:$J$915=H1017)*($L$876:$L$915=1)*($AG$876:$AG$915))</f>
        <v>5055.3</v>
      </c>
      <c r="BU1017">
        <f t="shared" ref="BU1017:BU1039" si="757" xml:space="preserve"> VLOOKUP(G1017,$C$19:$L$31,10,FALSE)</f>
        <v>0</v>
      </c>
      <c r="BV1017">
        <f t="shared" ref="BV1017:BV1039" si="758" xml:space="preserve"> VLOOKUP(G1017,$C$19:$L$31,9,FALSE)</f>
        <v>0</v>
      </c>
    </row>
    <row r="1018" spans="1:74" x14ac:dyDescent="0.25">
      <c r="A1018" t="str">
        <f t="shared" ref="A1018:A1039" si="759">IF(AND(SUM(Y1018:AD1018)=0,SUM(J1018:K1018)=0),"comment","")</f>
        <v/>
      </c>
      <c r="B1018" s="12" t="str">
        <f t="shared" ref="B1018:B1039" si="760">$B$5</f>
        <v>6001</v>
      </c>
      <c r="C1018" s="12" t="str">
        <f t="shared" ref="C1018:C1039" si="761">$C$5</f>
        <v>B00101</v>
      </c>
      <c r="D1018" s="12" t="str">
        <f t="shared" ref="D1018:D1039" si="762">$D$5</f>
        <v>6001</v>
      </c>
      <c r="E1018" s="12" t="s">
        <v>228</v>
      </c>
      <c r="F1018" s="50" t="str">
        <f t="shared" ref="F1018:F1039" si="763">$B$19</f>
        <v>CZCE</v>
      </c>
      <c r="G1018" s="110" t="str">
        <f>G1017</f>
        <v>SR807</v>
      </c>
      <c r="H1018" s="92">
        <v>3</v>
      </c>
      <c r="I1018" s="50">
        <f t="shared" si="702"/>
        <v>10</v>
      </c>
      <c r="J1018" s="50">
        <f t="shared" si="703"/>
        <v>5</v>
      </c>
      <c r="K1018" s="50">
        <f t="shared" si="704"/>
        <v>21</v>
      </c>
      <c r="L1018" s="50">
        <f t="shared" si="705"/>
        <v>0</v>
      </c>
      <c r="M1018" s="223">
        <f t="shared" si="706"/>
        <v>58814.1</v>
      </c>
      <c r="N1018" s="12">
        <f t="shared" si="707"/>
        <v>0</v>
      </c>
      <c r="O1018" s="12">
        <f t="shared" si="708"/>
        <v>47717.1</v>
      </c>
      <c r="P1018" s="50">
        <f t="shared" si="709"/>
        <v>0</v>
      </c>
      <c r="Q1018" s="50">
        <f t="shared" si="710"/>
        <v>0</v>
      </c>
      <c r="R1018" s="50">
        <f t="shared" si="711"/>
        <v>6155</v>
      </c>
      <c r="S1018" s="50">
        <f t="shared" si="712"/>
        <v>309480</v>
      </c>
      <c r="T1018" s="50">
        <f t="shared" si="713"/>
        <v>1329050</v>
      </c>
      <c r="U1018" s="92">
        <f t="shared" si="714"/>
        <v>0</v>
      </c>
      <c r="V1018" s="92">
        <f t="shared" si="715"/>
        <v>0</v>
      </c>
      <c r="W1018" s="25">
        <f t="shared" si="716"/>
        <v>0</v>
      </c>
      <c r="X1018" s="25">
        <f t="shared" si="717"/>
        <v>0</v>
      </c>
      <c r="Y1018" s="92">
        <f t="shared" si="718"/>
        <v>687.93</v>
      </c>
      <c r="Z1018" s="92">
        <f t="shared" si="719"/>
        <v>0</v>
      </c>
      <c r="AA1018" s="92">
        <f t="shared" si="720"/>
        <v>320.7</v>
      </c>
      <c r="AB1018" s="92">
        <v>0</v>
      </c>
      <c r="AC1018" s="92">
        <f t="shared" si="721"/>
        <v>0</v>
      </c>
      <c r="AD1018" s="92">
        <v>0</v>
      </c>
      <c r="AE1018" s="92">
        <f t="shared" si="722"/>
        <v>687.93</v>
      </c>
      <c r="AF1018" s="92">
        <v>0</v>
      </c>
      <c r="AG1018" s="92">
        <f t="shared" si="723"/>
        <v>0</v>
      </c>
      <c r="AH1018" s="92">
        <v>0</v>
      </c>
      <c r="AI1018" s="92">
        <f t="shared" si="724"/>
        <v>0</v>
      </c>
      <c r="AJ1018" s="92">
        <v>0</v>
      </c>
      <c r="AK1018" s="92">
        <f t="shared" si="725"/>
        <v>0</v>
      </c>
      <c r="AL1018" s="92">
        <f t="shared" si="726"/>
        <v>-3020</v>
      </c>
      <c r="AM1018" s="92">
        <f t="shared" si="727"/>
        <v>0</v>
      </c>
      <c r="AN1018" s="147">
        <f t="shared" si="728"/>
        <v>-11420</v>
      </c>
      <c r="AO1018" s="147">
        <f t="shared" si="729"/>
        <v>1770</v>
      </c>
      <c r="AP1018" s="147">
        <f t="shared" si="730"/>
        <v>33950</v>
      </c>
      <c r="AQ1018" s="147">
        <f t="shared" si="731"/>
        <v>-1730</v>
      </c>
      <c r="AR1018" s="147">
        <f t="shared" si="732"/>
        <v>36500</v>
      </c>
      <c r="AS1018" s="92">
        <f t="shared" si="733"/>
        <v>4</v>
      </c>
      <c r="AT1018" s="92">
        <f t="shared" ref="AT1018:AT1039" si="764">SUMPRODUCT(($F$693:$F$761=C1018)*($G$693:$G$761=D1018)*($L$693:$L$761=G1018)*($P$693:$P$761=H1018)*($O$693:$O$761=0)*($AE$693:$AE$761))</f>
        <v>244480</v>
      </c>
      <c r="AU1018" s="92">
        <f t="shared" si="734"/>
        <v>4</v>
      </c>
      <c r="AV1018" s="92">
        <f t="shared" si="735"/>
        <v>244480</v>
      </c>
      <c r="AW1018" s="92">
        <f t="shared" si="736"/>
        <v>0</v>
      </c>
      <c r="AX1018" s="92">
        <f t="shared" si="737"/>
        <v>0</v>
      </c>
      <c r="AY1018" s="92">
        <f t="shared" si="738"/>
        <v>0</v>
      </c>
      <c r="AZ1018" s="92">
        <f t="shared" si="739"/>
        <v>0</v>
      </c>
      <c r="BA1018" s="115">
        <f t="shared" si="740"/>
        <v>18</v>
      </c>
      <c r="BB1018" s="92">
        <f>SUMPRODUCT(($F$693:$F$761=C1018)*($G$693:$G$761=D1018)*($L$693:$L$761=G1018)*($P$693:$P$761=H1018)*($O$693:$O$761=1)*($AE$693:$AE$761))</f>
        <v>1138980</v>
      </c>
      <c r="BC1018" s="92">
        <f t="shared" si="741"/>
        <v>10</v>
      </c>
      <c r="BD1018" s="92">
        <f t="shared" si="742"/>
        <v>650000</v>
      </c>
      <c r="BE1018" s="92">
        <f t="shared" si="743"/>
        <v>4</v>
      </c>
      <c r="BF1018" s="92">
        <f t="shared" si="744"/>
        <v>244460</v>
      </c>
      <c r="BG1018" s="92">
        <f t="shared" si="745"/>
        <v>4</v>
      </c>
      <c r="BH1018" s="92">
        <f t="shared" si="746"/>
        <v>244520</v>
      </c>
      <c r="BI1018" s="145">
        <f t="shared" si="747"/>
        <v>20180327</v>
      </c>
      <c r="BJ1018" s="12" t="str">
        <f t="shared" si="748"/>
        <v>9999</v>
      </c>
      <c r="BK1018" s="25">
        <f>IF(G190=1,V1003,X1003)</f>
        <v>9802.35</v>
      </c>
      <c r="BL1018" s="25">
        <f>W1003</f>
        <v>7952.8499999999985</v>
      </c>
      <c r="BM1018">
        <f t="shared" si="749"/>
        <v>16029</v>
      </c>
      <c r="BN1018">
        <f t="shared" si="750"/>
        <v>68616.45</v>
      </c>
      <c r="BO1018">
        <f t="shared" si="751"/>
        <v>0</v>
      </c>
      <c r="BP1018">
        <f t="shared" si="752"/>
        <v>0</v>
      </c>
      <c r="BQ1018">
        <f t="shared" si="753"/>
        <v>12946.5</v>
      </c>
      <c r="BR1018">
        <f t="shared" si="754"/>
        <v>55669.95</v>
      </c>
      <c r="BS1018">
        <f t="shared" si="755"/>
        <v>0</v>
      </c>
      <c r="BT1018">
        <f t="shared" si="756"/>
        <v>0</v>
      </c>
      <c r="BU1018">
        <f t="shared" si="757"/>
        <v>0</v>
      </c>
      <c r="BV1018">
        <f t="shared" si="758"/>
        <v>0</v>
      </c>
    </row>
    <row r="1019" spans="1:74" x14ac:dyDescent="0.25">
      <c r="A1019" t="str">
        <f t="shared" si="759"/>
        <v/>
      </c>
      <c r="B1019" s="12" t="str">
        <f t="shared" si="760"/>
        <v>6001</v>
      </c>
      <c r="C1019" s="12" t="str">
        <f t="shared" si="761"/>
        <v>B00101</v>
      </c>
      <c r="D1019" s="12" t="str">
        <f t="shared" si="762"/>
        <v>6001</v>
      </c>
      <c r="E1019" s="12" t="s">
        <v>228</v>
      </c>
      <c r="F1019" s="50" t="str">
        <f t="shared" si="763"/>
        <v>CZCE</v>
      </c>
      <c r="G1019" s="109" t="str">
        <f>C231</f>
        <v>SR809</v>
      </c>
      <c r="H1019" s="92">
        <v>1</v>
      </c>
      <c r="I1019" s="50">
        <f t="shared" si="702"/>
        <v>10</v>
      </c>
      <c r="J1019" s="50">
        <f t="shared" si="703"/>
        <v>0</v>
      </c>
      <c r="K1019" s="50">
        <f t="shared" si="704"/>
        <v>4</v>
      </c>
      <c r="L1019" s="50">
        <f t="shared" si="705"/>
        <v>0</v>
      </c>
      <c r="M1019" s="223">
        <f t="shared" si="706"/>
        <v>12578.64</v>
      </c>
      <c r="N1019" s="12">
        <f t="shared" si="707"/>
        <v>0</v>
      </c>
      <c r="O1019" s="12">
        <f t="shared" si="708"/>
        <v>10112.24</v>
      </c>
      <c r="P1019" s="50">
        <f t="shared" si="709"/>
        <v>6145</v>
      </c>
      <c r="Q1019" s="50">
        <f t="shared" si="710"/>
        <v>4916</v>
      </c>
      <c r="R1019" s="50">
        <f t="shared" si="711"/>
        <v>6156</v>
      </c>
      <c r="S1019" s="50">
        <f t="shared" si="712"/>
        <v>0</v>
      </c>
      <c r="T1019" s="50">
        <f t="shared" si="713"/>
        <v>254280</v>
      </c>
      <c r="U1019" s="92">
        <f t="shared" si="714"/>
        <v>0</v>
      </c>
      <c r="V1019" s="92">
        <f t="shared" si="715"/>
        <v>0</v>
      </c>
      <c r="W1019" s="25">
        <f t="shared" si="716"/>
        <v>0</v>
      </c>
      <c r="X1019" s="25">
        <f t="shared" si="717"/>
        <v>0</v>
      </c>
      <c r="Y1019" s="92">
        <f t="shared" si="718"/>
        <v>76</v>
      </c>
      <c r="Z1019" s="92">
        <f t="shared" si="719"/>
        <v>0</v>
      </c>
      <c r="AA1019" s="92">
        <f t="shared" si="720"/>
        <v>116.02</v>
      </c>
      <c r="AB1019" s="92">
        <v>0</v>
      </c>
      <c r="AC1019" s="92">
        <f t="shared" si="721"/>
        <v>0</v>
      </c>
      <c r="AD1019" s="92">
        <v>0</v>
      </c>
      <c r="AE1019" s="92">
        <f t="shared" si="722"/>
        <v>60.8</v>
      </c>
      <c r="AF1019" s="92">
        <v>0</v>
      </c>
      <c r="AG1019" s="92">
        <f t="shared" si="723"/>
        <v>57.08</v>
      </c>
      <c r="AH1019" s="92">
        <v>0</v>
      </c>
      <c r="AI1019" s="92">
        <f t="shared" si="724"/>
        <v>0</v>
      </c>
      <c r="AJ1019" s="92">
        <v>0</v>
      </c>
      <c r="AK1019" s="92">
        <f t="shared" si="725"/>
        <v>0</v>
      </c>
      <c r="AL1019" s="92">
        <f t="shared" si="726"/>
        <v>-1200</v>
      </c>
      <c r="AM1019" s="92">
        <f t="shared" si="727"/>
        <v>0</v>
      </c>
      <c r="AN1019" s="147">
        <f t="shared" si="728"/>
        <v>1200</v>
      </c>
      <c r="AO1019" s="147">
        <f t="shared" si="729"/>
        <v>0</v>
      </c>
      <c r="AP1019" s="147">
        <f t="shared" si="730"/>
        <v>8860</v>
      </c>
      <c r="AQ1019" s="147">
        <f t="shared" si="731"/>
        <v>0</v>
      </c>
      <c r="AR1019" s="147">
        <f t="shared" si="732"/>
        <v>8040</v>
      </c>
      <c r="AS1019" s="92">
        <f t="shared" si="733"/>
        <v>0</v>
      </c>
      <c r="AT1019" s="92">
        <f t="shared" si="764"/>
        <v>0</v>
      </c>
      <c r="AU1019" s="92">
        <f t="shared" si="734"/>
        <v>0</v>
      </c>
      <c r="AV1019" s="92">
        <f t="shared" si="735"/>
        <v>0</v>
      </c>
      <c r="AW1019" s="92">
        <f t="shared" si="736"/>
        <v>0</v>
      </c>
      <c r="AX1019" s="92">
        <f t="shared" si="737"/>
        <v>0</v>
      </c>
      <c r="AY1019" s="92">
        <f t="shared" si="738"/>
        <v>0</v>
      </c>
      <c r="AZ1019" s="92">
        <f t="shared" si="739"/>
        <v>0</v>
      </c>
      <c r="BA1019" s="115">
        <f t="shared" si="740"/>
        <v>8</v>
      </c>
      <c r="BB1019" s="92">
        <f t="shared" ref="BB1019:BB1039" si="765">SUMPRODUCT(($F$693:$F$761=C1019)*($G$693:$G$761=D1019)*($L$693:$L$761=G1019)*($P$693:$P$761=H1019)*($O$693:$O$761=1)*($AE$693:$AE$761))</f>
        <v>500100</v>
      </c>
      <c r="BC1019" s="92">
        <f t="shared" si="741"/>
        <v>2</v>
      </c>
      <c r="BD1019" s="92">
        <f t="shared" si="742"/>
        <v>132000</v>
      </c>
      <c r="BE1019" s="92">
        <f t="shared" si="743"/>
        <v>6</v>
      </c>
      <c r="BF1019" s="92">
        <f t="shared" si="744"/>
        <v>368100</v>
      </c>
      <c r="BG1019" s="92">
        <f t="shared" si="745"/>
        <v>0</v>
      </c>
      <c r="BH1019" s="92">
        <f t="shared" si="746"/>
        <v>0</v>
      </c>
      <c r="BI1019" s="145">
        <f t="shared" si="747"/>
        <v>20180327</v>
      </c>
      <c r="BJ1019" s="12" t="str">
        <f t="shared" si="748"/>
        <v>9999</v>
      </c>
      <c r="BK1019" s="92">
        <v>0</v>
      </c>
      <c r="BL1019" s="92">
        <v>0</v>
      </c>
      <c r="BM1019">
        <f t="shared" si="749"/>
        <v>0</v>
      </c>
      <c r="BN1019">
        <f t="shared" si="750"/>
        <v>6289.32</v>
      </c>
      <c r="BO1019">
        <f t="shared" si="751"/>
        <v>0</v>
      </c>
      <c r="BP1019">
        <f t="shared" si="752"/>
        <v>6289.32</v>
      </c>
      <c r="BQ1019">
        <f t="shared" si="753"/>
        <v>0</v>
      </c>
      <c r="BR1019">
        <f t="shared" si="754"/>
        <v>5056.12</v>
      </c>
      <c r="BS1019">
        <f t="shared" si="755"/>
        <v>0</v>
      </c>
      <c r="BT1019">
        <f t="shared" si="756"/>
        <v>5056.12</v>
      </c>
      <c r="BU1019">
        <f t="shared" si="757"/>
        <v>0</v>
      </c>
      <c r="BV1019">
        <f t="shared" si="758"/>
        <v>0</v>
      </c>
    </row>
    <row r="1020" spans="1:74" x14ac:dyDescent="0.25">
      <c r="A1020" t="str">
        <f t="shared" si="759"/>
        <v>comment</v>
      </c>
      <c r="B1020" s="12" t="str">
        <f t="shared" si="760"/>
        <v>6001</v>
      </c>
      <c r="C1020" s="12" t="str">
        <f t="shared" si="761"/>
        <v>B00101</v>
      </c>
      <c r="D1020" s="12" t="str">
        <f t="shared" si="762"/>
        <v>6001</v>
      </c>
      <c r="E1020" s="12" t="s">
        <v>228</v>
      </c>
      <c r="F1020" s="50" t="str">
        <f t="shared" si="763"/>
        <v>CZCE</v>
      </c>
      <c r="G1020" s="109" t="str">
        <f>G1019</f>
        <v>SR809</v>
      </c>
      <c r="H1020" s="92">
        <v>3</v>
      </c>
      <c r="I1020" s="50">
        <f t="shared" si="702"/>
        <v>10</v>
      </c>
      <c r="J1020" s="50">
        <f t="shared" si="703"/>
        <v>0</v>
      </c>
      <c r="K1020" s="50">
        <f t="shared" si="704"/>
        <v>0</v>
      </c>
      <c r="L1020" s="50">
        <f t="shared" si="705"/>
        <v>0</v>
      </c>
      <c r="M1020" s="223">
        <f t="shared" si="706"/>
        <v>0</v>
      </c>
      <c r="N1020" s="12">
        <f t="shared" si="707"/>
        <v>0</v>
      </c>
      <c r="O1020" s="12">
        <f t="shared" si="708"/>
        <v>0</v>
      </c>
      <c r="P1020" s="50">
        <f t="shared" si="709"/>
        <v>0</v>
      </c>
      <c r="Q1020" s="50">
        <f t="shared" si="710"/>
        <v>0</v>
      </c>
      <c r="R1020" s="50">
        <f t="shared" si="711"/>
        <v>6156</v>
      </c>
      <c r="S1020" s="50">
        <f t="shared" si="712"/>
        <v>0</v>
      </c>
      <c r="T1020" s="50">
        <f t="shared" si="713"/>
        <v>0</v>
      </c>
      <c r="U1020" s="92">
        <f t="shared" si="714"/>
        <v>0</v>
      </c>
      <c r="V1020" s="92">
        <f t="shared" si="715"/>
        <v>0</v>
      </c>
      <c r="W1020" s="25">
        <f t="shared" si="716"/>
        <v>0</v>
      </c>
      <c r="X1020" s="25">
        <f t="shared" si="717"/>
        <v>0</v>
      </c>
      <c r="Y1020" s="92">
        <f t="shared" si="718"/>
        <v>0</v>
      </c>
      <c r="Z1020" s="92">
        <f t="shared" si="719"/>
        <v>0</v>
      </c>
      <c r="AA1020" s="92">
        <f t="shared" si="720"/>
        <v>0</v>
      </c>
      <c r="AB1020" s="92">
        <v>0</v>
      </c>
      <c r="AC1020" s="92">
        <f t="shared" si="721"/>
        <v>0</v>
      </c>
      <c r="AD1020" s="92">
        <v>0</v>
      </c>
      <c r="AE1020" s="92">
        <f t="shared" si="722"/>
        <v>0</v>
      </c>
      <c r="AF1020" s="92">
        <v>0</v>
      </c>
      <c r="AG1020" s="92">
        <f t="shared" si="723"/>
        <v>0</v>
      </c>
      <c r="AH1020" s="92">
        <v>0</v>
      </c>
      <c r="AI1020" s="92">
        <f t="shared" si="724"/>
        <v>0</v>
      </c>
      <c r="AJ1020" s="92">
        <v>0</v>
      </c>
      <c r="AK1020" s="92">
        <f t="shared" si="725"/>
        <v>0</v>
      </c>
      <c r="AL1020" s="92">
        <f t="shared" si="726"/>
        <v>0</v>
      </c>
      <c r="AM1020" s="92">
        <f t="shared" si="727"/>
        <v>0</v>
      </c>
      <c r="AN1020" s="147">
        <f t="shared" si="728"/>
        <v>0</v>
      </c>
      <c r="AO1020" s="147">
        <f t="shared" si="729"/>
        <v>0</v>
      </c>
      <c r="AP1020" s="147">
        <f t="shared" si="730"/>
        <v>0</v>
      </c>
      <c r="AQ1020" s="147">
        <f t="shared" si="731"/>
        <v>0</v>
      </c>
      <c r="AR1020" s="147">
        <f t="shared" si="732"/>
        <v>0</v>
      </c>
      <c r="AS1020" s="92">
        <f t="shared" si="733"/>
        <v>0</v>
      </c>
      <c r="AT1020" s="92">
        <f t="shared" si="764"/>
        <v>0</v>
      </c>
      <c r="AU1020" s="92">
        <f t="shared" si="734"/>
        <v>0</v>
      </c>
      <c r="AV1020" s="92">
        <f t="shared" si="735"/>
        <v>0</v>
      </c>
      <c r="AW1020" s="92">
        <f t="shared" si="736"/>
        <v>0</v>
      </c>
      <c r="AX1020" s="92">
        <f t="shared" si="737"/>
        <v>0</v>
      </c>
      <c r="AY1020" s="92">
        <f t="shared" si="738"/>
        <v>0</v>
      </c>
      <c r="AZ1020" s="92">
        <f t="shared" si="739"/>
        <v>0</v>
      </c>
      <c r="BA1020" s="115">
        <f t="shared" si="740"/>
        <v>0</v>
      </c>
      <c r="BB1020" s="92">
        <f t="shared" si="765"/>
        <v>0</v>
      </c>
      <c r="BC1020" s="92">
        <f t="shared" si="741"/>
        <v>0</v>
      </c>
      <c r="BD1020" s="92">
        <f t="shared" si="742"/>
        <v>0</v>
      </c>
      <c r="BE1020" s="92">
        <f t="shared" si="743"/>
        <v>0</v>
      </c>
      <c r="BF1020" s="92">
        <f t="shared" si="744"/>
        <v>0</v>
      </c>
      <c r="BG1020" s="92">
        <f t="shared" si="745"/>
        <v>0</v>
      </c>
      <c r="BH1020" s="92">
        <f t="shared" si="746"/>
        <v>0</v>
      </c>
      <c r="BI1020" s="145">
        <f t="shared" si="747"/>
        <v>20180327</v>
      </c>
      <c r="BJ1020" s="12" t="str">
        <f t="shared" si="748"/>
        <v>9999</v>
      </c>
      <c r="BK1020" s="92">
        <v>0</v>
      </c>
      <c r="BL1020" s="92">
        <v>0</v>
      </c>
      <c r="BM1020">
        <f t="shared" si="749"/>
        <v>0</v>
      </c>
      <c r="BN1020">
        <f t="shared" si="750"/>
        <v>0</v>
      </c>
      <c r="BO1020">
        <f t="shared" si="751"/>
        <v>0</v>
      </c>
      <c r="BP1020">
        <f t="shared" si="752"/>
        <v>0</v>
      </c>
      <c r="BQ1020">
        <f t="shared" si="753"/>
        <v>0</v>
      </c>
      <c r="BR1020">
        <f t="shared" si="754"/>
        <v>0</v>
      </c>
      <c r="BS1020">
        <f t="shared" si="755"/>
        <v>0</v>
      </c>
      <c r="BT1020">
        <f t="shared" si="756"/>
        <v>0</v>
      </c>
      <c r="BU1020">
        <f t="shared" si="757"/>
        <v>0</v>
      </c>
      <c r="BV1020">
        <f t="shared" si="758"/>
        <v>0</v>
      </c>
    </row>
    <row r="1021" spans="1:74" x14ac:dyDescent="0.25">
      <c r="A1021" t="str">
        <f t="shared" si="759"/>
        <v/>
      </c>
      <c r="B1021" s="12" t="str">
        <f t="shared" si="760"/>
        <v>6001</v>
      </c>
      <c r="C1021" s="12" t="str">
        <f t="shared" si="761"/>
        <v>B00101</v>
      </c>
      <c r="D1021" s="12" t="str">
        <f t="shared" si="762"/>
        <v>6001</v>
      </c>
      <c r="E1021" s="12" t="s">
        <v>228</v>
      </c>
      <c r="F1021" s="50" t="str">
        <f t="shared" si="763"/>
        <v>CZCE</v>
      </c>
      <c r="G1021" s="109" t="str">
        <f>C232</f>
        <v>OI811</v>
      </c>
      <c r="H1021" s="92">
        <v>1</v>
      </c>
      <c r="I1021" s="50">
        <f t="shared" si="702"/>
        <v>10</v>
      </c>
      <c r="J1021" s="50">
        <f t="shared" si="703"/>
        <v>2</v>
      </c>
      <c r="K1021" s="50">
        <f t="shared" si="704"/>
        <v>2</v>
      </c>
      <c r="L1021" s="50">
        <f t="shared" si="705"/>
        <v>0</v>
      </c>
      <c r="M1021" s="223">
        <f t="shared" si="706"/>
        <v>6298.5</v>
      </c>
      <c r="N1021" s="12">
        <f t="shared" si="707"/>
        <v>0</v>
      </c>
      <c r="O1021" s="12">
        <f t="shared" si="708"/>
        <v>5063.5</v>
      </c>
      <c r="P1021" s="50">
        <f t="shared" si="709"/>
        <v>0</v>
      </c>
      <c r="Q1021" s="50">
        <f t="shared" si="710"/>
        <v>0</v>
      </c>
      <c r="R1021" s="50">
        <f t="shared" si="711"/>
        <v>6165</v>
      </c>
      <c r="S1021" s="50">
        <f t="shared" si="712"/>
        <v>122340</v>
      </c>
      <c r="T1021" s="50">
        <f t="shared" si="713"/>
        <v>122320</v>
      </c>
      <c r="U1021" s="92">
        <f t="shared" si="714"/>
        <v>0</v>
      </c>
      <c r="V1021" s="92">
        <f t="shared" si="715"/>
        <v>0</v>
      </c>
      <c r="W1021" s="25">
        <f t="shared" si="716"/>
        <v>0</v>
      </c>
      <c r="X1021" s="25">
        <f t="shared" si="717"/>
        <v>0</v>
      </c>
      <c r="Y1021" s="92">
        <f t="shared" si="718"/>
        <v>0</v>
      </c>
      <c r="Z1021" s="92">
        <f t="shared" si="719"/>
        <v>0</v>
      </c>
      <c r="AA1021" s="92">
        <f t="shared" si="720"/>
        <v>0</v>
      </c>
      <c r="AB1021" s="92">
        <v>0</v>
      </c>
      <c r="AC1021" s="92">
        <f t="shared" si="721"/>
        <v>0</v>
      </c>
      <c r="AD1021" s="92">
        <v>0</v>
      </c>
      <c r="AE1021" s="92">
        <f t="shared" si="722"/>
        <v>0</v>
      </c>
      <c r="AF1021" s="92">
        <v>0</v>
      </c>
      <c r="AG1021" s="92">
        <f t="shared" si="723"/>
        <v>0</v>
      </c>
      <c r="AH1021" s="92">
        <v>0</v>
      </c>
      <c r="AI1021" s="92">
        <f t="shared" si="724"/>
        <v>0</v>
      </c>
      <c r="AJ1021" s="92">
        <v>0</v>
      </c>
      <c r="AK1021" s="92">
        <f t="shared" si="725"/>
        <v>0</v>
      </c>
      <c r="AL1021" s="92">
        <f t="shared" si="726"/>
        <v>0</v>
      </c>
      <c r="AM1021" s="92">
        <f t="shared" si="727"/>
        <v>0</v>
      </c>
      <c r="AN1021" s="147">
        <f t="shared" si="728"/>
        <v>0</v>
      </c>
      <c r="AO1021" s="147">
        <f t="shared" si="729"/>
        <v>100</v>
      </c>
      <c r="AP1021" s="147">
        <f t="shared" si="730"/>
        <v>-100</v>
      </c>
      <c r="AQ1021" s="147">
        <f t="shared" si="731"/>
        <v>960</v>
      </c>
      <c r="AR1021" s="147">
        <f t="shared" si="732"/>
        <v>-980</v>
      </c>
      <c r="AS1021" s="92">
        <f t="shared" si="733"/>
        <v>0</v>
      </c>
      <c r="AT1021" s="92">
        <f t="shared" si="764"/>
        <v>0</v>
      </c>
      <c r="AU1021" s="92">
        <f t="shared" si="734"/>
        <v>0</v>
      </c>
      <c r="AV1021" s="92">
        <f t="shared" si="735"/>
        <v>0</v>
      </c>
      <c r="AW1021" s="92">
        <f t="shared" si="736"/>
        <v>0</v>
      </c>
      <c r="AX1021" s="92">
        <f t="shared" si="737"/>
        <v>0</v>
      </c>
      <c r="AY1021" s="92">
        <f t="shared" si="738"/>
        <v>0</v>
      </c>
      <c r="AZ1021" s="92">
        <f t="shared" si="739"/>
        <v>0</v>
      </c>
      <c r="BA1021" s="115">
        <f t="shared" si="740"/>
        <v>0</v>
      </c>
      <c r="BB1021" s="92">
        <f t="shared" si="765"/>
        <v>0</v>
      </c>
      <c r="BC1021" s="92">
        <f t="shared" si="741"/>
        <v>0</v>
      </c>
      <c r="BD1021" s="92">
        <f t="shared" si="742"/>
        <v>0</v>
      </c>
      <c r="BE1021" s="92">
        <f t="shared" si="743"/>
        <v>0</v>
      </c>
      <c r="BF1021" s="92">
        <f t="shared" si="744"/>
        <v>0</v>
      </c>
      <c r="BG1021" s="92">
        <f t="shared" si="745"/>
        <v>0</v>
      </c>
      <c r="BH1021" s="92">
        <f t="shared" si="746"/>
        <v>0</v>
      </c>
      <c r="BI1021" s="145">
        <f t="shared" si="747"/>
        <v>20180327</v>
      </c>
      <c r="BJ1021" s="12" t="str">
        <f t="shared" si="748"/>
        <v>9999</v>
      </c>
      <c r="BK1021" s="92">
        <v>0</v>
      </c>
      <c r="BL1021" s="92">
        <v>0</v>
      </c>
      <c r="BM1021">
        <f t="shared" si="749"/>
        <v>0</v>
      </c>
      <c r="BN1021">
        <f t="shared" si="750"/>
        <v>0</v>
      </c>
      <c r="BO1021">
        <f t="shared" si="751"/>
        <v>0</v>
      </c>
      <c r="BP1021">
        <f t="shared" si="752"/>
        <v>6298.5</v>
      </c>
      <c r="BQ1021">
        <f t="shared" si="753"/>
        <v>0</v>
      </c>
      <c r="BR1021">
        <f t="shared" si="754"/>
        <v>0</v>
      </c>
      <c r="BS1021">
        <f t="shared" si="755"/>
        <v>0</v>
      </c>
      <c r="BT1021">
        <f t="shared" si="756"/>
        <v>5063.5</v>
      </c>
      <c r="BU1021">
        <f t="shared" si="757"/>
        <v>0</v>
      </c>
      <c r="BV1021">
        <f t="shared" si="758"/>
        <v>0</v>
      </c>
    </row>
    <row r="1022" spans="1:74" x14ac:dyDescent="0.25">
      <c r="A1022" t="str">
        <f t="shared" si="759"/>
        <v>comment</v>
      </c>
      <c r="B1022" s="12" t="str">
        <f t="shared" si="760"/>
        <v>6001</v>
      </c>
      <c r="C1022" s="12" t="str">
        <f t="shared" si="761"/>
        <v>B00101</v>
      </c>
      <c r="D1022" s="12" t="str">
        <f t="shared" si="762"/>
        <v>6001</v>
      </c>
      <c r="E1022" s="12" t="s">
        <v>228</v>
      </c>
      <c r="F1022" s="50" t="str">
        <f t="shared" si="763"/>
        <v>CZCE</v>
      </c>
      <c r="G1022" s="109" t="str">
        <f>G1021</f>
        <v>OI811</v>
      </c>
      <c r="H1022" s="92">
        <v>3</v>
      </c>
      <c r="I1022" s="50">
        <f t="shared" si="702"/>
        <v>10</v>
      </c>
      <c r="J1022" s="50">
        <f t="shared" si="703"/>
        <v>0</v>
      </c>
      <c r="K1022" s="50">
        <f t="shared" si="704"/>
        <v>0</v>
      </c>
      <c r="L1022" s="50">
        <f t="shared" si="705"/>
        <v>0</v>
      </c>
      <c r="M1022" s="223">
        <f t="shared" si="706"/>
        <v>0</v>
      </c>
      <c r="N1022" s="12">
        <f t="shared" si="707"/>
        <v>0</v>
      </c>
      <c r="O1022" s="12">
        <f t="shared" si="708"/>
        <v>0</v>
      </c>
      <c r="P1022" s="50">
        <f t="shared" si="709"/>
        <v>0</v>
      </c>
      <c r="Q1022" s="50">
        <f t="shared" si="710"/>
        <v>0</v>
      </c>
      <c r="R1022" s="50">
        <f t="shared" si="711"/>
        <v>6165</v>
      </c>
      <c r="S1022" s="50">
        <f t="shared" si="712"/>
        <v>0</v>
      </c>
      <c r="T1022" s="50">
        <f t="shared" si="713"/>
        <v>0</v>
      </c>
      <c r="U1022" s="92">
        <f t="shared" si="714"/>
        <v>0</v>
      </c>
      <c r="V1022" s="92">
        <f t="shared" si="715"/>
        <v>0</v>
      </c>
      <c r="W1022" s="25">
        <f t="shared" si="716"/>
        <v>0</v>
      </c>
      <c r="X1022" s="25">
        <f t="shared" si="717"/>
        <v>0</v>
      </c>
      <c r="Y1022" s="92">
        <f t="shared" si="718"/>
        <v>0</v>
      </c>
      <c r="Z1022" s="92">
        <f t="shared" si="719"/>
        <v>0</v>
      </c>
      <c r="AA1022" s="92">
        <f t="shared" si="720"/>
        <v>0</v>
      </c>
      <c r="AB1022" s="92">
        <v>0</v>
      </c>
      <c r="AC1022" s="92">
        <f t="shared" si="721"/>
        <v>0</v>
      </c>
      <c r="AD1022" s="92">
        <v>0</v>
      </c>
      <c r="AE1022" s="92">
        <f t="shared" si="722"/>
        <v>0</v>
      </c>
      <c r="AF1022" s="92">
        <v>0</v>
      </c>
      <c r="AG1022" s="92">
        <f t="shared" si="723"/>
        <v>0</v>
      </c>
      <c r="AH1022" s="92">
        <v>0</v>
      </c>
      <c r="AI1022" s="92">
        <f t="shared" si="724"/>
        <v>0</v>
      </c>
      <c r="AJ1022" s="92">
        <v>0</v>
      </c>
      <c r="AK1022" s="92">
        <f t="shared" si="725"/>
        <v>0</v>
      </c>
      <c r="AL1022" s="92">
        <f t="shared" si="726"/>
        <v>0</v>
      </c>
      <c r="AM1022" s="92">
        <f t="shared" si="727"/>
        <v>0</v>
      </c>
      <c r="AN1022" s="147">
        <f t="shared" si="728"/>
        <v>0</v>
      </c>
      <c r="AO1022" s="147">
        <f t="shared" si="729"/>
        <v>0</v>
      </c>
      <c r="AP1022" s="147">
        <f t="shared" si="730"/>
        <v>0</v>
      </c>
      <c r="AQ1022" s="147">
        <f t="shared" si="731"/>
        <v>0</v>
      </c>
      <c r="AR1022" s="147">
        <f t="shared" si="732"/>
        <v>0</v>
      </c>
      <c r="AS1022" s="92">
        <f t="shared" si="733"/>
        <v>0</v>
      </c>
      <c r="AT1022" s="92">
        <f t="shared" si="764"/>
        <v>0</v>
      </c>
      <c r="AU1022" s="92">
        <f t="shared" si="734"/>
        <v>0</v>
      </c>
      <c r="AV1022" s="92">
        <f t="shared" si="735"/>
        <v>0</v>
      </c>
      <c r="AW1022" s="92">
        <f t="shared" si="736"/>
        <v>0</v>
      </c>
      <c r="AX1022" s="92">
        <f t="shared" si="737"/>
        <v>0</v>
      </c>
      <c r="AY1022" s="92">
        <f t="shared" si="738"/>
        <v>0</v>
      </c>
      <c r="AZ1022" s="92">
        <f t="shared" si="739"/>
        <v>0</v>
      </c>
      <c r="BA1022" s="115">
        <f t="shared" si="740"/>
        <v>0</v>
      </c>
      <c r="BB1022" s="92">
        <f t="shared" si="765"/>
        <v>0</v>
      </c>
      <c r="BC1022" s="92">
        <f t="shared" si="741"/>
        <v>0</v>
      </c>
      <c r="BD1022" s="92">
        <f t="shared" si="742"/>
        <v>0</v>
      </c>
      <c r="BE1022" s="92">
        <f t="shared" si="743"/>
        <v>0</v>
      </c>
      <c r="BF1022" s="92">
        <f t="shared" si="744"/>
        <v>0</v>
      </c>
      <c r="BG1022" s="92">
        <f t="shared" si="745"/>
        <v>0</v>
      </c>
      <c r="BH1022" s="92">
        <f t="shared" si="746"/>
        <v>0</v>
      </c>
      <c r="BI1022" s="145">
        <f t="shared" si="747"/>
        <v>20180327</v>
      </c>
      <c r="BJ1022" s="12" t="str">
        <f t="shared" si="748"/>
        <v>9999</v>
      </c>
      <c r="BK1022" s="92">
        <v>0</v>
      </c>
      <c r="BL1022" s="92">
        <v>0</v>
      </c>
      <c r="BM1022">
        <f t="shared" si="749"/>
        <v>0</v>
      </c>
      <c r="BN1022">
        <f t="shared" si="750"/>
        <v>0</v>
      </c>
      <c r="BO1022">
        <f t="shared" si="751"/>
        <v>0</v>
      </c>
      <c r="BP1022">
        <f t="shared" si="752"/>
        <v>0</v>
      </c>
      <c r="BQ1022">
        <f t="shared" si="753"/>
        <v>0</v>
      </c>
      <c r="BR1022">
        <f t="shared" si="754"/>
        <v>0</v>
      </c>
      <c r="BS1022">
        <f t="shared" si="755"/>
        <v>0</v>
      </c>
      <c r="BT1022">
        <f t="shared" si="756"/>
        <v>0</v>
      </c>
      <c r="BU1022">
        <f t="shared" si="757"/>
        <v>0</v>
      </c>
      <c r="BV1022">
        <f t="shared" si="758"/>
        <v>0</v>
      </c>
    </row>
    <row r="1023" spans="1:74" s="6" customFormat="1" ht="13.95" customHeight="1" x14ac:dyDescent="0.25">
      <c r="A1023" t="str">
        <f t="shared" si="759"/>
        <v/>
      </c>
      <c r="B1023" s="12" t="str">
        <f t="shared" si="760"/>
        <v>6001</v>
      </c>
      <c r="C1023" s="12" t="str">
        <f>$C$6</f>
        <v>B00102</v>
      </c>
      <c r="D1023" s="12" t="str">
        <f t="shared" si="762"/>
        <v>6001</v>
      </c>
      <c r="E1023" s="12" t="s">
        <v>228</v>
      </c>
      <c r="F1023" s="12" t="str">
        <f t="shared" si="763"/>
        <v>CZCE</v>
      </c>
      <c r="G1023" s="111" t="str">
        <f>C233</f>
        <v>PTA807</v>
      </c>
      <c r="H1023" s="111">
        <v>1</v>
      </c>
      <c r="I1023" s="12">
        <f t="shared" si="702"/>
        <v>5</v>
      </c>
      <c r="J1023" s="12">
        <f t="shared" si="703"/>
        <v>9</v>
      </c>
      <c r="K1023" s="12">
        <f t="shared" si="704"/>
        <v>3</v>
      </c>
      <c r="L1023" s="12">
        <f t="shared" si="705"/>
        <v>13905</v>
      </c>
      <c r="M1023" s="12">
        <f t="shared" si="706"/>
        <v>3151.7999999999997</v>
      </c>
      <c r="N1023" s="12">
        <f t="shared" si="707"/>
        <v>11124</v>
      </c>
      <c r="O1023" s="12">
        <f t="shared" si="708"/>
        <v>2533.8000000000002</v>
      </c>
      <c r="P1023" s="12">
        <f t="shared" si="709"/>
        <v>7675</v>
      </c>
      <c r="Q1023" s="12">
        <f t="shared" si="710"/>
        <v>6140</v>
      </c>
      <c r="R1023" s="12">
        <f t="shared" si="711"/>
        <v>6160</v>
      </c>
      <c r="S1023" s="50">
        <f t="shared" si="712"/>
        <v>280400</v>
      </c>
      <c r="T1023" s="50">
        <f t="shared" si="713"/>
        <v>92150</v>
      </c>
      <c r="U1023" s="111">
        <f t="shared" si="714"/>
        <v>0</v>
      </c>
      <c r="V1023" s="111">
        <f t="shared" si="715"/>
        <v>0</v>
      </c>
      <c r="W1023" s="24">
        <f t="shared" si="716"/>
        <v>0</v>
      </c>
      <c r="X1023" s="24">
        <f t="shared" si="717"/>
        <v>0</v>
      </c>
      <c r="Y1023" s="111">
        <f t="shared" si="718"/>
        <v>256.52</v>
      </c>
      <c r="Z1023" s="92">
        <f t="shared" si="719"/>
        <v>0</v>
      </c>
      <c r="AA1023" s="111">
        <f t="shared" si="720"/>
        <v>130.22</v>
      </c>
      <c r="AB1023" s="111">
        <v>0</v>
      </c>
      <c r="AC1023" s="111">
        <f t="shared" si="721"/>
        <v>0</v>
      </c>
      <c r="AD1023" s="111">
        <v>0</v>
      </c>
      <c r="AE1023" s="111">
        <f t="shared" si="722"/>
        <v>191.41</v>
      </c>
      <c r="AF1023" s="111">
        <v>0</v>
      </c>
      <c r="AG1023" s="92">
        <f t="shared" si="723"/>
        <v>0</v>
      </c>
      <c r="AH1023" s="111">
        <v>0</v>
      </c>
      <c r="AI1023" s="111">
        <f t="shared" si="724"/>
        <v>0</v>
      </c>
      <c r="AJ1023" s="111">
        <v>0</v>
      </c>
      <c r="AK1023" s="111">
        <f t="shared" si="725"/>
        <v>1805</v>
      </c>
      <c r="AL1023" s="111">
        <f t="shared" si="726"/>
        <v>0</v>
      </c>
      <c r="AM1023" s="111">
        <f t="shared" si="727"/>
        <v>45</v>
      </c>
      <c r="AN1023" s="12">
        <f t="shared" si="728"/>
        <v>0</v>
      </c>
      <c r="AO1023" s="12">
        <f t="shared" si="729"/>
        <v>-750</v>
      </c>
      <c r="AP1023" s="12">
        <f t="shared" si="730"/>
        <v>-250</v>
      </c>
      <c r="AQ1023" s="12">
        <f t="shared" si="731"/>
        <v>-3200</v>
      </c>
      <c r="AR1023" s="12">
        <f t="shared" si="732"/>
        <v>-250</v>
      </c>
      <c r="AS1023" s="92">
        <f t="shared" si="733"/>
        <v>12</v>
      </c>
      <c r="AT1023" s="92">
        <f t="shared" si="764"/>
        <v>368370</v>
      </c>
      <c r="AU1023" s="111">
        <f t="shared" si="734"/>
        <v>3</v>
      </c>
      <c r="AV1023" s="111">
        <f t="shared" si="735"/>
        <v>93000</v>
      </c>
      <c r="AW1023" s="92">
        <f t="shared" si="736"/>
        <v>5</v>
      </c>
      <c r="AX1023" s="111">
        <f t="shared" si="737"/>
        <v>152930</v>
      </c>
      <c r="AY1023" s="92">
        <f t="shared" si="738"/>
        <v>4</v>
      </c>
      <c r="AZ1023" s="111">
        <f t="shared" si="739"/>
        <v>122440</v>
      </c>
      <c r="BA1023" s="115">
        <f t="shared" si="740"/>
        <v>4</v>
      </c>
      <c r="BB1023" s="92">
        <f t="shared" si="765"/>
        <v>122725</v>
      </c>
      <c r="BC1023" s="111">
        <f t="shared" si="741"/>
        <v>4</v>
      </c>
      <c r="BD1023" s="111">
        <f t="shared" si="742"/>
        <v>122725</v>
      </c>
      <c r="BE1023" s="92">
        <f t="shared" si="743"/>
        <v>0</v>
      </c>
      <c r="BF1023" s="111">
        <f t="shared" si="744"/>
        <v>0</v>
      </c>
      <c r="BG1023" s="92">
        <f t="shared" si="745"/>
        <v>0</v>
      </c>
      <c r="BH1023" s="111">
        <f t="shared" si="746"/>
        <v>0</v>
      </c>
      <c r="BI1023" s="145">
        <f t="shared" si="747"/>
        <v>20180327</v>
      </c>
      <c r="BJ1023" s="12" t="str">
        <f t="shared" si="748"/>
        <v>9999</v>
      </c>
      <c r="BK1023" s="111">
        <v>0</v>
      </c>
      <c r="BL1023" s="111">
        <v>0</v>
      </c>
      <c r="BM1023" s="6">
        <f t="shared" si="749"/>
        <v>13905</v>
      </c>
      <c r="BN1023" s="6">
        <f t="shared" si="750"/>
        <v>1575.9</v>
      </c>
      <c r="BO1023" s="6">
        <f t="shared" si="751"/>
        <v>0</v>
      </c>
      <c r="BP1023" s="6">
        <f t="shared" si="752"/>
        <v>3151.7999999999997</v>
      </c>
      <c r="BQ1023" s="6">
        <f t="shared" si="753"/>
        <v>11124</v>
      </c>
      <c r="BR1023" s="6">
        <f t="shared" si="754"/>
        <v>1266.9000000000001</v>
      </c>
      <c r="BS1023" s="6">
        <f t="shared" si="755"/>
        <v>0</v>
      </c>
      <c r="BT1023" s="6">
        <f t="shared" si="756"/>
        <v>2533.8000000000002</v>
      </c>
      <c r="BU1023" s="6">
        <f t="shared" si="757"/>
        <v>0</v>
      </c>
      <c r="BV1023" s="6">
        <f t="shared" si="758"/>
        <v>1</v>
      </c>
    </row>
    <row r="1024" spans="1:74" s="6" customFormat="1" x14ac:dyDescent="0.25">
      <c r="A1024" t="str">
        <f t="shared" si="759"/>
        <v/>
      </c>
      <c r="B1024" s="12" t="str">
        <f t="shared" si="760"/>
        <v>6001</v>
      </c>
      <c r="C1024" s="12" t="str">
        <f t="shared" ref="C1024:C1032" si="766">$C$6</f>
        <v>B00102</v>
      </c>
      <c r="D1024" s="12" t="str">
        <f t="shared" si="762"/>
        <v>6001</v>
      </c>
      <c r="E1024" s="12" t="s">
        <v>228</v>
      </c>
      <c r="F1024" s="12" t="str">
        <f t="shared" si="763"/>
        <v>CZCE</v>
      </c>
      <c r="G1024" s="111" t="str">
        <f>G1023</f>
        <v>PTA807</v>
      </c>
      <c r="H1024" s="111">
        <v>3</v>
      </c>
      <c r="I1024" s="12">
        <f t="shared" si="702"/>
        <v>5</v>
      </c>
      <c r="J1024" s="12">
        <f t="shared" si="703"/>
        <v>7</v>
      </c>
      <c r="K1024" s="12">
        <f t="shared" si="704"/>
        <v>7</v>
      </c>
      <c r="L1024" s="12">
        <f t="shared" si="705"/>
        <v>11247.6</v>
      </c>
      <c r="M1024" s="12">
        <f t="shared" si="706"/>
        <v>0</v>
      </c>
      <c r="N1024" s="12">
        <f t="shared" si="707"/>
        <v>9084.6</v>
      </c>
      <c r="O1024" s="12">
        <f t="shared" si="708"/>
        <v>0</v>
      </c>
      <c r="P1024" s="12">
        <f t="shared" si="709"/>
        <v>1596.4</v>
      </c>
      <c r="Q1024" s="12">
        <f t="shared" si="710"/>
        <v>1289.4000000000001</v>
      </c>
      <c r="R1024" s="12">
        <f t="shared" si="711"/>
        <v>6160</v>
      </c>
      <c r="S1024" s="50">
        <f t="shared" si="712"/>
        <v>223680</v>
      </c>
      <c r="T1024" s="50">
        <f t="shared" si="713"/>
        <v>214150</v>
      </c>
      <c r="U1024" s="111">
        <f t="shared" si="714"/>
        <v>0</v>
      </c>
      <c r="V1024" s="111">
        <f t="shared" si="715"/>
        <v>0</v>
      </c>
      <c r="W1024" s="24">
        <f t="shared" si="716"/>
        <v>0</v>
      </c>
      <c r="X1024" s="24">
        <f t="shared" si="717"/>
        <v>0</v>
      </c>
      <c r="Y1024" s="111">
        <f t="shared" si="718"/>
        <v>20.29</v>
      </c>
      <c r="Z1024" s="92">
        <f t="shared" si="719"/>
        <v>0</v>
      </c>
      <c r="AA1024" s="111">
        <f t="shared" si="720"/>
        <v>8.1199999999999992</v>
      </c>
      <c r="AB1024" s="111">
        <v>0</v>
      </c>
      <c r="AC1024" s="111">
        <f t="shared" si="721"/>
        <v>0</v>
      </c>
      <c r="AD1024" s="111">
        <v>0</v>
      </c>
      <c r="AE1024" s="111">
        <f t="shared" si="722"/>
        <v>20.29</v>
      </c>
      <c r="AF1024" s="111">
        <v>0</v>
      </c>
      <c r="AG1024" s="92">
        <f t="shared" si="723"/>
        <v>0</v>
      </c>
      <c r="AH1024" s="111">
        <v>0</v>
      </c>
      <c r="AI1024" s="111">
        <f t="shared" si="724"/>
        <v>0</v>
      </c>
      <c r="AJ1024" s="111">
        <v>0</v>
      </c>
      <c r="AK1024" s="111">
        <f t="shared" si="725"/>
        <v>0</v>
      </c>
      <c r="AL1024" s="111">
        <f t="shared" si="726"/>
        <v>0</v>
      </c>
      <c r="AM1024" s="111">
        <f t="shared" si="727"/>
        <v>0</v>
      </c>
      <c r="AN1024" s="12">
        <f t="shared" si="728"/>
        <v>0</v>
      </c>
      <c r="AO1024" s="12">
        <f t="shared" si="729"/>
        <v>-175</v>
      </c>
      <c r="AP1024" s="12">
        <f t="shared" si="730"/>
        <v>-70</v>
      </c>
      <c r="AQ1024" s="12">
        <f t="shared" si="731"/>
        <v>-8080</v>
      </c>
      <c r="AR1024" s="12">
        <f t="shared" si="732"/>
        <v>-1450</v>
      </c>
      <c r="AS1024" s="92">
        <f t="shared" si="733"/>
        <v>0</v>
      </c>
      <c r="AT1024" s="92">
        <f t="shared" si="764"/>
        <v>0</v>
      </c>
      <c r="AU1024" s="111">
        <f t="shared" si="734"/>
        <v>0</v>
      </c>
      <c r="AV1024" s="111">
        <f t="shared" si="735"/>
        <v>0</v>
      </c>
      <c r="AW1024" s="92">
        <f t="shared" si="736"/>
        <v>0</v>
      </c>
      <c r="AX1024" s="111">
        <f t="shared" si="737"/>
        <v>0</v>
      </c>
      <c r="AY1024" s="92">
        <f t="shared" si="738"/>
        <v>0</v>
      </c>
      <c r="AZ1024" s="111">
        <f t="shared" si="739"/>
        <v>0</v>
      </c>
      <c r="BA1024" s="115">
        <f t="shared" si="740"/>
        <v>1</v>
      </c>
      <c r="BB1024" s="92">
        <f t="shared" si="765"/>
        <v>30580</v>
      </c>
      <c r="BC1024" s="111">
        <f t="shared" si="741"/>
        <v>1</v>
      </c>
      <c r="BD1024" s="111">
        <f t="shared" si="742"/>
        <v>30580</v>
      </c>
      <c r="BE1024" s="92">
        <f t="shared" si="743"/>
        <v>0</v>
      </c>
      <c r="BF1024" s="111">
        <f t="shared" si="744"/>
        <v>0</v>
      </c>
      <c r="BG1024" s="92">
        <f t="shared" si="745"/>
        <v>0</v>
      </c>
      <c r="BH1024" s="111">
        <f t="shared" si="746"/>
        <v>0</v>
      </c>
      <c r="BI1024" s="145">
        <f t="shared" si="747"/>
        <v>20180327</v>
      </c>
      <c r="BJ1024" s="12" t="str">
        <f t="shared" si="748"/>
        <v>9999</v>
      </c>
      <c r="BK1024" s="111">
        <v>0</v>
      </c>
      <c r="BL1024" s="111">
        <v>0</v>
      </c>
      <c r="BM1024" s="6">
        <f t="shared" si="749"/>
        <v>11247.6</v>
      </c>
      <c r="BN1024" s="6">
        <f t="shared" si="750"/>
        <v>11463.900000000001</v>
      </c>
      <c r="BO1024" s="6">
        <f t="shared" si="751"/>
        <v>0</v>
      </c>
      <c r="BP1024" s="6">
        <f t="shared" si="752"/>
        <v>0</v>
      </c>
      <c r="BQ1024" s="6">
        <f t="shared" si="753"/>
        <v>9084.6</v>
      </c>
      <c r="BR1024" s="6">
        <f t="shared" si="754"/>
        <v>9300.9</v>
      </c>
      <c r="BS1024" s="6">
        <f t="shared" si="755"/>
        <v>0</v>
      </c>
      <c r="BT1024" s="6">
        <f t="shared" si="756"/>
        <v>0</v>
      </c>
      <c r="BU1024" s="6">
        <f t="shared" si="757"/>
        <v>0</v>
      </c>
      <c r="BV1024" s="6">
        <f t="shared" si="758"/>
        <v>1</v>
      </c>
    </row>
    <row r="1025" spans="1:74" s="6" customFormat="1" x14ac:dyDescent="0.25">
      <c r="A1025" t="str">
        <f t="shared" si="759"/>
        <v/>
      </c>
      <c r="B1025" s="12" t="str">
        <f t="shared" si="760"/>
        <v>6001</v>
      </c>
      <c r="C1025" s="12" t="str">
        <f t="shared" si="766"/>
        <v>B00102</v>
      </c>
      <c r="D1025" s="12" t="str">
        <f t="shared" si="762"/>
        <v>6001</v>
      </c>
      <c r="E1025" s="12" t="s">
        <v>228</v>
      </c>
      <c r="F1025" s="12" t="str">
        <f t="shared" si="763"/>
        <v>CZCE</v>
      </c>
      <c r="G1025" s="113" t="str">
        <f>C234</f>
        <v>PTA809</v>
      </c>
      <c r="H1025" s="111">
        <v>1</v>
      </c>
      <c r="I1025" s="12">
        <f t="shared" si="702"/>
        <v>5</v>
      </c>
      <c r="J1025" s="12">
        <f t="shared" si="703"/>
        <v>2</v>
      </c>
      <c r="K1025" s="12">
        <f t="shared" si="704"/>
        <v>0</v>
      </c>
      <c r="L1025" s="50">
        <f t="shared" si="705"/>
        <v>0</v>
      </c>
      <c r="M1025" s="223">
        <f t="shared" si="706"/>
        <v>0</v>
      </c>
      <c r="N1025" s="12">
        <f t="shared" si="707"/>
        <v>0</v>
      </c>
      <c r="O1025" s="12">
        <f t="shared" si="708"/>
        <v>0</v>
      </c>
      <c r="P1025" s="12">
        <f t="shared" si="709"/>
        <v>0</v>
      </c>
      <c r="Q1025" s="12">
        <f t="shared" si="710"/>
        <v>0</v>
      </c>
      <c r="R1025" s="12">
        <f t="shared" si="711"/>
        <v>6165</v>
      </c>
      <c r="S1025" s="50">
        <f t="shared" si="712"/>
        <v>61240</v>
      </c>
      <c r="T1025" s="50">
        <f t="shared" si="713"/>
        <v>0</v>
      </c>
      <c r="U1025" s="111">
        <f t="shared" si="714"/>
        <v>0</v>
      </c>
      <c r="V1025" s="111">
        <f t="shared" si="715"/>
        <v>0</v>
      </c>
      <c r="W1025" s="24">
        <f t="shared" si="716"/>
        <v>0</v>
      </c>
      <c r="X1025" s="24">
        <f t="shared" si="717"/>
        <v>0</v>
      </c>
      <c r="Y1025" s="111">
        <f t="shared" si="718"/>
        <v>40.619999999999997</v>
      </c>
      <c r="Z1025" s="92">
        <f t="shared" si="719"/>
        <v>12.34</v>
      </c>
      <c r="AA1025" s="111">
        <f t="shared" si="720"/>
        <v>49.15</v>
      </c>
      <c r="AB1025" s="111">
        <v>0</v>
      </c>
      <c r="AC1025" s="111">
        <f t="shared" si="721"/>
        <v>0</v>
      </c>
      <c r="AD1025" s="111">
        <v>0</v>
      </c>
      <c r="AE1025" s="111">
        <f t="shared" si="722"/>
        <v>32.49</v>
      </c>
      <c r="AF1025" s="111">
        <v>0</v>
      </c>
      <c r="AG1025" s="92">
        <f t="shared" si="723"/>
        <v>0</v>
      </c>
      <c r="AH1025" s="111">
        <v>0</v>
      </c>
      <c r="AI1025" s="111">
        <f t="shared" si="724"/>
        <v>0</v>
      </c>
      <c r="AJ1025" s="111">
        <v>0</v>
      </c>
      <c r="AK1025" s="111">
        <f t="shared" si="725"/>
        <v>-1570</v>
      </c>
      <c r="AL1025" s="111">
        <f t="shared" si="726"/>
        <v>0</v>
      </c>
      <c r="AM1025" s="111">
        <f t="shared" si="727"/>
        <v>-2020</v>
      </c>
      <c r="AN1025" s="12">
        <f t="shared" si="728"/>
        <v>0</v>
      </c>
      <c r="AO1025" s="12">
        <f t="shared" si="729"/>
        <v>-50</v>
      </c>
      <c r="AP1025" s="12">
        <f t="shared" si="730"/>
        <v>0</v>
      </c>
      <c r="AQ1025" s="12">
        <f t="shared" si="731"/>
        <v>410</v>
      </c>
      <c r="AR1025" s="12">
        <f t="shared" si="732"/>
        <v>0</v>
      </c>
      <c r="AS1025" s="92">
        <f t="shared" si="733"/>
        <v>4</v>
      </c>
      <c r="AT1025" s="92">
        <f t="shared" si="764"/>
        <v>124500</v>
      </c>
      <c r="AU1025" s="111">
        <f t="shared" si="734"/>
        <v>0</v>
      </c>
      <c r="AV1025" s="111">
        <f t="shared" si="735"/>
        <v>0</v>
      </c>
      <c r="AW1025" s="92">
        <f t="shared" si="736"/>
        <v>4</v>
      </c>
      <c r="AX1025" s="111">
        <f t="shared" si="737"/>
        <v>124500</v>
      </c>
      <c r="AY1025" s="92">
        <f t="shared" si="738"/>
        <v>0</v>
      </c>
      <c r="AZ1025" s="111">
        <f t="shared" si="739"/>
        <v>0</v>
      </c>
      <c r="BA1025" s="115">
        <f t="shared" si="740"/>
        <v>2</v>
      </c>
      <c r="BB1025" s="92">
        <f t="shared" si="765"/>
        <v>61230</v>
      </c>
      <c r="BC1025" s="111">
        <f t="shared" si="741"/>
        <v>2</v>
      </c>
      <c r="BD1025" s="111">
        <f t="shared" si="742"/>
        <v>61230</v>
      </c>
      <c r="BE1025" s="92">
        <f t="shared" si="743"/>
        <v>0</v>
      </c>
      <c r="BF1025" s="111">
        <f t="shared" si="744"/>
        <v>0</v>
      </c>
      <c r="BG1025" s="92">
        <f t="shared" si="745"/>
        <v>0</v>
      </c>
      <c r="BH1025" s="111">
        <f t="shared" si="746"/>
        <v>0</v>
      </c>
      <c r="BI1025" s="145">
        <f t="shared" si="747"/>
        <v>20180327</v>
      </c>
      <c r="BJ1025" s="12" t="str">
        <f t="shared" si="748"/>
        <v>9999</v>
      </c>
      <c r="BK1025" s="111">
        <v>0</v>
      </c>
      <c r="BL1025" s="111">
        <v>0</v>
      </c>
      <c r="BM1025" s="6">
        <f t="shared" si="749"/>
        <v>0</v>
      </c>
      <c r="BN1025" s="6">
        <f t="shared" si="750"/>
        <v>0</v>
      </c>
      <c r="BO1025" s="6">
        <f t="shared" si="751"/>
        <v>0</v>
      </c>
      <c r="BP1025" s="6">
        <f t="shared" si="752"/>
        <v>0</v>
      </c>
      <c r="BQ1025" s="6">
        <f t="shared" si="753"/>
        <v>0</v>
      </c>
      <c r="BR1025" s="6">
        <f t="shared" si="754"/>
        <v>0</v>
      </c>
      <c r="BS1025" s="6">
        <f t="shared" si="755"/>
        <v>0</v>
      </c>
      <c r="BT1025" s="6">
        <f t="shared" si="756"/>
        <v>0</v>
      </c>
      <c r="BU1025" s="6">
        <f t="shared" si="757"/>
        <v>0</v>
      </c>
      <c r="BV1025" s="6">
        <f t="shared" si="758"/>
        <v>1</v>
      </c>
    </row>
    <row r="1026" spans="1:74" s="6" customFormat="1" x14ac:dyDescent="0.25">
      <c r="A1026" t="str">
        <f t="shared" si="759"/>
        <v>comment</v>
      </c>
      <c r="B1026" s="12" t="str">
        <f t="shared" si="760"/>
        <v>6001</v>
      </c>
      <c r="C1026" s="12" t="str">
        <f t="shared" si="766"/>
        <v>B00102</v>
      </c>
      <c r="D1026" s="12" t="str">
        <f t="shared" si="762"/>
        <v>6001</v>
      </c>
      <c r="E1026" s="12" t="s">
        <v>228</v>
      </c>
      <c r="F1026" s="12" t="str">
        <f t="shared" si="763"/>
        <v>CZCE</v>
      </c>
      <c r="G1026" s="113" t="str">
        <f>G1025</f>
        <v>PTA809</v>
      </c>
      <c r="H1026" s="111">
        <v>3</v>
      </c>
      <c r="I1026" s="12">
        <f t="shared" si="702"/>
        <v>5</v>
      </c>
      <c r="J1026" s="12">
        <f t="shared" si="703"/>
        <v>0</v>
      </c>
      <c r="K1026" s="12">
        <f t="shared" si="704"/>
        <v>0</v>
      </c>
      <c r="L1026" s="50">
        <f t="shared" si="705"/>
        <v>0</v>
      </c>
      <c r="M1026" s="223">
        <f t="shared" si="706"/>
        <v>0</v>
      </c>
      <c r="N1026" s="12">
        <f t="shared" si="707"/>
        <v>0</v>
      </c>
      <c r="O1026" s="12">
        <f t="shared" si="708"/>
        <v>0</v>
      </c>
      <c r="P1026" s="12">
        <f t="shared" si="709"/>
        <v>0</v>
      </c>
      <c r="Q1026" s="12">
        <f t="shared" si="710"/>
        <v>0</v>
      </c>
      <c r="R1026" s="12">
        <f t="shared" si="711"/>
        <v>6165</v>
      </c>
      <c r="S1026" s="50">
        <f t="shared" si="712"/>
        <v>0</v>
      </c>
      <c r="T1026" s="50">
        <f t="shared" si="713"/>
        <v>0</v>
      </c>
      <c r="U1026" s="111">
        <f t="shared" si="714"/>
        <v>0</v>
      </c>
      <c r="V1026" s="111">
        <f t="shared" si="715"/>
        <v>0</v>
      </c>
      <c r="W1026" s="24">
        <f t="shared" si="716"/>
        <v>0</v>
      </c>
      <c r="X1026" s="24">
        <f t="shared" si="717"/>
        <v>0</v>
      </c>
      <c r="Y1026" s="111">
        <f t="shared" si="718"/>
        <v>0</v>
      </c>
      <c r="Z1026" s="92">
        <f t="shared" si="719"/>
        <v>0</v>
      </c>
      <c r="AA1026" s="111">
        <f t="shared" si="720"/>
        <v>0</v>
      </c>
      <c r="AB1026" s="111">
        <v>0</v>
      </c>
      <c r="AC1026" s="111">
        <f t="shared" si="721"/>
        <v>0</v>
      </c>
      <c r="AD1026" s="111">
        <v>0</v>
      </c>
      <c r="AE1026" s="111">
        <f t="shared" si="722"/>
        <v>0</v>
      </c>
      <c r="AF1026" s="111">
        <v>0</v>
      </c>
      <c r="AG1026" s="92">
        <f t="shared" si="723"/>
        <v>0</v>
      </c>
      <c r="AH1026" s="111">
        <v>0</v>
      </c>
      <c r="AI1026" s="111">
        <f t="shared" si="724"/>
        <v>0</v>
      </c>
      <c r="AJ1026" s="111">
        <v>0</v>
      </c>
      <c r="AK1026" s="111">
        <f t="shared" si="725"/>
        <v>0</v>
      </c>
      <c r="AL1026" s="111">
        <f t="shared" si="726"/>
        <v>0</v>
      </c>
      <c r="AM1026" s="111">
        <f t="shared" si="727"/>
        <v>0</v>
      </c>
      <c r="AN1026" s="12">
        <f t="shared" si="728"/>
        <v>0</v>
      </c>
      <c r="AO1026" s="12">
        <f t="shared" si="729"/>
        <v>0</v>
      </c>
      <c r="AP1026" s="12">
        <f t="shared" si="730"/>
        <v>0</v>
      </c>
      <c r="AQ1026" s="12">
        <f t="shared" si="731"/>
        <v>0</v>
      </c>
      <c r="AR1026" s="12">
        <f t="shared" si="732"/>
        <v>0</v>
      </c>
      <c r="AS1026" s="92">
        <f t="shared" si="733"/>
        <v>0</v>
      </c>
      <c r="AT1026" s="92">
        <f t="shared" si="764"/>
        <v>0</v>
      </c>
      <c r="AU1026" s="111">
        <f t="shared" si="734"/>
        <v>0</v>
      </c>
      <c r="AV1026" s="111">
        <f t="shared" si="735"/>
        <v>0</v>
      </c>
      <c r="AW1026" s="92">
        <f t="shared" si="736"/>
        <v>0</v>
      </c>
      <c r="AX1026" s="111">
        <f t="shared" si="737"/>
        <v>0</v>
      </c>
      <c r="AY1026" s="92">
        <f t="shared" si="738"/>
        <v>0</v>
      </c>
      <c r="AZ1026" s="111">
        <f t="shared" si="739"/>
        <v>0</v>
      </c>
      <c r="BA1026" s="115">
        <f t="shared" si="740"/>
        <v>0</v>
      </c>
      <c r="BB1026" s="92">
        <f t="shared" si="765"/>
        <v>0</v>
      </c>
      <c r="BC1026" s="111">
        <f t="shared" si="741"/>
        <v>0</v>
      </c>
      <c r="BD1026" s="111">
        <f t="shared" si="742"/>
        <v>0</v>
      </c>
      <c r="BE1026" s="92">
        <f t="shared" si="743"/>
        <v>0</v>
      </c>
      <c r="BF1026" s="111">
        <f t="shared" si="744"/>
        <v>0</v>
      </c>
      <c r="BG1026" s="92">
        <f t="shared" si="745"/>
        <v>0</v>
      </c>
      <c r="BH1026" s="111">
        <f t="shared" si="746"/>
        <v>0</v>
      </c>
      <c r="BI1026" s="145">
        <f t="shared" si="747"/>
        <v>20180327</v>
      </c>
      <c r="BJ1026" s="12" t="str">
        <f t="shared" si="748"/>
        <v>9999</v>
      </c>
      <c r="BK1026" s="111">
        <v>0</v>
      </c>
      <c r="BL1026" s="111">
        <v>0</v>
      </c>
      <c r="BM1026" s="6">
        <f t="shared" si="749"/>
        <v>0</v>
      </c>
      <c r="BN1026" s="6">
        <f t="shared" si="750"/>
        <v>0</v>
      </c>
      <c r="BO1026" s="6">
        <f t="shared" si="751"/>
        <v>0</v>
      </c>
      <c r="BP1026" s="6">
        <f t="shared" si="752"/>
        <v>0</v>
      </c>
      <c r="BQ1026" s="6">
        <f t="shared" si="753"/>
        <v>0</v>
      </c>
      <c r="BR1026" s="6">
        <f t="shared" si="754"/>
        <v>0</v>
      </c>
      <c r="BS1026" s="6">
        <f t="shared" si="755"/>
        <v>0</v>
      </c>
      <c r="BT1026" s="6">
        <f t="shared" si="756"/>
        <v>0</v>
      </c>
      <c r="BU1026" s="6">
        <f t="shared" si="757"/>
        <v>0</v>
      </c>
      <c r="BV1026" s="6">
        <f t="shared" si="758"/>
        <v>1</v>
      </c>
    </row>
    <row r="1027" spans="1:74" s="6" customFormat="1" x14ac:dyDescent="0.25">
      <c r="A1027" t="str">
        <f t="shared" si="759"/>
        <v/>
      </c>
      <c r="B1027" s="12" t="str">
        <f t="shared" si="760"/>
        <v>6001</v>
      </c>
      <c r="C1027" s="12" t="str">
        <f t="shared" si="766"/>
        <v>B00102</v>
      </c>
      <c r="D1027" s="12" t="str">
        <f t="shared" si="762"/>
        <v>6001</v>
      </c>
      <c r="E1027" s="12" t="s">
        <v>228</v>
      </c>
      <c r="F1027" s="12" t="str">
        <f t="shared" si="763"/>
        <v>CZCE</v>
      </c>
      <c r="G1027" s="113" t="str">
        <f>C24</f>
        <v>PTA807C6500</v>
      </c>
      <c r="H1027" s="111">
        <v>1</v>
      </c>
      <c r="I1027" s="12">
        <f t="shared" si="702"/>
        <v>5</v>
      </c>
      <c r="J1027" s="12">
        <f t="shared" si="703"/>
        <v>0</v>
      </c>
      <c r="K1027" s="12">
        <f t="shared" si="704"/>
        <v>0</v>
      </c>
      <c r="L1027" s="50">
        <f t="shared" si="705"/>
        <v>0</v>
      </c>
      <c r="M1027" s="223">
        <f t="shared" si="706"/>
        <v>0</v>
      </c>
      <c r="N1027" s="12">
        <f t="shared" si="707"/>
        <v>0</v>
      </c>
      <c r="O1027" s="12">
        <f t="shared" si="708"/>
        <v>0</v>
      </c>
      <c r="P1027" s="12">
        <f t="shared" si="709"/>
        <v>0</v>
      </c>
      <c r="Q1027" s="12">
        <f t="shared" si="710"/>
        <v>0</v>
      </c>
      <c r="R1027" s="12">
        <f t="shared" si="711"/>
        <v>580</v>
      </c>
      <c r="S1027" s="50">
        <f t="shared" si="712"/>
        <v>0</v>
      </c>
      <c r="T1027" s="50">
        <f t="shared" si="713"/>
        <v>0</v>
      </c>
      <c r="U1027" s="111">
        <f t="shared" ref="U1027:U1032" si="767" xml:space="preserve"> IF(BU1027=1,I1027*J1027*R1027,0)</f>
        <v>0</v>
      </c>
      <c r="V1027" s="111">
        <f t="shared" ref="V1027:V1032" si="768" xml:space="preserve"> IF(BU1027=1,I1027*K1027*R1027,0)</f>
        <v>0</v>
      </c>
      <c r="W1027" s="24">
        <f t="shared" si="716"/>
        <v>30040</v>
      </c>
      <c r="X1027" s="24">
        <f t="shared" si="717"/>
        <v>6020</v>
      </c>
      <c r="Y1027" s="111">
        <f t="shared" si="718"/>
        <v>59.82</v>
      </c>
      <c r="Z1027" s="92">
        <f t="shared" si="719"/>
        <v>0</v>
      </c>
      <c r="AA1027" s="111">
        <f t="shared" si="720"/>
        <v>31.21</v>
      </c>
      <c r="AB1027" s="111">
        <v>0</v>
      </c>
      <c r="AC1027" s="111">
        <f t="shared" si="721"/>
        <v>0</v>
      </c>
      <c r="AD1027" s="111">
        <v>0</v>
      </c>
      <c r="AE1027" s="111">
        <f t="shared" si="722"/>
        <v>44.21</v>
      </c>
      <c r="AF1027" s="111">
        <v>0</v>
      </c>
      <c r="AG1027" s="92">
        <f t="shared" si="723"/>
        <v>0</v>
      </c>
      <c r="AH1027" s="111">
        <v>0</v>
      </c>
      <c r="AI1027" s="111">
        <f t="shared" si="724"/>
        <v>0</v>
      </c>
      <c r="AJ1027" s="111">
        <v>0</v>
      </c>
      <c r="AK1027" s="111">
        <f t="shared" si="725"/>
        <v>0</v>
      </c>
      <c r="AL1027" s="111">
        <f t="shared" si="726"/>
        <v>0</v>
      </c>
      <c r="AM1027" s="111">
        <f t="shared" si="727"/>
        <v>0</v>
      </c>
      <c r="AN1027" s="12">
        <f t="shared" si="728"/>
        <v>0</v>
      </c>
      <c r="AO1027" s="12">
        <f t="shared" si="729"/>
        <v>0</v>
      </c>
      <c r="AP1027" s="12">
        <f t="shared" si="730"/>
        <v>0</v>
      </c>
      <c r="AQ1027" s="12">
        <f t="shared" si="731"/>
        <v>0</v>
      </c>
      <c r="AR1027" s="12">
        <f t="shared" si="732"/>
        <v>0</v>
      </c>
      <c r="AS1027" s="92">
        <f t="shared" si="733"/>
        <v>2</v>
      </c>
      <c r="AT1027" s="92">
        <f t="shared" si="764"/>
        <v>6020</v>
      </c>
      <c r="AU1027" s="111">
        <f t="shared" si="734"/>
        <v>2</v>
      </c>
      <c r="AV1027" s="111">
        <f t="shared" si="735"/>
        <v>6020</v>
      </c>
      <c r="AW1027" s="92">
        <f t="shared" si="736"/>
        <v>0</v>
      </c>
      <c r="AX1027" s="111">
        <f t="shared" si="737"/>
        <v>0</v>
      </c>
      <c r="AY1027" s="92">
        <f t="shared" si="738"/>
        <v>0</v>
      </c>
      <c r="AZ1027" s="111">
        <f t="shared" si="739"/>
        <v>0</v>
      </c>
      <c r="BA1027" s="115">
        <f t="shared" si="740"/>
        <v>10</v>
      </c>
      <c r="BB1027" s="92">
        <f t="shared" si="765"/>
        <v>30040</v>
      </c>
      <c r="BC1027" s="111">
        <f t="shared" si="741"/>
        <v>0</v>
      </c>
      <c r="BD1027" s="111">
        <f t="shared" si="742"/>
        <v>0</v>
      </c>
      <c r="BE1027" s="92">
        <f t="shared" si="743"/>
        <v>8</v>
      </c>
      <c r="BF1027" s="111">
        <f t="shared" si="744"/>
        <v>24000</v>
      </c>
      <c r="BG1027" s="92">
        <f t="shared" si="745"/>
        <v>2</v>
      </c>
      <c r="BH1027" s="111">
        <f t="shared" si="746"/>
        <v>6040</v>
      </c>
      <c r="BI1027" s="145">
        <f t="shared" si="747"/>
        <v>20180327</v>
      </c>
      <c r="BJ1027" s="12" t="str">
        <f t="shared" si="748"/>
        <v>9999</v>
      </c>
      <c r="BK1027" s="111">
        <v>0</v>
      </c>
      <c r="BL1027" s="111">
        <v>0</v>
      </c>
      <c r="BM1027" s="6">
        <f t="shared" si="749"/>
        <v>0</v>
      </c>
      <c r="BN1027" s="6">
        <f t="shared" si="750"/>
        <v>0</v>
      </c>
      <c r="BO1027" s="6">
        <f t="shared" si="751"/>
        <v>0</v>
      </c>
      <c r="BP1027" s="6">
        <f t="shared" si="752"/>
        <v>0</v>
      </c>
      <c r="BQ1027" s="6">
        <f t="shared" si="753"/>
        <v>0</v>
      </c>
      <c r="BR1027" s="6">
        <f t="shared" si="754"/>
        <v>0</v>
      </c>
      <c r="BS1027" s="6">
        <f t="shared" si="755"/>
        <v>0</v>
      </c>
      <c r="BT1027" s="6">
        <f t="shared" si="756"/>
        <v>0</v>
      </c>
      <c r="BU1027" s="6">
        <f t="shared" si="757"/>
        <v>1</v>
      </c>
      <c r="BV1027" s="6">
        <f t="shared" si="758"/>
        <v>0</v>
      </c>
    </row>
    <row r="1028" spans="1:74" s="6" customFormat="1" x14ac:dyDescent="0.25">
      <c r="A1028" t="str">
        <f t="shared" si="759"/>
        <v/>
      </c>
      <c r="B1028" s="12" t="str">
        <f t="shared" si="760"/>
        <v>6001</v>
      </c>
      <c r="C1028" s="12" t="str">
        <f t="shared" si="766"/>
        <v>B00102</v>
      </c>
      <c r="D1028" s="12" t="str">
        <f t="shared" si="762"/>
        <v>6001</v>
      </c>
      <c r="E1028" s="12" t="s">
        <v>228</v>
      </c>
      <c r="F1028" s="12" t="str">
        <f t="shared" si="763"/>
        <v>CZCE</v>
      </c>
      <c r="G1028" s="113" t="str">
        <f>G1027</f>
        <v>PTA807C6500</v>
      </c>
      <c r="H1028" s="111">
        <v>3</v>
      </c>
      <c r="I1028" s="12">
        <f t="shared" si="702"/>
        <v>5</v>
      </c>
      <c r="J1028" s="12">
        <f t="shared" si="703"/>
        <v>0</v>
      </c>
      <c r="K1028" s="12">
        <f t="shared" si="704"/>
        <v>0</v>
      </c>
      <c r="L1028" s="50">
        <f t="shared" si="705"/>
        <v>0</v>
      </c>
      <c r="M1028" s="223">
        <f t="shared" si="706"/>
        <v>0</v>
      </c>
      <c r="N1028" s="12">
        <f t="shared" si="707"/>
        <v>0</v>
      </c>
      <c r="O1028" s="12">
        <f t="shared" si="708"/>
        <v>0</v>
      </c>
      <c r="P1028" s="12">
        <f t="shared" si="709"/>
        <v>0</v>
      </c>
      <c r="Q1028" s="12">
        <f t="shared" si="710"/>
        <v>0</v>
      </c>
      <c r="R1028" s="12">
        <f t="shared" si="711"/>
        <v>580</v>
      </c>
      <c r="S1028" s="50">
        <f t="shared" si="712"/>
        <v>0</v>
      </c>
      <c r="T1028" s="50">
        <f t="shared" si="713"/>
        <v>0</v>
      </c>
      <c r="U1028" s="111">
        <f t="shared" si="767"/>
        <v>0</v>
      </c>
      <c r="V1028" s="111">
        <f t="shared" si="768"/>
        <v>0</v>
      </c>
      <c r="W1028" s="24">
        <f t="shared" si="716"/>
        <v>15070</v>
      </c>
      <c r="X1028" s="24">
        <f t="shared" si="717"/>
        <v>3015</v>
      </c>
      <c r="Y1028" s="111">
        <f t="shared" si="718"/>
        <v>29.93</v>
      </c>
      <c r="Z1028" s="92">
        <f t="shared" si="719"/>
        <v>0</v>
      </c>
      <c r="AA1028" s="111">
        <f t="shared" si="720"/>
        <v>15.61</v>
      </c>
      <c r="AB1028" s="111">
        <v>0</v>
      </c>
      <c r="AC1028" s="111">
        <f t="shared" si="721"/>
        <v>0</v>
      </c>
      <c r="AD1028" s="111">
        <v>0</v>
      </c>
      <c r="AE1028" s="111">
        <f t="shared" si="722"/>
        <v>29.93</v>
      </c>
      <c r="AF1028" s="111">
        <v>0</v>
      </c>
      <c r="AG1028" s="92">
        <f t="shared" si="723"/>
        <v>0</v>
      </c>
      <c r="AH1028" s="111">
        <v>0</v>
      </c>
      <c r="AI1028" s="111">
        <f t="shared" si="724"/>
        <v>0</v>
      </c>
      <c r="AJ1028" s="111">
        <v>0</v>
      </c>
      <c r="AK1028" s="111">
        <f t="shared" si="725"/>
        <v>0</v>
      </c>
      <c r="AL1028" s="111">
        <f t="shared" si="726"/>
        <v>0</v>
      </c>
      <c r="AM1028" s="111">
        <f t="shared" si="727"/>
        <v>0</v>
      </c>
      <c r="AN1028" s="12">
        <f t="shared" si="728"/>
        <v>0</v>
      </c>
      <c r="AO1028" s="12">
        <f t="shared" si="729"/>
        <v>0</v>
      </c>
      <c r="AP1028" s="12">
        <f t="shared" si="730"/>
        <v>0</v>
      </c>
      <c r="AQ1028" s="12">
        <f t="shared" si="731"/>
        <v>0</v>
      </c>
      <c r="AR1028" s="12">
        <f t="shared" si="732"/>
        <v>0</v>
      </c>
      <c r="AS1028" s="92">
        <f t="shared" si="733"/>
        <v>1</v>
      </c>
      <c r="AT1028" s="92">
        <f t="shared" si="764"/>
        <v>3015</v>
      </c>
      <c r="AU1028" s="111">
        <f t="shared" si="734"/>
        <v>1</v>
      </c>
      <c r="AV1028" s="111">
        <f t="shared" si="735"/>
        <v>3015</v>
      </c>
      <c r="AW1028" s="92">
        <f t="shared" si="736"/>
        <v>0</v>
      </c>
      <c r="AX1028" s="111">
        <f t="shared" si="737"/>
        <v>0</v>
      </c>
      <c r="AY1028" s="92">
        <f t="shared" si="738"/>
        <v>0</v>
      </c>
      <c r="AZ1028" s="111">
        <f t="shared" si="739"/>
        <v>0</v>
      </c>
      <c r="BA1028" s="115">
        <f t="shared" si="740"/>
        <v>5</v>
      </c>
      <c r="BB1028" s="92">
        <f t="shared" si="765"/>
        <v>15070</v>
      </c>
      <c r="BC1028" s="111">
        <f t="shared" si="741"/>
        <v>0</v>
      </c>
      <c r="BD1028" s="111">
        <f t="shared" si="742"/>
        <v>0</v>
      </c>
      <c r="BE1028" s="92">
        <f t="shared" si="743"/>
        <v>4</v>
      </c>
      <c r="BF1028" s="111">
        <f t="shared" si="744"/>
        <v>12050</v>
      </c>
      <c r="BG1028" s="92">
        <f t="shared" si="745"/>
        <v>1</v>
      </c>
      <c r="BH1028" s="111">
        <f t="shared" si="746"/>
        <v>3020</v>
      </c>
      <c r="BI1028" s="145">
        <f t="shared" si="747"/>
        <v>20180327</v>
      </c>
      <c r="BJ1028" s="12" t="str">
        <f t="shared" si="748"/>
        <v>9999</v>
      </c>
      <c r="BK1028" s="111">
        <v>0</v>
      </c>
      <c r="BL1028" s="111">
        <v>0</v>
      </c>
      <c r="BM1028" s="6">
        <f t="shared" si="749"/>
        <v>0</v>
      </c>
      <c r="BN1028" s="6">
        <f t="shared" si="750"/>
        <v>0</v>
      </c>
      <c r="BO1028" s="6">
        <f t="shared" si="751"/>
        <v>0</v>
      </c>
      <c r="BP1028" s="6">
        <f t="shared" si="752"/>
        <v>0</v>
      </c>
      <c r="BQ1028" s="6">
        <f t="shared" si="753"/>
        <v>0</v>
      </c>
      <c r="BR1028" s="6">
        <f t="shared" si="754"/>
        <v>0</v>
      </c>
      <c r="BS1028" s="6">
        <f t="shared" si="755"/>
        <v>0</v>
      </c>
      <c r="BT1028" s="6">
        <f t="shared" si="756"/>
        <v>0</v>
      </c>
      <c r="BU1028" s="6">
        <f t="shared" si="757"/>
        <v>1</v>
      </c>
      <c r="BV1028" s="6">
        <f t="shared" si="758"/>
        <v>0</v>
      </c>
    </row>
    <row r="1029" spans="1:74" s="403" customFormat="1" x14ac:dyDescent="0.25">
      <c r="A1029" s="403" t="str">
        <f t="shared" si="759"/>
        <v/>
      </c>
      <c r="B1029" s="50" t="str">
        <f t="shared" si="760"/>
        <v>6001</v>
      </c>
      <c r="C1029" s="50" t="str">
        <f t="shared" si="766"/>
        <v>B00102</v>
      </c>
      <c r="D1029" s="50" t="str">
        <f t="shared" si="762"/>
        <v>6001</v>
      </c>
      <c r="E1029" s="50" t="s">
        <v>228</v>
      </c>
      <c r="F1029" s="50" t="str">
        <f t="shared" si="763"/>
        <v>CZCE</v>
      </c>
      <c r="G1029" s="406" t="str">
        <f>C25</f>
        <v>PTA807P6200</v>
      </c>
      <c r="H1029" s="405">
        <v>1</v>
      </c>
      <c r="I1029" s="50">
        <f t="shared" si="702"/>
        <v>5</v>
      </c>
      <c r="J1029" s="50">
        <f t="shared" si="703"/>
        <v>0</v>
      </c>
      <c r="K1029" s="50">
        <f t="shared" si="704"/>
        <v>0</v>
      </c>
      <c r="L1029" s="50">
        <f t="shared" si="705"/>
        <v>0</v>
      </c>
      <c r="M1029" s="50">
        <f t="shared" si="706"/>
        <v>0</v>
      </c>
      <c r="N1029" s="50">
        <f t="shared" si="707"/>
        <v>0</v>
      </c>
      <c r="O1029" s="50">
        <f t="shared" si="708"/>
        <v>0</v>
      </c>
      <c r="P1029" s="50">
        <f t="shared" si="709"/>
        <v>0</v>
      </c>
      <c r="Q1029" s="50">
        <f t="shared" si="710"/>
        <v>0</v>
      </c>
      <c r="R1029" s="50">
        <f t="shared" si="711"/>
        <v>600</v>
      </c>
      <c r="S1029" s="50">
        <f t="shared" si="712"/>
        <v>0</v>
      </c>
      <c r="T1029" s="50">
        <f t="shared" si="713"/>
        <v>0</v>
      </c>
      <c r="U1029" s="405">
        <f t="shared" si="767"/>
        <v>0</v>
      </c>
      <c r="V1029" s="405">
        <f t="shared" si="768"/>
        <v>0</v>
      </c>
      <c r="W1029" s="409">
        <f t="shared" si="716"/>
        <v>0</v>
      </c>
      <c r="X1029" s="409">
        <f t="shared" si="717"/>
        <v>0</v>
      </c>
      <c r="Y1029" s="405">
        <f t="shared" si="718"/>
        <v>0</v>
      </c>
      <c r="Z1029" s="405">
        <f t="shared" si="719"/>
        <v>0</v>
      </c>
      <c r="AA1029" s="405">
        <f t="shared" si="720"/>
        <v>0</v>
      </c>
      <c r="AB1029" s="405">
        <v>0</v>
      </c>
      <c r="AC1029" s="405">
        <f t="shared" si="721"/>
        <v>68.88</v>
      </c>
      <c r="AD1029" s="405">
        <v>0</v>
      </c>
      <c r="AE1029" s="405">
        <f t="shared" si="722"/>
        <v>0</v>
      </c>
      <c r="AF1029" s="405">
        <v>0</v>
      </c>
      <c r="AG1029" s="405">
        <f t="shared" si="723"/>
        <v>0</v>
      </c>
      <c r="AH1029" s="405">
        <v>0</v>
      </c>
      <c r="AI1029" s="405">
        <f t="shared" si="724"/>
        <v>52.480000000000004</v>
      </c>
      <c r="AJ1029" s="405">
        <v>0</v>
      </c>
      <c r="AK1029" s="405">
        <f t="shared" si="725"/>
        <v>0</v>
      </c>
      <c r="AL1029" s="405">
        <f t="shared" si="726"/>
        <v>0</v>
      </c>
      <c r="AM1029" s="405">
        <f t="shared" si="727"/>
        <v>0</v>
      </c>
      <c r="AN1029" s="50">
        <f t="shared" si="728"/>
        <v>0</v>
      </c>
      <c r="AO1029" s="50">
        <f t="shared" si="729"/>
        <v>0</v>
      </c>
      <c r="AP1029" s="50">
        <f t="shared" si="730"/>
        <v>0</v>
      </c>
      <c r="AQ1029" s="50">
        <f t="shared" si="731"/>
        <v>0</v>
      </c>
      <c r="AR1029" s="50">
        <f t="shared" si="732"/>
        <v>0</v>
      </c>
      <c r="AS1029" s="405">
        <f t="shared" si="733"/>
        <v>3</v>
      </c>
      <c r="AT1029" s="92">
        <f t="shared" si="764"/>
        <v>0</v>
      </c>
      <c r="AU1029" s="405">
        <f t="shared" si="734"/>
        <v>0</v>
      </c>
      <c r="AV1029" s="405">
        <f t="shared" si="735"/>
        <v>0</v>
      </c>
      <c r="AW1029" s="405">
        <f t="shared" si="736"/>
        <v>3</v>
      </c>
      <c r="AX1029" s="405">
        <f t="shared" si="737"/>
        <v>0</v>
      </c>
      <c r="AY1029" s="405">
        <f t="shared" si="738"/>
        <v>0</v>
      </c>
      <c r="AZ1029" s="405">
        <f t="shared" si="739"/>
        <v>0</v>
      </c>
      <c r="BA1029" s="405">
        <f t="shared" si="740"/>
        <v>1</v>
      </c>
      <c r="BB1029" s="92">
        <f t="shared" si="765"/>
        <v>0</v>
      </c>
      <c r="BC1029" s="405">
        <f t="shared" si="741"/>
        <v>0</v>
      </c>
      <c r="BD1029" s="405">
        <f t="shared" si="742"/>
        <v>0</v>
      </c>
      <c r="BE1029" s="405">
        <f t="shared" si="743"/>
        <v>1</v>
      </c>
      <c r="BF1029" s="405">
        <f t="shared" si="744"/>
        <v>0</v>
      </c>
      <c r="BG1029" s="405">
        <f t="shared" si="745"/>
        <v>0</v>
      </c>
      <c r="BH1029" s="405">
        <f t="shared" si="746"/>
        <v>0</v>
      </c>
      <c r="BI1029" s="410">
        <f t="shared" si="747"/>
        <v>20180327</v>
      </c>
      <c r="BJ1029" s="50" t="str">
        <f t="shared" si="748"/>
        <v>9999</v>
      </c>
      <c r="BK1029" s="405">
        <v>0</v>
      </c>
      <c r="BL1029" s="405">
        <v>0</v>
      </c>
      <c r="BM1029" s="403">
        <f t="shared" si="749"/>
        <v>0</v>
      </c>
      <c r="BN1029" s="403">
        <f t="shared" si="750"/>
        <v>0</v>
      </c>
      <c r="BO1029" s="403">
        <f t="shared" si="751"/>
        <v>0</v>
      </c>
      <c r="BP1029" s="403">
        <f t="shared" si="752"/>
        <v>0</v>
      </c>
      <c r="BQ1029" s="403">
        <f t="shared" si="753"/>
        <v>0</v>
      </c>
      <c r="BR1029" s="403">
        <f t="shared" si="754"/>
        <v>0</v>
      </c>
      <c r="BS1029" s="403">
        <f t="shared" si="755"/>
        <v>0</v>
      </c>
      <c r="BT1029" s="403">
        <f t="shared" si="756"/>
        <v>0</v>
      </c>
      <c r="BU1029" s="403">
        <f t="shared" si="757"/>
        <v>1</v>
      </c>
      <c r="BV1029" s="403">
        <f t="shared" si="758"/>
        <v>0</v>
      </c>
    </row>
    <row r="1030" spans="1:74" s="6" customFormat="1" x14ac:dyDescent="0.25">
      <c r="A1030" t="str">
        <f t="shared" si="759"/>
        <v>comment</v>
      </c>
      <c r="B1030" s="12" t="str">
        <f t="shared" si="760"/>
        <v>6001</v>
      </c>
      <c r="C1030" s="12" t="str">
        <f t="shared" si="766"/>
        <v>B00102</v>
      </c>
      <c r="D1030" s="12" t="str">
        <f t="shared" si="762"/>
        <v>6001</v>
      </c>
      <c r="E1030" s="12" t="s">
        <v>228</v>
      </c>
      <c r="F1030" s="12" t="str">
        <f t="shared" si="763"/>
        <v>CZCE</v>
      </c>
      <c r="G1030" s="113" t="str">
        <f>C26</f>
        <v>PTA807P6500</v>
      </c>
      <c r="H1030" s="111">
        <v>3</v>
      </c>
      <c r="I1030" s="12">
        <f t="shared" si="702"/>
        <v>5</v>
      </c>
      <c r="J1030" s="12">
        <f t="shared" si="703"/>
        <v>0</v>
      </c>
      <c r="K1030" s="12">
        <f t="shared" si="704"/>
        <v>0</v>
      </c>
      <c r="L1030" s="50">
        <f t="shared" si="705"/>
        <v>0</v>
      </c>
      <c r="M1030" s="223">
        <f t="shared" si="706"/>
        <v>0</v>
      </c>
      <c r="N1030" s="12">
        <f t="shared" si="707"/>
        <v>0</v>
      </c>
      <c r="O1030" s="12">
        <f t="shared" si="708"/>
        <v>0</v>
      </c>
      <c r="P1030" s="12">
        <f t="shared" si="709"/>
        <v>0</v>
      </c>
      <c r="Q1030" s="12">
        <f t="shared" si="710"/>
        <v>0</v>
      </c>
      <c r="R1030" s="12">
        <f t="shared" si="711"/>
        <v>620</v>
      </c>
      <c r="S1030" s="50">
        <f t="shared" si="712"/>
        <v>0</v>
      </c>
      <c r="T1030" s="50">
        <f t="shared" si="713"/>
        <v>0</v>
      </c>
      <c r="U1030" s="111">
        <f t="shared" si="767"/>
        <v>0</v>
      </c>
      <c r="V1030" s="111">
        <f t="shared" si="768"/>
        <v>0</v>
      </c>
      <c r="W1030" s="24">
        <f t="shared" si="716"/>
        <v>0</v>
      </c>
      <c r="X1030" s="24">
        <f t="shared" si="717"/>
        <v>0</v>
      </c>
      <c r="Y1030" s="111">
        <f t="shared" si="718"/>
        <v>0</v>
      </c>
      <c r="Z1030" s="92">
        <f t="shared" si="719"/>
        <v>0</v>
      </c>
      <c r="AA1030" s="111">
        <f t="shared" si="720"/>
        <v>0</v>
      </c>
      <c r="AB1030" s="111">
        <v>0</v>
      </c>
      <c r="AC1030" s="111">
        <f t="shared" si="721"/>
        <v>0</v>
      </c>
      <c r="AD1030" s="111">
        <v>0</v>
      </c>
      <c r="AE1030" s="111">
        <f t="shared" si="722"/>
        <v>0</v>
      </c>
      <c r="AF1030" s="111">
        <v>0</v>
      </c>
      <c r="AG1030" s="92">
        <f t="shared" si="723"/>
        <v>0</v>
      </c>
      <c r="AH1030" s="111">
        <v>0</v>
      </c>
      <c r="AI1030" s="111">
        <f t="shared" si="724"/>
        <v>0</v>
      </c>
      <c r="AJ1030" s="111">
        <v>0</v>
      </c>
      <c r="AK1030" s="111">
        <f t="shared" si="725"/>
        <v>0</v>
      </c>
      <c r="AL1030" s="111">
        <f t="shared" si="726"/>
        <v>0</v>
      </c>
      <c r="AM1030" s="111">
        <f t="shared" si="727"/>
        <v>0</v>
      </c>
      <c r="AN1030" s="12">
        <f t="shared" si="728"/>
        <v>0</v>
      </c>
      <c r="AO1030" s="12">
        <f t="shared" si="729"/>
        <v>0</v>
      </c>
      <c r="AP1030" s="12">
        <f t="shared" si="730"/>
        <v>0</v>
      </c>
      <c r="AQ1030" s="12">
        <f t="shared" si="731"/>
        <v>0</v>
      </c>
      <c r="AR1030" s="12">
        <f t="shared" si="732"/>
        <v>0</v>
      </c>
      <c r="AS1030" s="92">
        <f t="shared" si="733"/>
        <v>0</v>
      </c>
      <c r="AT1030" s="92">
        <f t="shared" si="764"/>
        <v>0</v>
      </c>
      <c r="AU1030" s="111">
        <f t="shared" si="734"/>
        <v>0</v>
      </c>
      <c r="AV1030" s="111">
        <f t="shared" si="735"/>
        <v>0</v>
      </c>
      <c r="AW1030" s="92">
        <f t="shared" si="736"/>
        <v>0</v>
      </c>
      <c r="AX1030" s="111">
        <f t="shared" si="737"/>
        <v>0</v>
      </c>
      <c r="AY1030" s="92">
        <f t="shared" si="738"/>
        <v>0</v>
      </c>
      <c r="AZ1030" s="111">
        <f t="shared" si="739"/>
        <v>0</v>
      </c>
      <c r="BA1030" s="115">
        <f t="shared" si="740"/>
        <v>0</v>
      </c>
      <c r="BB1030" s="92">
        <f t="shared" si="765"/>
        <v>0</v>
      </c>
      <c r="BC1030" s="111">
        <f t="shared" si="741"/>
        <v>0</v>
      </c>
      <c r="BD1030" s="111">
        <f t="shared" si="742"/>
        <v>0</v>
      </c>
      <c r="BE1030" s="92">
        <f t="shared" si="743"/>
        <v>0</v>
      </c>
      <c r="BF1030" s="111">
        <f t="shared" si="744"/>
        <v>0</v>
      </c>
      <c r="BG1030" s="92">
        <f t="shared" si="745"/>
        <v>0</v>
      </c>
      <c r="BH1030" s="111">
        <f t="shared" si="746"/>
        <v>0</v>
      </c>
      <c r="BI1030" s="145">
        <f t="shared" si="747"/>
        <v>20180327</v>
      </c>
      <c r="BJ1030" s="12" t="str">
        <f t="shared" si="748"/>
        <v>9999</v>
      </c>
      <c r="BK1030" s="111">
        <v>0</v>
      </c>
      <c r="BL1030" s="111">
        <v>0</v>
      </c>
      <c r="BM1030" s="6">
        <f t="shared" si="749"/>
        <v>0</v>
      </c>
      <c r="BN1030" s="6">
        <f t="shared" si="750"/>
        <v>0</v>
      </c>
      <c r="BO1030" s="6">
        <f t="shared" si="751"/>
        <v>0</v>
      </c>
      <c r="BP1030" s="6">
        <f t="shared" si="752"/>
        <v>0</v>
      </c>
      <c r="BQ1030" s="6">
        <f t="shared" si="753"/>
        <v>0</v>
      </c>
      <c r="BR1030" s="6">
        <f t="shared" si="754"/>
        <v>0</v>
      </c>
      <c r="BS1030" s="6">
        <f t="shared" si="755"/>
        <v>0</v>
      </c>
      <c r="BT1030" s="6">
        <f t="shared" si="756"/>
        <v>0</v>
      </c>
      <c r="BU1030" s="6">
        <f t="shared" si="757"/>
        <v>1</v>
      </c>
      <c r="BV1030" s="6">
        <f t="shared" si="758"/>
        <v>0</v>
      </c>
    </row>
    <row r="1031" spans="1:74" s="6" customFormat="1" x14ac:dyDescent="0.25">
      <c r="A1031" t="str">
        <f t="shared" si="759"/>
        <v>comment</v>
      </c>
      <c r="B1031" s="12" t="str">
        <f t="shared" si="760"/>
        <v>6001</v>
      </c>
      <c r="C1031" s="12" t="str">
        <f t="shared" si="766"/>
        <v>B00102</v>
      </c>
      <c r="D1031" s="12" t="str">
        <f t="shared" si="762"/>
        <v>6001</v>
      </c>
      <c r="E1031" s="12" t="s">
        <v>228</v>
      </c>
      <c r="F1031" s="12" t="str">
        <f t="shared" si="763"/>
        <v>CZCE</v>
      </c>
      <c r="G1031" s="113" t="str">
        <f>C26</f>
        <v>PTA807P6500</v>
      </c>
      <c r="H1031" s="111">
        <v>1</v>
      </c>
      <c r="I1031" s="12">
        <f t="shared" si="702"/>
        <v>5</v>
      </c>
      <c r="J1031" s="12">
        <f t="shared" si="703"/>
        <v>0</v>
      </c>
      <c r="K1031" s="12">
        <f t="shared" si="704"/>
        <v>0</v>
      </c>
      <c r="L1031" s="50">
        <f t="shared" si="705"/>
        <v>0</v>
      </c>
      <c r="M1031" s="223">
        <f t="shared" si="706"/>
        <v>0</v>
      </c>
      <c r="N1031" s="12">
        <f t="shared" si="707"/>
        <v>0</v>
      </c>
      <c r="O1031" s="12">
        <f t="shared" si="708"/>
        <v>0</v>
      </c>
      <c r="P1031" s="12">
        <f t="shared" si="709"/>
        <v>0</v>
      </c>
      <c r="Q1031" s="12">
        <f t="shared" si="710"/>
        <v>0</v>
      </c>
      <c r="R1031" s="12">
        <f t="shared" si="711"/>
        <v>620</v>
      </c>
      <c r="S1031" s="50">
        <f t="shared" si="712"/>
        <v>0</v>
      </c>
      <c r="T1031" s="50">
        <f t="shared" si="713"/>
        <v>0</v>
      </c>
      <c r="U1031" s="111">
        <f t="shared" si="767"/>
        <v>0</v>
      </c>
      <c r="V1031" s="111">
        <f t="shared" si="768"/>
        <v>0</v>
      </c>
      <c r="W1031" s="24">
        <f t="shared" si="716"/>
        <v>0</v>
      </c>
      <c r="X1031" s="24">
        <f t="shared" si="717"/>
        <v>0</v>
      </c>
      <c r="Y1031" s="111">
        <f t="shared" si="718"/>
        <v>0</v>
      </c>
      <c r="Z1031" s="92">
        <f t="shared" si="719"/>
        <v>0</v>
      </c>
      <c r="AA1031" s="111">
        <f t="shared" si="720"/>
        <v>0</v>
      </c>
      <c r="AB1031" s="111">
        <v>0</v>
      </c>
      <c r="AC1031" s="111">
        <f t="shared" si="721"/>
        <v>0</v>
      </c>
      <c r="AD1031" s="111">
        <v>0</v>
      </c>
      <c r="AE1031" s="111">
        <f t="shared" si="722"/>
        <v>0</v>
      </c>
      <c r="AF1031" s="111">
        <v>0</v>
      </c>
      <c r="AG1031" s="92">
        <f t="shared" si="723"/>
        <v>0</v>
      </c>
      <c r="AH1031" s="111">
        <v>0</v>
      </c>
      <c r="AI1031" s="111">
        <f t="shared" si="724"/>
        <v>0</v>
      </c>
      <c r="AJ1031" s="111">
        <v>0</v>
      </c>
      <c r="AK1031" s="111">
        <f t="shared" si="725"/>
        <v>0</v>
      </c>
      <c r="AL1031" s="111">
        <f t="shared" si="726"/>
        <v>0</v>
      </c>
      <c r="AM1031" s="111">
        <f t="shared" si="727"/>
        <v>0</v>
      </c>
      <c r="AN1031" s="12">
        <f t="shared" si="728"/>
        <v>0</v>
      </c>
      <c r="AO1031" s="12">
        <f t="shared" si="729"/>
        <v>0</v>
      </c>
      <c r="AP1031" s="12">
        <f t="shared" si="730"/>
        <v>0</v>
      </c>
      <c r="AQ1031" s="12">
        <f t="shared" si="731"/>
        <v>0</v>
      </c>
      <c r="AR1031" s="12">
        <f t="shared" si="732"/>
        <v>0</v>
      </c>
      <c r="AS1031" s="92">
        <f t="shared" si="733"/>
        <v>0</v>
      </c>
      <c r="AT1031" s="92">
        <f t="shared" si="764"/>
        <v>0</v>
      </c>
      <c r="AU1031" s="111">
        <f t="shared" si="734"/>
        <v>0</v>
      </c>
      <c r="AV1031" s="111">
        <f t="shared" si="735"/>
        <v>0</v>
      </c>
      <c r="AW1031" s="92">
        <f t="shared" si="736"/>
        <v>0</v>
      </c>
      <c r="AX1031" s="111">
        <f t="shared" si="737"/>
        <v>0</v>
      </c>
      <c r="AY1031" s="92">
        <f t="shared" si="738"/>
        <v>0</v>
      </c>
      <c r="AZ1031" s="111">
        <f t="shared" si="739"/>
        <v>0</v>
      </c>
      <c r="BA1031" s="115">
        <f t="shared" si="740"/>
        <v>0</v>
      </c>
      <c r="BB1031" s="92">
        <f t="shared" si="765"/>
        <v>0</v>
      </c>
      <c r="BC1031" s="111">
        <f t="shared" si="741"/>
        <v>0</v>
      </c>
      <c r="BD1031" s="111">
        <f t="shared" si="742"/>
        <v>0</v>
      </c>
      <c r="BE1031" s="92">
        <f t="shared" si="743"/>
        <v>0</v>
      </c>
      <c r="BF1031" s="111">
        <f t="shared" si="744"/>
        <v>0</v>
      </c>
      <c r="BG1031" s="92">
        <f t="shared" si="745"/>
        <v>0</v>
      </c>
      <c r="BH1031" s="111">
        <f t="shared" si="746"/>
        <v>0</v>
      </c>
      <c r="BI1031" s="145">
        <f t="shared" si="747"/>
        <v>20180327</v>
      </c>
      <c r="BJ1031" s="12" t="str">
        <f t="shared" si="748"/>
        <v>9999</v>
      </c>
      <c r="BK1031" s="111">
        <v>0</v>
      </c>
      <c r="BL1031" s="111">
        <v>0</v>
      </c>
      <c r="BM1031" s="6">
        <f t="shared" si="749"/>
        <v>0</v>
      </c>
      <c r="BN1031" s="6">
        <f t="shared" si="750"/>
        <v>0</v>
      </c>
      <c r="BO1031" s="6">
        <f t="shared" si="751"/>
        <v>0</v>
      </c>
      <c r="BP1031" s="6">
        <f t="shared" si="752"/>
        <v>0</v>
      </c>
      <c r="BQ1031" s="6">
        <f t="shared" si="753"/>
        <v>0</v>
      </c>
      <c r="BR1031" s="6">
        <f t="shared" si="754"/>
        <v>0</v>
      </c>
      <c r="BS1031" s="6">
        <f t="shared" si="755"/>
        <v>0</v>
      </c>
      <c r="BT1031" s="6">
        <f t="shared" si="756"/>
        <v>0</v>
      </c>
      <c r="BU1031" s="6">
        <f t="shared" si="757"/>
        <v>1</v>
      </c>
      <c r="BV1031" s="6">
        <f t="shared" si="758"/>
        <v>0</v>
      </c>
    </row>
    <row r="1032" spans="1:74" s="6" customFormat="1" x14ac:dyDescent="0.25">
      <c r="A1032" t="str">
        <f t="shared" si="759"/>
        <v>comment</v>
      </c>
      <c r="B1032" s="12" t="str">
        <f t="shared" si="760"/>
        <v>6001</v>
      </c>
      <c r="C1032" s="12" t="str">
        <f t="shared" si="766"/>
        <v>B00102</v>
      </c>
      <c r="D1032" s="12" t="str">
        <f t="shared" si="762"/>
        <v>6001</v>
      </c>
      <c r="E1032" s="12" t="s">
        <v>228</v>
      </c>
      <c r="F1032" s="12" t="str">
        <f t="shared" si="763"/>
        <v>CZCE</v>
      </c>
      <c r="G1032" s="113" t="str">
        <f>G1031</f>
        <v>PTA807P6500</v>
      </c>
      <c r="H1032" s="111">
        <v>3</v>
      </c>
      <c r="I1032" s="12">
        <f t="shared" si="702"/>
        <v>5</v>
      </c>
      <c r="J1032" s="12">
        <f t="shared" si="703"/>
        <v>0</v>
      </c>
      <c r="K1032" s="12">
        <f t="shared" si="704"/>
        <v>0</v>
      </c>
      <c r="L1032" s="50">
        <f t="shared" si="705"/>
        <v>0</v>
      </c>
      <c r="M1032" s="223">
        <f t="shared" si="706"/>
        <v>0</v>
      </c>
      <c r="N1032" s="12">
        <f t="shared" si="707"/>
        <v>0</v>
      </c>
      <c r="O1032" s="12">
        <f t="shared" si="708"/>
        <v>0</v>
      </c>
      <c r="P1032" s="12">
        <f t="shared" si="709"/>
        <v>0</v>
      </c>
      <c r="Q1032" s="12">
        <f t="shared" si="710"/>
        <v>0</v>
      </c>
      <c r="R1032" s="12">
        <f t="shared" si="711"/>
        <v>620</v>
      </c>
      <c r="S1032" s="50">
        <f t="shared" si="712"/>
        <v>0</v>
      </c>
      <c r="T1032" s="50">
        <f t="shared" si="713"/>
        <v>0</v>
      </c>
      <c r="U1032" s="111">
        <f t="shared" si="767"/>
        <v>0</v>
      </c>
      <c r="V1032" s="111">
        <f t="shared" si="768"/>
        <v>0</v>
      </c>
      <c r="W1032" s="24">
        <f t="shared" si="716"/>
        <v>0</v>
      </c>
      <c r="X1032" s="24">
        <f t="shared" si="717"/>
        <v>0</v>
      </c>
      <c r="Y1032" s="111">
        <f t="shared" si="718"/>
        <v>0</v>
      </c>
      <c r="Z1032" s="92">
        <f t="shared" si="719"/>
        <v>0</v>
      </c>
      <c r="AA1032" s="111">
        <f t="shared" si="720"/>
        <v>0</v>
      </c>
      <c r="AB1032" s="111">
        <v>0</v>
      </c>
      <c r="AC1032" s="111">
        <f t="shared" si="721"/>
        <v>0</v>
      </c>
      <c r="AD1032" s="111">
        <v>0</v>
      </c>
      <c r="AE1032" s="111">
        <f t="shared" si="722"/>
        <v>0</v>
      </c>
      <c r="AF1032" s="111">
        <v>0</v>
      </c>
      <c r="AG1032" s="92">
        <f t="shared" si="723"/>
        <v>0</v>
      </c>
      <c r="AH1032" s="111">
        <v>0</v>
      </c>
      <c r="AI1032" s="111">
        <f t="shared" si="724"/>
        <v>0</v>
      </c>
      <c r="AJ1032" s="111">
        <v>0</v>
      </c>
      <c r="AK1032" s="111">
        <f t="shared" si="725"/>
        <v>0</v>
      </c>
      <c r="AL1032" s="111">
        <f t="shared" si="726"/>
        <v>0</v>
      </c>
      <c r="AM1032" s="111">
        <f t="shared" si="727"/>
        <v>0</v>
      </c>
      <c r="AN1032" s="12">
        <f t="shared" si="728"/>
        <v>0</v>
      </c>
      <c r="AO1032" s="12">
        <f t="shared" si="729"/>
        <v>0</v>
      </c>
      <c r="AP1032" s="12">
        <f t="shared" si="730"/>
        <v>0</v>
      </c>
      <c r="AQ1032" s="12">
        <f t="shared" si="731"/>
        <v>0</v>
      </c>
      <c r="AR1032" s="12">
        <f t="shared" si="732"/>
        <v>0</v>
      </c>
      <c r="AS1032" s="92">
        <f t="shared" si="733"/>
        <v>0</v>
      </c>
      <c r="AT1032" s="92">
        <f t="shared" si="764"/>
        <v>0</v>
      </c>
      <c r="AU1032" s="111">
        <f t="shared" si="734"/>
        <v>0</v>
      </c>
      <c r="AV1032" s="111">
        <f t="shared" si="735"/>
        <v>0</v>
      </c>
      <c r="AW1032" s="92">
        <f t="shared" si="736"/>
        <v>0</v>
      </c>
      <c r="AX1032" s="111">
        <f t="shared" si="737"/>
        <v>0</v>
      </c>
      <c r="AY1032" s="92">
        <f t="shared" si="738"/>
        <v>0</v>
      </c>
      <c r="AZ1032" s="111">
        <f t="shared" si="739"/>
        <v>0</v>
      </c>
      <c r="BA1032" s="115">
        <f t="shared" si="740"/>
        <v>0</v>
      </c>
      <c r="BB1032" s="92">
        <f t="shared" si="765"/>
        <v>0</v>
      </c>
      <c r="BC1032" s="111">
        <f t="shared" si="741"/>
        <v>0</v>
      </c>
      <c r="BD1032" s="111">
        <f t="shared" si="742"/>
        <v>0</v>
      </c>
      <c r="BE1032" s="92">
        <f t="shared" si="743"/>
        <v>0</v>
      </c>
      <c r="BF1032" s="111">
        <f t="shared" si="744"/>
        <v>0</v>
      </c>
      <c r="BG1032" s="92">
        <f t="shared" si="745"/>
        <v>0</v>
      </c>
      <c r="BH1032" s="111">
        <f t="shared" si="746"/>
        <v>0</v>
      </c>
      <c r="BI1032" s="145">
        <f t="shared" si="747"/>
        <v>20180327</v>
      </c>
      <c r="BJ1032" s="12" t="str">
        <f t="shared" si="748"/>
        <v>9999</v>
      </c>
      <c r="BK1032" s="111">
        <v>0</v>
      </c>
      <c r="BL1032" s="111">
        <v>0</v>
      </c>
      <c r="BM1032" s="6">
        <f t="shared" si="749"/>
        <v>0</v>
      </c>
      <c r="BN1032" s="6">
        <f t="shared" si="750"/>
        <v>0</v>
      </c>
      <c r="BO1032" s="6">
        <f t="shared" si="751"/>
        <v>0</v>
      </c>
      <c r="BP1032" s="6">
        <f t="shared" si="752"/>
        <v>0</v>
      </c>
      <c r="BQ1032" s="6">
        <f t="shared" si="753"/>
        <v>0</v>
      </c>
      <c r="BR1032" s="6">
        <f t="shared" si="754"/>
        <v>0</v>
      </c>
      <c r="BS1032" s="6">
        <f t="shared" si="755"/>
        <v>0</v>
      </c>
      <c r="BT1032" s="6">
        <f t="shared" si="756"/>
        <v>0</v>
      </c>
      <c r="BU1032" s="6">
        <f t="shared" si="757"/>
        <v>1</v>
      </c>
      <c r="BV1032" s="6">
        <f t="shared" si="758"/>
        <v>0</v>
      </c>
    </row>
    <row r="1033" spans="1:74" x14ac:dyDescent="0.25">
      <c r="A1033" t="str">
        <f t="shared" si="759"/>
        <v/>
      </c>
      <c r="B1033" s="12" t="str">
        <f t="shared" si="760"/>
        <v>6001</v>
      </c>
      <c r="C1033" s="12" t="str">
        <f t="shared" si="761"/>
        <v>B00101</v>
      </c>
      <c r="D1033" s="12" t="str">
        <f t="shared" si="762"/>
        <v>6001</v>
      </c>
      <c r="E1033" s="12" t="s">
        <v>228</v>
      </c>
      <c r="F1033" s="50" t="str">
        <f t="shared" si="763"/>
        <v>CZCE</v>
      </c>
      <c r="G1033" s="109" t="str">
        <f>C238</f>
        <v>SR807C6500</v>
      </c>
      <c r="H1033" s="92">
        <v>1</v>
      </c>
      <c r="I1033" s="50">
        <f t="shared" si="702"/>
        <v>10</v>
      </c>
      <c r="J1033" s="50">
        <f t="shared" si="703"/>
        <v>0</v>
      </c>
      <c r="K1033" s="50">
        <f t="shared" si="704"/>
        <v>0</v>
      </c>
      <c r="L1033" s="50">
        <f t="shared" si="705"/>
        <v>0</v>
      </c>
      <c r="M1033" s="223">
        <f t="shared" si="706"/>
        <v>0</v>
      </c>
      <c r="N1033" s="12">
        <f t="shared" si="707"/>
        <v>0</v>
      </c>
      <c r="O1033" s="12">
        <f t="shared" si="708"/>
        <v>0</v>
      </c>
      <c r="P1033" s="50">
        <f t="shared" si="709"/>
        <v>0</v>
      </c>
      <c r="Q1033" s="50">
        <f t="shared" si="710"/>
        <v>0</v>
      </c>
      <c r="R1033" s="50">
        <f t="shared" si="711"/>
        <v>610</v>
      </c>
      <c r="S1033" s="50">
        <f t="shared" si="712"/>
        <v>0</v>
      </c>
      <c r="T1033" s="50">
        <f t="shared" si="713"/>
        <v>0</v>
      </c>
      <c r="U1033" s="92">
        <f t="shared" si="714"/>
        <v>0</v>
      </c>
      <c r="V1033" s="92">
        <f t="shared" si="715"/>
        <v>0</v>
      </c>
      <c r="W1033" s="25">
        <f t="shared" si="716"/>
        <v>24120</v>
      </c>
      <c r="X1033" s="25">
        <f t="shared" si="717"/>
        <v>48360</v>
      </c>
      <c r="Y1033" s="92">
        <f t="shared" si="718"/>
        <v>67.349999999999994</v>
      </c>
      <c r="Z1033" s="92">
        <f t="shared" si="719"/>
        <v>0</v>
      </c>
      <c r="AA1033" s="92">
        <f t="shared" si="720"/>
        <v>38.49</v>
      </c>
      <c r="AB1033" s="111">
        <v>0</v>
      </c>
      <c r="AC1033" s="92">
        <f t="shared" si="721"/>
        <v>315</v>
      </c>
      <c r="AD1033" s="92">
        <v>0</v>
      </c>
      <c r="AE1033" s="92">
        <f t="shared" si="722"/>
        <v>48.11</v>
      </c>
      <c r="AF1033" s="111">
        <v>0</v>
      </c>
      <c r="AG1033" s="92">
        <f t="shared" si="723"/>
        <v>0</v>
      </c>
      <c r="AH1033" s="92">
        <v>0</v>
      </c>
      <c r="AI1033" s="92">
        <f t="shared" si="724"/>
        <v>240</v>
      </c>
      <c r="AJ1033" s="111">
        <v>0</v>
      </c>
      <c r="AK1033" s="92">
        <f t="shared" si="725"/>
        <v>0</v>
      </c>
      <c r="AL1033" s="92">
        <f t="shared" si="726"/>
        <v>0</v>
      </c>
      <c r="AM1033" s="92">
        <f t="shared" si="727"/>
        <v>0</v>
      </c>
      <c r="AN1033" s="147">
        <f t="shared" si="728"/>
        <v>0</v>
      </c>
      <c r="AO1033" s="147">
        <f t="shared" si="729"/>
        <v>0</v>
      </c>
      <c r="AP1033" s="147">
        <f t="shared" si="730"/>
        <v>0</v>
      </c>
      <c r="AQ1033" s="147">
        <f t="shared" si="731"/>
        <v>0</v>
      </c>
      <c r="AR1033" s="147">
        <f t="shared" si="732"/>
        <v>0</v>
      </c>
      <c r="AS1033" s="92">
        <f t="shared" si="733"/>
        <v>8</v>
      </c>
      <c r="AT1033" s="92">
        <f t="shared" si="764"/>
        <v>48360</v>
      </c>
      <c r="AU1033" s="92">
        <f t="shared" si="734"/>
        <v>0</v>
      </c>
      <c r="AV1033" s="92">
        <f t="shared" si="735"/>
        <v>0</v>
      </c>
      <c r="AW1033" s="92">
        <f t="shared" si="736"/>
        <v>3</v>
      </c>
      <c r="AX1033" s="92">
        <f t="shared" si="737"/>
        <v>18110</v>
      </c>
      <c r="AY1033" s="92">
        <f t="shared" si="738"/>
        <v>5</v>
      </c>
      <c r="AZ1033" s="92">
        <f t="shared" si="739"/>
        <v>30250</v>
      </c>
      <c r="BA1033" s="115">
        <f t="shared" si="740"/>
        <v>14</v>
      </c>
      <c r="BB1033" s="92">
        <f t="shared" si="765"/>
        <v>24120</v>
      </c>
      <c r="BC1033" s="92">
        <f t="shared" si="741"/>
        <v>4</v>
      </c>
      <c r="BD1033" s="92">
        <f t="shared" si="742"/>
        <v>24120</v>
      </c>
      <c r="BE1033" s="92">
        <f t="shared" si="743"/>
        <v>10</v>
      </c>
      <c r="BF1033" s="92">
        <f t="shared" si="744"/>
        <v>0</v>
      </c>
      <c r="BG1033" s="92">
        <f t="shared" si="745"/>
        <v>0</v>
      </c>
      <c r="BH1033" s="92">
        <f t="shared" si="746"/>
        <v>0</v>
      </c>
      <c r="BI1033" s="145">
        <f t="shared" si="747"/>
        <v>20180327</v>
      </c>
      <c r="BJ1033" s="12" t="str">
        <f t="shared" si="748"/>
        <v>9999</v>
      </c>
      <c r="BK1033" s="92">
        <v>0</v>
      </c>
      <c r="BL1033" s="92">
        <v>0</v>
      </c>
      <c r="BM1033">
        <f t="shared" si="749"/>
        <v>0</v>
      </c>
      <c r="BN1033">
        <f t="shared" si="750"/>
        <v>0</v>
      </c>
      <c r="BO1033">
        <f t="shared" si="751"/>
        <v>0</v>
      </c>
      <c r="BP1033">
        <f t="shared" si="752"/>
        <v>0</v>
      </c>
      <c r="BQ1033">
        <f t="shared" si="753"/>
        <v>0</v>
      </c>
      <c r="BR1033">
        <f t="shared" si="754"/>
        <v>0</v>
      </c>
      <c r="BS1033">
        <f t="shared" si="755"/>
        <v>0</v>
      </c>
      <c r="BT1033">
        <f t="shared" si="756"/>
        <v>0</v>
      </c>
      <c r="BU1033">
        <f t="shared" si="757"/>
        <v>1</v>
      </c>
      <c r="BV1033">
        <f t="shared" si="758"/>
        <v>0</v>
      </c>
    </row>
    <row r="1034" spans="1:74" x14ac:dyDescent="0.25">
      <c r="A1034" t="str">
        <f t="shared" si="759"/>
        <v/>
      </c>
      <c r="B1034" s="12" t="str">
        <f t="shared" si="760"/>
        <v>6001</v>
      </c>
      <c r="C1034" s="12" t="str">
        <f t="shared" si="761"/>
        <v>B00101</v>
      </c>
      <c r="D1034" s="12" t="str">
        <f t="shared" si="762"/>
        <v>6001</v>
      </c>
      <c r="E1034" s="12" t="s">
        <v>228</v>
      </c>
      <c r="F1034" s="50" t="str">
        <f t="shared" si="763"/>
        <v>CZCE</v>
      </c>
      <c r="G1034" s="109" t="str">
        <f>C238</f>
        <v>SR807C6500</v>
      </c>
      <c r="H1034" s="92">
        <v>3</v>
      </c>
      <c r="I1034" s="50">
        <f t="shared" si="702"/>
        <v>10</v>
      </c>
      <c r="J1034" s="50">
        <f t="shared" si="703"/>
        <v>0</v>
      </c>
      <c r="K1034" s="50">
        <f t="shared" si="704"/>
        <v>0</v>
      </c>
      <c r="L1034" s="50">
        <f t="shared" si="705"/>
        <v>0</v>
      </c>
      <c r="M1034" s="223">
        <f t="shared" si="706"/>
        <v>0</v>
      </c>
      <c r="N1034" s="12">
        <f t="shared" si="707"/>
        <v>0</v>
      </c>
      <c r="O1034" s="12">
        <f t="shared" si="708"/>
        <v>0</v>
      </c>
      <c r="P1034" s="50">
        <f t="shared" si="709"/>
        <v>0</v>
      </c>
      <c r="Q1034" s="50">
        <f t="shared" si="710"/>
        <v>0</v>
      </c>
      <c r="R1034" s="50">
        <f t="shared" si="711"/>
        <v>610</v>
      </c>
      <c r="S1034" s="50">
        <f t="shared" si="712"/>
        <v>0</v>
      </c>
      <c r="T1034" s="50">
        <f t="shared" si="713"/>
        <v>0</v>
      </c>
      <c r="U1034" s="92">
        <f t="shared" si="714"/>
        <v>0</v>
      </c>
      <c r="V1034" s="92">
        <f t="shared" si="715"/>
        <v>0</v>
      </c>
      <c r="W1034" s="25">
        <f t="shared" si="716"/>
        <v>6040</v>
      </c>
      <c r="X1034" s="25">
        <f t="shared" si="717"/>
        <v>0</v>
      </c>
      <c r="Y1034" s="92">
        <f t="shared" si="718"/>
        <v>8.02</v>
      </c>
      <c r="Z1034" s="92">
        <f t="shared" si="719"/>
        <v>0</v>
      </c>
      <c r="AA1034" s="92">
        <f t="shared" si="720"/>
        <v>3.21</v>
      </c>
      <c r="AB1034" s="92">
        <v>0</v>
      </c>
      <c r="AC1034" s="92">
        <f t="shared" si="721"/>
        <v>315</v>
      </c>
      <c r="AD1034" s="92">
        <v>0</v>
      </c>
      <c r="AE1034" s="92">
        <f t="shared" si="722"/>
        <v>8.02</v>
      </c>
      <c r="AF1034" s="92">
        <v>0</v>
      </c>
      <c r="AG1034" s="92">
        <f t="shared" si="723"/>
        <v>0</v>
      </c>
      <c r="AH1034" s="92">
        <v>0</v>
      </c>
      <c r="AI1034" s="92">
        <f t="shared" si="724"/>
        <v>315</v>
      </c>
      <c r="AJ1034" s="92">
        <v>0</v>
      </c>
      <c r="AK1034" s="92">
        <f t="shared" si="725"/>
        <v>0</v>
      </c>
      <c r="AL1034" s="92">
        <f t="shared" si="726"/>
        <v>0</v>
      </c>
      <c r="AM1034" s="92">
        <f t="shared" si="727"/>
        <v>0</v>
      </c>
      <c r="AN1034" s="147">
        <f t="shared" si="728"/>
        <v>0</v>
      </c>
      <c r="AO1034" s="147">
        <f t="shared" si="729"/>
        <v>0</v>
      </c>
      <c r="AP1034" s="147">
        <f t="shared" si="730"/>
        <v>0</v>
      </c>
      <c r="AQ1034" s="147">
        <f t="shared" si="731"/>
        <v>0</v>
      </c>
      <c r="AR1034" s="147">
        <f t="shared" si="732"/>
        <v>0</v>
      </c>
      <c r="AS1034" s="92">
        <f t="shared" si="733"/>
        <v>10</v>
      </c>
      <c r="AT1034" s="92">
        <f t="shared" si="764"/>
        <v>0</v>
      </c>
      <c r="AU1034" s="92">
        <f t="shared" si="734"/>
        <v>0</v>
      </c>
      <c r="AV1034" s="92">
        <f t="shared" si="735"/>
        <v>0</v>
      </c>
      <c r="AW1034" s="92">
        <f t="shared" si="736"/>
        <v>10</v>
      </c>
      <c r="AX1034" s="92">
        <f t="shared" si="737"/>
        <v>0</v>
      </c>
      <c r="AY1034" s="92">
        <f t="shared" si="738"/>
        <v>0</v>
      </c>
      <c r="AZ1034" s="92">
        <f t="shared" si="739"/>
        <v>0</v>
      </c>
      <c r="BA1034" s="115">
        <f t="shared" si="740"/>
        <v>1</v>
      </c>
      <c r="BB1034" s="92">
        <f t="shared" si="765"/>
        <v>6040</v>
      </c>
      <c r="BC1034" s="92">
        <f t="shared" si="741"/>
        <v>1</v>
      </c>
      <c r="BD1034" s="92">
        <f t="shared" si="742"/>
        <v>6040</v>
      </c>
      <c r="BE1034" s="92">
        <f t="shared" si="743"/>
        <v>0</v>
      </c>
      <c r="BF1034" s="92">
        <f t="shared" si="744"/>
        <v>0</v>
      </c>
      <c r="BG1034" s="92">
        <f t="shared" si="745"/>
        <v>0</v>
      </c>
      <c r="BH1034" s="92">
        <f t="shared" si="746"/>
        <v>0</v>
      </c>
      <c r="BI1034" s="145">
        <f t="shared" si="747"/>
        <v>20180327</v>
      </c>
      <c r="BJ1034" s="12" t="str">
        <f t="shared" si="748"/>
        <v>9999</v>
      </c>
      <c r="BK1034" s="92">
        <v>0</v>
      </c>
      <c r="BL1034" s="92">
        <v>0</v>
      </c>
      <c r="BM1034">
        <f t="shared" si="749"/>
        <v>0</v>
      </c>
      <c r="BN1034">
        <f t="shared" si="750"/>
        <v>0</v>
      </c>
      <c r="BO1034">
        <f t="shared" si="751"/>
        <v>0</v>
      </c>
      <c r="BP1034">
        <f t="shared" si="752"/>
        <v>0</v>
      </c>
      <c r="BQ1034">
        <f t="shared" si="753"/>
        <v>0</v>
      </c>
      <c r="BR1034">
        <f t="shared" si="754"/>
        <v>0</v>
      </c>
      <c r="BS1034">
        <f t="shared" si="755"/>
        <v>0</v>
      </c>
      <c r="BT1034">
        <f t="shared" si="756"/>
        <v>0</v>
      </c>
      <c r="BU1034">
        <f t="shared" si="757"/>
        <v>1</v>
      </c>
      <c r="BV1034">
        <f t="shared" si="758"/>
        <v>0</v>
      </c>
    </row>
    <row r="1035" spans="1:74" x14ac:dyDescent="0.25">
      <c r="A1035" t="str">
        <f t="shared" si="759"/>
        <v/>
      </c>
      <c r="B1035" s="12" t="str">
        <f t="shared" si="760"/>
        <v>6001</v>
      </c>
      <c r="C1035" s="12" t="str">
        <f t="shared" si="761"/>
        <v>B00101</v>
      </c>
      <c r="D1035" s="12" t="str">
        <f t="shared" si="762"/>
        <v>6001</v>
      </c>
      <c r="E1035" s="12" t="s">
        <v>228</v>
      </c>
      <c r="F1035" s="50" t="str">
        <f t="shared" si="763"/>
        <v>CZCE</v>
      </c>
      <c r="G1035" s="109" t="str">
        <f>C239</f>
        <v>SR807P6500</v>
      </c>
      <c r="H1035" s="92">
        <v>1</v>
      </c>
      <c r="I1035" s="50">
        <f t="shared" si="702"/>
        <v>10</v>
      </c>
      <c r="J1035" s="50">
        <f t="shared" si="703"/>
        <v>0</v>
      </c>
      <c r="K1035" s="50">
        <f t="shared" si="704"/>
        <v>0</v>
      </c>
      <c r="L1035" s="50">
        <f t="shared" si="705"/>
        <v>0</v>
      </c>
      <c r="M1035" s="223">
        <f t="shared" si="706"/>
        <v>0</v>
      </c>
      <c r="N1035" s="12">
        <f t="shared" si="707"/>
        <v>0</v>
      </c>
      <c r="O1035" s="12">
        <f t="shared" si="708"/>
        <v>0</v>
      </c>
      <c r="P1035" s="50">
        <f t="shared" si="709"/>
        <v>0</v>
      </c>
      <c r="Q1035" s="50">
        <f t="shared" si="710"/>
        <v>0</v>
      </c>
      <c r="R1035" s="50">
        <f t="shared" si="711"/>
        <v>615</v>
      </c>
      <c r="S1035" s="50">
        <f t="shared" si="712"/>
        <v>0</v>
      </c>
      <c r="T1035" s="50">
        <f t="shared" si="713"/>
        <v>0</v>
      </c>
      <c r="U1035" s="92">
        <f t="shared" si="714"/>
        <v>0</v>
      </c>
      <c r="V1035" s="92">
        <f t="shared" si="715"/>
        <v>0</v>
      </c>
      <c r="W1035" s="25">
        <f t="shared" si="716"/>
        <v>0</v>
      </c>
      <c r="X1035" s="25">
        <f t="shared" si="717"/>
        <v>0</v>
      </c>
      <c r="Y1035" s="92">
        <f t="shared" si="718"/>
        <v>0</v>
      </c>
      <c r="Z1035" s="92">
        <f t="shared" si="719"/>
        <v>0</v>
      </c>
      <c r="AA1035" s="92">
        <f t="shared" si="720"/>
        <v>0</v>
      </c>
      <c r="AB1035" s="92">
        <v>0</v>
      </c>
      <c r="AC1035" s="92">
        <f t="shared" si="721"/>
        <v>157.5</v>
      </c>
      <c r="AD1035" s="92">
        <v>0</v>
      </c>
      <c r="AE1035" s="92">
        <f t="shared" si="722"/>
        <v>0</v>
      </c>
      <c r="AF1035" s="92">
        <v>0</v>
      </c>
      <c r="AG1035" s="92">
        <f t="shared" si="723"/>
        <v>0</v>
      </c>
      <c r="AH1035" s="92">
        <v>0</v>
      </c>
      <c r="AI1035" s="92">
        <f t="shared" si="724"/>
        <v>120</v>
      </c>
      <c r="AJ1035" s="92">
        <v>0</v>
      </c>
      <c r="AK1035" s="92">
        <f t="shared" si="725"/>
        <v>0</v>
      </c>
      <c r="AL1035" s="92">
        <f t="shared" si="726"/>
        <v>0</v>
      </c>
      <c r="AM1035" s="92">
        <f t="shared" si="727"/>
        <v>0</v>
      </c>
      <c r="AN1035" s="147">
        <f t="shared" si="728"/>
        <v>0</v>
      </c>
      <c r="AO1035" s="147">
        <f t="shared" si="729"/>
        <v>0</v>
      </c>
      <c r="AP1035" s="147">
        <f t="shared" si="730"/>
        <v>0</v>
      </c>
      <c r="AQ1035" s="147">
        <f t="shared" si="731"/>
        <v>0</v>
      </c>
      <c r="AR1035" s="147">
        <f t="shared" si="732"/>
        <v>0</v>
      </c>
      <c r="AS1035" s="92">
        <f t="shared" si="733"/>
        <v>5</v>
      </c>
      <c r="AT1035" s="92">
        <f t="shared" si="764"/>
        <v>0</v>
      </c>
      <c r="AU1035" s="92">
        <f t="shared" si="734"/>
        <v>0</v>
      </c>
      <c r="AV1035" s="92">
        <f t="shared" si="735"/>
        <v>0</v>
      </c>
      <c r="AW1035" s="92">
        <f t="shared" si="736"/>
        <v>5</v>
      </c>
      <c r="AX1035" s="92">
        <f t="shared" si="737"/>
        <v>0</v>
      </c>
      <c r="AY1035" s="92">
        <f t="shared" si="738"/>
        <v>0</v>
      </c>
      <c r="AZ1035" s="92">
        <f t="shared" si="739"/>
        <v>0</v>
      </c>
      <c r="BA1035" s="115">
        <f t="shared" si="740"/>
        <v>0</v>
      </c>
      <c r="BB1035" s="92">
        <f t="shared" si="765"/>
        <v>0</v>
      </c>
      <c r="BC1035" s="92">
        <f t="shared" si="741"/>
        <v>0</v>
      </c>
      <c r="BD1035" s="92">
        <f t="shared" si="742"/>
        <v>0</v>
      </c>
      <c r="BE1035" s="92">
        <f t="shared" si="743"/>
        <v>0</v>
      </c>
      <c r="BF1035" s="92">
        <f t="shared" si="744"/>
        <v>0</v>
      </c>
      <c r="BG1035" s="92">
        <f t="shared" si="745"/>
        <v>0</v>
      </c>
      <c r="BH1035" s="92">
        <f t="shared" si="746"/>
        <v>0</v>
      </c>
      <c r="BI1035" s="145">
        <f t="shared" si="747"/>
        <v>20180327</v>
      </c>
      <c r="BJ1035" s="12" t="str">
        <f t="shared" si="748"/>
        <v>9999</v>
      </c>
      <c r="BK1035" s="92">
        <v>0</v>
      </c>
      <c r="BL1035" s="92">
        <v>0</v>
      </c>
      <c r="BM1035">
        <f t="shared" si="749"/>
        <v>0</v>
      </c>
      <c r="BN1035">
        <f t="shared" si="750"/>
        <v>0</v>
      </c>
      <c r="BO1035">
        <f t="shared" si="751"/>
        <v>0</v>
      </c>
      <c r="BP1035">
        <f t="shared" si="752"/>
        <v>0</v>
      </c>
      <c r="BQ1035">
        <f t="shared" si="753"/>
        <v>0</v>
      </c>
      <c r="BR1035">
        <f t="shared" si="754"/>
        <v>0</v>
      </c>
      <c r="BS1035">
        <f t="shared" si="755"/>
        <v>0</v>
      </c>
      <c r="BT1035">
        <f t="shared" si="756"/>
        <v>0</v>
      </c>
      <c r="BU1035">
        <f t="shared" si="757"/>
        <v>1</v>
      </c>
      <c r="BV1035">
        <f t="shared" si="758"/>
        <v>0</v>
      </c>
    </row>
    <row r="1036" spans="1:74" x14ac:dyDescent="0.25">
      <c r="A1036" t="str">
        <f t="shared" si="759"/>
        <v>comment</v>
      </c>
      <c r="B1036" s="12" t="str">
        <f t="shared" si="760"/>
        <v>6001</v>
      </c>
      <c r="C1036" s="12" t="str">
        <f t="shared" si="761"/>
        <v>B00101</v>
      </c>
      <c r="D1036" s="12" t="str">
        <f t="shared" si="762"/>
        <v>6001</v>
      </c>
      <c r="E1036" s="12" t="s">
        <v>228</v>
      </c>
      <c r="F1036" s="50" t="str">
        <f t="shared" si="763"/>
        <v>CZCE</v>
      </c>
      <c r="G1036" s="109" t="str">
        <f>C239</f>
        <v>SR807P6500</v>
      </c>
      <c r="H1036" s="92">
        <v>3</v>
      </c>
      <c r="I1036" s="50">
        <f t="shared" si="702"/>
        <v>10</v>
      </c>
      <c r="J1036" s="50">
        <f t="shared" si="703"/>
        <v>0</v>
      </c>
      <c r="K1036" s="50">
        <f t="shared" si="704"/>
        <v>0</v>
      </c>
      <c r="L1036" s="50">
        <f t="shared" si="705"/>
        <v>0</v>
      </c>
      <c r="M1036" s="223">
        <f t="shared" si="706"/>
        <v>0</v>
      </c>
      <c r="N1036" s="12">
        <f t="shared" si="707"/>
        <v>0</v>
      </c>
      <c r="O1036" s="12">
        <f t="shared" si="708"/>
        <v>0</v>
      </c>
      <c r="P1036" s="50">
        <f t="shared" si="709"/>
        <v>0</v>
      </c>
      <c r="Q1036" s="50">
        <f t="shared" si="710"/>
        <v>0</v>
      </c>
      <c r="R1036" s="50">
        <f t="shared" si="711"/>
        <v>615</v>
      </c>
      <c r="S1036" s="50">
        <f t="shared" si="712"/>
        <v>0</v>
      </c>
      <c r="T1036" s="50">
        <f t="shared" si="713"/>
        <v>0</v>
      </c>
      <c r="U1036" s="92">
        <f t="shared" si="714"/>
        <v>0</v>
      </c>
      <c r="V1036" s="92">
        <f t="shared" si="715"/>
        <v>0</v>
      </c>
      <c r="W1036" s="25">
        <f t="shared" si="716"/>
        <v>0</v>
      </c>
      <c r="X1036" s="25">
        <f t="shared" si="717"/>
        <v>0</v>
      </c>
      <c r="Y1036" s="92">
        <f t="shared" si="718"/>
        <v>0</v>
      </c>
      <c r="Z1036" s="92">
        <f t="shared" si="719"/>
        <v>0</v>
      </c>
      <c r="AA1036" s="92">
        <f t="shared" si="720"/>
        <v>0</v>
      </c>
      <c r="AB1036" s="92">
        <v>0</v>
      </c>
      <c r="AC1036" s="92">
        <f t="shared" si="721"/>
        <v>0</v>
      </c>
      <c r="AD1036" s="92">
        <v>0</v>
      </c>
      <c r="AE1036" s="92">
        <f t="shared" si="722"/>
        <v>0</v>
      </c>
      <c r="AF1036" s="92">
        <v>0</v>
      </c>
      <c r="AG1036" s="92">
        <f t="shared" si="723"/>
        <v>0</v>
      </c>
      <c r="AH1036" s="92">
        <v>0</v>
      </c>
      <c r="AI1036" s="92">
        <f t="shared" si="724"/>
        <v>0</v>
      </c>
      <c r="AJ1036" s="92">
        <v>0</v>
      </c>
      <c r="AK1036" s="92">
        <f t="shared" si="725"/>
        <v>0</v>
      </c>
      <c r="AL1036" s="92">
        <f t="shared" si="726"/>
        <v>0</v>
      </c>
      <c r="AM1036" s="92">
        <f t="shared" si="727"/>
        <v>0</v>
      </c>
      <c r="AN1036" s="147">
        <f t="shared" si="728"/>
        <v>0</v>
      </c>
      <c r="AO1036" s="147">
        <f t="shared" si="729"/>
        <v>0</v>
      </c>
      <c r="AP1036" s="147">
        <f t="shared" si="730"/>
        <v>0</v>
      </c>
      <c r="AQ1036" s="147">
        <f t="shared" si="731"/>
        <v>0</v>
      </c>
      <c r="AR1036" s="147">
        <f t="shared" si="732"/>
        <v>0</v>
      </c>
      <c r="AS1036" s="92">
        <f t="shared" si="733"/>
        <v>0</v>
      </c>
      <c r="AT1036" s="92">
        <f t="shared" si="764"/>
        <v>0</v>
      </c>
      <c r="AU1036" s="92">
        <f t="shared" si="734"/>
        <v>0</v>
      </c>
      <c r="AV1036" s="92">
        <f t="shared" si="735"/>
        <v>0</v>
      </c>
      <c r="AW1036" s="92">
        <f t="shared" si="736"/>
        <v>0</v>
      </c>
      <c r="AX1036" s="92">
        <f t="shared" si="737"/>
        <v>0</v>
      </c>
      <c r="AY1036" s="92">
        <f t="shared" si="738"/>
        <v>0</v>
      </c>
      <c r="AZ1036" s="92">
        <f t="shared" si="739"/>
        <v>0</v>
      </c>
      <c r="BA1036" s="115">
        <f t="shared" si="740"/>
        <v>0</v>
      </c>
      <c r="BB1036" s="92">
        <f t="shared" si="765"/>
        <v>0</v>
      </c>
      <c r="BC1036" s="92">
        <f t="shared" si="741"/>
        <v>0</v>
      </c>
      <c r="BD1036" s="92">
        <f t="shared" si="742"/>
        <v>0</v>
      </c>
      <c r="BE1036" s="92">
        <f t="shared" si="743"/>
        <v>0</v>
      </c>
      <c r="BF1036" s="92">
        <f t="shared" si="744"/>
        <v>0</v>
      </c>
      <c r="BG1036" s="92">
        <f t="shared" si="745"/>
        <v>0</v>
      </c>
      <c r="BH1036" s="92">
        <f t="shared" si="746"/>
        <v>0</v>
      </c>
      <c r="BI1036" s="145">
        <f t="shared" si="747"/>
        <v>20180327</v>
      </c>
      <c r="BJ1036" s="12" t="str">
        <f t="shared" si="748"/>
        <v>9999</v>
      </c>
      <c r="BK1036" s="92">
        <v>0</v>
      </c>
      <c r="BL1036" s="92">
        <v>0</v>
      </c>
      <c r="BM1036">
        <f t="shared" si="749"/>
        <v>0</v>
      </c>
      <c r="BN1036">
        <f t="shared" si="750"/>
        <v>0</v>
      </c>
      <c r="BO1036">
        <f t="shared" si="751"/>
        <v>0</v>
      </c>
      <c r="BP1036">
        <f t="shared" si="752"/>
        <v>0</v>
      </c>
      <c r="BQ1036">
        <f t="shared" si="753"/>
        <v>0</v>
      </c>
      <c r="BR1036">
        <f t="shared" si="754"/>
        <v>0</v>
      </c>
      <c r="BS1036">
        <f t="shared" si="755"/>
        <v>0</v>
      </c>
      <c r="BT1036">
        <f t="shared" si="756"/>
        <v>0</v>
      </c>
      <c r="BU1036">
        <f t="shared" si="757"/>
        <v>1</v>
      </c>
      <c r="BV1036">
        <f t="shared" si="758"/>
        <v>0</v>
      </c>
    </row>
    <row r="1037" spans="1:74" s="555" customFormat="1" x14ac:dyDescent="0.25">
      <c r="A1037" s="555" t="str">
        <f t="shared" si="759"/>
        <v/>
      </c>
      <c r="B1037" s="527" t="str">
        <f t="shared" si="760"/>
        <v>6001</v>
      </c>
      <c r="C1037" s="527" t="str">
        <f t="shared" si="761"/>
        <v>B00101</v>
      </c>
      <c r="D1037" s="527" t="str">
        <f t="shared" si="762"/>
        <v>6001</v>
      </c>
      <c r="E1037" s="527" t="s">
        <v>228</v>
      </c>
      <c r="F1037" s="556" t="str">
        <f t="shared" si="763"/>
        <v>CZCE</v>
      </c>
      <c r="G1037" s="557" t="str">
        <f>C30</f>
        <v>SR809C6600</v>
      </c>
      <c r="H1037" s="558">
        <v>1</v>
      </c>
      <c r="I1037" s="556">
        <f t="shared" si="702"/>
        <v>10</v>
      </c>
      <c r="J1037" s="556">
        <f t="shared" si="703"/>
        <v>0</v>
      </c>
      <c r="K1037" s="556">
        <f t="shared" si="704"/>
        <v>2</v>
      </c>
      <c r="L1037" s="556">
        <f t="shared" si="705"/>
        <v>0</v>
      </c>
      <c r="M1037" s="559">
        <f t="shared" si="706"/>
        <v>16622.93</v>
      </c>
      <c r="N1037" s="527">
        <f t="shared" si="707"/>
        <v>0</v>
      </c>
      <c r="O1037" s="527">
        <f t="shared" si="708"/>
        <v>15328.06</v>
      </c>
      <c r="P1037" s="556">
        <f t="shared" si="709"/>
        <v>0</v>
      </c>
      <c r="Q1037" s="556">
        <f t="shared" si="710"/>
        <v>0</v>
      </c>
      <c r="R1037" s="556">
        <f t="shared" ref="R1037" si="769" xml:space="preserve"> VLOOKUP(G1037,$C$230:$F$242,3,FALSE)</f>
        <v>640</v>
      </c>
      <c r="S1037" s="556">
        <f t="shared" ref="S1037" si="770">SUMPRODUCT(($D$922:$D$998=C1037)*($E$922:$E$998=D1037)*($L$922:$L$998=H1037)*($J$922:$J$998=0)*($I$922:$I$998=G1037)*($AY$922:$AY$998))</f>
        <v>0</v>
      </c>
      <c r="T1037" s="556">
        <f t="shared" si="713"/>
        <v>12600</v>
      </c>
      <c r="U1037" s="558">
        <f t="shared" ref="U1037" si="771" xml:space="preserve"> IF(BU1037=1,I1037*J1037*R1037,0)</f>
        <v>0</v>
      </c>
      <c r="V1037" s="558">
        <f t="shared" ref="V1037" si="772" xml:space="preserve"> IF(BU1037=1,I1037*K1037*R1037,0)</f>
        <v>12800</v>
      </c>
      <c r="W1037" s="560">
        <f t="shared" ref="W1037" si="773">SUMPRODUCT(($F$693:$F$761=C1037)*($G$693:$G$761=D1037)*(($L$693:$L$761=G1037)*($P$693:$P$761=H1037)*($AJ$693:$AJ$761)))</f>
        <v>0</v>
      </c>
      <c r="X1037" s="560">
        <f t="shared" si="717"/>
        <v>0</v>
      </c>
      <c r="Y1037" s="558">
        <f t="shared" si="718"/>
        <v>0</v>
      </c>
      <c r="Z1037" s="558">
        <f t="shared" si="719"/>
        <v>0</v>
      </c>
      <c r="AA1037" s="558">
        <f t="shared" si="720"/>
        <v>0</v>
      </c>
      <c r="AB1037" s="558">
        <v>0</v>
      </c>
      <c r="AC1037" s="558">
        <f t="shared" si="721"/>
        <v>63.84</v>
      </c>
      <c r="AD1037" s="558">
        <v>0</v>
      </c>
      <c r="AE1037" s="558">
        <f t="shared" si="722"/>
        <v>0</v>
      </c>
      <c r="AF1037" s="558">
        <v>0</v>
      </c>
      <c r="AG1037" s="558">
        <f t="shared" si="723"/>
        <v>0</v>
      </c>
      <c r="AH1037" s="558">
        <v>0</v>
      </c>
      <c r="AI1037" s="558">
        <f t="shared" si="724"/>
        <v>48.64</v>
      </c>
      <c r="AJ1037" s="558">
        <v>0</v>
      </c>
      <c r="AK1037" s="558">
        <f t="shared" si="725"/>
        <v>0</v>
      </c>
      <c r="AL1037" s="558">
        <f t="shared" si="726"/>
        <v>0</v>
      </c>
      <c r="AM1037" s="558">
        <f t="shared" si="727"/>
        <v>0</v>
      </c>
      <c r="AN1037" s="561">
        <f t="shared" si="728"/>
        <v>0</v>
      </c>
      <c r="AO1037" s="561">
        <f t="shared" si="729"/>
        <v>0</v>
      </c>
      <c r="AP1037" s="561">
        <f t="shared" si="730"/>
        <v>0</v>
      </c>
      <c r="AQ1037" s="561">
        <f t="shared" si="731"/>
        <v>0</v>
      </c>
      <c r="AR1037" s="561">
        <f t="shared" si="732"/>
        <v>0</v>
      </c>
      <c r="AS1037" s="558">
        <f t="shared" si="733"/>
        <v>2</v>
      </c>
      <c r="AT1037" s="558">
        <f t="shared" si="764"/>
        <v>0</v>
      </c>
      <c r="AU1037" s="558">
        <f t="shared" si="734"/>
        <v>0</v>
      </c>
      <c r="AV1037" s="558">
        <f t="shared" si="735"/>
        <v>0</v>
      </c>
      <c r="AW1037" s="558">
        <f t="shared" si="736"/>
        <v>2</v>
      </c>
      <c r="AX1037" s="558">
        <f t="shared" si="737"/>
        <v>0</v>
      </c>
      <c r="AY1037" s="558">
        <f t="shared" si="738"/>
        <v>0</v>
      </c>
      <c r="AZ1037" s="558">
        <f t="shared" si="739"/>
        <v>0</v>
      </c>
      <c r="BA1037" s="540">
        <f t="shared" si="740"/>
        <v>0</v>
      </c>
      <c r="BB1037" s="558">
        <f t="shared" si="765"/>
        <v>0</v>
      </c>
      <c r="BC1037" s="558">
        <f t="shared" si="741"/>
        <v>0</v>
      </c>
      <c r="BD1037" s="558">
        <f t="shared" si="742"/>
        <v>0</v>
      </c>
      <c r="BE1037" s="558">
        <f t="shared" si="743"/>
        <v>0</v>
      </c>
      <c r="BF1037" s="558">
        <f t="shared" si="744"/>
        <v>0</v>
      </c>
      <c r="BG1037" s="558">
        <f t="shared" si="745"/>
        <v>0</v>
      </c>
      <c r="BH1037" s="558">
        <f t="shared" si="746"/>
        <v>0</v>
      </c>
      <c r="BI1037" s="145">
        <f t="shared" si="747"/>
        <v>20180327</v>
      </c>
      <c r="BJ1037" s="12" t="str">
        <f t="shared" si="748"/>
        <v>9999</v>
      </c>
      <c r="BK1037" s="558">
        <v>0</v>
      </c>
      <c r="BL1037" s="558">
        <v>0</v>
      </c>
      <c r="BM1037" s="555">
        <f t="shared" si="749"/>
        <v>0</v>
      </c>
      <c r="BN1037" s="555">
        <f t="shared" si="750"/>
        <v>16622.93</v>
      </c>
      <c r="BO1037" s="555">
        <f t="shared" si="751"/>
        <v>0</v>
      </c>
      <c r="BP1037" s="555">
        <f t="shared" si="752"/>
        <v>0</v>
      </c>
      <c r="BQ1037" s="555">
        <f t="shared" si="753"/>
        <v>0</v>
      </c>
      <c r="BR1037" s="555">
        <f t="shared" si="754"/>
        <v>15328.06</v>
      </c>
      <c r="BS1037" s="555">
        <f t="shared" si="755"/>
        <v>0</v>
      </c>
      <c r="BT1037" s="555">
        <f t="shared" si="756"/>
        <v>0</v>
      </c>
      <c r="BU1037" s="555">
        <f t="shared" ref="BU1037" si="774" xml:space="preserve"> VLOOKUP(G1037,$C$19:$L$31,10,FALSE)</f>
        <v>1</v>
      </c>
      <c r="BV1037" s="555">
        <f t="shared" ref="BV1037" si="775" xml:space="preserve"> VLOOKUP(G1037,$C$19:$L$31,9,FALSE)</f>
        <v>0</v>
      </c>
    </row>
    <row r="1038" spans="1:74" x14ac:dyDescent="0.25">
      <c r="A1038" t="str">
        <f t="shared" si="759"/>
        <v/>
      </c>
      <c r="B1038" s="12" t="str">
        <f t="shared" si="760"/>
        <v>6001</v>
      </c>
      <c r="C1038" s="12" t="str">
        <f t="shared" si="761"/>
        <v>B00101</v>
      </c>
      <c r="D1038" s="12" t="str">
        <f t="shared" si="762"/>
        <v>6001</v>
      </c>
      <c r="E1038" s="12" t="s">
        <v>228</v>
      </c>
      <c r="F1038" s="50" t="str">
        <f t="shared" si="763"/>
        <v>CZCE</v>
      </c>
      <c r="G1038" s="109" t="str">
        <f>C240</f>
        <v>SR807P6400</v>
      </c>
      <c r="H1038" s="92">
        <v>1</v>
      </c>
      <c r="I1038" s="50">
        <f t="shared" si="702"/>
        <v>10</v>
      </c>
      <c r="J1038" s="50">
        <f t="shared" si="703"/>
        <v>0</v>
      </c>
      <c r="K1038" s="50">
        <f t="shared" si="704"/>
        <v>0</v>
      </c>
      <c r="L1038" s="50">
        <f t="shared" si="705"/>
        <v>0</v>
      </c>
      <c r="M1038" s="223">
        <f t="shared" si="706"/>
        <v>0</v>
      </c>
      <c r="N1038" s="12">
        <f t="shared" si="707"/>
        <v>0</v>
      </c>
      <c r="O1038" s="12">
        <f t="shared" si="708"/>
        <v>0</v>
      </c>
      <c r="P1038" s="50">
        <f t="shared" si="709"/>
        <v>0</v>
      </c>
      <c r="Q1038" s="50">
        <f t="shared" si="710"/>
        <v>0</v>
      </c>
      <c r="R1038" s="50">
        <f t="shared" si="711"/>
        <v>620</v>
      </c>
      <c r="S1038" s="50">
        <f>SUMPRODUCT(($D$922:$D$998=C1038)*($E$922:$E$998=D1038)*($L$922:$L$998=H1038)*($J$922:$J$998=0)*($I$922:$I$998=G1038)*($AY$922:$AY$998))</f>
        <v>0</v>
      </c>
      <c r="T1038" s="50">
        <f t="shared" si="713"/>
        <v>0</v>
      </c>
      <c r="U1038" s="92">
        <f t="shared" si="714"/>
        <v>0</v>
      </c>
      <c r="V1038" s="92">
        <f t="shared" si="715"/>
        <v>0</v>
      </c>
      <c r="W1038" s="25">
        <f t="shared" si="716"/>
        <v>0</v>
      </c>
      <c r="X1038" s="25">
        <f t="shared" si="717"/>
        <v>0</v>
      </c>
      <c r="Y1038" s="92">
        <f t="shared" si="718"/>
        <v>0</v>
      </c>
      <c r="Z1038" s="92">
        <f t="shared" si="719"/>
        <v>0</v>
      </c>
      <c r="AA1038" s="92">
        <f t="shared" si="720"/>
        <v>0</v>
      </c>
      <c r="AB1038" s="92">
        <v>0</v>
      </c>
      <c r="AC1038" s="92">
        <f t="shared" si="721"/>
        <v>62.160000000000004</v>
      </c>
      <c r="AD1038" s="92">
        <v>0</v>
      </c>
      <c r="AE1038" s="92">
        <f t="shared" si="722"/>
        <v>0</v>
      </c>
      <c r="AF1038" s="92">
        <v>0</v>
      </c>
      <c r="AG1038" s="92">
        <f t="shared" si="723"/>
        <v>0</v>
      </c>
      <c r="AH1038" s="92">
        <v>0</v>
      </c>
      <c r="AI1038" s="92">
        <f t="shared" si="724"/>
        <v>47.36</v>
      </c>
      <c r="AJ1038" s="92">
        <v>0</v>
      </c>
      <c r="AK1038" s="92">
        <f t="shared" si="725"/>
        <v>0</v>
      </c>
      <c r="AL1038" s="92">
        <f t="shared" si="726"/>
        <v>0</v>
      </c>
      <c r="AM1038" s="92">
        <f t="shared" si="727"/>
        <v>0</v>
      </c>
      <c r="AN1038" s="147">
        <f t="shared" si="728"/>
        <v>0</v>
      </c>
      <c r="AO1038" s="147">
        <f t="shared" si="729"/>
        <v>0</v>
      </c>
      <c r="AP1038" s="147">
        <f t="shared" si="730"/>
        <v>0</v>
      </c>
      <c r="AQ1038" s="147">
        <f t="shared" si="731"/>
        <v>0</v>
      </c>
      <c r="AR1038" s="147">
        <f t="shared" si="732"/>
        <v>0</v>
      </c>
      <c r="AS1038" s="92">
        <f t="shared" si="733"/>
        <v>0</v>
      </c>
      <c r="AT1038" s="92">
        <f t="shared" si="764"/>
        <v>0</v>
      </c>
      <c r="AU1038" s="92">
        <f t="shared" si="734"/>
        <v>0</v>
      </c>
      <c r="AV1038" s="92">
        <f t="shared" si="735"/>
        <v>0</v>
      </c>
      <c r="AW1038" s="92">
        <f t="shared" si="736"/>
        <v>0</v>
      </c>
      <c r="AX1038" s="92">
        <f t="shared" si="737"/>
        <v>0</v>
      </c>
      <c r="AY1038" s="92">
        <f t="shared" si="738"/>
        <v>0</v>
      </c>
      <c r="AZ1038" s="92">
        <f t="shared" si="739"/>
        <v>0</v>
      </c>
      <c r="BA1038" s="115">
        <f t="shared" si="740"/>
        <v>2</v>
      </c>
      <c r="BB1038" s="92">
        <f t="shared" si="765"/>
        <v>0</v>
      </c>
      <c r="BC1038" s="92">
        <f t="shared" si="741"/>
        <v>0</v>
      </c>
      <c r="BD1038" s="92">
        <f t="shared" si="742"/>
        <v>0</v>
      </c>
      <c r="BE1038" s="92">
        <f t="shared" si="743"/>
        <v>2</v>
      </c>
      <c r="BF1038" s="92">
        <f t="shared" si="744"/>
        <v>0</v>
      </c>
      <c r="BG1038" s="92">
        <f t="shared" si="745"/>
        <v>0</v>
      </c>
      <c r="BH1038" s="92">
        <f t="shared" si="746"/>
        <v>0</v>
      </c>
      <c r="BI1038" s="145">
        <f t="shared" si="747"/>
        <v>20180327</v>
      </c>
      <c r="BJ1038" s="12" t="str">
        <f t="shared" si="748"/>
        <v>9999</v>
      </c>
      <c r="BK1038" s="92">
        <v>0</v>
      </c>
      <c r="BL1038" s="92">
        <v>0</v>
      </c>
      <c r="BM1038">
        <f t="shared" si="749"/>
        <v>0</v>
      </c>
      <c r="BN1038">
        <f t="shared" si="750"/>
        <v>0</v>
      </c>
      <c r="BO1038">
        <f t="shared" si="751"/>
        <v>0</v>
      </c>
      <c r="BP1038">
        <f t="shared" si="752"/>
        <v>0</v>
      </c>
      <c r="BQ1038">
        <f t="shared" si="753"/>
        <v>0</v>
      </c>
      <c r="BR1038">
        <f t="shared" si="754"/>
        <v>0</v>
      </c>
      <c r="BS1038">
        <f t="shared" si="755"/>
        <v>0</v>
      </c>
      <c r="BT1038">
        <f t="shared" si="756"/>
        <v>0</v>
      </c>
      <c r="BU1038">
        <f t="shared" si="757"/>
        <v>1</v>
      </c>
      <c r="BV1038">
        <f t="shared" si="758"/>
        <v>0</v>
      </c>
    </row>
    <row r="1039" spans="1:74" x14ac:dyDescent="0.25">
      <c r="A1039" t="str">
        <f t="shared" si="759"/>
        <v>comment</v>
      </c>
      <c r="B1039" s="12" t="str">
        <f t="shared" si="760"/>
        <v>6001</v>
      </c>
      <c r="C1039" s="12" t="str">
        <f t="shared" si="761"/>
        <v>B00101</v>
      </c>
      <c r="D1039" s="12" t="str">
        <f t="shared" si="762"/>
        <v>6001</v>
      </c>
      <c r="E1039" s="12" t="s">
        <v>228</v>
      </c>
      <c r="F1039" s="50" t="str">
        <f t="shared" si="763"/>
        <v>CZCE</v>
      </c>
      <c r="G1039" s="109" t="str">
        <f>C240</f>
        <v>SR807P6400</v>
      </c>
      <c r="H1039" s="92">
        <v>3</v>
      </c>
      <c r="I1039" s="50">
        <f t="shared" si="702"/>
        <v>10</v>
      </c>
      <c r="J1039" s="50">
        <f>SUMPRODUCT(($D$922:$D$998=C1039)*($E$922:$E$998=D1039)*($L$922:$L$998=H1039)*($J$922:$J$998=0)*($I$922:$I$998=G1039)*($N$922:$N$998))</f>
        <v>0</v>
      </c>
      <c r="K1039" s="50">
        <f t="shared" si="704"/>
        <v>0</v>
      </c>
      <c r="L1039" s="50">
        <f t="shared" si="705"/>
        <v>0</v>
      </c>
      <c r="M1039" s="223">
        <f t="shared" si="706"/>
        <v>0</v>
      </c>
      <c r="N1039" s="12">
        <f t="shared" si="707"/>
        <v>0</v>
      </c>
      <c r="O1039" s="12">
        <f t="shared" si="708"/>
        <v>0</v>
      </c>
      <c r="P1039" s="50">
        <f t="shared" si="709"/>
        <v>0</v>
      </c>
      <c r="Q1039" s="50">
        <f t="shared" si="710"/>
        <v>0</v>
      </c>
      <c r="R1039" s="50">
        <f t="shared" si="711"/>
        <v>620</v>
      </c>
      <c r="S1039" s="50">
        <f>SUMPRODUCT(($D$922:$D$998=C1039)*($E$922:$E$998=D1039)*($L$922:$L$998=H1039)*($J$922:$J$998=0)*($I$922:$I$998=G1039)*($AY$922:$AY$998))</f>
        <v>0</v>
      </c>
      <c r="T1039" s="50">
        <f t="shared" si="713"/>
        <v>0</v>
      </c>
      <c r="U1039" s="92">
        <f t="shared" si="714"/>
        <v>0</v>
      </c>
      <c r="V1039" s="92">
        <f t="shared" si="715"/>
        <v>0</v>
      </c>
      <c r="W1039" s="25">
        <f t="shared" si="716"/>
        <v>0</v>
      </c>
      <c r="X1039" s="25">
        <f t="shared" si="717"/>
        <v>0</v>
      </c>
      <c r="Y1039" s="92">
        <f t="shared" si="718"/>
        <v>0</v>
      </c>
      <c r="Z1039" s="92">
        <f t="shared" si="719"/>
        <v>0</v>
      </c>
      <c r="AA1039" s="92">
        <f t="shared" si="720"/>
        <v>0</v>
      </c>
      <c r="AB1039" s="92">
        <v>0</v>
      </c>
      <c r="AC1039" s="92">
        <f t="shared" si="721"/>
        <v>0</v>
      </c>
      <c r="AD1039" s="92">
        <v>0</v>
      </c>
      <c r="AE1039" s="92">
        <f>ROUND(SUMPRODUCT(($F$693:$F$761=C1039)*($G$693:$G$761=D1039)*(($L$693:$L$761=G1039)*($P$693:$P$761=H1039)*($AB$693:$AB$761))),2)</f>
        <v>0</v>
      </c>
      <c r="AF1039" s="92">
        <v>0</v>
      </c>
      <c r="AG1039" s="92">
        <f t="shared" si="723"/>
        <v>0</v>
      </c>
      <c r="AH1039" s="92">
        <v>0</v>
      </c>
      <c r="AI1039" s="92">
        <f t="shared" si="724"/>
        <v>0</v>
      </c>
      <c r="AJ1039" s="92">
        <v>0</v>
      </c>
      <c r="AK1039" s="92">
        <f t="shared" si="725"/>
        <v>0</v>
      </c>
      <c r="AL1039" s="92">
        <f t="shared" si="726"/>
        <v>0</v>
      </c>
      <c r="AM1039" s="92"/>
      <c r="AN1039" s="92"/>
      <c r="AO1039" s="147">
        <f t="shared" si="729"/>
        <v>0</v>
      </c>
      <c r="AP1039" s="147">
        <f t="shared" si="730"/>
        <v>0</v>
      </c>
      <c r="AQ1039" s="147">
        <f t="shared" si="731"/>
        <v>0</v>
      </c>
      <c r="AR1039" s="147">
        <f t="shared" si="732"/>
        <v>0</v>
      </c>
      <c r="AS1039" s="92">
        <f t="shared" si="733"/>
        <v>0</v>
      </c>
      <c r="AT1039" s="92">
        <f t="shared" si="764"/>
        <v>0</v>
      </c>
      <c r="AU1039" s="92">
        <f t="shared" si="734"/>
        <v>0</v>
      </c>
      <c r="AV1039" s="92">
        <f t="shared" si="735"/>
        <v>0</v>
      </c>
      <c r="AW1039" s="92">
        <f t="shared" si="736"/>
        <v>0</v>
      </c>
      <c r="AX1039" s="92">
        <f t="shared" si="737"/>
        <v>0</v>
      </c>
      <c r="AY1039" s="92">
        <f t="shared" si="738"/>
        <v>0</v>
      </c>
      <c r="AZ1039" s="92">
        <f t="shared" si="739"/>
        <v>0</v>
      </c>
      <c r="BA1039" s="115">
        <f t="shared" si="740"/>
        <v>0</v>
      </c>
      <c r="BB1039" s="92">
        <f t="shared" si="765"/>
        <v>0</v>
      </c>
      <c r="BC1039" s="92">
        <f t="shared" si="741"/>
        <v>0</v>
      </c>
      <c r="BD1039" s="92">
        <f t="shared" si="742"/>
        <v>0</v>
      </c>
      <c r="BE1039" s="92">
        <f t="shared" si="743"/>
        <v>0</v>
      </c>
      <c r="BF1039" s="92">
        <f t="shared" si="744"/>
        <v>0</v>
      </c>
      <c r="BG1039" s="92">
        <f t="shared" si="745"/>
        <v>0</v>
      </c>
      <c r="BH1039" s="92">
        <f t="shared" si="746"/>
        <v>0</v>
      </c>
      <c r="BI1039" s="145">
        <f t="shared" si="747"/>
        <v>20180327</v>
      </c>
      <c r="BJ1039" s="12" t="str">
        <f t="shared" si="748"/>
        <v>9999</v>
      </c>
      <c r="BK1039" s="92">
        <v>0</v>
      </c>
      <c r="BL1039" s="92">
        <v>0</v>
      </c>
      <c r="BM1039">
        <f t="shared" si="749"/>
        <v>0</v>
      </c>
      <c r="BN1039">
        <f t="shared" si="750"/>
        <v>0</v>
      </c>
      <c r="BO1039">
        <f t="shared" si="751"/>
        <v>0</v>
      </c>
      <c r="BP1039">
        <f t="shared" si="752"/>
        <v>0</v>
      </c>
      <c r="BQ1039">
        <f t="shared" si="753"/>
        <v>0</v>
      </c>
      <c r="BR1039">
        <f t="shared" si="754"/>
        <v>0</v>
      </c>
      <c r="BS1039">
        <f t="shared" si="755"/>
        <v>0</v>
      </c>
      <c r="BT1039">
        <f t="shared" si="756"/>
        <v>0</v>
      </c>
      <c r="BU1039">
        <f t="shared" si="757"/>
        <v>1</v>
      </c>
      <c r="BV1039">
        <f t="shared" si="758"/>
        <v>0</v>
      </c>
    </row>
    <row r="1040" spans="1:74" x14ac:dyDescent="0.25">
      <c r="B1040" s="3"/>
      <c r="C1040" s="3"/>
      <c r="D1040" s="3"/>
      <c r="E1040" s="3"/>
      <c r="F1040" s="159"/>
      <c r="G1040" s="160"/>
      <c r="H1040" s="126"/>
      <c r="I1040" s="159"/>
      <c r="J1040" s="159"/>
      <c r="K1040" s="159"/>
      <c r="L1040" s="159"/>
      <c r="M1040" s="159"/>
      <c r="N1040" s="159"/>
      <c r="O1040" s="159"/>
      <c r="P1040" s="159"/>
      <c r="Q1040" s="159"/>
      <c r="R1040" s="159"/>
      <c r="S1040" s="159"/>
      <c r="T1040" s="159"/>
      <c r="U1040" s="126"/>
      <c r="V1040" s="126"/>
      <c r="W1040" s="38"/>
      <c r="X1040" s="38"/>
      <c r="Y1040" s="126"/>
      <c r="Z1040" s="126"/>
      <c r="AA1040" s="126"/>
      <c r="AB1040" s="126"/>
      <c r="AC1040" s="126"/>
      <c r="AD1040" s="126"/>
      <c r="AE1040" s="126"/>
      <c r="AF1040" s="126"/>
      <c r="AG1040" s="126"/>
      <c r="AH1040" s="126"/>
      <c r="AI1040" s="126"/>
      <c r="AJ1040" s="126"/>
      <c r="AK1040" s="126"/>
      <c r="AL1040" s="126"/>
      <c r="AM1040" s="126"/>
      <c r="AN1040" s="126"/>
      <c r="AO1040" s="141"/>
      <c r="AP1040" s="141"/>
      <c r="AQ1040" s="141"/>
      <c r="AR1040" s="141"/>
      <c r="AS1040" s="126"/>
      <c r="AT1040" s="126"/>
      <c r="AU1040" s="126"/>
      <c r="AV1040" s="126"/>
      <c r="AW1040" s="126"/>
      <c r="AX1040" s="126"/>
      <c r="AY1040" s="126"/>
      <c r="AZ1040" s="126"/>
      <c r="BA1040" s="126"/>
      <c r="BB1040" s="126"/>
      <c r="BC1040" s="126"/>
      <c r="BD1040" s="126"/>
      <c r="BE1040" s="126"/>
      <c r="BF1040" s="126"/>
      <c r="BG1040" s="126"/>
      <c r="BH1040" s="126"/>
      <c r="BI1040" s="161"/>
      <c r="BJ1040" s="3"/>
      <c r="BK1040" s="126"/>
      <c r="BL1040" s="126"/>
    </row>
    <row r="1041" spans="1:64" x14ac:dyDescent="0.25">
      <c r="A1041" t="s">
        <v>173</v>
      </c>
      <c r="B1041" s="3" t="s">
        <v>992</v>
      </c>
      <c r="C1041" s="3"/>
      <c r="D1041" s="3"/>
      <c r="E1041" s="3"/>
      <c r="F1041" s="159"/>
      <c r="G1041" s="160"/>
      <c r="H1041" s="126"/>
      <c r="I1041" s="159"/>
      <c r="J1041" s="159"/>
      <c r="K1041" s="159"/>
      <c r="L1041" s="159"/>
      <c r="M1041" s="159"/>
      <c r="N1041" s="159"/>
      <c r="O1041" s="159"/>
      <c r="P1041" s="159"/>
      <c r="Q1041" s="159"/>
      <c r="R1041" s="159"/>
      <c r="S1041" s="159"/>
      <c r="T1041" s="159"/>
      <c r="U1041" s="126"/>
      <c r="V1041" s="126"/>
      <c r="W1041" s="38"/>
      <c r="X1041" s="38"/>
      <c r="Y1041" s="126"/>
      <c r="Z1041" s="126"/>
      <c r="AA1041" s="126"/>
      <c r="AB1041" s="126"/>
      <c r="AC1041" s="126"/>
      <c r="AD1041" s="126"/>
      <c r="AE1041" s="126"/>
      <c r="AF1041" s="126"/>
      <c r="AG1041" s="126"/>
      <c r="AH1041" s="126"/>
      <c r="AI1041" s="126"/>
      <c r="AJ1041" s="126"/>
      <c r="AK1041" s="126"/>
      <c r="AL1041" s="126"/>
      <c r="AM1041" s="126"/>
      <c r="AN1041" s="126"/>
      <c r="AO1041" s="141"/>
      <c r="AP1041" s="141"/>
      <c r="AQ1041" s="141"/>
      <c r="AR1041" s="141"/>
      <c r="AS1041" s="126"/>
      <c r="AT1041" s="126"/>
      <c r="AU1041" s="126"/>
      <c r="AV1041" s="126"/>
      <c r="AW1041" s="126"/>
      <c r="AX1041" s="126"/>
      <c r="AY1041" s="126"/>
      <c r="AZ1041" s="126"/>
      <c r="BA1041" s="126"/>
      <c r="BB1041" s="126"/>
      <c r="BC1041" s="126"/>
      <c r="BD1041" s="126"/>
      <c r="BE1041" s="126"/>
      <c r="BF1041" s="126"/>
      <c r="BG1041" s="126"/>
      <c r="BH1041" s="126"/>
      <c r="BI1041" s="161"/>
      <c r="BJ1041" s="3"/>
      <c r="BK1041" s="126"/>
      <c r="BL1041" s="126"/>
    </row>
    <row r="1042" spans="1:64" x14ac:dyDescent="0.25">
      <c r="A1042" s="57" t="s">
        <v>124</v>
      </c>
      <c r="B1042" s="57" t="s">
        <v>980</v>
      </c>
      <c r="C1042" s="3"/>
      <c r="D1042" s="3"/>
      <c r="E1042" s="3"/>
      <c r="F1042" s="159"/>
      <c r="G1042" s="160"/>
      <c r="H1042" s="126"/>
      <c r="I1042" s="159"/>
      <c r="J1042" s="159"/>
      <c r="K1042" s="159"/>
      <c r="L1042" s="159"/>
      <c r="M1042" s="159"/>
      <c r="N1042" s="159"/>
      <c r="O1042" s="159"/>
      <c r="P1042" s="159"/>
      <c r="Q1042" s="159"/>
      <c r="R1042" s="159"/>
      <c r="S1042" s="159"/>
      <c r="T1042" s="159"/>
      <c r="U1042" s="126"/>
      <c r="V1042" s="126"/>
      <c r="W1042" s="38"/>
      <c r="X1042" s="38"/>
      <c r="Y1042" s="126"/>
      <c r="Z1042" s="126"/>
      <c r="AA1042" s="126"/>
      <c r="AB1042" s="126"/>
      <c r="AC1042" s="126"/>
      <c r="AD1042" s="126"/>
      <c r="AE1042" s="126"/>
      <c r="AF1042" s="126"/>
      <c r="AG1042" s="126"/>
      <c r="AH1042" s="126"/>
      <c r="AI1042" s="126"/>
      <c r="AJ1042" s="126"/>
      <c r="AK1042" s="126"/>
      <c r="AL1042" s="126"/>
      <c r="AM1042" s="126"/>
      <c r="AN1042" s="126"/>
      <c r="AO1042" s="141"/>
      <c r="AP1042" s="141"/>
      <c r="AQ1042" s="141"/>
      <c r="AR1042" s="141"/>
      <c r="AS1042" s="126"/>
      <c r="AT1042" s="126"/>
      <c r="AU1042" s="126"/>
      <c r="AV1042" s="126"/>
      <c r="AW1042" s="126"/>
      <c r="AX1042" s="126"/>
      <c r="AY1042" s="126"/>
      <c r="AZ1042" s="126"/>
      <c r="BA1042" s="126"/>
      <c r="BB1042" s="126"/>
      <c r="BC1042" s="126"/>
      <c r="BD1042" s="126"/>
      <c r="BE1042" s="126"/>
      <c r="BF1042" s="126"/>
      <c r="BG1042" s="126"/>
      <c r="BH1042" s="126"/>
      <c r="BI1042" s="161"/>
      <c r="BJ1042" s="3"/>
      <c r="BK1042" s="126"/>
      <c r="BL1042" s="126"/>
    </row>
    <row r="1043" spans="1:64" x14ac:dyDescent="0.25">
      <c r="A1043" t="s">
        <v>306</v>
      </c>
      <c r="B1043" s="719" t="s">
        <v>1374</v>
      </c>
      <c r="C1043" s="720"/>
      <c r="D1043" s="720"/>
      <c r="E1043" s="720"/>
      <c r="F1043" s="720"/>
      <c r="G1043" s="720"/>
      <c r="H1043" s="720"/>
      <c r="I1043" s="720"/>
      <c r="J1043" s="720"/>
      <c r="K1043" s="720"/>
      <c r="L1043" s="720"/>
      <c r="M1043" s="719"/>
      <c r="N1043" s="720"/>
      <c r="O1043" s="720"/>
      <c r="P1043" s="720"/>
      <c r="Q1043" s="720"/>
      <c r="R1043" s="159"/>
      <c r="S1043" s="159"/>
      <c r="T1043" s="159"/>
      <c r="U1043" s="126"/>
      <c r="V1043" s="126"/>
      <c r="W1043" s="38"/>
      <c r="X1043" s="38"/>
      <c r="Y1043" s="126"/>
      <c r="Z1043" s="126"/>
      <c r="AA1043" s="126"/>
      <c r="AB1043" s="126"/>
      <c r="AC1043" s="126"/>
      <c r="AD1043" s="126"/>
      <c r="AE1043" s="126"/>
      <c r="AF1043" s="126"/>
      <c r="AG1043" s="126"/>
      <c r="AH1043" s="126"/>
      <c r="AI1043" s="126"/>
      <c r="AJ1043" s="126"/>
      <c r="AK1043" s="126"/>
      <c r="AL1043" s="126"/>
      <c r="AM1043" s="126"/>
      <c r="AN1043" s="126"/>
      <c r="AO1043" s="141"/>
      <c r="AP1043" s="141"/>
      <c r="AQ1043" s="141"/>
      <c r="AR1043" s="141"/>
      <c r="AS1043" s="126"/>
      <c r="AT1043" s="126"/>
      <c r="AU1043" s="126"/>
      <c r="AV1043" s="126"/>
      <c r="AW1043" s="126"/>
      <c r="AX1043" s="126"/>
      <c r="AY1043" s="126"/>
      <c r="AZ1043" s="126"/>
      <c r="BA1043" s="126"/>
      <c r="BB1043" s="126"/>
      <c r="BC1043" s="126"/>
      <c r="BD1043" s="126"/>
      <c r="BE1043" s="126"/>
      <c r="BF1043" s="126"/>
      <c r="BG1043" s="126"/>
      <c r="BH1043" s="126"/>
      <c r="BI1043" s="161"/>
      <c r="BJ1043" s="3"/>
      <c r="BK1043" s="126"/>
      <c r="BL1043" s="126"/>
    </row>
    <row r="1044" spans="1:64" x14ac:dyDescent="0.25">
      <c r="A1044" t="s">
        <v>1371</v>
      </c>
      <c r="B1044" s="92" t="s">
        <v>112</v>
      </c>
      <c r="C1044" s="92" t="s">
        <v>998</v>
      </c>
      <c r="D1044" s="92" t="s">
        <v>999</v>
      </c>
      <c r="E1044" s="92" t="s">
        <v>1000</v>
      </c>
      <c r="F1044" s="92" t="s">
        <v>1001</v>
      </c>
      <c r="G1044" s="92" t="s">
        <v>1001</v>
      </c>
      <c r="H1044" s="92" t="s">
        <v>1002</v>
      </c>
      <c r="I1044" s="92" t="s">
        <v>1003</v>
      </c>
      <c r="J1044" s="92" t="s">
        <v>1004</v>
      </c>
      <c r="K1044" s="92" t="s">
        <v>1005</v>
      </c>
      <c r="L1044" s="92" t="s">
        <v>1006</v>
      </c>
      <c r="M1044" s="99" t="s">
        <v>1007</v>
      </c>
      <c r="N1044" s="92" t="s">
        <v>1008</v>
      </c>
      <c r="O1044" s="92" t="s">
        <v>1009</v>
      </c>
      <c r="P1044" s="98" t="s">
        <v>841</v>
      </c>
      <c r="Q1044" s="92" t="s">
        <v>842</v>
      </c>
      <c r="R1044" s="92" t="s">
        <v>840</v>
      </c>
      <c r="S1044" s="126"/>
      <c r="T1044" s="126"/>
      <c r="U1044" s="38"/>
      <c r="V1044" s="38"/>
      <c r="W1044" s="126"/>
      <c r="X1044" s="126"/>
      <c r="Y1044" s="126"/>
      <c r="Z1044" s="126"/>
      <c r="AA1044" s="126"/>
      <c r="AB1044" s="126"/>
      <c r="AC1044" s="126"/>
      <c r="AD1044" s="126"/>
      <c r="AE1044" s="126"/>
      <c r="AF1044" s="126"/>
      <c r="AG1044" s="126"/>
      <c r="AH1044" s="126"/>
      <c r="AI1044" s="126"/>
      <c r="AJ1044" s="126"/>
      <c r="AK1044" s="126"/>
      <c r="AL1044" s="126"/>
      <c r="AM1044" s="141"/>
      <c r="AN1044" s="141"/>
      <c r="AO1044" s="141"/>
      <c r="AP1044" s="141"/>
      <c r="AQ1044" s="126"/>
      <c r="AR1044" s="126"/>
      <c r="AS1044" s="126"/>
      <c r="AT1044" s="126"/>
      <c r="AU1044" s="126"/>
      <c r="AV1044" s="126"/>
      <c r="AW1044" s="126"/>
      <c r="AX1044" s="126"/>
      <c r="AY1044" s="126"/>
      <c r="AZ1044" s="126"/>
      <c r="BA1044" s="126"/>
      <c r="BB1044" s="126"/>
      <c r="BC1044" s="126"/>
      <c r="BD1044" s="126"/>
      <c r="BE1044" s="126"/>
      <c r="BF1044" s="126"/>
      <c r="BG1044" s="161"/>
      <c r="BH1044" s="3"/>
      <c r="BI1044" s="126"/>
      <c r="BJ1044" s="126"/>
    </row>
    <row r="1045" spans="1:64" x14ac:dyDescent="0.25">
      <c r="B1045" s="92" t="s">
        <v>25</v>
      </c>
      <c r="C1045" s="92" t="s">
        <v>149</v>
      </c>
      <c r="D1045" s="92" t="s">
        <v>26</v>
      </c>
      <c r="E1045" s="92" t="s">
        <v>27</v>
      </c>
      <c r="F1045" s="92" t="s">
        <v>1806</v>
      </c>
      <c r="G1045" s="92" t="s">
        <v>1809</v>
      </c>
      <c r="H1045" s="92" t="s">
        <v>28</v>
      </c>
      <c r="I1045" s="92" t="s">
        <v>995</v>
      </c>
      <c r="J1045" s="92" t="s">
        <v>996</v>
      </c>
      <c r="K1045" s="92" t="s">
        <v>997</v>
      </c>
      <c r="L1045" s="92" t="s">
        <v>691</v>
      </c>
      <c r="M1045" s="99" t="s">
        <v>375</v>
      </c>
      <c r="N1045" s="92" t="s">
        <v>690</v>
      </c>
      <c r="O1045" s="92" t="s">
        <v>32</v>
      </c>
      <c r="P1045" s="98" t="s">
        <v>22</v>
      </c>
      <c r="Q1045" s="92" t="s">
        <v>23</v>
      </c>
      <c r="R1045" s="92" t="s">
        <v>24</v>
      </c>
      <c r="S1045" s="126"/>
      <c r="T1045" s="126"/>
      <c r="U1045" s="38"/>
      <c r="V1045" s="38"/>
      <c r="W1045" s="126"/>
      <c r="X1045" s="126"/>
      <c r="Y1045" s="126"/>
      <c r="Z1045" s="126"/>
      <c r="AA1045" s="126"/>
      <c r="AB1045" s="126"/>
      <c r="AC1045" s="126"/>
      <c r="AD1045" s="126"/>
      <c r="AE1045" s="126"/>
      <c r="AF1045" s="126"/>
      <c r="AG1045" s="126"/>
      <c r="AH1045" s="126"/>
      <c r="AI1045" s="126"/>
      <c r="AJ1045" s="126"/>
      <c r="AK1045" s="126"/>
      <c r="AL1045" s="126"/>
      <c r="AM1045" s="141"/>
      <c r="AN1045" s="141"/>
      <c r="AO1045" s="141"/>
      <c r="AP1045" s="141"/>
      <c r="AQ1045" s="126"/>
      <c r="AR1045" s="126"/>
      <c r="AS1045" s="126"/>
      <c r="AT1045" s="126"/>
      <c r="AU1045" s="126"/>
      <c r="AV1045" s="126"/>
      <c r="AW1045" s="126"/>
      <c r="AX1045" s="126"/>
      <c r="AY1045" s="126"/>
      <c r="AZ1045" s="126"/>
      <c r="BA1045" s="126"/>
      <c r="BB1045" s="126"/>
      <c r="BC1045" s="126"/>
      <c r="BD1045" s="126"/>
      <c r="BE1045" s="126"/>
      <c r="BF1045" s="126"/>
      <c r="BG1045" s="161"/>
      <c r="BH1045" s="3"/>
      <c r="BI1045" s="126"/>
      <c r="BJ1045" s="126"/>
    </row>
    <row r="1046" spans="1:64" x14ac:dyDescent="0.25">
      <c r="A1046" t="str">
        <f t="shared" ref="A1046:A1065" si="776">IF(H1046=0,"comment","")</f>
        <v/>
      </c>
      <c r="B1046" s="12" t="str">
        <f>$B$5</f>
        <v>6001</v>
      </c>
      <c r="C1046" s="12" t="str">
        <f>$C$5</f>
        <v>B00101</v>
      </c>
      <c r="D1046" s="109" t="str">
        <f>G1017</f>
        <v>SR807</v>
      </c>
      <c r="E1046" s="92">
        <v>1</v>
      </c>
      <c r="F1046" s="50">
        <v>0</v>
      </c>
      <c r="G1046" s="50">
        <f>IF(F1046=0,2,3)</f>
        <v>2</v>
      </c>
      <c r="H1046" s="50">
        <f t="shared" ref="H1046:H1088" si="777">IF(F1046=0,SUMPRODUCT(($C$1017:$C$1039=C1046)*($G$1017:$G$1039=D1046)*($H$1017:$H$1039=E1046)*($J$1017:$J$1039)),SUMPRODUCT(($C$1017:$C$1039=C1046)*($G$1017:$G$1039=D1046)*($H$1017:$H$1039=E1046)*($K$1017:$K$1039)))</f>
        <v>15</v>
      </c>
      <c r="I1046" s="50">
        <f t="shared" ref="I1046:I1088" si="778" xml:space="preserve"> VLOOKUP(D1046,$C$230:$E$242,2,FALSE)</f>
        <v>6150</v>
      </c>
      <c r="J1046" s="50">
        <f t="shared" ref="J1046:J1088" si="779" xml:space="preserve"> VLOOKUP(D1046,$C$230:$E$242,3,FALSE)</f>
        <v>6155</v>
      </c>
      <c r="K1046" s="50">
        <f t="shared" ref="K1046:K1083" si="780">IF(F1046=0,SUMPRODUCT(($C$1017:$C$1039=C1046)*($G$1017:$G$1039=D1046)*($H$1017:$H$1039=E1046)*($AO$1017:$AO$1039)),SUMPRODUCT(($C$1017:$C$1039=C1046)*($G$1017:$G$1039=D1046)*($H$1017:$H$1039=E1046)*($AP$1017:$AP$1039)))</f>
        <v>-51750</v>
      </c>
      <c r="L1046" s="50">
        <f t="shared" ref="L1046:L1083" si="781">IF(F1046=0,SUMPRODUCT(($C$1017:$C$1039=C1046)*($G$1017:$G$1039=D1046)*($H$1017:$H$1039=E1046)*($AQ$1017:$AQ$1039)),SUMPRODUCT(($C$1017:$C$1039=C1046)*($G$1017:$G$1039=D1046)*($H$1017:$H$1039=E1046)*($AR$1017:$AR$1039)))</f>
        <v>-51750</v>
      </c>
      <c r="M1046" s="162">
        <f t="shared" ref="M1046:M1083" si="782">IF(F1046=0,SUMPRODUCT(($C$1017:$C$1039=C1046)*($G$1017:$G$1039=D1046)*($H$1017:$H$1039=E1046)*($L$1017:$L$1039)),SUMPRODUCT(($C$1017:$C$1039=C1046)*($G$1017:$G$1039=D1046)*($H$1017:$H$1039=E1046)*($M$1017:$M$1039)))</f>
        <v>0</v>
      </c>
      <c r="N1046" s="50">
        <f t="shared" ref="N1046:N1083" si="783">IF(F1046=0,SUMPRODUCT(($C$1017:$C$1039=C1046)*($G$1017:$G$1039=D1046)*($H$1017:$H$1039=E1046)*($N$1017:$N$1039)),SUMPRODUCT(($C$1017:$C$1039=C1046)*($G$1017:$G$1039=D1046)*($H$1017:$H$1039=E1046)*($O$1017:$O$1039)))</f>
        <v>0</v>
      </c>
      <c r="O1046" s="50">
        <f t="shared" ref="O1046:O1088" si="784" xml:space="preserve"> VLOOKUP(D1046,$C$19:$L$31,3,FALSE)</f>
        <v>10</v>
      </c>
      <c r="P1046" s="92">
        <f>$B$2</f>
        <v>20180327</v>
      </c>
      <c r="Q1046" s="92" t="str">
        <f>$F$5</f>
        <v>9999</v>
      </c>
      <c r="R1046" s="12" t="str">
        <f>$B$19</f>
        <v>CZCE</v>
      </c>
      <c r="S1046" s="126"/>
      <c r="T1046" s="126"/>
      <c r="U1046" s="38"/>
      <c r="V1046" s="38"/>
      <c r="W1046" s="126"/>
      <c r="X1046" s="126"/>
      <c r="Y1046" s="126"/>
      <c r="Z1046" s="126"/>
      <c r="AA1046" s="126"/>
      <c r="AB1046" s="126"/>
      <c r="AC1046" s="126"/>
      <c r="AD1046" s="126"/>
      <c r="AE1046" s="126"/>
      <c r="AF1046" s="126"/>
      <c r="AG1046" s="126"/>
      <c r="AH1046" s="126"/>
      <c r="AI1046" s="126"/>
      <c r="AJ1046" s="126"/>
      <c r="AK1046" s="126"/>
      <c r="AL1046" s="126"/>
      <c r="AM1046" s="141"/>
      <c r="AN1046" s="141"/>
      <c r="AO1046" s="141"/>
      <c r="AP1046" s="141"/>
      <c r="AQ1046" s="126"/>
      <c r="AR1046" s="126"/>
      <c r="AS1046" s="126"/>
      <c r="AT1046" s="126"/>
      <c r="AU1046" s="126"/>
      <c r="AV1046" s="126"/>
      <c r="AW1046" s="126"/>
      <c r="AX1046" s="126"/>
      <c r="AY1046" s="126"/>
      <c r="AZ1046" s="126"/>
      <c r="BA1046" s="126"/>
      <c r="BB1046" s="126"/>
      <c r="BC1046" s="126"/>
      <c r="BD1046" s="126"/>
      <c r="BE1046" s="126"/>
      <c r="BF1046" s="126"/>
      <c r="BG1046" s="161"/>
      <c r="BH1046" s="3"/>
      <c r="BI1046" s="126"/>
      <c r="BJ1046" s="126"/>
    </row>
    <row r="1047" spans="1:64" x14ac:dyDescent="0.25">
      <c r="A1047" t="str">
        <f t="shared" si="776"/>
        <v/>
      </c>
      <c r="B1047" s="12" t="str">
        <f t="shared" ref="B1047:B1088" si="785">$B$5</f>
        <v>6001</v>
      </c>
      <c r="C1047" s="12" t="str">
        <f t="shared" ref="C1047:C1088" si="786">$C$5</f>
        <v>B00101</v>
      </c>
      <c r="D1047" s="109" t="str">
        <f>D1046</f>
        <v>SR807</v>
      </c>
      <c r="E1047" s="92">
        <v>1</v>
      </c>
      <c r="F1047" s="50">
        <v>1</v>
      </c>
      <c r="G1047" s="50">
        <f t="shared" ref="G1047:G1088" si="787">IF(F1047=0,2,3)</f>
        <v>3</v>
      </c>
      <c r="H1047" s="50">
        <f t="shared" si="777"/>
        <v>13</v>
      </c>
      <c r="I1047" s="50">
        <f t="shared" si="778"/>
        <v>6150</v>
      </c>
      <c r="J1047" s="50">
        <f t="shared" si="779"/>
        <v>6155</v>
      </c>
      <c r="K1047" s="50">
        <f t="shared" si="780"/>
        <v>4350</v>
      </c>
      <c r="L1047" s="50">
        <f t="shared" si="781"/>
        <v>11080</v>
      </c>
      <c r="M1047" s="162">
        <f t="shared" si="782"/>
        <v>40195.800000000003</v>
      </c>
      <c r="N1047" s="50">
        <f t="shared" si="783"/>
        <v>32181.3</v>
      </c>
      <c r="O1047" s="50">
        <f t="shared" si="784"/>
        <v>10</v>
      </c>
      <c r="P1047" s="92">
        <f t="shared" ref="P1047:P1088" si="788">$B$2</f>
        <v>20180327</v>
      </c>
      <c r="Q1047" s="92" t="str">
        <f t="shared" ref="Q1047:Q1088" si="789">$F$5</f>
        <v>9999</v>
      </c>
      <c r="R1047" s="12" t="str">
        <f t="shared" ref="R1047:R1088" si="790">$B$19</f>
        <v>CZCE</v>
      </c>
      <c r="S1047" s="126"/>
      <c r="T1047" s="126"/>
      <c r="U1047" s="38"/>
      <c r="V1047" s="38"/>
      <c r="W1047" s="126"/>
      <c r="X1047" s="126"/>
      <c r="Y1047" s="126"/>
      <c r="Z1047" s="126"/>
      <c r="AA1047" s="126"/>
      <c r="AB1047" s="126"/>
      <c r="AC1047" s="126"/>
      <c r="AD1047" s="126"/>
      <c r="AE1047" s="126"/>
      <c r="AF1047" s="126"/>
      <c r="AG1047" s="126"/>
      <c r="AH1047" s="126"/>
      <c r="AI1047" s="126"/>
      <c r="AJ1047" s="126"/>
      <c r="AK1047" s="126"/>
      <c r="AL1047" s="126"/>
      <c r="AM1047" s="141"/>
      <c r="AN1047" s="141"/>
      <c r="AO1047" s="141"/>
      <c r="AP1047" s="141"/>
      <c r="AQ1047" s="126"/>
      <c r="AR1047" s="126"/>
      <c r="AS1047" s="126"/>
      <c r="AT1047" s="126"/>
      <c r="AU1047" s="126"/>
      <c r="AV1047" s="126"/>
      <c r="AW1047" s="126"/>
      <c r="AX1047" s="126"/>
      <c r="AY1047" s="126"/>
      <c r="AZ1047" s="126"/>
      <c r="BA1047" s="126"/>
      <c r="BB1047" s="126"/>
      <c r="BC1047" s="126"/>
      <c r="BD1047" s="126"/>
      <c r="BE1047" s="126"/>
      <c r="BF1047" s="126"/>
      <c r="BG1047" s="161"/>
      <c r="BH1047" s="3"/>
      <c r="BI1047" s="126"/>
      <c r="BJ1047" s="126"/>
    </row>
    <row r="1048" spans="1:64" x14ac:dyDescent="0.25">
      <c r="A1048" t="str">
        <f t="shared" si="776"/>
        <v/>
      </c>
      <c r="B1048" s="12" t="str">
        <f t="shared" si="785"/>
        <v>6001</v>
      </c>
      <c r="C1048" s="12" t="str">
        <f t="shared" si="786"/>
        <v>B00101</v>
      </c>
      <c r="D1048" s="109" t="str">
        <f>D1046</f>
        <v>SR807</v>
      </c>
      <c r="E1048" s="92">
        <v>3</v>
      </c>
      <c r="F1048" s="50">
        <v>0</v>
      </c>
      <c r="G1048" s="50">
        <f t="shared" si="787"/>
        <v>2</v>
      </c>
      <c r="H1048" s="50">
        <f t="shared" si="777"/>
        <v>5</v>
      </c>
      <c r="I1048" s="50">
        <f t="shared" si="778"/>
        <v>6150</v>
      </c>
      <c r="J1048" s="50">
        <f t="shared" si="779"/>
        <v>6155</v>
      </c>
      <c r="K1048" s="50">
        <f t="shared" si="780"/>
        <v>1770</v>
      </c>
      <c r="L1048" s="50">
        <f t="shared" si="781"/>
        <v>-1730</v>
      </c>
      <c r="M1048" s="162">
        <f t="shared" si="782"/>
        <v>0</v>
      </c>
      <c r="N1048" s="50">
        <f t="shared" si="783"/>
        <v>0</v>
      </c>
      <c r="O1048" s="50">
        <f t="shared" si="784"/>
        <v>10</v>
      </c>
      <c r="P1048" s="92">
        <f t="shared" si="788"/>
        <v>20180327</v>
      </c>
      <c r="Q1048" s="92" t="str">
        <f t="shared" si="789"/>
        <v>9999</v>
      </c>
      <c r="R1048" s="12" t="str">
        <f t="shared" si="790"/>
        <v>CZCE</v>
      </c>
      <c r="S1048" s="126"/>
      <c r="T1048" s="126"/>
      <c r="U1048" s="38"/>
      <c r="V1048" s="38"/>
      <c r="W1048" s="126"/>
      <c r="X1048" s="126"/>
      <c r="Y1048" s="126"/>
      <c r="Z1048" s="126"/>
      <c r="AA1048" s="126"/>
      <c r="AB1048" s="126"/>
      <c r="AC1048" s="126"/>
      <c r="AD1048" s="126"/>
      <c r="AE1048" s="126"/>
      <c r="AF1048" s="126"/>
      <c r="AG1048" s="126"/>
      <c r="AH1048" s="126"/>
      <c r="AI1048" s="126"/>
      <c r="AJ1048" s="126"/>
      <c r="AK1048" s="126"/>
      <c r="AL1048" s="126"/>
      <c r="AM1048" s="141"/>
      <c r="AN1048" s="141"/>
      <c r="AO1048" s="141"/>
      <c r="AP1048" s="141"/>
      <c r="AQ1048" s="126"/>
      <c r="AR1048" s="126"/>
      <c r="AS1048" s="126"/>
      <c r="AT1048" s="126"/>
      <c r="AU1048" s="126"/>
      <c r="AV1048" s="126"/>
      <c r="AW1048" s="126"/>
      <c r="AX1048" s="126"/>
      <c r="AY1048" s="126"/>
      <c r="AZ1048" s="126"/>
      <c r="BA1048" s="126"/>
      <c r="BB1048" s="126"/>
      <c r="BC1048" s="126"/>
      <c r="BD1048" s="126"/>
      <c r="BE1048" s="126"/>
      <c r="BF1048" s="126"/>
      <c r="BG1048" s="161"/>
      <c r="BH1048" s="3"/>
      <c r="BI1048" s="126"/>
      <c r="BJ1048" s="126"/>
    </row>
    <row r="1049" spans="1:64" x14ac:dyDescent="0.25">
      <c r="A1049" t="str">
        <f t="shared" si="776"/>
        <v/>
      </c>
      <c r="B1049" s="12" t="str">
        <f t="shared" si="785"/>
        <v>6001</v>
      </c>
      <c r="C1049" s="12" t="str">
        <f t="shared" si="786"/>
        <v>B00101</v>
      </c>
      <c r="D1049" s="109" t="str">
        <f>D1048</f>
        <v>SR807</v>
      </c>
      <c r="E1049" s="92">
        <v>3</v>
      </c>
      <c r="F1049" s="50">
        <v>1</v>
      </c>
      <c r="G1049" s="50">
        <f t="shared" si="787"/>
        <v>3</v>
      </c>
      <c r="H1049" s="50">
        <f t="shared" si="777"/>
        <v>21</v>
      </c>
      <c r="I1049" s="50">
        <f t="shared" si="778"/>
        <v>6150</v>
      </c>
      <c r="J1049" s="50">
        <f t="shared" si="779"/>
        <v>6155</v>
      </c>
      <c r="K1049" s="50">
        <f t="shared" si="780"/>
        <v>33950</v>
      </c>
      <c r="L1049" s="50">
        <f t="shared" si="781"/>
        <v>36500</v>
      </c>
      <c r="M1049" s="162">
        <f t="shared" si="782"/>
        <v>58814.1</v>
      </c>
      <c r="N1049" s="50">
        <f t="shared" si="783"/>
        <v>47717.1</v>
      </c>
      <c r="O1049" s="50">
        <f t="shared" si="784"/>
        <v>10</v>
      </c>
      <c r="P1049" s="92">
        <f t="shared" si="788"/>
        <v>20180327</v>
      </c>
      <c r="Q1049" s="92" t="str">
        <f t="shared" si="789"/>
        <v>9999</v>
      </c>
      <c r="R1049" s="12" t="str">
        <f t="shared" si="790"/>
        <v>CZCE</v>
      </c>
      <c r="S1049" s="126"/>
      <c r="T1049" s="126"/>
      <c r="U1049" s="38"/>
      <c r="V1049" s="38"/>
      <c r="W1049" s="126"/>
      <c r="X1049" s="126"/>
      <c r="Y1049" s="126"/>
      <c r="Z1049" s="126"/>
      <c r="AA1049" s="126"/>
      <c r="AB1049" s="126"/>
      <c r="AC1049" s="126"/>
      <c r="AD1049" s="126"/>
      <c r="AE1049" s="126"/>
      <c r="AF1049" s="126"/>
      <c r="AG1049" s="126"/>
      <c r="AH1049" s="126"/>
      <c r="AI1049" s="126"/>
      <c r="AJ1049" s="126"/>
      <c r="AK1049" s="126"/>
      <c r="AL1049" s="126"/>
      <c r="AM1049" s="141"/>
      <c r="AN1049" s="141"/>
      <c r="AO1049" s="141"/>
      <c r="AP1049" s="141"/>
      <c r="AQ1049" s="126"/>
      <c r="AR1049" s="126"/>
      <c r="AS1049" s="126"/>
      <c r="AT1049" s="126"/>
      <c r="AU1049" s="126"/>
      <c r="AV1049" s="126"/>
      <c r="AW1049" s="126"/>
      <c r="AX1049" s="126"/>
      <c r="AY1049" s="126"/>
      <c r="AZ1049" s="126"/>
      <c r="BA1049" s="126"/>
      <c r="BB1049" s="126"/>
      <c r="BC1049" s="126"/>
      <c r="BD1049" s="126"/>
      <c r="BE1049" s="126"/>
      <c r="BF1049" s="126"/>
      <c r="BG1049" s="161"/>
      <c r="BH1049" s="3"/>
      <c r="BI1049" s="126"/>
      <c r="BJ1049" s="126"/>
    </row>
    <row r="1050" spans="1:64" x14ac:dyDescent="0.25">
      <c r="A1050" t="str">
        <f t="shared" si="776"/>
        <v>comment</v>
      </c>
      <c r="B1050" s="12" t="str">
        <f t="shared" si="785"/>
        <v>6001</v>
      </c>
      <c r="C1050" s="12" t="str">
        <f t="shared" si="786"/>
        <v>B00101</v>
      </c>
      <c r="D1050" s="109" t="str">
        <f>G1019</f>
        <v>SR809</v>
      </c>
      <c r="E1050" s="92">
        <v>1</v>
      </c>
      <c r="F1050" s="50">
        <v>0</v>
      </c>
      <c r="G1050" s="50">
        <f t="shared" si="787"/>
        <v>2</v>
      </c>
      <c r="H1050" s="50">
        <f t="shared" si="777"/>
        <v>0</v>
      </c>
      <c r="I1050" s="50">
        <f t="shared" si="778"/>
        <v>6155</v>
      </c>
      <c r="J1050" s="50">
        <f t="shared" si="779"/>
        <v>6156</v>
      </c>
      <c r="K1050" s="50">
        <f t="shared" si="780"/>
        <v>0</v>
      </c>
      <c r="L1050" s="50">
        <f t="shared" si="781"/>
        <v>0</v>
      </c>
      <c r="M1050" s="162">
        <f t="shared" si="782"/>
        <v>0</v>
      </c>
      <c r="N1050" s="50">
        <f t="shared" si="783"/>
        <v>0</v>
      </c>
      <c r="O1050" s="50">
        <f t="shared" si="784"/>
        <v>10</v>
      </c>
      <c r="P1050" s="92">
        <f t="shared" si="788"/>
        <v>20180327</v>
      </c>
      <c r="Q1050" s="92" t="str">
        <f t="shared" si="789"/>
        <v>9999</v>
      </c>
      <c r="R1050" s="12" t="str">
        <f t="shared" si="790"/>
        <v>CZCE</v>
      </c>
      <c r="S1050" s="126"/>
      <c r="T1050" s="126"/>
      <c r="U1050" s="38"/>
      <c r="V1050" s="38"/>
      <c r="W1050" s="126"/>
      <c r="X1050" s="126"/>
      <c r="Y1050" s="126"/>
      <c r="Z1050" s="126"/>
      <c r="AA1050" s="126"/>
      <c r="AB1050" s="126"/>
      <c r="AC1050" s="126"/>
      <c r="AD1050" s="126"/>
      <c r="AE1050" s="126"/>
      <c r="AF1050" s="126"/>
      <c r="AG1050" s="126"/>
      <c r="AH1050" s="126"/>
      <c r="AI1050" s="126"/>
      <c r="AJ1050" s="126"/>
      <c r="AK1050" s="126"/>
      <c r="AL1050" s="126"/>
      <c r="AM1050" s="141"/>
      <c r="AN1050" s="141"/>
      <c r="AO1050" s="141"/>
      <c r="AP1050" s="141"/>
      <c r="AQ1050" s="126"/>
      <c r="AR1050" s="126"/>
      <c r="AS1050" s="126"/>
      <c r="AT1050" s="126"/>
      <c r="AU1050" s="126"/>
      <c r="AV1050" s="126"/>
      <c r="AW1050" s="126"/>
      <c r="AX1050" s="126"/>
      <c r="AY1050" s="126"/>
      <c r="AZ1050" s="126"/>
      <c r="BA1050" s="126"/>
      <c r="BB1050" s="126"/>
      <c r="BC1050" s="126"/>
      <c r="BD1050" s="126"/>
      <c r="BE1050" s="126"/>
      <c r="BF1050" s="126"/>
      <c r="BG1050" s="161"/>
      <c r="BH1050" s="3"/>
      <c r="BI1050" s="126"/>
      <c r="BJ1050" s="126"/>
    </row>
    <row r="1051" spans="1:64" x14ac:dyDescent="0.25">
      <c r="A1051" t="str">
        <f t="shared" si="776"/>
        <v/>
      </c>
      <c r="B1051" s="12" t="str">
        <f t="shared" si="785"/>
        <v>6001</v>
      </c>
      <c r="C1051" s="12" t="str">
        <f t="shared" si="786"/>
        <v>B00101</v>
      </c>
      <c r="D1051" s="109" t="str">
        <f>D1050</f>
        <v>SR809</v>
      </c>
      <c r="E1051" s="92">
        <v>1</v>
      </c>
      <c r="F1051" s="50">
        <v>1</v>
      </c>
      <c r="G1051" s="50">
        <f t="shared" si="787"/>
        <v>3</v>
      </c>
      <c r="H1051" s="50">
        <f t="shared" si="777"/>
        <v>4</v>
      </c>
      <c r="I1051" s="50">
        <f t="shared" si="778"/>
        <v>6155</v>
      </c>
      <c r="J1051" s="50">
        <f t="shared" si="779"/>
        <v>6156</v>
      </c>
      <c r="K1051" s="50">
        <f t="shared" si="780"/>
        <v>8860</v>
      </c>
      <c r="L1051" s="50">
        <f t="shared" si="781"/>
        <v>8040</v>
      </c>
      <c r="M1051" s="162">
        <f t="shared" si="782"/>
        <v>12578.64</v>
      </c>
      <c r="N1051" s="50">
        <f t="shared" si="783"/>
        <v>10112.24</v>
      </c>
      <c r="O1051" s="50">
        <f t="shared" si="784"/>
        <v>10</v>
      </c>
      <c r="P1051" s="92">
        <f t="shared" si="788"/>
        <v>20180327</v>
      </c>
      <c r="Q1051" s="92" t="str">
        <f t="shared" si="789"/>
        <v>9999</v>
      </c>
      <c r="R1051" s="12" t="str">
        <f t="shared" si="790"/>
        <v>CZCE</v>
      </c>
      <c r="S1051" s="126"/>
      <c r="T1051" s="126"/>
      <c r="U1051" s="38"/>
      <c r="V1051" s="38"/>
      <c r="W1051" s="126"/>
      <c r="X1051" s="126"/>
      <c r="Y1051" s="126"/>
      <c r="Z1051" s="126"/>
      <c r="AA1051" s="126"/>
      <c r="AB1051" s="126"/>
      <c r="AC1051" s="126"/>
      <c r="AD1051" s="126"/>
      <c r="AE1051" s="126"/>
      <c r="AF1051" s="126"/>
      <c r="AG1051" s="126"/>
      <c r="AH1051" s="126"/>
      <c r="AI1051" s="126"/>
      <c r="AJ1051" s="126"/>
      <c r="AK1051" s="126"/>
      <c r="AL1051" s="126"/>
      <c r="AM1051" s="141"/>
      <c r="AN1051" s="141"/>
      <c r="AO1051" s="141"/>
      <c r="AP1051" s="141"/>
      <c r="AQ1051" s="126"/>
      <c r="AR1051" s="126"/>
      <c r="AS1051" s="126"/>
      <c r="AT1051" s="126"/>
      <c r="AU1051" s="126"/>
      <c r="AV1051" s="126"/>
      <c r="AW1051" s="126"/>
      <c r="AX1051" s="126"/>
      <c r="AY1051" s="126"/>
      <c r="AZ1051" s="126"/>
      <c r="BA1051" s="126"/>
      <c r="BB1051" s="126"/>
      <c r="BC1051" s="126"/>
      <c r="BD1051" s="126"/>
      <c r="BE1051" s="126"/>
      <c r="BF1051" s="126"/>
      <c r="BG1051" s="161"/>
      <c r="BH1051" s="3"/>
      <c r="BI1051" s="126"/>
      <c r="BJ1051" s="126"/>
    </row>
    <row r="1052" spans="1:64" x14ac:dyDescent="0.25">
      <c r="A1052" t="str">
        <f t="shared" si="776"/>
        <v>comment</v>
      </c>
      <c r="B1052" s="12" t="str">
        <f t="shared" si="785"/>
        <v>6001</v>
      </c>
      <c r="C1052" s="12" t="str">
        <f t="shared" si="786"/>
        <v>B00101</v>
      </c>
      <c r="D1052" s="109" t="str">
        <f>D1050</f>
        <v>SR809</v>
      </c>
      <c r="E1052" s="92">
        <v>3</v>
      </c>
      <c r="F1052" s="50">
        <v>0</v>
      </c>
      <c r="G1052" s="50">
        <f t="shared" si="787"/>
        <v>2</v>
      </c>
      <c r="H1052" s="50">
        <f t="shared" si="777"/>
        <v>0</v>
      </c>
      <c r="I1052" s="50">
        <f t="shared" si="778"/>
        <v>6155</v>
      </c>
      <c r="J1052" s="50">
        <f t="shared" si="779"/>
        <v>6156</v>
      </c>
      <c r="K1052" s="50">
        <f t="shared" si="780"/>
        <v>0</v>
      </c>
      <c r="L1052" s="50">
        <f t="shared" si="781"/>
        <v>0</v>
      </c>
      <c r="M1052" s="162">
        <f t="shared" si="782"/>
        <v>0</v>
      </c>
      <c r="N1052" s="50">
        <f t="shared" si="783"/>
        <v>0</v>
      </c>
      <c r="O1052" s="50">
        <f t="shared" si="784"/>
        <v>10</v>
      </c>
      <c r="P1052" s="92">
        <f t="shared" si="788"/>
        <v>20180327</v>
      </c>
      <c r="Q1052" s="92" t="str">
        <f t="shared" si="789"/>
        <v>9999</v>
      </c>
      <c r="R1052" s="12" t="str">
        <f t="shared" si="790"/>
        <v>CZCE</v>
      </c>
      <c r="S1052" s="126"/>
      <c r="T1052" s="126"/>
      <c r="U1052" s="38"/>
      <c r="V1052" s="38"/>
      <c r="W1052" s="126"/>
      <c r="X1052" s="126"/>
      <c r="Y1052" s="126"/>
      <c r="Z1052" s="126"/>
      <c r="AA1052" s="126"/>
      <c r="AB1052" s="126"/>
      <c r="AC1052" s="126"/>
      <c r="AD1052" s="126"/>
      <c r="AE1052" s="126"/>
      <c r="AF1052" s="126"/>
      <c r="AG1052" s="126"/>
      <c r="AH1052" s="126"/>
      <c r="AI1052" s="126"/>
      <c r="AJ1052" s="126"/>
      <c r="AK1052" s="126"/>
      <c r="AL1052" s="126"/>
      <c r="AM1052" s="141"/>
      <c r="AN1052" s="141"/>
      <c r="AO1052" s="141"/>
      <c r="AP1052" s="141"/>
      <c r="AQ1052" s="126"/>
      <c r="AR1052" s="126"/>
      <c r="AS1052" s="126"/>
      <c r="AT1052" s="126"/>
      <c r="AU1052" s="126"/>
      <c r="AV1052" s="126"/>
      <c r="AW1052" s="126"/>
      <c r="AX1052" s="126"/>
      <c r="AY1052" s="126"/>
      <c r="AZ1052" s="126"/>
      <c r="BA1052" s="126"/>
      <c r="BB1052" s="126"/>
      <c r="BC1052" s="126"/>
      <c r="BD1052" s="126"/>
      <c r="BE1052" s="126"/>
      <c r="BF1052" s="126"/>
      <c r="BG1052" s="161"/>
      <c r="BH1052" s="3"/>
      <c r="BI1052" s="126"/>
      <c r="BJ1052" s="126"/>
    </row>
    <row r="1053" spans="1:64" x14ac:dyDescent="0.25">
      <c r="A1053" t="str">
        <f t="shared" si="776"/>
        <v>comment</v>
      </c>
      <c r="B1053" s="12" t="str">
        <f t="shared" si="785"/>
        <v>6001</v>
      </c>
      <c r="C1053" s="12" t="str">
        <f t="shared" si="786"/>
        <v>B00101</v>
      </c>
      <c r="D1053" s="109" t="str">
        <f>D1050</f>
        <v>SR809</v>
      </c>
      <c r="E1053" s="92">
        <v>3</v>
      </c>
      <c r="F1053" s="50">
        <v>1</v>
      </c>
      <c r="G1053" s="50">
        <f t="shared" si="787"/>
        <v>3</v>
      </c>
      <c r="H1053" s="50">
        <f t="shared" si="777"/>
        <v>0</v>
      </c>
      <c r="I1053" s="50">
        <f t="shared" si="778"/>
        <v>6155</v>
      </c>
      <c r="J1053" s="50">
        <f t="shared" si="779"/>
        <v>6156</v>
      </c>
      <c r="K1053" s="50">
        <f t="shared" si="780"/>
        <v>0</v>
      </c>
      <c r="L1053" s="50">
        <f t="shared" si="781"/>
        <v>0</v>
      </c>
      <c r="M1053" s="162">
        <f t="shared" si="782"/>
        <v>0</v>
      </c>
      <c r="N1053" s="50">
        <f t="shared" si="783"/>
        <v>0</v>
      </c>
      <c r="O1053" s="50">
        <f t="shared" si="784"/>
        <v>10</v>
      </c>
      <c r="P1053" s="92">
        <f t="shared" si="788"/>
        <v>20180327</v>
      </c>
      <c r="Q1053" s="92" t="str">
        <f t="shared" si="789"/>
        <v>9999</v>
      </c>
      <c r="R1053" s="12" t="str">
        <f t="shared" si="790"/>
        <v>CZCE</v>
      </c>
      <c r="S1053" s="126"/>
      <c r="T1053" s="126"/>
      <c r="U1053" s="38"/>
      <c r="V1053" s="38"/>
      <c r="W1053" s="126"/>
      <c r="X1053" s="126"/>
      <c r="Y1053" s="126"/>
      <c r="Z1053" s="126"/>
      <c r="AA1053" s="126"/>
      <c r="AB1053" s="126"/>
      <c r="AC1053" s="126"/>
      <c r="AD1053" s="126"/>
      <c r="AE1053" s="126"/>
      <c r="AF1053" s="126"/>
      <c r="AG1053" s="126"/>
      <c r="AH1053" s="126"/>
      <c r="AI1053" s="126"/>
      <c r="AJ1053" s="126"/>
      <c r="AK1053" s="126"/>
      <c r="AL1053" s="126"/>
      <c r="AM1053" s="141"/>
      <c r="AN1053" s="141"/>
      <c r="AO1053" s="141"/>
      <c r="AP1053" s="141"/>
      <c r="AQ1053" s="126"/>
      <c r="AR1053" s="126"/>
      <c r="AS1053" s="126"/>
      <c r="AT1053" s="126"/>
      <c r="AU1053" s="126"/>
      <c r="AV1053" s="126"/>
      <c r="AW1053" s="126"/>
      <c r="AX1053" s="126"/>
      <c r="AY1053" s="126"/>
      <c r="AZ1053" s="126"/>
      <c r="BA1053" s="126"/>
      <c r="BB1053" s="126"/>
      <c r="BC1053" s="126"/>
      <c r="BD1053" s="126"/>
      <c r="BE1053" s="126"/>
      <c r="BF1053" s="126"/>
      <c r="BG1053" s="161"/>
      <c r="BH1053" s="3"/>
      <c r="BI1053" s="126"/>
      <c r="BJ1053" s="126"/>
    </row>
    <row r="1054" spans="1:64" x14ac:dyDescent="0.25">
      <c r="A1054" t="str">
        <f t="shared" si="776"/>
        <v/>
      </c>
      <c r="B1054" s="12" t="str">
        <f t="shared" si="785"/>
        <v>6001</v>
      </c>
      <c r="C1054" s="12" t="str">
        <f t="shared" si="786"/>
        <v>B00101</v>
      </c>
      <c r="D1054" s="109" t="str">
        <f>G1021</f>
        <v>OI811</v>
      </c>
      <c r="E1054" s="92">
        <v>1</v>
      </c>
      <c r="F1054" s="50">
        <v>0</v>
      </c>
      <c r="G1054" s="50">
        <f t="shared" si="787"/>
        <v>2</v>
      </c>
      <c r="H1054" s="50">
        <f t="shared" si="777"/>
        <v>2</v>
      </c>
      <c r="I1054" s="50">
        <f t="shared" si="778"/>
        <v>6160</v>
      </c>
      <c r="J1054" s="50">
        <f t="shared" si="779"/>
        <v>6165</v>
      </c>
      <c r="K1054" s="50">
        <f t="shared" si="780"/>
        <v>100</v>
      </c>
      <c r="L1054" s="50">
        <f t="shared" si="781"/>
        <v>960</v>
      </c>
      <c r="M1054" s="162">
        <f t="shared" si="782"/>
        <v>0</v>
      </c>
      <c r="N1054" s="50">
        <f t="shared" si="783"/>
        <v>0</v>
      </c>
      <c r="O1054" s="50">
        <f t="shared" si="784"/>
        <v>10</v>
      </c>
      <c r="P1054" s="92">
        <f t="shared" si="788"/>
        <v>20180327</v>
      </c>
      <c r="Q1054" s="92" t="str">
        <f t="shared" si="789"/>
        <v>9999</v>
      </c>
      <c r="R1054" s="12" t="str">
        <f t="shared" si="790"/>
        <v>CZCE</v>
      </c>
      <c r="S1054" s="126"/>
      <c r="T1054" s="126"/>
      <c r="U1054" s="38"/>
      <c r="V1054" s="38"/>
      <c r="W1054" s="126"/>
      <c r="X1054" s="126"/>
      <c r="Y1054" s="126"/>
      <c r="Z1054" s="126"/>
      <c r="AA1054" s="126"/>
      <c r="AB1054" s="126"/>
      <c r="AC1054" s="126"/>
      <c r="AD1054" s="126"/>
      <c r="AE1054" s="126"/>
      <c r="AF1054" s="126"/>
      <c r="AG1054" s="126"/>
      <c r="AH1054" s="126"/>
      <c r="AI1054" s="126"/>
      <c r="AJ1054" s="126"/>
      <c r="AK1054" s="126"/>
      <c r="AL1054" s="126"/>
      <c r="AM1054" s="141"/>
      <c r="AN1054" s="141"/>
      <c r="AO1054" s="141"/>
      <c r="AP1054" s="141"/>
      <c r="AQ1054" s="126"/>
      <c r="AR1054" s="126"/>
      <c r="AS1054" s="126"/>
      <c r="AT1054" s="126"/>
      <c r="AU1054" s="126"/>
      <c r="AV1054" s="126"/>
      <c r="AW1054" s="126"/>
      <c r="AX1054" s="126"/>
      <c r="AY1054" s="126"/>
      <c r="AZ1054" s="126"/>
      <c r="BA1054" s="126"/>
      <c r="BB1054" s="126"/>
      <c r="BC1054" s="126"/>
      <c r="BD1054" s="126"/>
      <c r="BE1054" s="126"/>
      <c r="BF1054" s="126"/>
      <c r="BG1054" s="161"/>
      <c r="BH1054" s="3"/>
      <c r="BI1054" s="126"/>
      <c r="BJ1054" s="126"/>
    </row>
    <row r="1055" spans="1:64" x14ac:dyDescent="0.25">
      <c r="A1055" t="str">
        <f t="shared" si="776"/>
        <v/>
      </c>
      <c r="B1055" s="12" t="str">
        <f t="shared" si="785"/>
        <v>6001</v>
      </c>
      <c r="C1055" s="12" t="str">
        <f t="shared" si="786"/>
        <v>B00101</v>
      </c>
      <c r="D1055" s="109" t="str">
        <f>D1054</f>
        <v>OI811</v>
      </c>
      <c r="E1055" s="92">
        <v>1</v>
      </c>
      <c r="F1055" s="50">
        <v>1</v>
      </c>
      <c r="G1055" s="50">
        <f t="shared" si="787"/>
        <v>3</v>
      </c>
      <c r="H1055" s="50">
        <f t="shared" si="777"/>
        <v>2</v>
      </c>
      <c r="I1055" s="50">
        <f t="shared" si="778"/>
        <v>6160</v>
      </c>
      <c r="J1055" s="50">
        <f t="shared" si="779"/>
        <v>6165</v>
      </c>
      <c r="K1055" s="50">
        <f t="shared" si="780"/>
        <v>-100</v>
      </c>
      <c r="L1055" s="50">
        <f t="shared" si="781"/>
        <v>-980</v>
      </c>
      <c r="M1055" s="162">
        <f t="shared" si="782"/>
        <v>6298.5</v>
      </c>
      <c r="N1055" s="50">
        <f t="shared" si="783"/>
        <v>5063.5</v>
      </c>
      <c r="O1055" s="50">
        <f t="shared" si="784"/>
        <v>10</v>
      </c>
      <c r="P1055" s="92">
        <f t="shared" si="788"/>
        <v>20180327</v>
      </c>
      <c r="Q1055" s="92" t="str">
        <f t="shared" si="789"/>
        <v>9999</v>
      </c>
      <c r="R1055" s="12" t="str">
        <f t="shared" si="790"/>
        <v>CZCE</v>
      </c>
      <c r="S1055" s="126"/>
      <c r="T1055" s="126"/>
      <c r="U1055" s="38"/>
      <c r="V1055" s="38"/>
      <c r="W1055" s="126"/>
      <c r="X1055" s="126"/>
      <c r="Y1055" s="126"/>
      <c r="Z1055" s="126"/>
      <c r="AA1055" s="126"/>
      <c r="AB1055" s="126"/>
      <c r="AC1055" s="126"/>
      <c r="AD1055" s="126"/>
      <c r="AE1055" s="126"/>
      <c r="AF1055" s="126"/>
      <c r="AG1055" s="126"/>
      <c r="AH1055" s="126"/>
      <c r="AI1055" s="126"/>
      <c r="AJ1055" s="126"/>
      <c r="AK1055" s="126"/>
      <c r="AL1055" s="126"/>
      <c r="AM1055" s="141"/>
      <c r="AN1055" s="141"/>
      <c r="AO1055" s="141"/>
      <c r="AP1055" s="141"/>
      <c r="AQ1055" s="126"/>
      <c r="AR1055" s="126"/>
      <c r="AS1055" s="126"/>
      <c r="AT1055" s="126"/>
      <c r="AU1055" s="126"/>
      <c r="AV1055" s="126"/>
      <c r="AW1055" s="126"/>
      <c r="AX1055" s="126"/>
      <c r="AY1055" s="126"/>
      <c r="AZ1055" s="126"/>
      <c r="BA1055" s="126"/>
      <c r="BB1055" s="126"/>
      <c r="BC1055" s="126"/>
      <c r="BD1055" s="126"/>
      <c r="BE1055" s="126"/>
      <c r="BF1055" s="126"/>
      <c r="BG1055" s="161"/>
      <c r="BH1055" s="3"/>
      <c r="BI1055" s="126"/>
      <c r="BJ1055" s="126"/>
    </row>
    <row r="1056" spans="1:64" x14ac:dyDescent="0.25">
      <c r="A1056" t="str">
        <f t="shared" si="776"/>
        <v>comment</v>
      </c>
      <c r="B1056" s="12" t="str">
        <f t="shared" si="785"/>
        <v>6001</v>
      </c>
      <c r="C1056" s="12" t="str">
        <f t="shared" si="786"/>
        <v>B00101</v>
      </c>
      <c r="D1056" s="109" t="str">
        <f>D1054</f>
        <v>OI811</v>
      </c>
      <c r="E1056" s="92">
        <v>3</v>
      </c>
      <c r="F1056" s="50">
        <v>0</v>
      </c>
      <c r="G1056" s="50">
        <f t="shared" si="787"/>
        <v>2</v>
      </c>
      <c r="H1056" s="50">
        <f t="shared" si="777"/>
        <v>0</v>
      </c>
      <c r="I1056" s="50">
        <f t="shared" si="778"/>
        <v>6160</v>
      </c>
      <c r="J1056" s="50">
        <f t="shared" si="779"/>
        <v>6165</v>
      </c>
      <c r="K1056" s="50">
        <f t="shared" si="780"/>
        <v>0</v>
      </c>
      <c r="L1056" s="50">
        <f t="shared" si="781"/>
        <v>0</v>
      </c>
      <c r="M1056" s="162">
        <f t="shared" si="782"/>
        <v>0</v>
      </c>
      <c r="N1056" s="50">
        <f t="shared" si="783"/>
        <v>0</v>
      </c>
      <c r="O1056" s="50">
        <f t="shared" si="784"/>
        <v>10</v>
      </c>
      <c r="P1056" s="92">
        <f t="shared" si="788"/>
        <v>20180327</v>
      </c>
      <c r="Q1056" s="92" t="str">
        <f t="shared" si="789"/>
        <v>9999</v>
      </c>
      <c r="R1056" s="12" t="str">
        <f t="shared" si="790"/>
        <v>CZCE</v>
      </c>
      <c r="S1056" s="126"/>
      <c r="T1056" s="126"/>
      <c r="U1056" s="38"/>
      <c r="V1056" s="38"/>
      <c r="W1056" s="126"/>
      <c r="X1056" s="126"/>
      <c r="Y1056" s="126"/>
      <c r="Z1056" s="126"/>
      <c r="AA1056" s="126"/>
      <c r="AB1056" s="126"/>
      <c r="AC1056" s="126"/>
      <c r="AD1056" s="126"/>
      <c r="AE1056" s="126"/>
      <c r="AF1056" s="126"/>
      <c r="AG1056" s="126"/>
      <c r="AH1056" s="126"/>
      <c r="AI1056" s="126"/>
      <c r="AJ1056" s="126"/>
      <c r="AK1056" s="126"/>
      <c r="AL1056" s="126"/>
      <c r="AM1056" s="141"/>
      <c r="AN1056" s="141"/>
      <c r="AO1056" s="141"/>
      <c r="AP1056" s="141"/>
      <c r="AQ1056" s="126"/>
      <c r="AR1056" s="126"/>
      <c r="AS1056" s="126"/>
      <c r="AT1056" s="126"/>
      <c r="AU1056" s="126"/>
      <c r="AV1056" s="126"/>
      <c r="AW1056" s="126"/>
      <c r="AX1056" s="126"/>
      <c r="AY1056" s="126"/>
      <c r="AZ1056" s="126"/>
      <c r="BA1056" s="126"/>
      <c r="BB1056" s="126"/>
      <c r="BC1056" s="126"/>
      <c r="BD1056" s="126"/>
      <c r="BE1056" s="126"/>
      <c r="BF1056" s="126"/>
      <c r="BG1056" s="161"/>
      <c r="BH1056" s="3"/>
      <c r="BI1056" s="126"/>
      <c r="BJ1056" s="126"/>
    </row>
    <row r="1057" spans="1:62" x14ac:dyDescent="0.25">
      <c r="A1057" t="str">
        <f t="shared" si="776"/>
        <v>comment</v>
      </c>
      <c r="B1057" s="12" t="str">
        <f t="shared" si="785"/>
        <v>6001</v>
      </c>
      <c r="C1057" s="12" t="str">
        <f t="shared" si="786"/>
        <v>B00101</v>
      </c>
      <c r="D1057" s="109" t="str">
        <f>D1054</f>
        <v>OI811</v>
      </c>
      <c r="E1057" s="92">
        <v>3</v>
      </c>
      <c r="F1057" s="50">
        <v>1</v>
      </c>
      <c r="G1057" s="50">
        <f t="shared" si="787"/>
        <v>3</v>
      </c>
      <c r="H1057" s="50">
        <f t="shared" si="777"/>
        <v>0</v>
      </c>
      <c r="I1057" s="50">
        <f t="shared" si="778"/>
        <v>6160</v>
      </c>
      <c r="J1057" s="50">
        <f t="shared" si="779"/>
        <v>6165</v>
      </c>
      <c r="K1057" s="50">
        <f t="shared" si="780"/>
        <v>0</v>
      </c>
      <c r="L1057" s="50">
        <f t="shared" si="781"/>
        <v>0</v>
      </c>
      <c r="M1057" s="162">
        <f t="shared" si="782"/>
        <v>0</v>
      </c>
      <c r="N1057" s="50">
        <f t="shared" si="783"/>
        <v>0</v>
      </c>
      <c r="O1057" s="50">
        <f t="shared" si="784"/>
        <v>10</v>
      </c>
      <c r="P1057" s="92">
        <f t="shared" si="788"/>
        <v>20180327</v>
      </c>
      <c r="Q1057" s="92" t="str">
        <f t="shared" si="789"/>
        <v>9999</v>
      </c>
      <c r="R1057" s="12" t="str">
        <f t="shared" si="790"/>
        <v>CZCE</v>
      </c>
      <c r="S1057" s="126"/>
      <c r="T1057" s="126"/>
      <c r="U1057" s="38"/>
      <c r="V1057" s="38"/>
      <c r="W1057" s="126"/>
      <c r="X1057" s="126"/>
      <c r="Y1057" s="126"/>
      <c r="Z1057" s="126"/>
      <c r="AA1057" s="126"/>
      <c r="AB1057" s="126"/>
      <c r="AC1057" s="126"/>
      <c r="AD1057" s="126"/>
      <c r="AE1057" s="126"/>
      <c r="AF1057" s="126"/>
      <c r="AG1057" s="126"/>
      <c r="AH1057" s="126"/>
      <c r="AI1057" s="126"/>
      <c r="AJ1057" s="126"/>
      <c r="AK1057" s="126"/>
      <c r="AL1057" s="126"/>
      <c r="AM1057" s="141"/>
      <c r="AN1057" s="141"/>
      <c r="AO1057" s="141"/>
      <c r="AP1057" s="141"/>
      <c r="AQ1057" s="126"/>
      <c r="AR1057" s="126"/>
      <c r="AS1057" s="126"/>
      <c r="AT1057" s="126"/>
      <c r="AU1057" s="126"/>
      <c r="AV1057" s="126"/>
      <c r="AW1057" s="126"/>
      <c r="AX1057" s="126"/>
      <c r="AY1057" s="126"/>
      <c r="AZ1057" s="126"/>
      <c r="BA1057" s="126"/>
      <c r="BB1057" s="126"/>
      <c r="BC1057" s="126"/>
      <c r="BD1057" s="126"/>
      <c r="BE1057" s="126"/>
      <c r="BF1057" s="126"/>
      <c r="BG1057" s="161"/>
      <c r="BH1057" s="3"/>
      <c r="BI1057" s="126"/>
      <c r="BJ1057" s="126"/>
    </row>
    <row r="1058" spans="1:62" x14ac:dyDescent="0.25">
      <c r="A1058" t="str">
        <f t="shared" si="776"/>
        <v/>
      </c>
      <c r="B1058" s="12" t="str">
        <f t="shared" si="785"/>
        <v>6001</v>
      </c>
      <c r="C1058" s="12" t="str">
        <f>$C$6</f>
        <v>B00102</v>
      </c>
      <c r="D1058" s="109" t="str">
        <f>G1023</f>
        <v>PTA807</v>
      </c>
      <c r="E1058" s="92">
        <v>1</v>
      </c>
      <c r="F1058" s="50">
        <v>0</v>
      </c>
      <c r="G1058" s="50">
        <f t="shared" si="787"/>
        <v>2</v>
      </c>
      <c r="H1058" s="50">
        <f t="shared" si="777"/>
        <v>9</v>
      </c>
      <c r="I1058" s="50">
        <f t="shared" si="778"/>
        <v>6165</v>
      </c>
      <c r="J1058" s="50">
        <f t="shared" si="779"/>
        <v>6160</v>
      </c>
      <c r="K1058" s="50">
        <f t="shared" si="780"/>
        <v>-750</v>
      </c>
      <c r="L1058" s="50">
        <f t="shared" si="781"/>
        <v>-3200</v>
      </c>
      <c r="M1058" s="162">
        <f t="shared" si="782"/>
        <v>13905</v>
      </c>
      <c r="N1058" s="50">
        <f t="shared" si="783"/>
        <v>11124</v>
      </c>
      <c r="O1058" s="50">
        <f t="shared" si="784"/>
        <v>5</v>
      </c>
      <c r="P1058" s="92">
        <f t="shared" si="788"/>
        <v>20180327</v>
      </c>
      <c r="Q1058" s="92" t="str">
        <f t="shared" si="789"/>
        <v>9999</v>
      </c>
      <c r="R1058" s="12" t="str">
        <f t="shared" si="790"/>
        <v>CZCE</v>
      </c>
      <c r="S1058" s="126"/>
      <c r="T1058" s="126"/>
      <c r="U1058" s="38"/>
      <c r="V1058" s="38"/>
      <c r="W1058" s="126"/>
      <c r="X1058" s="126"/>
      <c r="Y1058" s="126"/>
      <c r="Z1058" s="126"/>
      <c r="AA1058" s="126"/>
      <c r="AB1058" s="126"/>
      <c r="AC1058" s="126"/>
      <c r="AD1058" s="126"/>
      <c r="AE1058" s="126"/>
      <c r="AF1058" s="126"/>
      <c r="AG1058" s="126"/>
      <c r="AH1058" s="126"/>
      <c r="AI1058" s="126"/>
      <c r="AJ1058" s="126"/>
      <c r="AK1058" s="126"/>
      <c r="AL1058" s="126"/>
      <c r="AM1058" s="141"/>
      <c r="AN1058" s="141"/>
      <c r="AO1058" s="141"/>
      <c r="AP1058" s="141"/>
      <c r="AQ1058" s="126"/>
      <c r="AR1058" s="126"/>
      <c r="AS1058" s="126"/>
      <c r="AT1058" s="126"/>
      <c r="AU1058" s="126"/>
      <c r="AV1058" s="126"/>
      <c r="AW1058" s="126"/>
      <c r="AX1058" s="126"/>
      <c r="AY1058" s="126"/>
      <c r="AZ1058" s="126"/>
      <c r="BA1058" s="126"/>
      <c r="BB1058" s="126"/>
      <c r="BC1058" s="126"/>
      <c r="BD1058" s="126"/>
      <c r="BE1058" s="126"/>
      <c r="BF1058" s="126"/>
      <c r="BG1058" s="161"/>
      <c r="BH1058" s="3"/>
      <c r="BI1058" s="126"/>
      <c r="BJ1058" s="126"/>
    </row>
    <row r="1059" spans="1:62" x14ac:dyDescent="0.25">
      <c r="A1059" t="str">
        <f t="shared" si="776"/>
        <v/>
      </c>
      <c r="B1059" s="12" t="str">
        <f t="shared" si="785"/>
        <v>6001</v>
      </c>
      <c r="C1059" s="12" t="str">
        <f t="shared" ref="C1059:C1075" si="791">$C$6</f>
        <v>B00102</v>
      </c>
      <c r="D1059" s="109" t="str">
        <f>D1058</f>
        <v>PTA807</v>
      </c>
      <c r="E1059" s="92">
        <v>1</v>
      </c>
      <c r="F1059" s="50">
        <v>1</v>
      </c>
      <c r="G1059" s="50">
        <f t="shared" si="787"/>
        <v>3</v>
      </c>
      <c r="H1059" s="50">
        <f t="shared" si="777"/>
        <v>3</v>
      </c>
      <c r="I1059" s="50">
        <f t="shared" si="778"/>
        <v>6165</v>
      </c>
      <c r="J1059" s="50">
        <f t="shared" si="779"/>
        <v>6160</v>
      </c>
      <c r="K1059" s="50">
        <f t="shared" si="780"/>
        <v>-250</v>
      </c>
      <c r="L1059" s="50">
        <f t="shared" si="781"/>
        <v>-250</v>
      </c>
      <c r="M1059" s="162">
        <f t="shared" si="782"/>
        <v>3151.7999999999997</v>
      </c>
      <c r="N1059" s="50">
        <f t="shared" si="783"/>
        <v>2533.8000000000002</v>
      </c>
      <c r="O1059" s="50">
        <f t="shared" si="784"/>
        <v>5</v>
      </c>
      <c r="P1059" s="92">
        <f t="shared" si="788"/>
        <v>20180327</v>
      </c>
      <c r="Q1059" s="92" t="str">
        <f t="shared" si="789"/>
        <v>9999</v>
      </c>
      <c r="R1059" s="12" t="str">
        <f t="shared" si="790"/>
        <v>CZCE</v>
      </c>
      <c r="S1059" s="126"/>
      <c r="T1059" s="126"/>
      <c r="U1059" s="38"/>
      <c r="V1059" s="38"/>
      <c r="W1059" s="126"/>
      <c r="X1059" s="126"/>
      <c r="Y1059" s="126"/>
      <c r="Z1059" s="126"/>
      <c r="AA1059" s="126"/>
      <c r="AB1059" s="126"/>
      <c r="AC1059" s="126"/>
      <c r="AD1059" s="126"/>
      <c r="AE1059" s="126"/>
      <c r="AF1059" s="126"/>
      <c r="AG1059" s="126"/>
      <c r="AH1059" s="126"/>
      <c r="AI1059" s="126"/>
      <c r="AJ1059" s="126"/>
      <c r="AK1059" s="126"/>
      <c r="AL1059" s="126"/>
      <c r="AM1059" s="141"/>
      <c r="AN1059" s="141"/>
      <c r="AO1059" s="141"/>
      <c r="AP1059" s="141"/>
      <c r="AQ1059" s="126"/>
      <c r="AR1059" s="126"/>
      <c r="AS1059" s="126"/>
      <c r="AT1059" s="126"/>
      <c r="AU1059" s="126"/>
      <c r="AV1059" s="126"/>
      <c r="AW1059" s="126"/>
      <c r="AX1059" s="126"/>
      <c r="AY1059" s="126"/>
      <c r="AZ1059" s="126"/>
      <c r="BA1059" s="126"/>
      <c r="BB1059" s="126"/>
      <c r="BC1059" s="126"/>
      <c r="BD1059" s="126"/>
      <c r="BE1059" s="126"/>
      <c r="BF1059" s="126"/>
      <c r="BG1059" s="161"/>
      <c r="BH1059" s="3"/>
      <c r="BI1059" s="126"/>
      <c r="BJ1059" s="126"/>
    </row>
    <row r="1060" spans="1:62" x14ac:dyDescent="0.25">
      <c r="A1060" t="str">
        <f t="shared" si="776"/>
        <v/>
      </c>
      <c r="B1060" s="12" t="str">
        <f t="shared" si="785"/>
        <v>6001</v>
      </c>
      <c r="C1060" s="12" t="str">
        <f t="shared" si="791"/>
        <v>B00102</v>
      </c>
      <c r="D1060" s="109" t="str">
        <f>D1058</f>
        <v>PTA807</v>
      </c>
      <c r="E1060" s="92">
        <v>3</v>
      </c>
      <c r="F1060" s="50">
        <v>0</v>
      </c>
      <c r="G1060" s="50">
        <f t="shared" si="787"/>
        <v>2</v>
      </c>
      <c r="H1060" s="50">
        <f t="shared" si="777"/>
        <v>7</v>
      </c>
      <c r="I1060" s="50">
        <f t="shared" si="778"/>
        <v>6165</v>
      </c>
      <c r="J1060" s="50">
        <f t="shared" si="779"/>
        <v>6160</v>
      </c>
      <c r="K1060" s="50">
        <f t="shared" si="780"/>
        <v>-175</v>
      </c>
      <c r="L1060" s="50">
        <f t="shared" si="781"/>
        <v>-8080</v>
      </c>
      <c r="M1060" s="162">
        <f t="shared" si="782"/>
        <v>11247.6</v>
      </c>
      <c r="N1060" s="50">
        <f t="shared" si="783"/>
        <v>9084.6</v>
      </c>
      <c r="O1060" s="50">
        <f t="shared" si="784"/>
        <v>5</v>
      </c>
      <c r="P1060" s="92">
        <f t="shared" si="788"/>
        <v>20180327</v>
      </c>
      <c r="Q1060" s="92" t="str">
        <f t="shared" si="789"/>
        <v>9999</v>
      </c>
      <c r="R1060" s="12" t="str">
        <f t="shared" si="790"/>
        <v>CZCE</v>
      </c>
      <c r="S1060" s="126"/>
      <c r="T1060" s="126"/>
      <c r="U1060" s="38"/>
      <c r="V1060" s="38"/>
      <c r="W1060" s="126"/>
      <c r="X1060" s="126"/>
      <c r="Y1060" s="126"/>
      <c r="Z1060" s="126"/>
      <c r="AA1060" s="126"/>
      <c r="AB1060" s="126"/>
      <c r="AC1060" s="126"/>
      <c r="AD1060" s="126"/>
      <c r="AE1060" s="126"/>
      <c r="AF1060" s="126"/>
      <c r="AG1060" s="126"/>
      <c r="AH1060" s="126"/>
      <c r="AI1060" s="126"/>
      <c r="AJ1060" s="126"/>
      <c r="AK1060" s="126"/>
      <c r="AL1060" s="126"/>
      <c r="AM1060" s="141"/>
      <c r="AN1060" s="141"/>
      <c r="AO1060" s="141"/>
      <c r="AP1060" s="141"/>
      <c r="AQ1060" s="126"/>
      <c r="AR1060" s="126"/>
      <c r="AS1060" s="126"/>
      <c r="AT1060" s="126"/>
      <c r="AU1060" s="126"/>
      <c r="AV1060" s="126"/>
      <c r="AW1060" s="126"/>
      <c r="AX1060" s="126"/>
      <c r="AY1060" s="126"/>
      <c r="AZ1060" s="126"/>
      <c r="BA1060" s="126"/>
      <c r="BB1060" s="126"/>
      <c r="BC1060" s="126"/>
      <c r="BD1060" s="126"/>
      <c r="BE1060" s="126"/>
      <c r="BF1060" s="126"/>
      <c r="BG1060" s="161"/>
      <c r="BH1060" s="3"/>
      <c r="BI1060" s="126"/>
      <c r="BJ1060" s="126"/>
    </row>
    <row r="1061" spans="1:62" x14ac:dyDescent="0.25">
      <c r="A1061" t="str">
        <f t="shared" si="776"/>
        <v/>
      </c>
      <c r="B1061" s="12" t="str">
        <f t="shared" si="785"/>
        <v>6001</v>
      </c>
      <c r="C1061" s="12" t="str">
        <f t="shared" si="791"/>
        <v>B00102</v>
      </c>
      <c r="D1061" s="109" t="str">
        <f>D1058</f>
        <v>PTA807</v>
      </c>
      <c r="E1061" s="92">
        <v>3</v>
      </c>
      <c r="F1061" s="50">
        <v>1</v>
      </c>
      <c r="G1061" s="50">
        <f t="shared" si="787"/>
        <v>3</v>
      </c>
      <c r="H1061" s="50">
        <f t="shared" si="777"/>
        <v>7</v>
      </c>
      <c r="I1061" s="50">
        <f t="shared" si="778"/>
        <v>6165</v>
      </c>
      <c r="J1061" s="50">
        <f t="shared" si="779"/>
        <v>6160</v>
      </c>
      <c r="K1061" s="50">
        <f t="shared" si="780"/>
        <v>-70</v>
      </c>
      <c r="L1061" s="50">
        <f t="shared" si="781"/>
        <v>-1450</v>
      </c>
      <c r="M1061" s="162">
        <f t="shared" si="782"/>
        <v>0</v>
      </c>
      <c r="N1061" s="50">
        <f t="shared" si="783"/>
        <v>0</v>
      </c>
      <c r="O1061" s="50">
        <f t="shared" si="784"/>
        <v>5</v>
      </c>
      <c r="P1061" s="92">
        <f t="shared" si="788"/>
        <v>20180327</v>
      </c>
      <c r="Q1061" s="92" t="str">
        <f t="shared" si="789"/>
        <v>9999</v>
      </c>
      <c r="R1061" s="12" t="str">
        <f t="shared" si="790"/>
        <v>CZCE</v>
      </c>
      <c r="S1061" s="126"/>
      <c r="T1061" s="126"/>
      <c r="U1061" s="38"/>
      <c r="V1061" s="38"/>
      <c r="W1061" s="126"/>
      <c r="X1061" s="126"/>
      <c r="Y1061" s="126"/>
      <c r="Z1061" s="126"/>
      <c r="AA1061" s="126"/>
      <c r="AB1061" s="126"/>
      <c r="AC1061" s="126"/>
      <c r="AD1061" s="126"/>
      <c r="AE1061" s="126"/>
      <c r="AF1061" s="126"/>
      <c r="AG1061" s="126"/>
      <c r="AH1061" s="126"/>
      <c r="AI1061" s="126"/>
      <c r="AJ1061" s="126"/>
      <c r="AK1061" s="126"/>
      <c r="AL1061" s="126"/>
      <c r="AM1061" s="141"/>
      <c r="AN1061" s="141"/>
      <c r="AO1061" s="141"/>
      <c r="AP1061" s="141"/>
      <c r="AQ1061" s="126"/>
      <c r="AR1061" s="126"/>
      <c r="AS1061" s="126"/>
      <c r="AT1061" s="126"/>
      <c r="AU1061" s="126"/>
      <c r="AV1061" s="126"/>
      <c r="AW1061" s="126"/>
      <c r="AX1061" s="126"/>
      <c r="AY1061" s="126"/>
      <c r="AZ1061" s="126"/>
      <c r="BA1061" s="126"/>
      <c r="BB1061" s="126"/>
      <c r="BC1061" s="126"/>
      <c r="BD1061" s="126"/>
      <c r="BE1061" s="126"/>
      <c r="BF1061" s="126"/>
      <c r="BG1061" s="161"/>
      <c r="BH1061" s="3"/>
      <c r="BI1061" s="126"/>
      <c r="BJ1061" s="126"/>
    </row>
    <row r="1062" spans="1:62" x14ac:dyDescent="0.25">
      <c r="A1062" t="str">
        <f t="shared" si="776"/>
        <v/>
      </c>
      <c r="B1062" s="12" t="str">
        <f t="shared" si="785"/>
        <v>6001</v>
      </c>
      <c r="C1062" s="12" t="str">
        <f t="shared" si="791"/>
        <v>B00102</v>
      </c>
      <c r="D1062" s="109" t="str">
        <f>G1025</f>
        <v>PTA809</v>
      </c>
      <c r="E1062" s="92">
        <v>1</v>
      </c>
      <c r="F1062" s="50">
        <v>0</v>
      </c>
      <c r="G1062" s="50">
        <f t="shared" si="787"/>
        <v>2</v>
      </c>
      <c r="H1062" s="50">
        <f t="shared" si="777"/>
        <v>2</v>
      </c>
      <c r="I1062" s="50">
        <f t="shared" si="778"/>
        <v>6170</v>
      </c>
      <c r="J1062" s="50">
        <f t="shared" si="779"/>
        <v>6165</v>
      </c>
      <c r="K1062" s="50">
        <f t="shared" si="780"/>
        <v>-50</v>
      </c>
      <c r="L1062" s="50">
        <f t="shared" si="781"/>
        <v>410</v>
      </c>
      <c r="M1062" s="162">
        <f t="shared" si="782"/>
        <v>0</v>
      </c>
      <c r="N1062" s="50">
        <f t="shared" si="783"/>
        <v>0</v>
      </c>
      <c r="O1062" s="50">
        <f t="shared" si="784"/>
        <v>5</v>
      </c>
      <c r="P1062" s="92">
        <f t="shared" si="788"/>
        <v>20180327</v>
      </c>
      <c r="Q1062" s="92" t="str">
        <f t="shared" si="789"/>
        <v>9999</v>
      </c>
      <c r="R1062" s="12" t="str">
        <f t="shared" si="790"/>
        <v>CZCE</v>
      </c>
      <c r="S1062" s="126"/>
      <c r="T1062" s="126"/>
      <c r="U1062" s="38"/>
      <c r="V1062" s="38"/>
      <c r="W1062" s="126"/>
      <c r="X1062" s="126"/>
      <c r="Y1062" s="126"/>
      <c r="Z1062" s="126"/>
      <c r="AA1062" s="126"/>
      <c r="AB1062" s="126"/>
      <c r="AC1062" s="126"/>
      <c r="AD1062" s="126"/>
      <c r="AE1062" s="126"/>
      <c r="AF1062" s="126"/>
      <c r="AG1062" s="126"/>
      <c r="AH1062" s="126"/>
      <c r="AI1062" s="126"/>
      <c r="AJ1062" s="126"/>
      <c r="AK1062" s="126"/>
      <c r="AL1062" s="126"/>
      <c r="AM1062" s="141"/>
      <c r="AN1062" s="141"/>
      <c r="AO1062" s="141"/>
      <c r="AP1062" s="141"/>
      <c r="AQ1062" s="126"/>
      <c r="AR1062" s="126"/>
      <c r="AS1062" s="126"/>
      <c r="AT1062" s="126"/>
      <c r="AU1062" s="126"/>
      <c r="AV1062" s="126"/>
      <c r="AW1062" s="126"/>
      <c r="AX1062" s="126"/>
      <c r="AY1062" s="126"/>
      <c r="AZ1062" s="126"/>
      <c r="BA1062" s="126"/>
      <c r="BB1062" s="126"/>
      <c r="BC1062" s="126"/>
      <c r="BD1062" s="126"/>
      <c r="BE1062" s="126"/>
      <c r="BF1062" s="126"/>
      <c r="BG1062" s="161"/>
      <c r="BH1062" s="3"/>
      <c r="BI1062" s="126"/>
      <c r="BJ1062" s="126"/>
    </row>
    <row r="1063" spans="1:62" x14ac:dyDescent="0.25">
      <c r="A1063" t="str">
        <f t="shared" si="776"/>
        <v>comment</v>
      </c>
      <c r="B1063" s="12" t="str">
        <f t="shared" si="785"/>
        <v>6001</v>
      </c>
      <c r="C1063" s="12" t="str">
        <f t="shared" si="791"/>
        <v>B00102</v>
      </c>
      <c r="D1063" s="109" t="str">
        <f>D1062</f>
        <v>PTA809</v>
      </c>
      <c r="E1063" s="92">
        <v>1</v>
      </c>
      <c r="F1063" s="50">
        <v>1</v>
      </c>
      <c r="G1063" s="50">
        <f t="shared" si="787"/>
        <v>3</v>
      </c>
      <c r="H1063" s="50">
        <f t="shared" si="777"/>
        <v>0</v>
      </c>
      <c r="I1063" s="50">
        <f t="shared" si="778"/>
        <v>6170</v>
      </c>
      <c r="J1063" s="50">
        <f t="shared" si="779"/>
        <v>6165</v>
      </c>
      <c r="K1063" s="50">
        <f t="shared" si="780"/>
        <v>0</v>
      </c>
      <c r="L1063" s="50">
        <f t="shared" si="781"/>
        <v>0</v>
      </c>
      <c r="M1063" s="162">
        <f t="shared" si="782"/>
        <v>0</v>
      </c>
      <c r="N1063" s="50">
        <f t="shared" si="783"/>
        <v>0</v>
      </c>
      <c r="O1063" s="50">
        <f t="shared" si="784"/>
        <v>5</v>
      </c>
      <c r="P1063" s="92">
        <f t="shared" si="788"/>
        <v>20180327</v>
      </c>
      <c r="Q1063" s="92" t="str">
        <f t="shared" si="789"/>
        <v>9999</v>
      </c>
      <c r="R1063" s="12" t="str">
        <f t="shared" si="790"/>
        <v>CZCE</v>
      </c>
      <c r="S1063" s="126"/>
      <c r="T1063" s="126"/>
      <c r="U1063" s="38"/>
      <c r="V1063" s="38"/>
      <c r="W1063" s="126"/>
      <c r="X1063" s="126"/>
      <c r="Y1063" s="126"/>
      <c r="Z1063" s="126"/>
      <c r="AA1063" s="126"/>
      <c r="AB1063" s="126"/>
      <c r="AC1063" s="126"/>
      <c r="AD1063" s="126"/>
      <c r="AE1063" s="126"/>
      <c r="AF1063" s="126"/>
      <c r="AG1063" s="126"/>
      <c r="AH1063" s="126"/>
      <c r="AI1063" s="126"/>
      <c r="AJ1063" s="126"/>
      <c r="AK1063" s="126"/>
      <c r="AL1063" s="126"/>
      <c r="AM1063" s="141"/>
      <c r="AN1063" s="141"/>
      <c r="AO1063" s="141"/>
      <c r="AP1063" s="141"/>
      <c r="AQ1063" s="126"/>
      <c r="AR1063" s="126"/>
      <c r="AS1063" s="126"/>
      <c r="AT1063" s="126"/>
      <c r="AU1063" s="126"/>
      <c r="AV1063" s="126"/>
      <c r="AW1063" s="126"/>
      <c r="AX1063" s="126"/>
      <c r="AY1063" s="126"/>
      <c r="AZ1063" s="126"/>
      <c r="BA1063" s="126"/>
      <c r="BB1063" s="126"/>
      <c r="BC1063" s="126"/>
      <c r="BD1063" s="126"/>
      <c r="BE1063" s="126"/>
      <c r="BF1063" s="126"/>
      <c r="BG1063" s="161"/>
      <c r="BH1063" s="3"/>
      <c r="BI1063" s="126"/>
      <c r="BJ1063" s="126"/>
    </row>
    <row r="1064" spans="1:62" x14ac:dyDescent="0.25">
      <c r="A1064" t="str">
        <f t="shared" si="776"/>
        <v>comment</v>
      </c>
      <c r="B1064" s="12" t="str">
        <f t="shared" si="785"/>
        <v>6001</v>
      </c>
      <c r="C1064" s="12" t="str">
        <f t="shared" si="791"/>
        <v>B00102</v>
      </c>
      <c r="D1064" s="109" t="str">
        <f>D1062</f>
        <v>PTA809</v>
      </c>
      <c r="E1064" s="92">
        <v>3</v>
      </c>
      <c r="F1064" s="50">
        <v>0</v>
      </c>
      <c r="G1064" s="50">
        <f t="shared" si="787"/>
        <v>2</v>
      </c>
      <c r="H1064" s="50">
        <f t="shared" si="777"/>
        <v>0</v>
      </c>
      <c r="I1064" s="50">
        <f t="shared" si="778"/>
        <v>6170</v>
      </c>
      <c r="J1064" s="50">
        <f t="shared" si="779"/>
        <v>6165</v>
      </c>
      <c r="K1064" s="50">
        <f t="shared" si="780"/>
        <v>0</v>
      </c>
      <c r="L1064" s="50">
        <f t="shared" si="781"/>
        <v>0</v>
      </c>
      <c r="M1064" s="162">
        <f t="shared" si="782"/>
        <v>0</v>
      </c>
      <c r="N1064" s="50">
        <f t="shared" si="783"/>
        <v>0</v>
      </c>
      <c r="O1064" s="50">
        <f t="shared" si="784"/>
        <v>5</v>
      </c>
      <c r="P1064" s="92">
        <f t="shared" si="788"/>
        <v>20180327</v>
      </c>
      <c r="Q1064" s="92" t="str">
        <f t="shared" si="789"/>
        <v>9999</v>
      </c>
      <c r="R1064" s="12" t="str">
        <f t="shared" si="790"/>
        <v>CZCE</v>
      </c>
      <c r="S1064" s="126"/>
      <c r="T1064" s="126"/>
      <c r="U1064" s="38"/>
      <c r="V1064" s="38"/>
      <c r="W1064" s="126"/>
      <c r="X1064" s="126"/>
      <c r="Y1064" s="126"/>
      <c r="Z1064" s="126"/>
      <c r="AA1064" s="126"/>
      <c r="AB1064" s="126"/>
      <c r="AC1064" s="126"/>
      <c r="AD1064" s="126"/>
      <c r="AE1064" s="126"/>
      <c r="AF1064" s="126"/>
      <c r="AG1064" s="126"/>
      <c r="AH1064" s="126"/>
      <c r="AI1064" s="126"/>
      <c r="AJ1064" s="126"/>
      <c r="AK1064" s="126"/>
      <c r="AL1064" s="126"/>
      <c r="AM1064" s="141"/>
      <c r="AN1064" s="141"/>
      <c r="AO1064" s="141"/>
      <c r="AP1064" s="141"/>
      <c r="AQ1064" s="126"/>
      <c r="AR1064" s="126"/>
      <c r="AS1064" s="126"/>
      <c r="AT1064" s="126"/>
      <c r="AU1064" s="126"/>
      <c r="AV1064" s="126"/>
      <c r="AW1064" s="126"/>
      <c r="AX1064" s="126"/>
      <c r="AY1064" s="126"/>
      <c r="AZ1064" s="126"/>
      <c r="BA1064" s="126"/>
      <c r="BB1064" s="126"/>
      <c r="BC1064" s="126"/>
      <c r="BD1064" s="126"/>
      <c r="BE1064" s="126"/>
      <c r="BF1064" s="126"/>
      <c r="BG1064" s="161"/>
      <c r="BH1064" s="3"/>
      <c r="BI1064" s="126"/>
      <c r="BJ1064" s="126"/>
    </row>
    <row r="1065" spans="1:62" x14ac:dyDescent="0.25">
      <c r="A1065" t="str">
        <f t="shared" si="776"/>
        <v>comment</v>
      </c>
      <c r="B1065" s="12" t="str">
        <f t="shared" si="785"/>
        <v>6001</v>
      </c>
      <c r="C1065" s="12" t="str">
        <f t="shared" si="791"/>
        <v>B00102</v>
      </c>
      <c r="D1065" s="109" t="str">
        <f>D1062</f>
        <v>PTA809</v>
      </c>
      <c r="E1065" s="92">
        <v>3</v>
      </c>
      <c r="F1065" s="50">
        <v>1</v>
      </c>
      <c r="G1065" s="50">
        <f t="shared" si="787"/>
        <v>3</v>
      </c>
      <c r="H1065" s="50">
        <f t="shared" si="777"/>
        <v>0</v>
      </c>
      <c r="I1065" s="50">
        <f t="shared" si="778"/>
        <v>6170</v>
      </c>
      <c r="J1065" s="50">
        <f t="shared" si="779"/>
        <v>6165</v>
      </c>
      <c r="K1065" s="50">
        <f t="shared" si="780"/>
        <v>0</v>
      </c>
      <c r="L1065" s="50">
        <f t="shared" si="781"/>
        <v>0</v>
      </c>
      <c r="M1065" s="162">
        <f t="shared" si="782"/>
        <v>0</v>
      </c>
      <c r="N1065" s="50">
        <f t="shared" si="783"/>
        <v>0</v>
      </c>
      <c r="O1065" s="50">
        <f t="shared" si="784"/>
        <v>5</v>
      </c>
      <c r="P1065" s="92">
        <f t="shared" si="788"/>
        <v>20180327</v>
      </c>
      <c r="Q1065" s="92" t="str">
        <f t="shared" si="789"/>
        <v>9999</v>
      </c>
      <c r="R1065" s="12" t="str">
        <f t="shared" si="790"/>
        <v>CZCE</v>
      </c>
      <c r="S1065" s="126"/>
      <c r="T1065" s="126"/>
      <c r="U1065" s="38"/>
      <c r="V1065" s="38"/>
      <c r="W1065" s="126"/>
      <c r="X1065" s="126"/>
      <c r="Y1065" s="126"/>
      <c r="Z1065" s="126"/>
      <c r="AA1065" s="126"/>
      <c r="AB1065" s="126"/>
      <c r="AC1065" s="126"/>
      <c r="AD1065" s="126"/>
      <c r="AE1065" s="126"/>
      <c r="AF1065" s="126"/>
      <c r="AG1065" s="126"/>
      <c r="AH1065" s="126"/>
      <c r="AI1065" s="126"/>
      <c r="AJ1065" s="126"/>
      <c r="AK1065" s="126"/>
      <c r="AL1065" s="126"/>
      <c r="AM1065" s="141"/>
      <c r="AN1065" s="141"/>
      <c r="AO1065" s="141"/>
      <c r="AP1065" s="141"/>
      <c r="AQ1065" s="126"/>
      <c r="AR1065" s="126"/>
      <c r="AS1065" s="126"/>
      <c r="AT1065" s="126"/>
      <c r="AU1065" s="126"/>
      <c r="AV1065" s="126"/>
      <c r="AW1065" s="126"/>
      <c r="AX1065" s="126"/>
      <c r="AY1065" s="126"/>
      <c r="AZ1065" s="126"/>
      <c r="BA1065" s="126"/>
      <c r="BB1065" s="126"/>
      <c r="BC1065" s="126"/>
      <c r="BD1065" s="126"/>
      <c r="BE1065" s="126"/>
      <c r="BF1065" s="126"/>
      <c r="BG1065" s="161"/>
      <c r="BH1065" s="3"/>
      <c r="BI1065" s="126"/>
      <c r="BJ1065" s="126"/>
    </row>
    <row r="1066" spans="1:62" x14ac:dyDescent="0.25">
      <c r="A1066" t="str">
        <f t="shared" ref="A1066:A1075" si="792">IF(H1066=0,"comment","")</f>
        <v>comment</v>
      </c>
      <c r="B1066" s="12" t="str">
        <f t="shared" si="785"/>
        <v>6001</v>
      </c>
      <c r="C1066" s="12" t="str">
        <f t="shared" si="791"/>
        <v>B00102</v>
      </c>
      <c r="D1066" s="109" t="str">
        <f>C24</f>
        <v>PTA807C6500</v>
      </c>
      <c r="E1066" s="92">
        <v>1</v>
      </c>
      <c r="F1066" s="50">
        <v>0</v>
      </c>
      <c r="G1066" s="50">
        <f t="shared" si="787"/>
        <v>2</v>
      </c>
      <c r="H1066" s="50">
        <f t="shared" si="777"/>
        <v>0</v>
      </c>
      <c r="I1066" s="50">
        <f t="shared" si="778"/>
        <v>600</v>
      </c>
      <c r="J1066" s="50">
        <f t="shared" si="779"/>
        <v>580</v>
      </c>
      <c r="K1066" s="50">
        <f t="shared" si="780"/>
        <v>0</v>
      </c>
      <c r="L1066" s="50">
        <f t="shared" si="781"/>
        <v>0</v>
      </c>
      <c r="M1066" s="162">
        <f t="shared" si="782"/>
        <v>0</v>
      </c>
      <c r="N1066" s="50">
        <f t="shared" si="783"/>
        <v>0</v>
      </c>
      <c r="O1066" s="50">
        <f t="shared" si="784"/>
        <v>5</v>
      </c>
      <c r="P1066" s="92">
        <f t="shared" si="788"/>
        <v>20180327</v>
      </c>
      <c r="Q1066" s="92" t="str">
        <f t="shared" si="789"/>
        <v>9999</v>
      </c>
      <c r="R1066" s="12" t="str">
        <f t="shared" si="790"/>
        <v>CZCE</v>
      </c>
      <c r="S1066" s="126"/>
      <c r="T1066" s="126"/>
      <c r="U1066" s="38"/>
      <c r="V1066" s="38"/>
      <c r="W1066" s="126"/>
      <c r="X1066" s="126"/>
      <c r="Y1066" s="126"/>
      <c r="Z1066" s="126"/>
      <c r="AA1066" s="126"/>
      <c r="AB1066" s="126"/>
      <c r="AC1066" s="126"/>
      <c r="AD1066" s="126"/>
      <c r="AE1066" s="126"/>
      <c r="AF1066" s="126"/>
      <c r="AG1066" s="126"/>
      <c r="AH1066" s="126"/>
      <c r="AI1066" s="126"/>
      <c r="AJ1066" s="126"/>
      <c r="AK1066" s="126"/>
      <c r="AL1066" s="126"/>
      <c r="AM1066" s="141"/>
      <c r="AN1066" s="141"/>
      <c r="AO1066" s="141"/>
      <c r="AP1066" s="141"/>
      <c r="AQ1066" s="126"/>
      <c r="AR1066" s="126"/>
      <c r="AS1066" s="126"/>
      <c r="AT1066" s="126"/>
      <c r="AU1066" s="126"/>
      <c r="AV1066" s="126"/>
      <c r="AW1066" s="126"/>
      <c r="AX1066" s="126"/>
      <c r="AY1066" s="126"/>
      <c r="AZ1066" s="126"/>
      <c r="BA1066" s="126"/>
      <c r="BB1066" s="126"/>
      <c r="BC1066" s="126"/>
      <c r="BD1066" s="126"/>
      <c r="BE1066" s="126"/>
      <c r="BF1066" s="126"/>
      <c r="BG1066" s="161"/>
      <c r="BH1066" s="3"/>
      <c r="BI1066" s="126"/>
      <c r="BJ1066" s="126"/>
    </row>
    <row r="1067" spans="1:62" x14ac:dyDescent="0.25">
      <c r="A1067" t="str">
        <f t="shared" si="792"/>
        <v>comment</v>
      </c>
      <c r="B1067" s="12" t="str">
        <f t="shared" si="785"/>
        <v>6001</v>
      </c>
      <c r="C1067" s="12" t="str">
        <f t="shared" si="791"/>
        <v>B00102</v>
      </c>
      <c r="D1067" s="109" t="str">
        <f>C24</f>
        <v>PTA807C6500</v>
      </c>
      <c r="E1067" s="92">
        <v>1</v>
      </c>
      <c r="F1067" s="50">
        <v>1</v>
      </c>
      <c r="G1067" s="50">
        <f t="shared" si="787"/>
        <v>3</v>
      </c>
      <c r="H1067" s="50">
        <f t="shared" si="777"/>
        <v>0</v>
      </c>
      <c r="I1067" s="50">
        <f t="shared" si="778"/>
        <v>600</v>
      </c>
      <c r="J1067" s="50">
        <f t="shared" si="779"/>
        <v>580</v>
      </c>
      <c r="K1067" s="50">
        <f t="shared" si="780"/>
        <v>0</v>
      </c>
      <c r="L1067" s="50">
        <f t="shared" si="781"/>
        <v>0</v>
      </c>
      <c r="M1067" s="162">
        <f t="shared" si="782"/>
        <v>0</v>
      </c>
      <c r="N1067" s="50">
        <f t="shared" si="783"/>
        <v>0</v>
      </c>
      <c r="O1067" s="50">
        <f t="shared" si="784"/>
        <v>5</v>
      </c>
      <c r="P1067" s="92">
        <f t="shared" si="788"/>
        <v>20180327</v>
      </c>
      <c r="Q1067" s="92" t="str">
        <f t="shared" si="789"/>
        <v>9999</v>
      </c>
      <c r="R1067" s="12" t="str">
        <f t="shared" si="790"/>
        <v>CZCE</v>
      </c>
      <c r="S1067" s="126"/>
      <c r="T1067" s="126"/>
      <c r="U1067" s="38"/>
      <c r="V1067" s="38"/>
      <c r="W1067" s="126"/>
      <c r="X1067" s="126"/>
      <c r="Y1067" s="126"/>
      <c r="Z1067" s="126"/>
      <c r="AA1067" s="126"/>
      <c r="AB1067" s="126"/>
      <c r="AC1067" s="126"/>
      <c r="AD1067" s="126"/>
      <c r="AE1067" s="126"/>
      <c r="AF1067" s="126"/>
      <c r="AG1067" s="126"/>
      <c r="AH1067" s="126"/>
      <c r="AI1067" s="126"/>
      <c r="AJ1067" s="126"/>
      <c r="AK1067" s="126"/>
      <c r="AL1067" s="126"/>
      <c r="AM1067" s="141"/>
      <c r="AN1067" s="141"/>
      <c r="AO1067" s="141"/>
      <c r="AP1067" s="141"/>
      <c r="AQ1067" s="126"/>
      <c r="AR1067" s="126"/>
      <c r="AS1067" s="126"/>
      <c r="AT1067" s="126"/>
      <c r="AU1067" s="126"/>
      <c r="AV1067" s="126"/>
      <c r="AW1067" s="126"/>
      <c r="AX1067" s="126"/>
      <c r="AY1067" s="126"/>
      <c r="AZ1067" s="126"/>
      <c r="BA1067" s="126"/>
      <c r="BB1067" s="126"/>
      <c r="BC1067" s="126"/>
      <c r="BD1067" s="126"/>
      <c r="BE1067" s="126"/>
      <c r="BF1067" s="126"/>
      <c r="BG1067" s="161"/>
      <c r="BH1067" s="3"/>
      <c r="BI1067" s="126"/>
      <c r="BJ1067" s="126"/>
    </row>
    <row r="1068" spans="1:62" x14ac:dyDescent="0.25">
      <c r="A1068" t="str">
        <f t="shared" si="792"/>
        <v>comment</v>
      </c>
      <c r="B1068" s="12" t="str">
        <f t="shared" si="785"/>
        <v>6001</v>
      </c>
      <c r="C1068" s="12" t="str">
        <f t="shared" si="791"/>
        <v>B00102</v>
      </c>
      <c r="D1068" s="109" t="str">
        <f>C24</f>
        <v>PTA807C6500</v>
      </c>
      <c r="E1068" s="92">
        <v>3</v>
      </c>
      <c r="F1068" s="50">
        <v>0</v>
      </c>
      <c r="G1068" s="50">
        <f t="shared" si="787"/>
        <v>2</v>
      </c>
      <c r="H1068" s="50">
        <f t="shared" si="777"/>
        <v>0</v>
      </c>
      <c r="I1068" s="50">
        <f t="shared" si="778"/>
        <v>600</v>
      </c>
      <c r="J1068" s="50">
        <f t="shared" si="779"/>
        <v>580</v>
      </c>
      <c r="K1068" s="50">
        <f t="shared" si="780"/>
        <v>0</v>
      </c>
      <c r="L1068" s="50">
        <f t="shared" si="781"/>
        <v>0</v>
      </c>
      <c r="M1068" s="162">
        <f t="shared" si="782"/>
        <v>0</v>
      </c>
      <c r="N1068" s="50">
        <f t="shared" si="783"/>
        <v>0</v>
      </c>
      <c r="O1068" s="50">
        <f t="shared" si="784"/>
        <v>5</v>
      </c>
      <c r="P1068" s="92">
        <f t="shared" si="788"/>
        <v>20180327</v>
      </c>
      <c r="Q1068" s="92" t="str">
        <f t="shared" si="789"/>
        <v>9999</v>
      </c>
      <c r="R1068" s="12" t="str">
        <f t="shared" si="790"/>
        <v>CZCE</v>
      </c>
      <c r="S1068" s="126"/>
      <c r="T1068" s="126"/>
      <c r="U1068" s="38"/>
      <c r="V1068" s="38"/>
      <c r="W1068" s="126"/>
      <c r="X1068" s="126"/>
      <c r="Y1068" s="126"/>
      <c r="Z1068" s="126"/>
      <c r="AA1068" s="126"/>
      <c r="AB1068" s="126"/>
      <c r="AC1068" s="126"/>
      <c r="AD1068" s="126"/>
      <c r="AE1068" s="126"/>
      <c r="AF1068" s="126"/>
      <c r="AG1068" s="126"/>
      <c r="AH1068" s="126"/>
      <c r="AI1068" s="126"/>
      <c r="AJ1068" s="126"/>
      <c r="AK1068" s="126"/>
      <c r="AL1068" s="126"/>
      <c r="AM1068" s="141"/>
      <c r="AN1068" s="141"/>
      <c r="AO1068" s="141"/>
      <c r="AP1068" s="141"/>
      <c r="AQ1068" s="126"/>
      <c r="AR1068" s="126"/>
      <c r="AS1068" s="126"/>
      <c r="AT1068" s="126"/>
      <c r="AU1068" s="126"/>
      <c r="AV1068" s="126"/>
      <c r="AW1068" s="126"/>
      <c r="AX1068" s="126"/>
      <c r="AY1068" s="126"/>
      <c r="AZ1068" s="126"/>
      <c r="BA1068" s="126"/>
      <c r="BB1068" s="126"/>
      <c r="BC1068" s="126"/>
      <c r="BD1068" s="126"/>
      <c r="BE1068" s="126"/>
      <c r="BF1068" s="126"/>
      <c r="BG1068" s="161"/>
      <c r="BH1068" s="3"/>
      <c r="BI1068" s="126"/>
      <c r="BJ1068" s="126"/>
    </row>
    <row r="1069" spans="1:62" x14ac:dyDescent="0.25">
      <c r="A1069" t="str">
        <f t="shared" si="792"/>
        <v>comment</v>
      </c>
      <c r="B1069" s="12" t="str">
        <f t="shared" si="785"/>
        <v>6001</v>
      </c>
      <c r="C1069" s="12" t="str">
        <f t="shared" si="791"/>
        <v>B00102</v>
      </c>
      <c r="D1069" s="109" t="str">
        <f>C24</f>
        <v>PTA807C6500</v>
      </c>
      <c r="E1069" s="92">
        <v>3</v>
      </c>
      <c r="F1069" s="50">
        <v>1</v>
      </c>
      <c r="G1069" s="50">
        <f t="shared" si="787"/>
        <v>3</v>
      </c>
      <c r="H1069" s="50">
        <f t="shared" si="777"/>
        <v>0</v>
      </c>
      <c r="I1069" s="50">
        <f t="shared" si="778"/>
        <v>600</v>
      </c>
      <c r="J1069" s="50">
        <f t="shared" si="779"/>
        <v>580</v>
      </c>
      <c r="K1069" s="50">
        <f t="shared" si="780"/>
        <v>0</v>
      </c>
      <c r="L1069" s="50">
        <f t="shared" si="781"/>
        <v>0</v>
      </c>
      <c r="M1069" s="162">
        <f t="shared" si="782"/>
        <v>0</v>
      </c>
      <c r="N1069" s="50">
        <f t="shared" si="783"/>
        <v>0</v>
      </c>
      <c r="O1069" s="50">
        <f t="shared" si="784"/>
        <v>5</v>
      </c>
      <c r="P1069" s="92">
        <f t="shared" si="788"/>
        <v>20180327</v>
      </c>
      <c r="Q1069" s="92" t="str">
        <f t="shared" si="789"/>
        <v>9999</v>
      </c>
      <c r="R1069" s="12" t="str">
        <f t="shared" si="790"/>
        <v>CZCE</v>
      </c>
      <c r="S1069" s="126"/>
      <c r="T1069" s="126"/>
      <c r="U1069" s="38"/>
      <c r="V1069" s="38"/>
      <c r="W1069" s="126"/>
      <c r="X1069" s="126"/>
      <c r="Y1069" s="126"/>
      <c r="Z1069" s="126"/>
      <c r="AA1069" s="126"/>
      <c r="AB1069" s="126"/>
      <c r="AC1069" s="126"/>
      <c r="AD1069" s="126"/>
      <c r="AE1069" s="126"/>
      <c r="AF1069" s="126"/>
      <c r="AG1069" s="126"/>
      <c r="AH1069" s="126"/>
      <c r="AI1069" s="126"/>
      <c r="AJ1069" s="126"/>
      <c r="AK1069" s="126"/>
      <c r="AL1069" s="126"/>
      <c r="AM1069" s="141"/>
      <c r="AN1069" s="141"/>
      <c r="AO1069" s="141"/>
      <c r="AP1069" s="141"/>
      <c r="AQ1069" s="126"/>
      <c r="AR1069" s="126"/>
      <c r="AS1069" s="126"/>
      <c r="AT1069" s="126"/>
      <c r="AU1069" s="126"/>
      <c r="AV1069" s="126"/>
      <c r="AW1069" s="126"/>
      <c r="AX1069" s="126"/>
      <c r="AY1069" s="126"/>
      <c r="AZ1069" s="126"/>
      <c r="BA1069" s="126"/>
      <c r="BB1069" s="126"/>
      <c r="BC1069" s="126"/>
      <c r="BD1069" s="126"/>
      <c r="BE1069" s="126"/>
      <c r="BF1069" s="126"/>
      <c r="BG1069" s="161"/>
      <c r="BH1069" s="3"/>
      <c r="BI1069" s="126"/>
      <c r="BJ1069" s="126"/>
    </row>
    <row r="1070" spans="1:62" x14ac:dyDescent="0.25">
      <c r="A1070" t="str">
        <f t="shared" si="792"/>
        <v>comment</v>
      </c>
      <c r="B1070" s="12" t="str">
        <f t="shared" si="785"/>
        <v>6001</v>
      </c>
      <c r="C1070" s="12" t="str">
        <f t="shared" si="791"/>
        <v>B00102</v>
      </c>
      <c r="D1070" s="109" t="str">
        <f>C25</f>
        <v>PTA807P6200</v>
      </c>
      <c r="E1070" s="92">
        <v>1</v>
      </c>
      <c r="F1070" s="50">
        <v>0</v>
      </c>
      <c r="G1070" s="50">
        <f t="shared" si="787"/>
        <v>2</v>
      </c>
      <c r="H1070" s="50">
        <f t="shared" si="777"/>
        <v>0</v>
      </c>
      <c r="I1070" s="50">
        <f t="shared" si="778"/>
        <v>605</v>
      </c>
      <c r="J1070" s="50">
        <f t="shared" si="779"/>
        <v>600</v>
      </c>
      <c r="K1070" s="50">
        <f t="shared" si="780"/>
        <v>0</v>
      </c>
      <c r="L1070" s="50">
        <f t="shared" si="781"/>
        <v>0</v>
      </c>
      <c r="M1070" s="162">
        <f t="shared" si="782"/>
        <v>0</v>
      </c>
      <c r="N1070" s="50">
        <f t="shared" si="783"/>
        <v>0</v>
      </c>
      <c r="O1070" s="50">
        <f t="shared" si="784"/>
        <v>5</v>
      </c>
      <c r="P1070" s="92">
        <f t="shared" si="788"/>
        <v>20180327</v>
      </c>
      <c r="Q1070" s="92" t="str">
        <f t="shared" si="789"/>
        <v>9999</v>
      </c>
      <c r="R1070" s="12" t="str">
        <f t="shared" si="790"/>
        <v>CZCE</v>
      </c>
      <c r="S1070" s="126"/>
      <c r="T1070" s="126"/>
      <c r="U1070" s="38"/>
      <c r="V1070" s="38"/>
      <c r="W1070" s="126"/>
      <c r="X1070" s="126"/>
      <c r="Y1070" s="126"/>
      <c r="Z1070" s="126"/>
      <c r="AA1070" s="126"/>
      <c r="AB1070" s="126"/>
      <c r="AC1070" s="126"/>
      <c r="AD1070" s="126"/>
      <c r="AE1070" s="126"/>
      <c r="AF1070" s="126"/>
      <c r="AG1070" s="126"/>
      <c r="AH1070" s="126"/>
      <c r="AI1070" s="126"/>
      <c r="AJ1070" s="126"/>
      <c r="AK1070" s="126"/>
      <c r="AL1070" s="126"/>
      <c r="AM1070" s="141"/>
      <c r="AN1070" s="141"/>
      <c r="AO1070" s="141"/>
      <c r="AP1070" s="141"/>
      <c r="AQ1070" s="126"/>
      <c r="AR1070" s="126"/>
      <c r="AS1070" s="126"/>
      <c r="AT1070" s="126"/>
      <c r="AU1070" s="126"/>
      <c r="AV1070" s="126"/>
      <c r="AW1070" s="126"/>
      <c r="AX1070" s="126"/>
      <c r="AY1070" s="126"/>
      <c r="AZ1070" s="126"/>
      <c r="BA1070" s="126"/>
      <c r="BB1070" s="126"/>
      <c r="BC1070" s="126"/>
      <c r="BD1070" s="126"/>
      <c r="BE1070" s="126"/>
      <c r="BF1070" s="126"/>
      <c r="BG1070" s="161"/>
      <c r="BH1070" s="3"/>
      <c r="BI1070" s="126"/>
      <c r="BJ1070" s="126"/>
    </row>
    <row r="1071" spans="1:62" x14ac:dyDescent="0.25">
      <c r="A1071" t="str">
        <f t="shared" si="792"/>
        <v>comment</v>
      </c>
      <c r="B1071" s="12" t="str">
        <f t="shared" si="785"/>
        <v>6001</v>
      </c>
      <c r="C1071" s="12" t="str">
        <f t="shared" si="791"/>
        <v>B00102</v>
      </c>
      <c r="D1071" s="109" t="str">
        <f>C25</f>
        <v>PTA807P6200</v>
      </c>
      <c r="E1071" s="92">
        <v>1</v>
      </c>
      <c r="F1071" s="50">
        <v>1</v>
      </c>
      <c r="G1071" s="50">
        <f t="shared" si="787"/>
        <v>3</v>
      </c>
      <c r="H1071" s="50">
        <f t="shared" si="777"/>
        <v>0</v>
      </c>
      <c r="I1071" s="50">
        <f t="shared" si="778"/>
        <v>605</v>
      </c>
      <c r="J1071" s="50">
        <f t="shared" si="779"/>
        <v>600</v>
      </c>
      <c r="K1071" s="50">
        <f t="shared" si="780"/>
        <v>0</v>
      </c>
      <c r="L1071" s="50">
        <f t="shared" si="781"/>
        <v>0</v>
      </c>
      <c r="M1071" s="162">
        <f t="shared" si="782"/>
        <v>0</v>
      </c>
      <c r="N1071" s="50">
        <f t="shared" si="783"/>
        <v>0</v>
      </c>
      <c r="O1071" s="50">
        <f t="shared" si="784"/>
        <v>5</v>
      </c>
      <c r="P1071" s="92">
        <f t="shared" si="788"/>
        <v>20180327</v>
      </c>
      <c r="Q1071" s="92" t="str">
        <f t="shared" si="789"/>
        <v>9999</v>
      </c>
      <c r="R1071" s="12" t="str">
        <f t="shared" si="790"/>
        <v>CZCE</v>
      </c>
      <c r="S1071" s="126"/>
      <c r="T1071" s="126"/>
      <c r="U1071" s="38"/>
      <c r="V1071" s="38"/>
      <c r="W1071" s="126"/>
      <c r="X1071" s="126"/>
      <c r="Y1071" s="126"/>
      <c r="Z1071" s="126"/>
      <c r="AA1071" s="126"/>
      <c r="AB1071" s="126"/>
      <c r="AC1071" s="126"/>
      <c r="AD1071" s="126"/>
      <c r="AE1071" s="126"/>
      <c r="AF1071" s="126"/>
      <c r="AG1071" s="126"/>
      <c r="AH1071" s="126"/>
      <c r="AI1071" s="126"/>
      <c r="AJ1071" s="126"/>
      <c r="AK1071" s="126"/>
      <c r="AL1071" s="126"/>
      <c r="AM1071" s="141"/>
      <c r="AN1071" s="141"/>
      <c r="AO1071" s="141"/>
      <c r="AP1071" s="141"/>
      <c r="AQ1071" s="126"/>
      <c r="AR1071" s="126"/>
      <c r="AS1071" s="126"/>
      <c r="AT1071" s="126"/>
      <c r="AU1071" s="126"/>
      <c r="AV1071" s="126"/>
      <c r="AW1071" s="126"/>
      <c r="AX1071" s="126"/>
      <c r="AY1071" s="126"/>
      <c r="AZ1071" s="126"/>
      <c r="BA1071" s="126"/>
      <c r="BB1071" s="126"/>
      <c r="BC1071" s="126"/>
      <c r="BD1071" s="126"/>
      <c r="BE1071" s="126"/>
      <c r="BF1071" s="126"/>
      <c r="BG1071" s="161"/>
      <c r="BH1071" s="3"/>
      <c r="BI1071" s="126"/>
      <c r="BJ1071" s="126"/>
    </row>
    <row r="1072" spans="1:62" x14ac:dyDescent="0.25">
      <c r="A1072" t="str">
        <f t="shared" si="792"/>
        <v>comment</v>
      </c>
      <c r="B1072" s="12" t="str">
        <f t="shared" si="785"/>
        <v>6001</v>
      </c>
      <c r="C1072" s="12" t="str">
        <f t="shared" si="791"/>
        <v>B00102</v>
      </c>
      <c r="D1072" s="109" t="str">
        <f>D1071</f>
        <v>PTA807P6200</v>
      </c>
      <c r="E1072" s="92">
        <v>3</v>
      </c>
      <c r="F1072" s="50">
        <v>0</v>
      </c>
      <c r="G1072" s="50">
        <f t="shared" si="787"/>
        <v>2</v>
      </c>
      <c r="H1072" s="50">
        <f t="shared" si="777"/>
        <v>0</v>
      </c>
      <c r="I1072" s="50">
        <f t="shared" si="778"/>
        <v>605</v>
      </c>
      <c r="J1072" s="50">
        <f t="shared" si="779"/>
        <v>600</v>
      </c>
      <c r="K1072" s="50">
        <f t="shared" si="780"/>
        <v>0</v>
      </c>
      <c r="L1072" s="50">
        <f t="shared" si="781"/>
        <v>0</v>
      </c>
      <c r="M1072" s="162">
        <f t="shared" si="782"/>
        <v>0</v>
      </c>
      <c r="N1072" s="50">
        <f t="shared" si="783"/>
        <v>0</v>
      </c>
      <c r="O1072" s="50">
        <f t="shared" si="784"/>
        <v>5</v>
      </c>
      <c r="P1072" s="92"/>
      <c r="Q1072" s="92"/>
      <c r="R1072" s="12"/>
      <c r="S1072" s="126"/>
      <c r="T1072" s="126"/>
      <c r="U1072" s="38"/>
      <c r="V1072" s="38"/>
      <c r="W1072" s="126"/>
      <c r="X1072" s="126"/>
      <c r="Y1072" s="126"/>
      <c r="Z1072" s="126"/>
      <c r="AA1072" s="126"/>
      <c r="AB1072" s="126"/>
      <c r="AC1072" s="126"/>
      <c r="AD1072" s="126"/>
      <c r="AE1072" s="126"/>
      <c r="AF1072" s="126"/>
      <c r="AG1072" s="126"/>
      <c r="AH1072" s="126"/>
      <c r="AI1072" s="126"/>
      <c r="AJ1072" s="126"/>
      <c r="AK1072" s="126"/>
      <c r="AL1072" s="126"/>
      <c r="AM1072" s="141"/>
      <c r="AN1072" s="141"/>
      <c r="AO1072" s="141"/>
      <c r="AP1072" s="141"/>
      <c r="AQ1072" s="126"/>
      <c r="AR1072" s="126"/>
      <c r="AS1072" s="126"/>
      <c r="AT1072" s="126"/>
      <c r="AU1072" s="126"/>
      <c r="AV1072" s="126"/>
      <c r="AW1072" s="126"/>
      <c r="AX1072" s="126"/>
      <c r="AY1072" s="126"/>
      <c r="AZ1072" s="126"/>
      <c r="BA1072" s="126"/>
      <c r="BB1072" s="126"/>
      <c r="BC1072" s="126"/>
      <c r="BD1072" s="126"/>
      <c r="BE1072" s="126"/>
      <c r="BF1072" s="126"/>
      <c r="BG1072" s="161"/>
      <c r="BH1072" s="3"/>
      <c r="BI1072" s="126"/>
      <c r="BJ1072" s="126"/>
    </row>
    <row r="1073" spans="1:62" x14ac:dyDescent="0.25">
      <c r="A1073" t="str">
        <f t="shared" si="792"/>
        <v>comment</v>
      </c>
      <c r="B1073" s="12" t="str">
        <f t="shared" si="785"/>
        <v>6001</v>
      </c>
      <c r="C1073" s="12" t="str">
        <f t="shared" si="791"/>
        <v>B00102</v>
      </c>
      <c r="D1073" s="109" t="str">
        <f>D1072</f>
        <v>PTA807P6200</v>
      </c>
      <c r="E1073" s="92">
        <v>3</v>
      </c>
      <c r="F1073" s="50">
        <v>1</v>
      </c>
      <c r="G1073" s="50">
        <f t="shared" si="787"/>
        <v>3</v>
      </c>
      <c r="H1073" s="50">
        <f t="shared" si="777"/>
        <v>0</v>
      </c>
      <c r="I1073" s="50">
        <f t="shared" si="778"/>
        <v>605</v>
      </c>
      <c r="J1073" s="50">
        <f t="shared" si="779"/>
        <v>600</v>
      </c>
      <c r="K1073" s="50">
        <f t="shared" si="780"/>
        <v>0</v>
      </c>
      <c r="L1073" s="50">
        <f t="shared" si="781"/>
        <v>0</v>
      </c>
      <c r="M1073" s="162">
        <f t="shared" si="782"/>
        <v>0</v>
      </c>
      <c r="N1073" s="50">
        <f t="shared" si="783"/>
        <v>0</v>
      </c>
      <c r="O1073" s="50">
        <f t="shared" si="784"/>
        <v>5</v>
      </c>
      <c r="P1073" s="92"/>
      <c r="Q1073" s="92"/>
      <c r="R1073" s="12"/>
      <c r="S1073" s="126"/>
      <c r="T1073" s="126"/>
      <c r="U1073" s="38"/>
      <c r="V1073" s="38"/>
      <c r="W1073" s="126"/>
      <c r="X1073" s="126"/>
      <c r="Y1073" s="126"/>
      <c r="Z1073" s="126"/>
      <c r="AA1073" s="126"/>
      <c r="AB1073" s="126"/>
      <c r="AC1073" s="126"/>
      <c r="AD1073" s="126"/>
      <c r="AE1073" s="126"/>
      <c r="AF1073" s="126"/>
      <c r="AG1073" s="126"/>
      <c r="AH1073" s="126"/>
      <c r="AI1073" s="126"/>
      <c r="AJ1073" s="126"/>
      <c r="AK1073" s="126"/>
      <c r="AL1073" s="126"/>
      <c r="AM1073" s="141"/>
      <c r="AN1073" s="141"/>
      <c r="AO1073" s="141"/>
      <c r="AP1073" s="141"/>
      <c r="AQ1073" s="126"/>
      <c r="AR1073" s="126"/>
      <c r="AS1073" s="126"/>
      <c r="AT1073" s="126"/>
      <c r="AU1073" s="126"/>
      <c r="AV1073" s="126"/>
      <c r="AW1073" s="126"/>
      <c r="AX1073" s="126"/>
      <c r="AY1073" s="126"/>
      <c r="AZ1073" s="126"/>
      <c r="BA1073" s="126"/>
      <c r="BB1073" s="126"/>
      <c r="BC1073" s="126"/>
      <c r="BD1073" s="126"/>
      <c r="BE1073" s="126"/>
      <c r="BF1073" s="126"/>
      <c r="BG1073" s="161"/>
      <c r="BH1073" s="3"/>
      <c r="BI1073" s="126"/>
      <c r="BJ1073" s="126"/>
    </row>
    <row r="1074" spans="1:62" x14ac:dyDescent="0.25">
      <c r="A1074" t="str">
        <f t="shared" si="792"/>
        <v>comment</v>
      </c>
      <c r="B1074" s="12" t="str">
        <f t="shared" si="785"/>
        <v>6001</v>
      </c>
      <c r="C1074" s="12" t="str">
        <f t="shared" si="791"/>
        <v>B00102</v>
      </c>
      <c r="D1074" s="109" t="str">
        <f>C26</f>
        <v>PTA807P6500</v>
      </c>
      <c r="E1074" s="92">
        <v>1</v>
      </c>
      <c r="F1074" s="50">
        <v>0</v>
      </c>
      <c r="G1074" s="50">
        <f t="shared" si="787"/>
        <v>2</v>
      </c>
      <c r="H1074" s="50">
        <f t="shared" si="777"/>
        <v>0</v>
      </c>
      <c r="I1074" s="50">
        <f t="shared" si="778"/>
        <v>610</v>
      </c>
      <c r="J1074" s="50">
        <f t="shared" si="779"/>
        <v>620</v>
      </c>
      <c r="K1074" s="50">
        <f t="shared" si="780"/>
        <v>0</v>
      </c>
      <c r="L1074" s="50">
        <f t="shared" si="781"/>
        <v>0</v>
      </c>
      <c r="M1074" s="162">
        <f t="shared" si="782"/>
        <v>0</v>
      </c>
      <c r="N1074" s="50">
        <f t="shared" si="783"/>
        <v>0</v>
      </c>
      <c r="O1074" s="50">
        <f t="shared" si="784"/>
        <v>5</v>
      </c>
      <c r="P1074" s="92">
        <f t="shared" si="788"/>
        <v>20180327</v>
      </c>
      <c r="Q1074" s="92" t="str">
        <f t="shared" si="789"/>
        <v>9999</v>
      </c>
      <c r="R1074" s="12" t="str">
        <f t="shared" si="790"/>
        <v>CZCE</v>
      </c>
      <c r="S1074" s="126"/>
      <c r="T1074" s="126"/>
      <c r="U1074" s="38"/>
      <c r="V1074" s="38"/>
      <c r="W1074" s="126"/>
      <c r="X1074" s="126"/>
      <c r="Y1074" s="126"/>
      <c r="Z1074" s="126"/>
      <c r="AA1074" s="126"/>
      <c r="AB1074" s="126"/>
      <c r="AC1074" s="126"/>
      <c r="AD1074" s="126"/>
      <c r="AE1074" s="126"/>
      <c r="AF1074" s="126"/>
      <c r="AG1074" s="126"/>
      <c r="AH1074" s="126"/>
      <c r="AI1074" s="126"/>
      <c r="AJ1074" s="126"/>
      <c r="AK1074" s="126"/>
      <c r="AL1074" s="126"/>
      <c r="AM1074" s="141"/>
      <c r="AN1074" s="141"/>
      <c r="AO1074" s="141"/>
      <c r="AP1074" s="141"/>
      <c r="AQ1074" s="126"/>
      <c r="AR1074" s="126"/>
      <c r="AS1074" s="126"/>
      <c r="AT1074" s="126"/>
      <c r="AU1074" s="126"/>
      <c r="AV1074" s="126"/>
      <c r="AW1074" s="126"/>
      <c r="AX1074" s="126"/>
      <c r="AY1074" s="126"/>
      <c r="AZ1074" s="126"/>
      <c r="BA1074" s="126"/>
      <c r="BB1074" s="126"/>
      <c r="BC1074" s="126"/>
      <c r="BD1074" s="126"/>
      <c r="BE1074" s="126"/>
      <c r="BF1074" s="126"/>
      <c r="BG1074" s="161"/>
      <c r="BH1074" s="3"/>
      <c r="BI1074" s="126"/>
      <c r="BJ1074" s="126"/>
    </row>
    <row r="1075" spans="1:62" x14ac:dyDescent="0.25">
      <c r="A1075" t="str">
        <f t="shared" si="792"/>
        <v>comment</v>
      </c>
      <c r="B1075" s="12" t="str">
        <f t="shared" si="785"/>
        <v>6001</v>
      </c>
      <c r="C1075" s="12" t="str">
        <f t="shared" si="791"/>
        <v>B00102</v>
      </c>
      <c r="D1075" s="109" t="str">
        <f>C26</f>
        <v>PTA807P6500</v>
      </c>
      <c r="E1075" s="92">
        <v>1</v>
      </c>
      <c r="F1075" s="50">
        <v>1</v>
      </c>
      <c r="G1075" s="50">
        <f t="shared" si="787"/>
        <v>3</v>
      </c>
      <c r="H1075" s="50">
        <f t="shared" si="777"/>
        <v>0</v>
      </c>
      <c r="I1075" s="50">
        <f t="shared" si="778"/>
        <v>610</v>
      </c>
      <c r="J1075" s="50">
        <f t="shared" si="779"/>
        <v>620</v>
      </c>
      <c r="K1075" s="50">
        <f t="shared" si="780"/>
        <v>0</v>
      </c>
      <c r="L1075" s="50">
        <f t="shared" si="781"/>
        <v>0</v>
      </c>
      <c r="M1075" s="162">
        <f t="shared" si="782"/>
        <v>0</v>
      </c>
      <c r="N1075" s="50">
        <f t="shared" si="783"/>
        <v>0</v>
      </c>
      <c r="O1075" s="50">
        <f t="shared" si="784"/>
        <v>5</v>
      </c>
      <c r="P1075" s="92">
        <f t="shared" si="788"/>
        <v>20180327</v>
      </c>
      <c r="Q1075" s="92" t="str">
        <f t="shared" si="789"/>
        <v>9999</v>
      </c>
      <c r="R1075" s="12" t="str">
        <f t="shared" si="790"/>
        <v>CZCE</v>
      </c>
      <c r="S1075" s="126"/>
      <c r="T1075" s="126"/>
      <c r="U1075" s="38"/>
      <c r="V1075" s="38"/>
      <c r="W1075" s="126"/>
      <c r="X1075" s="126"/>
      <c r="Y1075" s="126"/>
      <c r="Z1075" s="126"/>
      <c r="AA1075" s="126"/>
      <c r="AB1075" s="126"/>
      <c r="AC1075" s="126"/>
      <c r="AD1075" s="126"/>
      <c r="AE1075" s="126"/>
      <c r="AF1075" s="126"/>
      <c r="AG1075" s="126"/>
      <c r="AH1075" s="126"/>
      <c r="AI1075" s="126"/>
      <c r="AJ1075" s="126"/>
      <c r="AK1075" s="126"/>
      <c r="AL1075" s="126"/>
      <c r="AM1075" s="141"/>
      <c r="AN1075" s="141"/>
      <c r="AO1075" s="141"/>
      <c r="AP1075" s="141"/>
      <c r="AQ1075" s="126"/>
      <c r="AR1075" s="126"/>
      <c r="AS1075" s="126"/>
      <c r="AT1075" s="126"/>
      <c r="AU1075" s="126"/>
      <c r="AV1075" s="126"/>
      <c r="AW1075" s="126"/>
      <c r="AX1075" s="126"/>
      <c r="AY1075" s="126"/>
      <c r="AZ1075" s="126"/>
      <c r="BA1075" s="126"/>
      <c r="BB1075" s="126"/>
      <c r="BC1075" s="126"/>
      <c r="BD1075" s="126"/>
      <c r="BE1075" s="126"/>
      <c r="BF1075" s="126"/>
      <c r="BG1075" s="161"/>
      <c r="BH1075" s="3"/>
      <c r="BI1075" s="126"/>
      <c r="BJ1075" s="126"/>
    </row>
    <row r="1076" spans="1:62" x14ac:dyDescent="0.25">
      <c r="A1076" t="str">
        <f t="shared" ref="A1076:A1088" si="793">IF(H1076=0,"comment","")</f>
        <v>comment</v>
      </c>
      <c r="B1076" s="12" t="str">
        <f t="shared" si="785"/>
        <v>6001</v>
      </c>
      <c r="C1076" s="12" t="str">
        <f t="shared" si="786"/>
        <v>B00101</v>
      </c>
      <c r="D1076" s="109" t="str">
        <f>G1033</f>
        <v>SR807C6500</v>
      </c>
      <c r="E1076" s="92">
        <v>1</v>
      </c>
      <c r="F1076" s="50">
        <v>0</v>
      </c>
      <c r="G1076" s="50">
        <f t="shared" si="787"/>
        <v>2</v>
      </c>
      <c r="H1076" s="50">
        <f t="shared" si="777"/>
        <v>0</v>
      </c>
      <c r="I1076" s="50">
        <f t="shared" si="778"/>
        <v>615</v>
      </c>
      <c r="J1076" s="50">
        <f t="shared" si="779"/>
        <v>610</v>
      </c>
      <c r="K1076" s="50">
        <f t="shared" si="780"/>
        <v>0</v>
      </c>
      <c r="L1076" s="50">
        <f t="shared" si="781"/>
        <v>0</v>
      </c>
      <c r="M1076" s="162">
        <f t="shared" si="782"/>
        <v>0</v>
      </c>
      <c r="N1076" s="50">
        <f t="shared" si="783"/>
        <v>0</v>
      </c>
      <c r="O1076" s="50">
        <f t="shared" si="784"/>
        <v>10</v>
      </c>
      <c r="P1076" s="92">
        <f t="shared" si="788"/>
        <v>20180327</v>
      </c>
      <c r="Q1076" s="92" t="str">
        <f t="shared" si="789"/>
        <v>9999</v>
      </c>
      <c r="R1076" s="12" t="str">
        <f t="shared" si="790"/>
        <v>CZCE</v>
      </c>
      <c r="S1076" s="126"/>
      <c r="T1076" s="126"/>
      <c r="U1076" s="38"/>
      <c r="V1076" s="38"/>
      <c r="W1076" s="126"/>
      <c r="X1076" s="126"/>
      <c r="Y1076" s="126"/>
      <c r="Z1076" s="126"/>
      <c r="AA1076" s="126"/>
      <c r="AB1076" s="126"/>
      <c r="AC1076" s="126"/>
      <c r="AD1076" s="126"/>
      <c r="AE1076" s="126"/>
      <c r="AF1076" s="126"/>
      <c r="AG1076" s="126"/>
      <c r="AH1076" s="126"/>
      <c r="AI1076" s="126"/>
      <c r="AJ1076" s="126"/>
      <c r="AK1076" s="126"/>
      <c r="AL1076" s="126"/>
      <c r="AM1076" s="141"/>
      <c r="AN1076" s="141"/>
      <c r="AO1076" s="141"/>
      <c r="AP1076" s="141"/>
      <c r="AQ1076" s="126"/>
      <c r="AR1076" s="126"/>
      <c r="AS1076" s="126"/>
      <c r="AT1076" s="126"/>
      <c r="AU1076" s="126"/>
      <c r="AV1076" s="126"/>
      <c r="AW1076" s="126"/>
      <c r="AX1076" s="126"/>
      <c r="AY1076" s="126"/>
      <c r="AZ1076" s="126"/>
      <c r="BA1076" s="126"/>
      <c r="BB1076" s="126"/>
      <c r="BC1076" s="126"/>
      <c r="BD1076" s="126"/>
      <c r="BE1076" s="126"/>
      <c r="BF1076" s="126"/>
      <c r="BG1076" s="161"/>
      <c r="BH1076" s="3"/>
      <c r="BI1076" s="126"/>
      <c r="BJ1076" s="126"/>
    </row>
    <row r="1077" spans="1:62" x14ac:dyDescent="0.25">
      <c r="A1077" t="str">
        <f t="shared" si="793"/>
        <v>comment</v>
      </c>
      <c r="B1077" s="12" t="str">
        <f t="shared" si="785"/>
        <v>6001</v>
      </c>
      <c r="C1077" s="12" t="str">
        <f t="shared" si="786"/>
        <v>B00101</v>
      </c>
      <c r="D1077" s="109" t="str">
        <f>D1076</f>
        <v>SR807C6500</v>
      </c>
      <c r="E1077" s="92">
        <v>1</v>
      </c>
      <c r="F1077" s="50">
        <v>1</v>
      </c>
      <c r="G1077" s="50">
        <f t="shared" si="787"/>
        <v>3</v>
      </c>
      <c r="H1077" s="50">
        <f t="shared" si="777"/>
        <v>0</v>
      </c>
      <c r="I1077" s="50">
        <f t="shared" si="778"/>
        <v>615</v>
      </c>
      <c r="J1077" s="50">
        <f t="shared" si="779"/>
        <v>610</v>
      </c>
      <c r="K1077" s="50">
        <f t="shared" si="780"/>
        <v>0</v>
      </c>
      <c r="L1077" s="50">
        <f t="shared" si="781"/>
        <v>0</v>
      </c>
      <c r="M1077" s="162">
        <f t="shared" si="782"/>
        <v>0</v>
      </c>
      <c r="N1077" s="50">
        <f t="shared" si="783"/>
        <v>0</v>
      </c>
      <c r="O1077" s="50">
        <f t="shared" si="784"/>
        <v>10</v>
      </c>
      <c r="P1077" s="92">
        <f t="shared" si="788"/>
        <v>20180327</v>
      </c>
      <c r="Q1077" s="92" t="str">
        <f t="shared" si="789"/>
        <v>9999</v>
      </c>
      <c r="R1077" s="12" t="str">
        <f t="shared" si="790"/>
        <v>CZCE</v>
      </c>
      <c r="S1077" s="126"/>
      <c r="T1077" s="126"/>
      <c r="U1077" s="38"/>
      <c r="V1077" s="38"/>
      <c r="W1077" s="126"/>
      <c r="X1077" s="126"/>
      <c r="Y1077" s="126"/>
      <c r="Z1077" s="126"/>
      <c r="AA1077" s="126"/>
      <c r="AB1077" s="126"/>
      <c r="AC1077" s="126"/>
      <c r="AD1077" s="126"/>
      <c r="AE1077" s="126"/>
      <c r="AF1077" s="126"/>
      <c r="AG1077" s="126"/>
      <c r="AH1077" s="126"/>
      <c r="AI1077" s="126"/>
      <c r="AJ1077" s="126"/>
      <c r="AK1077" s="126"/>
      <c r="AL1077" s="126"/>
      <c r="AM1077" s="141"/>
      <c r="AN1077" s="141"/>
      <c r="AO1077" s="141"/>
      <c r="AP1077" s="141"/>
      <c r="AQ1077" s="126"/>
      <c r="AR1077" s="126"/>
      <c r="AS1077" s="126"/>
      <c r="AT1077" s="126"/>
      <c r="AU1077" s="126"/>
      <c r="AV1077" s="126"/>
      <c r="AW1077" s="126"/>
      <c r="AX1077" s="126"/>
      <c r="AY1077" s="126"/>
      <c r="AZ1077" s="126"/>
      <c r="BA1077" s="126"/>
      <c r="BB1077" s="126"/>
      <c r="BC1077" s="126"/>
      <c r="BD1077" s="126"/>
      <c r="BE1077" s="126"/>
      <c r="BF1077" s="126"/>
      <c r="BG1077" s="161"/>
      <c r="BH1077" s="3"/>
      <c r="BI1077" s="126"/>
      <c r="BJ1077" s="126"/>
    </row>
    <row r="1078" spans="1:62" x14ac:dyDescent="0.25">
      <c r="A1078" t="str">
        <f t="shared" si="793"/>
        <v>comment</v>
      </c>
      <c r="B1078" s="12" t="str">
        <f t="shared" si="785"/>
        <v>6001</v>
      </c>
      <c r="C1078" s="12" t="str">
        <f t="shared" si="786"/>
        <v>B00101</v>
      </c>
      <c r="D1078" s="109" t="str">
        <f>D1076</f>
        <v>SR807C6500</v>
      </c>
      <c r="E1078" s="92">
        <v>3</v>
      </c>
      <c r="F1078" s="50">
        <v>0</v>
      </c>
      <c r="G1078" s="50">
        <f t="shared" si="787"/>
        <v>2</v>
      </c>
      <c r="H1078" s="50">
        <f t="shared" si="777"/>
        <v>0</v>
      </c>
      <c r="I1078" s="50">
        <f t="shared" si="778"/>
        <v>615</v>
      </c>
      <c r="J1078" s="50">
        <f t="shared" si="779"/>
        <v>610</v>
      </c>
      <c r="K1078" s="50">
        <f t="shared" si="780"/>
        <v>0</v>
      </c>
      <c r="L1078" s="50">
        <f t="shared" si="781"/>
        <v>0</v>
      </c>
      <c r="M1078" s="162">
        <f t="shared" si="782"/>
        <v>0</v>
      </c>
      <c r="N1078" s="50">
        <f t="shared" si="783"/>
        <v>0</v>
      </c>
      <c r="O1078" s="50">
        <f t="shared" si="784"/>
        <v>10</v>
      </c>
      <c r="P1078" s="92">
        <f t="shared" si="788"/>
        <v>20180327</v>
      </c>
      <c r="Q1078" s="92" t="str">
        <f t="shared" si="789"/>
        <v>9999</v>
      </c>
      <c r="R1078" s="12" t="str">
        <f t="shared" si="790"/>
        <v>CZCE</v>
      </c>
      <c r="S1078" s="126"/>
      <c r="T1078" s="126"/>
      <c r="U1078" s="38"/>
      <c r="V1078" s="38"/>
      <c r="W1078" s="126"/>
      <c r="X1078" s="126"/>
      <c r="Y1078" s="126"/>
      <c r="Z1078" s="126"/>
      <c r="AA1078" s="126"/>
      <c r="AB1078" s="126"/>
      <c r="AC1078" s="126"/>
      <c r="AD1078" s="126"/>
      <c r="AE1078" s="126"/>
      <c r="AF1078" s="126"/>
      <c r="AG1078" s="126"/>
      <c r="AH1078" s="126"/>
      <c r="AI1078" s="126"/>
      <c r="AJ1078" s="126"/>
      <c r="AK1078" s="126"/>
      <c r="AL1078" s="126"/>
      <c r="AM1078" s="141"/>
      <c r="AN1078" s="141"/>
      <c r="AO1078" s="141"/>
      <c r="AP1078" s="141"/>
      <c r="AQ1078" s="126"/>
      <c r="AR1078" s="126"/>
      <c r="AS1078" s="126"/>
      <c r="AT1078" s="126"/>
      <c r="AU1078" s="126"/>
      <c r="AV1078" s="126"/>
      <c r="AW1078" s="126"/>
      <c r="AX1078" s="126"/>
      <c r="AY1078" s="126"/>
      <c r="AZ1078" s="126"/>
      <c r="BA1078" s="126"/>
      <c r="BB1078" s="126"/>
      <c r="BC1078" s="126"/>
      <c r="BD1078" s="126"/>
      <c r="BE1078" s="126"/>
      <c r="BF1078" s="126"/>
      <c r="BG1078" s="161"/>
      <c r="BH1078" s="3"/>
      <c r="BI1078" s="126"/>
      <c r="BJ1078" s="126"/>
    </row>
    <row r="1079" spans="1:62" x14ac:dyDescent="0.25">
      <c r="A1079" t="str">
        <f t="shared" si="793"/>
        <v>comment</v>
      </c>
      <c r="B1079" s="12" t="str">
        <f t="shared" si="785"/>
        <v>6001</v>
      </c>
      <c r="C1079" s="12" t="str">
        <f t="shared" si="786"/>
        <v>B00101</v>
      </c>
      <c r="D1079" s="109" t="str">
        <f>D1076</f>
        <v>SR807C6500</v>
      </c>
      <c r="E1079" s="92">
        <v>3</v>
      </c>
      <c r="F1079" s="50">
        <v>1</v>
      </c>
      <c r="G1079" s="50">
        <f t="shared" si="787"/>
        <v>3</v>
      </c>
      <c r="H1079" s="50">
        <f t="shared" si="777"/>
        <v>0</v>
      </c>
      <c r="I1079" s="50">
        <f t="shared" si="778"/>
        <v>615</v>
      </c>
      <c r="J1079" s="50">
        <f t="shared" si="779"/>
        <v>610</v>
      </c>
      <c r="K1079" s="50">
        <f t="shared" si="780"/>
        <v>0</v>
      </c>
      <c r="L1079" s="50">
        <f t="shared" si="781"/>
        <v>0</v>
      </c>
      <c r="M1079" s="162">
        <f t="shared" si="782"/>
        <v>0</v>
      </c>
      <c r="N1079" s="50">
        <f t="shared" si="783"/>
        <v>0</v>
      </c>
      <c r="O1079" s="50">
        <f t="shared" si="784"/>
        <v>10</v>
      </c>
      <c r="P1079" s="92">
        <f t="shared" si="788"/>
        <v>20180327</v>
      </c>
      <c r="Q1079" s="92" t="str">
        <f t="shared" si="789"/>
        <v>9999</v>
      </c>
      <c r="R1079" s="12" t="str">
        <f t="shared" si="790"/>
        <v>CZCE</v>
      </c>
      <c r="S1079" s="126"/>
      <c r="T1079" s="126"/>
      <c r="U1079" s="38"/>
      <c r="V1079" s="38"/>
      <c r="W1079" s="126"/>
      <c r="X1079" s="126"/>
      <c r="Y1079" s="126"/>
      <c r="Z1079" s="126"/>
      <c r="AA1079" s="126"/>
      <c r="AB1079" s="126"/>
      <c r="AC1079" s="126"/>
      <c r="AD1079" s="126"/>
      <c r="AE1079" s="126"/>
      <c r="AF1079" s="126"/>
      <c r="AG1079" s="126"/>
      <c r="AH1079" s="126"/>
      <c r="AI1079" s="126"/>
      <c r="AJ1079" s="126"/>
      <c r="AK1079" s="126"/>
      <c r="AL1079" s="126"/>
      <c r="AM1079" s="141"/>
      <c r="AN1079" s="141"/>
      <c r="AO1079" s="141"/>
      <c r="AP1079" s="141"/>
      <c r="AQ1079" s="126"/>
      <c r="AR1079" s="126"/>
      <c r="AS1079" s="126"/>
      <c r="AT1079" s="126"/>
      <c r="AU1079" s="126"/>
      <c r="AV1079" s="126"/>
      <c r="AW1079" s="126"/>
      <c r="AX1079" s="126"/>
      <c r="AY1079" s="126"/>
      <c r="AZ1079" s="126"/>
      <c r="BA1079" s="126"/>
      <c r="BB1079" s="126"/>
      <c r="BC1079" s="126"/>
      <c r="BD1079" s="126"/>
      <c r="BE1079" s="126"/>
      <c r="BF1079" s="126"/>
      <c r="BG1079" s="161"/>
      <c r="BH1079" s="3"/>
      <c r="BI1079" s="126"/>
      <c r="BJ1079" s="126"/>
    </row>
    <row r="1080" spans="1:62" x14ac:dyDescent="0.25">
      <c r="A1080" t="str">
        <f t="shared" si="793"/>
        <v>comment</v>
      </c>
      <c r="B1080" s="12" t="str">
        <f t="shared" si="785"/>
        <v>6001</v>
      </c>
      <c r="C1080" s="12" t="str">
        <f t="shared" si="786"/>
        <v>B00101</v>
      </c>
      <c r="D1080" s="109" t="str">
        <f>G1035</f>
        <v>SR807P6500</v>
      </c>
      <c r="E1080" s="92">
        <v>1</v>
      </c>
      <c r="F1080" s="50">
        <v>0</v>
      </c>
      <c r="G1080" s="50">
        <f t="shared" si="787"/>
        <v>2</v>
      </c>
      <c r="H1080" s="50">
        <f t="shared" si="777"/>
        <v>0</v>
      </c>
      <c r="I1080" s="50">
        <f t="shared" si="778"/>
        <v>620</v>
      </c>
      <c r="J1080" s="50">
        <f t="shared" si="779"/>
        <v>615</v>
      </c>
      <c r="K1080" s="50">
        <f t="shared" si="780"/>
        <v>0</v>
      </c>
      <c r="L1080" s="50">
        <f t="shared" si="781"/>
        <v>0</v>
      </c>
      <c r="M1080" s="162">
        <f t="shared" si="782"/>
        <v>0</v>
      </c>
      <c r="N1080" s="50">
        <f t="shared" si="783"/>
        <v>0</v>
      </c>
      <c r="O1080" s="50">
        <f t="shared" si="784"/>
        <v>10</v>
      </c>
      <c r="P1080" s="92">
        <f t="shared" si="788"/>
        <v>20180327</v>
      </c>
      <c r="Q1080" s="92" t="str">
        <f t="shared" si="789"/>
        <v>9999</v>
      </c>
      <c r="R1080" s="12" t="str">
        <f t="shared" si="790"/>
        <v>CZCE</v>
      </c>
      <c r="S1080" s="126"/>
      <c r="T1080" s="126"/>
      <c r="U1080" s="38"/>
      <c r="V1080" s="38"/>
      <c r="W1080" s="126"/>
      <c r="X1080" s="126"/>
      <c r="Y1080" s="126"/>
      <c r="Z1080" s="126"/>
      <c r="AA1080" s="126"/>
      <c r="AB1080" s="126"/>
      <c r="AC1080" s="126"/>
      <c r="AD1080" s="126"/>
      <c r="AE1080" s="126"/>
      <c r="AF1080" s="126"/>
      <c r="AG1080" s="126"/>
      <c r="AH1080" s="126"/>
      <c r="AI1080" s="126"/>
      <c r="AJ1080" s="126"/>
      <c r="AK1080" s="126"/>
      <c r="AL1080" s="126"/>
      <c r="AM1080" s="141"/>
      <c r="AN1080" s="141"/>
      <c r="AO1080" s="141"/>
      <c r="AP1080" s="141"/>
      <c r="AQ1080" s="126"/>
      <c r="AR1080" s="126"/>
      <c r="AS1080" s="126"/>
      <c r="AT1080" s="126"/>
      <c r="AU1080" s="126"/>
      <c r="AV1080" s="126"/>
      <c r="AW1080" s="126"/>
      <c r="AX1080" s="126"/>
      <c r="AY1080" s="126"/>
      <c r="AZ1080" s="126"/>
      <c r="BA1080" s="126"/>
      <c r="BB1080" s="126"/>
      <c r="BC1080" s="126"/>
      <c r="BD1080" s="126"/>
      <c r="BE1080" s="126"/>
      <c r="BF1080" s="126"/>
      <c r="BG1080" s="161"/>
      <c r="BH1080" s="3"/>
      <c r="BI1080" s="126"/>
      <c r="BJ1080" s="126"/>
    </row>
    <row r="1081" spans="1:62" x14ac:dyDescent="0.25">
      <c r="A1081" t="str">
        <f t="shared" si="793"/>
        <v>comment</v>
      </c>
      <c r="B1081" s="12" t="str">
        <f t="shared" si="785"/>
        <v>6001</v>
      </c>
      <c r="C1081" s="12" t="str">
        <f t="shared" si="786"/>
        <v>B00101</v>
      </c>
      <c r="D1081" s="109" t="str">
        <f>D1080</f>
        <v>SR807P6500</v>
      </c>
      <c r="E1081" s="92">
        <v>1</v>
      </c>
      <c r="F1081" s="50">
        <v>1</v>
      </c>
      <c r="G1081" s="50">
        <f t="shared" si="787"/>
        <v>3</v>
      </c>
      <c r="H1081" s="50">
        <f t="shared" si="777"/>
        <v>0</v>
      </c>
      <c r="I1081" s="50">
        <f t="shared" si="778"/>
        <v>620</v>
      </c>
      <c r="J1081" s="50">
        <f t="shared" si="779"/>
        <v>615</v>
      </c>
      <c r="K1081" s="50">
        <f t="shared" si="780"/>
        <v>0</v>
      </c>
      <c r="L1081" s="50">
        <f t="shared" si="781"/>
        <v>0</v>
      </c>
      <c r="M1081" s="162">
        <f t="shared" si="782"/>
        <v>0</v>
      </c>
      <c r="N1081" s="50">
        <f t="shared" si="783"/>
        <v>0</v>
      </c>
      <c r="O1081" s="50">
        <f t="shared" si="784"/>
        <v>10</v>
      </c>
      <c r="P1081" s="92">
        <f t="shared" si="788"/>
        <v>20180327</v>
      </c>
      <c r="Q1081" s="92" t="str">
        <f t="shared" si="789"/>
        <v>9999</v>
      </c>
      <c r="R1081" s="12" t="str">
        <f t="shared" si="790"/>
        <v>CZCE</v>
      </c>
      <c r="S1081" s="126"/>
      <c r="T1081" s="126"/>
      <c r="U1081" s="38"/>
      <c r="V1081" s="38"/>
      <c r="W1081" s="126"/>
      <c r="X1081" s="126"/>
      <c r="Y1081" s="126"/>
      <c r="Z1081" s="126"/>
      <c r="AA1081" s="126"/>
      <c r="AB1081" s="126"/>
      <c r="AC1081" s="126"/>
      <c r="AD1081" s="126"/>
      <c r="AE1081" s="126"/>
      <c r="AF1081" s="126"/>
      <c r="AG1081" s="126"/>
      <c r="AH1081" s="126"/>
      <c r="AI1081" s="126"/>
      <c r="AJ1081" s="126"/>
      <c r="AK1081" s="126"/>
      <c r="AL1081" s="126"/>
      <c r="AM1081" s="141"/>
      <c r="AN1081" s="141"/>
      <c r="AO1081" s="141"/>
      <c r="AP1081" s="141"/>
      <c r="AQ1081" s="126"/>
      <c r="AR1081" s="126"/>
      <c r="AS1081" s="126"/>
      <c r="AT1081" s="126"/>
      <c r="AU1081" s="126"/>
      <c r="AV1081" s="126"/>
      <c r="AW1081" s="126"/>
      <c r="AX1081" s="126"/>
      <c r="AY1081" s="126"/>
      <c r="AZ1081" s="126"/>
      <c r="BA1081" s="126"/>
      <c r="BB1081" s="126"/>
      <c r="BC1081" s="126"/>
      <c r="BD1081" s="126"/>
      <c r="BE1081" s="126"/>
      <c r="BF1081" s="126"/>
      <c r="BG1081" s="161"/>
      <c r="BH1081" s="3"/>
      <c r="BI1081" s="126"/>
      <c r="BJ1081" s="126"/>
    </row>
    <row r="1082" spans="1:62" x14ac:dyDescent="0.25">
      <c r="A1082" t="str">
        <f t="shared" si="793"/>
        <v>comment</v>
      </c>
      <c r="B1082" s="12" t="str">
        <f t="shared" si="785"/>
        <v>6001</v>
      </c>
      <c r="C1082" s="12" t="str">
        <f t="shared" si="786"/>
        <v>B00101</v>
      </c>
      <c r="D1082" s="109" t="str">
        <f>D1080</f>
        <v>SR807P6500</v>
      </c>
      <c r="E1082" s="92">
        <v>3</v>
      </c>
      <c r="F1082" s="50">
        <v>0</v>
      </c>
      <c r="G1082" s="50">
        <f t="shared" si="787"/>
        <v>2</v>
      </c>
      <c r="H1082" s="50">
        <f t="shared" si="777"/>
        <v>0</v>
      </c>
      <c r="I1082" s="50">
        <f t="shared" si="778"/>
        <v>620</v>
      </c>
      <c r="J1082" s="50">
        <f t="shared" si="779"/>
        <v>615</v>
      </c>
      <c r="K1082" s="50">
        <f t="shared" si="780"/>
        <v>0</v>
      </c>
      <c r="L1082" s="50">
        <f t="shared" si="781"/>
        <v>0</v>
      </c>
      <c r="M1082" s="162">
        <f t="shared" si="782"/>
        <v>0</v>
      </c>
      <c r="N1082" s="50">
        <f t="shared" si="783"/>
        <v>0</v>
      </c>
      <c r="O1082" s="50">
        <f t="shared" si="784"/>
        <v>10</v>
      </c>
      <c r="P1082" s="92">
        <f t="shared" si="788"/>
        <v>20180327</v>
      </c>
      <c r="Q1082" s="92" t="str">
        <f t="shared" si="789"/>
        <v>9999</v>
      </c>
      <c r="R1082" s="12" t="str">
        <f t="shared" si="790"/>
        <v>CZCE</v>
      </c>
      <c r="S1082" s="126"/>
      <c r="T1082" s="126"/>
      <c r="U1082" s="38"/>
      <c r="V1082" s="38"/>
      <c r="W1082" s="126"/>
      <c r="X1082" s="126"/>
      <c r="Y1082" s="126"/>
      <c r="Z1082" s="126"/>
      <c r="AA1082" s="126"/>
      <c r="AB1082" s="126"/>
      <c r="AC1082" s="126"/>
      <c r="AD1082" s="126"/>
      <c r="AE1082" s="126"/>
      <c r="AF1082" s="126"/>
      <c r="AG1082" s="126"/>
      <c r="AH1082" s="126"/>
      <c r="AI1082" s="126"/>
      <c r="AJ1082" s="126"/>
      <c r="AK1082" s="126"/>
      <c r="AL1082" s="126"/>
      <c r="AM1082" s="141"/>
      <c r="AN1082" s="141"/>
      <c r="AO1082" s="141"/>
      <c r="AP1082" s="141"/>
      <c r="AQ1082" s="126"/>
      <c r="AR1082" s="126"/>
      <c r="AS1082" s="126"/>
      <c r="AT1082" s="126"/>
      <c r="AU1082" s="126"/>
      <c r="AV1082" s="126"/>
      <c r="AW1082" s="126"/>
      <c r="AX1082" s="126"/>
      <c r="AY1082" s="126"/>
      <c r="AZ1082" s="126"/>
      <c r="BA1082" s="126"/>
      <c r="BB1082" s="126"/>
      <c r="BC1082" s="126"/>
      <c r="BD1082" s="126"/>
      <c r="BE1082" s="126"/>
      <c r="BF1082" s="126"/>
      <c r="BG1082" s="161"/>
      <c r="BH1082" s="3"/>
      <c r="BI1082" s="126"/>
      <c r="BJ1082" s="126"/>
    </row>
    <row r="1083" spans="1:62" x14ac:dyDescent="0.25">
      <c r="A1083" t="str">
        <f t="shared" si="793"/>
        <v>comment</v>
      </c>
      <c r="B1083" s="12" t="str">
        <f t="shared" si="785"/>
        <v>6001</v>
      </c>
      <c r="C1083" s="12" t="str">
        <f t="shared" si="786"/>
        <v>B00101</v>
      </c>
      <c r="D1083" s="109" t="str">
        <f>D1080</f>
        <v>SR807P6500</v>
      </c>
      <c r="E1083" s="92">
        <v>3</v>
      </c>
      <c r="F1083" s="50">
        <v>1</v>
      </c>
      <c r="G1083" s="50">
        <f t="shared" si="787"/>
        <v>3</v>
      </c>
      <c r="H1083" s="50">
        <f t="shared" si="777"/>
        <v>0</v>
      </c>
      <c r="I1083" s="50">
        <f t="shared" si="778"/>
        <v>620</v>
      </c>
      <c r="J1083" s="50">
        <f t="shared" si="779"/>
        <v>615</v>
      </c>
      <c r="K1083" s="50">
        <f t="shared" si="780"/>
        <v>0</v>
      </c>
      <c r="L1083" s="50">
        <f t="shared" si="781"/>
        <v>0</v>
      </c>
      <c r="M1083" s="162">
        <f t="shared" si="782"/>
        <v>0</v>
      </c>
      <c r="N1083" s="50">
        <f t="shared" si="783"/>
        <v>0</v>
      </c>
      <c r="O1083" s="50">
        <f t="shared" si="784"/>
        <v>10</v>
      </c>
      <c r="P1083" s="92">
        <f t="shared" si="788"/>
        <v>20180327</v>
      </c>
      <c r="Q1083" s="92" t="str">
        <f t="shared" si="789"/>
        <v>9999</v>
      </c>
      <c r="R1083" s="12" t="str">
        <f t="shared" si="790"/>
        <v>CZCE</v>
      </c>
      <c r="S1083" s="126"/>
      <c r="T1083" s="126"/>
      <c r="U1083" s="38"/>
      <c r="V1083" s="38"/>
      <c r="W1083" s="126"/>
      <c r="X1083" s="126"/>
      <c r="Y1083" s="126"/>
      <c r="Z1083" s="126"/>
      <c r="AA1083" s="126"/>
      <c r="AB1083" s="126"/>
      <c r="AC1083" s="126"/>
      <c r="AD1083" s="126"/>
      <c r="AE1083" s="126"/>
      <c r="AF1083" s="126"/>
      <c r="AG1083" s="126"/>
      <c r="AH1083" s="126"/>
      <c r="AI1083" s="126"/>
      <c r="AJ1083" s="126"/>
      <c r="AK1083" s="126"/>
      <c r="AL1083" s="126"/>
      <c r="AM1083" s="141"/>
      <c r="AN1083" s="141"/>
      <c r="AO1083" s="141"/>
      <c r="AP1083" s="141"/>
      <c r="AQ1083" s="126"/>
      <c r="AR1083" s="126"/>
      <c r="AS1083" s="126"/>
      <c r="AT1083" s="126"/>
      <c r="AU1083" s="126"/>
      <c r="AV1083" s="126"/>
      <c r="AW1083" s="126"/>
      <c r="AX1083" s="126"/>
      <c r="AY1083" s="126"/>
      <c r="AZ1083" s="126"/>
      <c r="BA1083" s="126"/>
      <c r="BB1083" s="126"/>
      <c r="BC1083" s="126"/>
      <c r="BD1083" s="126"/>
      <c r="BE1083" s="126"/>
      <c r="BF1083" s="126"/>
      <c r="BG1083" s="161"/>
      <c r="BH1083" s="3"/>
      <c r="BI1083" s="126"/>
      <c r="BJ1083" s="126"/>
    </row>
    <row r="1084" spans="1:62" s="507" customFormat="1" x14ac:dyDescent="0.25">
      <c r="A1084" s="507" t="str">
        <f t="shared" ref="A1084" si="794">IF(H1084=0,"comment","")</f>
        <v/>
      </c>
      <c r="B1084" s="12" t="str">
        <f t="shared" si="785"/>
        <v>6001</v>
      </c>
      <c r="C1084" s="12" t="str">
        <f t="shared" si="786"/>
        <v>B00101</v>
      </c>
      <c r="D1084" s="109" t="str">
        <f>C30</f>
        <v>SR809C6600</v>
      </c>
      <c r="E1084" s="92">
        <v>1</v>
      </c>
      <c r="F1084" s="50">
        <v>1</v>
      </c>
      <c r="G1084" s="50">
        <f t="shared" si="787"/>
        <v>3</v>
      </c>
      <c r="H1084" s="50">
        <f t="shared" si="777"/>
        <v>2</v>
      </c>
      <c r="I1084" s="50">
        <f t="shared" ref="I1084" si="795" xml:space="preserve"> VLOOKUP(D1084,$C$230:$E$242,2,FALSE)</f>
        <v>645</v>
      </c>
      <c r="J1084" s="50">
        <f t="shared" ref="J1084" si="796" xml:space="preserve"> VLOOKUP(D1084,$C$230:$E$242,3,FALSE)</f>
        <v>640</v>
      </c>
      <c r="K1084" s="50">
        <f t="shared" ref="K1084" si="797">IF(F1084=0,SUMPRODUCT(($C$1017:$C$1039=C1084)*($G$1017:$G$1039=D1084)*($H$1017:$H$1039=E1084)*($AO$1017:$AO$1039)),SUMPRODUCT(($C$1017:$C$1039=C1084)*($G$1017:$G$1039=D1084)*($H$1017:$H$1039=E1084)*($AP$1017:$AP$1039)))</f>
        <v>0</v>
      </c>
      <c r="L1084" s="50">
        <f t="shared" ref="L1084" si="798">IF(F1084=0,SUMPRODUCT(($C$1017:$C$1039=C1084)*($G$1017:$G$1039=D1084)*($H$1017:$H$1039=E1084)*($AQ$1017:$AQ$1039)),SUMPRODUCT(($C$1017:$C$1039=C1084)*($G$1017:$G$1039=D1084)*($H$1017:$H$1039=E1084)*($AR$1017:$AR$1039)))</f>
        <v>0</v>
      </c>
      <c r="M1084" s="162">
        <f t="shared" ref="M1084" si="799">IF(F1084=0,SUMPRODUCT(($C$1017:$C$1039=C1084)*($G$1017:$G$1039=D1084)*($H$1017:$H$1039=E1084)*($L$1017:$L$1039)),SUMPRODUCT(($C$1017:$C$1039=C1084)*($G$1017:$G$1039=D1084)*($H$1017:$H$1039=E1084)*($M$1017:$M$1039)))</f>
        <v>16622.93</v>
      </c>
      <c r="N1084" s="50">
        <f t="shared" ref="N1084" si="800">IF(F1084=0,SUMPRODUCT(($C$1017:$C$1039=C1084)*($G$1017:$G$1039=D1084)*($H$1017:$H$1039=E1084)*($N$1017:$N$1039)),SUMPRODUCT(($C$1017:$C$1039=C1084)*($G$1017:$G$1039=D1084)*($H$1017:$H$1039=E1084)*($O$1017:$O$1039)))</f>
        <v>15328.06</v>
      </c>
      <c r="O1084" s="50">
        <f t="shared" ref="O1084" si="801" xml:space="preserve"> VLOOKUP(D1084,$C$19:$L$31,3,FALSE)</f>
        <v>10</v>
      </c>
      <c r="P1084" s="92">
        <f t="shared" si="788"/>
        <v>20180327</v>
      </c>
      <c r="Q1084" s="92" t="str">
        <f t="shared" si="789"/>
        <v>9999</v>
      </c>
      <c r="R1084" s="12" t="str">
        <f t="shared" si="790"/>
        <v>CZCE</v>
      </c>
      <c r="S1084" s="126"/>
      <c r="T1084" s="126"/>
      <c r="U1084" s="38"/>
      <c r="V1084" s="38"/>
      <c r="W1084" s="126"/>
      <c r="X1084" s="126"/>
      <c r="Y1084" s="126"/>
      <c r="Z1084" s="126"/>
      <c r="AA1084" s="126"/>
      <c r="AB1084" s="126"/>
      <c r="AC1084" s="126"/>
      <c r="AD1084" s="126"/>
      <c r="AE1084" s="126"/>
      <c r="AF1084" s="126"/>
      <c r="AG1084" s="126"/>
      <c r="AH1084" s="126"/>
      <c r="AI1084" s="126"/>
      <c r="AJ1084" s="126"/>
      <c r="AK1084" s="126"/>
      <c r="AL1084" s="126"/>
      <c r="AM1084" s="141"/>
      <c r="AN1084" s="141"/>
      <c r="AO1084" s="141"/>
      <c r="AP1084" s="141"/>
      <c r="AQ1084" s="126"/>
      <c r="AR1084" s="126"/>
      <c r="AS1084" s="126"/>
      <c r="AT1084" s="126"/>
      <c r="AU1084" s="126"/>
      <c r="AV1084" s="126"/>
      <c r="AW1084" s="126"/>
      <c r="AX1084" s="126"/>
      <c r="AY1084" s="126"/>
      <c r="AZ1084" s="126"/>
      <c r="BA1084" s="126"/>
      <c r="BB1084" s="126"/>
      <c r="BC1084" s="126"/>
      <c r="BD1084" s="126"/>
      <c r="BE1084" s="126"/>
      <c r="BF1084" s="126"/>
      <c r="BG1084" s="161"/>
      <c r="BH1084" s="3"/>
      <c r="BI1084" s="126"/>
      <c r="BJ1084" s="126"/>
    </row>
    <row r="1085" spans="1:62" x14ac:dyDescent="0.25">
      <c r="A1085" t="str">
        <f t="shared" si="793"/>
        <v>comment</v>
      </c>
      <c r="B1085" s="12" t="str">
        <f t="shared" si="785"/>
        <v>6001</v>
      </c>
      <c r="C1085" s="12" t="str">
        <f t="shared" si="786"/>
        <v>B00101</v>
      </c>
      <c r="D1085" s="109" t="str">
        <f>G1038</f>
        <v>SR807P6400</v>
      </c>
      <c r="E1085" s="92">
        <v>1</v>
      </c>
      <c r="F1085" s="50">
        <v>0</v>
      </c>
      <c r="G1085" s="50">
        <f t="shared" si="787"/>
        <v>2</v>
      </c>
      <c r="H1085" s="50">
        <f t="shared" si="777"/>
        <v>0</v>
      </c>
      <c r="I1085" s="50">
        <f t="shared" si="778"/>
        <v>625</v>
      </c>
      <c r="J1085" s="50">
        <f t="shared" si="779"/>
        <v>620</v>
      </c>
      <c r="K1085" s="50">
        <f>IF(F1085=0,SUMPRODUCT(($C$1017:$C$1039=C1085)*($G$1017:$G$1039=D1085)*($H$1017:$H$1039=E1085)*($AO$1017:$AO$1039)),SUMPRODUCT(($C$1017:$C$1039=C1085)*($G$1017:$G$1039=D1085)*($H$1017:$H$1039=E1085)*($AP$1017:$AP$1039)))</f>
        <v>0</v>
      </c>
      <c r="L1085" s="50">
        <f>IF(F1085=0,SUMPRODUCT(($C$1017:$C$1039=C1085)*($G$1017:$G$1039=D1085)*($H$1017:$H$1039=E1085)*($AQ$1017:$AQ$1039)),SUMPRODUCT(($C$1017:$C$1039=C1085)*($G$1017:$G$1039=D1085)*($H$1017:$H$1039=E1085)*($AR$1017:$AR$1039)))</f>
        <v>0</v>
      </c>
      <c r="M1085" s="162">
        <f>IF(F1085=0,SUMPRODUCT(($C$1017:$C$1039=C1085)*($G$1017:$G$1039=D1085)*($H$1017:$H$1039=E1085)*($L$1017:$L$1039)),SUMPRODUCT(($C$1017:$C$1039=C1085)*($G$1017:$G$1039=D1085)*($H$1017:$H$1039=E1085)*($M$1017:$M$1039)))</f>
        <v>0</v>
      </c>
      <c r="N1085" s="50">
        <f>IF(F1085=0,SUMPRODUCT(($C$1017:$C$1039=C1085)*($G$1017:$G$1039=D1085)*($H$1017:$H$1039=E1085)*($N$1017:$N$1039)),SUMPRODUCT(($C$1017:$C$1039=C1085)*($G$1017:$G$1039=D1085)*($H$1017:$H$1039=E1085)*($O$1017:$O$1039)))</f>
        <v>0</v>
      </c>
      <c r="O1085" s="50">
        <f t="shared" si="784"/>
        <v>10</v>
      </c>
      <c r="P1085" s="92">
        <f t="shared" si="788"/>
        <v>20180327</v>
      </c>
      <c r="Q1085" s="92" t="str">
        <f t="shared" si="789"/>
        <v>9999</v>
      </c>
      <c r="R1085" s="12" t="str">
        <f t="shared" si="790"/>
        <v>CZCE</v>
      </c>
      <c r="S1085" s="126"/>
      <c r="T1085" s="126"/>
      <c r="U1085" s="38"/>
      <c r="V1085" s="38"/>
      <c r="W1085" s="126"/>
      <c r="X1085" s="126"/>
      <c r="Y1085" s="126"/>
      <c r="Z1085" s="126"/>
      <c r="AA1085" s="126"/>
      <c r="AB1085" s="126"/>
      <c r="AC1085" s="126"/>
      <c r="AD1085" s="126"/>
      <c r="AE1085" s="126"/>
      <c r="AF1085" s="126"/>
      <c r="AG1085" s="126"/>
      <c r="AH1085" s="126"/>
      <c r="AI1085" s="126"/>
      <c r="AJ1085" s="126"/>
      <c r="AK1085" s="126"/>
      <c r="AL1085" s="126"/>
      <c r="AM1085" s="141"/>
      <c r="AN1085" s="141"/>
      <c r="AO1085" s="141"/>
      <c r="AP1085" s="141"/>
      <c r="AQ1085" s="126"/>
      <c r="AR1085" s="126"/>
      <c r="AS1085" s="126"/>
      <c r="AT1085" s="126"/>
      <c r="AU1085" s="126"/>
      <c r="AV1085" s="126"/>
      <c r="AW1085" s="126"/>
      <c r="AX1085" s="126"/>
      <c r="AY1085" s="126"/>
      <c r="AZ1085" s="126"/>
      <c r="BA1085" s="126"/>
      <c r="BB1085" s="126"/>
      <c r="BC1085" s="126"/>
      <c r="BD1085" s="126"/>
      <c r="BE1085" s="126"/>
      <c r="BF1085" s="126"/>
      <c r="BG1085" s="161"/>
      <c r="BH1085" s="3"/>
      <c r="BI1085" s="126"/>
      <c r="BJ1085" s="126"/>
    </row>
    <row r="1086" spans="1:62" x14ac:dyDescent="0.25">
      <c r="A1086" t="str">
        <f t="shared" si="793"/>
        <v>comment</v>
      </c>
      <c r="B1086" s="12" t="str">
        <f t="shared" si="785"/>
        <v>6001</v>
      </c>
      <c r="C1086" s="12" t="str">
        <f t="shared" si="786"/>
        <v>B00101</v>
      </c>
      <c r="D1086" s="109" t="str">
        <f>D1085</f>
        <v>SR807P6400</v>
      </c>
      <c r="E1086" s="92">
        <v>1</v>
      </c>
      <c r="F1086" s="50">
        <v>1</v>
      </c>
      <c r="G1086" s="50">
        <f t="shared" si="787"/>
        <v>3</v>
      </c>
      <c r="H1086" s="50">
        <f t="shared" si="777"/>
        <v>0</v>
      </c>
      <c r="I1086" s="50">
        <f t="shared" si="778"/>
        <v>625</v>
      </c>
      <c r="J1086" s="50">
        <f t="shared" si="779"/>
        <v>620</v>
      </c>
      <c r="K1086" s="50">
        <f>IF(F1086=0,SUMPRODUCT(($C$1017:$C$1039=C1086)*($G$1017:$G$1039=D1086)*($H$1017:$H$1039=E1086)*($AO$1017:$AO$1039)),SUMPRODUCT(($C$1017:$C$1039=C1086)*($G$1017:$G$1039=D1086)*($H$1017:$H$1039=E1086)*($AP$1017:$AP$1039)))</f>
        <v>0</v>
      </c>
      <c r="L1086" s="50">
        <f>IF(F1086=0,SUMPRODUCT(($C$1017:$C$1039=C1086)*($G$1017:$G$1039=D1086)*($H$1017:$H$1039=E1086)*($AQ$1017:$AQ$1039)),SUMPRODUCT(($C$1017:$C$1039=C1086)*($G$1017:$G$1039=D1086)*($H$1017:$H$1039=E1086)*($AR$1017:$AR$1039)))</f>
        <v>0</v>
      </c>
      <c r="M1086" s="162">
        <f>IF(F1086=0,SUMPRODUCT(($C$1017:$C$1039=C1086)*($G$1017:$G$1039=D1086)*($H$1017:$H$1039=E1086)*($L$1017:$L$1039)),SUMPRODUCT(($C$1017:$C$1039=C1086)*($G$1017:$G$1039=D1086)*($H$1017:$H$1039=E1086)*($M$1017:$M$1039)))</f>
        <v>0</v>
      </c>
      <c r="N1086" s="50">
        <f>IF(F1086=0,SUMPRODUCT(($C$1017:$C$1039=C1086)*($G$1017:$G$1039=D1086)*($H$1017:$H$1039=E1086)*($N$1017:$N$1039)),SUMPRODUCT(($C$1017:$C$1039=C1086)*($G$1017:$G$1039=D1086)*($H$1017:$H$1039=E1086)*($O$1017:$O$1039)))</f>
        <v>0</v>
      </c>
      <c r="O1086" s="50">
        <f t="shared" si="784"/>
        <v>10</v>
      </c>
      <c r="P1086" s="92">
        <f t="shared" si="788"/>
        <v>20180327</v>
      </c>
      <c r="Q1086" s="92" t="str">
        <f t="shared" si="789"/>
        <v>9999</v>
      </c>
      <c r="R1086" s="12" t="str">
        <f t="shared" si="790"/>
        <v>CZCE</v>
      </c>
      <c r="S1086" s="126"/>
      <c r="T1086" s="126"/>
      <c r="U1086" s="38"/>
      <c r="V1086" s="38"/>
      <c r="W1086" s="126"/>
      <c r="X1086" s="126"/>
      <c r="Y1086" s="126"/>
      <c r="Z1086" s="126"/>
      <c r="AA1086" s="126"/>
      <c r="AB1086" s="126"/>
      <c r="AC1086" s="126"/>
      <c r="AD1086" s="126"/>
      <c r="AE1086" s="126"/>
      <c r="AF1086" s="126"/>
      <c r="AG1086" s="126"/>
      <c r="AH1086" s="126"/>
      <c r="AI1086" s="126"/>
      <c r="AJ1086" s="126"/>
      <c r="AK1086" s="126"/>
      <c r="AL1086" s="126"/>
      <c r="AM1086" s="141"/>
      <c r="AN1086" s="141"/>
      <c r="AO1086" s="141"/>
      <c r="AP1086" s="141"/>
      <c r="AQ1086" s="126"/>
      <c r="AR1086" s="126"/>
      <c r="AS1086" s="126"/>
      <c r="AT1086" s="126"/>
      <c r="AU1086" s="126"/>
      <c r="AV1086" s="126"/>
      <c r="AW1086" s="126"/>
      <c r="AX1086" s="126"/>
      <c r="AY1086" s="126"/>
      <c r="AZ1086" s="126"/>
      <c r="BA1086" s="126"/>
      <c r="BB1086" s="126"/>
      <c r="BC1086" s="126"/>
      <c r="BD1086" s="126"/>
      <c r="BE1086" s="126"/>
      <c r="BF1086" s="126"/>
      <c r="BG1086" s="161"/>
      <c r="BH1086" s="3"/>
      <c r="BI1086" s="126"/>
      <c r="BJ1086" s="126"/>
    </row>
    <row r="1087" spans="1:62" x14ac:dyDescent="0.25">
      <c r="A1087" t="str">
        <f t="shared" si="793"/>
        <v>comment</v>
      </c>
      <c r="B1087" s="12" t="str">
        <f t="shared" si="785"/>
        <v>6001</v>
      </c>
      <c r="C1087" s="12" t="str">
        <f t="shared" si="786"/>
        <v>B00101</v>
      </c>
      <c r="D1087" s="109" t="str">
        <f>D1085</f>
        <v>SR807P6400</v>
      </c>
      <c r="E1087" s="92">
        <v>3</v>
      </c>
      <c r="F1087" s="50">
        <v>0</v>
      </c>
      <c r="G1087" s="50">
        <f t="shared" si="787"/>
        <v>2</v>
      </c>
      <c r="H1087" s="50">
        <f t="shared" si="777"/>
        <v>0</v>
      </c>
      <c r="I1087" s="50">
        <f t="shared" si="778"/>
        <v>625</v>
      </c>
      <c r="J1087" s="50">
        <f t="shared" si="779"/>
        <v>620</v>
      </c>
      <c r="K1087" s="50">
        <f>IF(F1087=0,SUMPRODUCT(($C$1017:$C$1039=C1087)*($G$1017:$G$1039=D1087)*($H$1017:$H$1039=E1087)*($AO$1017:$AO$1039)),SUMPRODUCT(($C$1017:$C$1039=C1087)*($G$1017:$G$1039=D1087)*($H$1017:$H$1039=E1087)*($AP$1017:$AP$1039)))</f>
        <v>0</v>
      </c>
      <c r="L1087" s="50">
        <f>IF(F1087=0,SUMPRODUCT(($C$1017:$C$1039=C1087)*($G$1017:$G$1039=D1087)*($H$1017:$H$1039=E1087)*($AQ$1017:$AQ$1039)),SUMPRODUCT(($C$1017:$C$1039=C1087)*($G$1017:$G$1039=D1087)*($H$1017:$H$1039=E1087)*($AR$1017:$AR$1039)))</f>
        <v>0</v>
      </c>
      <c r="M1087" s="162">
        <f>IF(F1087=0,SUMPRODUCT(($C$1017:$C$1039=C1087)*($G$1017:$G$1039=D1087)*($H$1017:$H$1039=E1087)*($L$1017:$L$1039)),SUMPRODUCT(($C$1017:$C$1039=C1087)*($G$1017:$G$1039=D1087)*($H$1017:$H$1039=E1087)*($M$1017:$M$1039)))</f>
        <v>0</v>
      </c>
      <c r="N1087" s="50">
        <f>IF(F1087=0,SUMPRODUCT(($C$1017:$C$1039=C1087)*($G$1017:$G$1039=D1087)*($H$1017:$H$1039=E1087)*($N$1017:$N$1039)),SUMPRODUCT(($C$1017:$C$1039=C1087)*($G$1017:$G$1039=D1087)*($H$1017:$H$1039=E1087)*($O$1017:$O$1039)))</f>
        <v>0</v>
      </c>
      <c r="O1087" s="50">
        <f t="shared" si="784"/>
        <v>10</v>
      </c>
      <c r="P1087" s="92">
        <f t="shared" si="788"/>
        <v>20180327</v>
      </c>
      <c r="Q1087" s="92" t="str">
        <f t="shared" si="789"/>
        <v>9999</v>
      </c>
      <c r="R1087" s="12" t="str">
        <f t="shared" si="790"/>
        <v>CZCE</v>
      </c>
      <c r="S1087" s="126"/>
      <c r="T1087" s="126"/>
      <c r="U1087" s="38"/>
      <c r="V1087" s="38"/>
      <c r="W1087" s="126"/>
      <c r="X1087" s="126"/>
      <c r="Y1087" s="126"/>
      <c r="Z1087" s="126"/>
      <c r="AA1087" s="126"/>
      <c r="AB1087" s="126"/>
      <c r="AC1087" s="126"/>
      <c r="AD1087" s="126"/>
      <c r="AE1087" s="126"/>
      <c r="AF1087" s="126"/>
      <c r="AG1087" s="126"/>
      <c r="AH1087" s="126"/>
      <c r="AI1087" s="126"/>
      <c r="AJ1087" s="126"/>
      <c r="AK1087" s="126"/>
      <c r="AL1087" s="126"/>
      <c r="AM1087" s="141"/>
      <c r="AN1087" s="141"/>
      <c r="AO1087" s="141"/>
      <c r="AP1087" s="141"/>
      <c r="AQ1087" s="126"/>
      <c r="AR1087" s="126"/>
      <c r="AS1087" s="126"/>
      <c r="AT1087" s="126"/>
      <c r="AU1087" s="126"/>
      <c r="AV1087" s="126"/>
      <c r="AW1087" s="126"/>
      <c r="AX1087" s="126"/>
      <c r="AY1087" s="126"/>
      <c r="AZ1087" s="126"/>
      <c r="BA1087" s="126"/>
      <c r="BB1087" s="126"/>
      <c r="BC1087" s="126"/>
      <c r="BD1087" s="126"/>
      <c r="BE1087" s="126"/>
      <c r="BF1087" s="126"/>
      <c r="BG1087" s="161"/>
      <c r="BH1087" s="3"/>
      <c r="BI1087" s="126"/>
      <c r="BJ1087" s="126"/>
    </row>
    <row r="1088" spans="1:62" x14ac:dyDescent="0.25">
      <c r="A1088" t="str">
        <f t="shared" si="793"/>
        <v>comment</v>
      </c>
      <c r="B1088" s="12" t="str">
        <f t="shared" si="785"/>
        <v>6001</v>
      </c>
      <c r="C1088" s="12" t="str">
        <f t="shared" si="786"/>
        <v>B00101</v>
      </c>
      <c r="D1088" s="109" t="str">
        <f>D1085</f>
        <v>SR807P6400</v>
      </c>
      <c r="E1088" s="92">
        <v>3</v>
      </c>
      <c r="F1088" s="50">
        <v>1</v>
      </c>
      <c r="G1088" s="50">
        <f t="shared" si="787"/>
        <v>3</v>
      </c>
      <c r="H1088" s="50">
        <f t="shared" si="777"/>
        <v>0</v>
      </c>
      <c r="I1088" s="50">
        <f t="shared" si="778"/>
        <v>625</v>
      </c>
      <c r="J1088" s="50">
        <f t="shared" si="779"/>
        <v>620</v>
      </c>
      <c r="K1088" s="50">
        <f>IF(F1088=0,SUMPRODUCT(($C$1017:$C$1039=C1088)*($G$1017:$G$1039=D1088)*($H$1017:$H$1039=E1088)*($AO$1017:$AO$1039)),SUMPRODUCT(($C$1017:$C$1039=C1088)*($G$1017:$G$1039=D1088)*($H$1017:$H$1039=E1088)*($AP$1017:$AP$1039)))</f>
        <v>0</v>
      </c>
      <c r="L1088" s="50">
        <f>IF(F1088=0,SUMPRODUCT(($C$1017:$C$1039=C1088)*($G$1017:$G$1039=D1088)*($H$1017:$H$1039=E1088)*($AQ$1017:$AQ$1039)),SUMPRODUCT(($C$1017:$C$1039=C1088)*($G$1017:$G$1039=D1088)*($H$1017:$H$1039=E1088)*($AR$1017:$AR$1039)))</f>
        <v>0</v>
      </c>
      <c r="M1088" s="162">
        <f>IF(F1088=0,SUMPRODUCT(($C$1017:$C$1039=C1088)*($G$1017:$G$1039=D1088)*($H$1017:$H$1039=E1088)*($L$1017:$L$1039)),SUMPRODUCT(($C$1017:$C$1039=C1088)*($G$1017:$G$1039=D1088)*($H$1017:$H$1039=E1088)*($M$1017:$M$1039)))</f>
        <v>0</v>
      </c>
      <c r="N1088" s="50">
        <f>IF(F1088=0,SUMPRODUCT(($C$1017:$C$1039=C1088)*($G$1017:$G$1039=D1088)*($H$1017:$H$1039=E1088)*($N$1017:$N$1039)),SUMPRODUCT(($C$1017:$C$1039=C1088)*($G$1017:$G$1039=D1088)*($H$1017:$H$1039=E1088)*($O$1017:$O$1039)))</f>
        <v>0</v>
      </c>
      <c r="O1088" s="50">
        <f t="shared" si="784"/>
        <v>10</v>
      </c>
      <c r="P1088" s="92">
        <f t="shared" si="788"/>
        <v>20180327</v>
      </c>
      <c r="Q1088" s="92" t="str">
        <f t="shared" si="789"/>
        <v>9999</v>
      </c>
      <c r="R1088" s="12" t="str">
        <f t="shared" si="790"/>
        <v>CZCE</v>
      </c>
      <c r="S1088" s="126"/>
      <c r="T1088" s="126"/>
      <c r="U1088" s="38"/>
      <c r="V1088" s="38"/>
      <c r="W1088" s="126"/>
      <c r="X1088" s="126"/>
      <c r="Y1088" s="126"/>
      <c r="Z1088" s="126"/>
      <c r="AA1088" s="126"/>
      <c r="AB1088" s="126"/>
      <c r="AC1088" s="126"/>
      <c r="AD1088" s="126"/>
      <c r="AE1088" s="126"/>
      <c r="AF1088" s="126"/>
      <c r="AG1088" s="126"/>
      <c r="AH1088" s="126"/>
      <c r="AI1088" s="126"/>
      <c r="AJ1088" s="126"/>
      <c r="AK1088" s="126"/>
      <c r="AL1088" s="126"/>
      <c r="AM1088" s="141"/>
      <c r="AN1088" s="141"/>
      <c r="AO1088" s="141"/>
      <c r="AP1088" s="141"/>
      <c r="AQ1088" s="126"/>
      <c r="AR1088" s="126"/>
      <c r="AS1088" s="126"/>
      <c r="AT1088" s="126"/>
      <c r="AU1088" s="126"/>
      <c r="AV1088" s="126"/>
      <c r="AW1088" s="126"/>
      <c r="AX1088" s="126"/>
      <c r="AY1088" s="126"/>
      <c r="AZ1088" s="126"/>
      <c r="BA1088" s="126"/>
      <c r="BB1088" s="126"/>
      <c r="BC1088" s="126"/>
      <c r="BD1088" s="126"/>
      <c r="BE1088" s="126"/>
      <c r="BF1088" s="126"/>
      <c r="BG1088" s="161"/>
      <c r="BH1088" s="3"/>
      <c r="BI1088" s="126"/>
      <c r="BJ1088" s="126"/>
    </row>
    <row r="1090" spans="1:68" x14ac:dyDescent="0.25">
      <c r="A1090" t="s">
        <v>173</v>
      </c>
      <c r="B1090" t="s">
        <v>714</v>
      </c>
    </row>
    <row r="1091" spans="1:68" x14ac:dyDescent="0.25">
      <c r="A1091" s="57" t="s">
        <v>124</v>
      </c>
      <c r="B1091" s="57" t="s">
        <v>980</v>
      </c>
    </row>
    <row r="1092" spans="1:68" x14ac:dyDescent="0.25">
      <c r="A1092" s="57" t="s">
        <v>306</v>
      </c>
      <c r="B1092" s="732" t="s">
        <v>713</v>
      </c>
      <c r="C1092" s="721"/>
      <c r="D1092" s="721"/>
      <c r="E1092" s="721"/>
      <c r="F1092" s="721"/>
      <c r="G1092" s="721"/>
      <c r="H1092" s="721"/>
      <c r="I1092" s="721"/>
      <c r="J1092" s="721"/>
      <c r="K1092" s="721"/>
      <c r="L1092" s="721"/>
      <c r="M1092" s="721"/>
      <c r="N1092" s="721"/>
      <c r="O1092" s="721"/>
      <c r="P1092" s="721"/>
      <c r="Q1092" s="721"/>
      <c r="R1092" s="721"/>
      <c r="S1092" s="721"/>
      <c r="T1092" s="721"/>
      <c r="U1092" s="721"/>
      <c r="V1092" s="721"/>
      <c r="W1092" s="721"/>
      <c r="X1092" s="721"/>
      <c r="Y1092" s="721"/>
      <c r="Z1092" s="721"/>
      <c r="AA1092" s="721"/>
      <c r="AB1092" s="721"/>
      <c r="AC1092" s="721"/>
      <c r="AD1092" s="721"/>
      <c r="AE1092" s="721"/>
      <c r="AF1092" s="721"/>
      <c r="AG1092" s="721"/>
      <c r="AH1092" s="721"/>
      <c r="AI1092" s="721"/>
      <c r="AJ1092" s="721"/>
      <c r="AK1092" s="721"/>
      <c r="AL1092" s="721"/>
      <c r="AM1092" s="721"/>
      <c r="AN1092" s="721"/>
      <c r="AO1092" s="721"/>
      <c r="AP1092" s="721"/>
      <c r="AQ1092" s="721"/>
    </row>
    <row r="1093" spans="1:68" x14ac:dyDescent="0.25">
      <c r="A1093" t="s">
        <v>1366</v>
      </c>
      <c r="B1093" s="148" t="s">
        <v>365</v>
      </c>
      <c r="C1093" s="148" t="s">
        <v>843</v>
      </c>
      <c r="D1093" s="148" t="s">
        <v>118</v>
      </c>
      <c r="E1093" s="148" t="s">
        <v>226</v>
      </c>
      <c r="F1093" s="148" t="s">
        <v>703</v>
      </c>
      <c r="G1093" s="148" t="s">
        <v>683</v>
      </c>
      <c r="H1093" s="148" t="s">
        <v>684</v>
      </c>
      <c r="I1093" s="148" t="s">
        <v>704</v>
      </c>
      <c r="J1093" s="148" t="s">
        <v>705</v>
      </c>
      <c r="K1093" s="148" t="s">
        <v>706</v>
      </c>
      <c r="L1093" s="148" t="s">
        <v>707</v>
      </c>
      <c r="M1093" s="148" t="s">
        <v>708</v>
      </c>
      <c r="N1093" s="148" t="s">
        <v>694</v>
      </c>
      <c r="O1093" s="148" t="s">
        <v>63</v>
      </c>
      <c r="P1093" s="148" t="s">
        <v>695</v>
      </c>
      <c r="Q1093" s="148" t="s">
        <v>696</v>
      </c>
      <c r="R1093" s="148" t="s">
        <v>693</v>
      </c>
      <c r="S1093" s="148" t="s">
        <v>692</v>
      </c>
      <c r="T1093" s="148" t="s">
        <v>728</v>
      </c>
      <c r="U1093" s="148" t="s">
        <v>21</v>
      </c>
      <c r="V1093" s="148" t="s">
        <v>689</v>
      </c>
      <c r="W1093" s="148" t="s">
        <v>102</v>
      </c>
      <c r="X1093" s="148" t="s">
        <v>53</v>
      </c>
      <c r="Y1093" s="148" t="s">
        <v>54</v>
      </c>
      <c r="Z1093" s="148" t="s">
        <v>106</v>
      </c>
      <c r="AA1093" s="148" t="s">
        <v>107</v>
      </c>
      <c r="AB1093" s="148" t="s">
        <v>698</v>
      </c>
      <c r="AC1093" s="148" t="s">
        <v>729</v>
      </c>
      <c r="AD1093" s="148" t="s">
        <v>6</v>
      </c>
      <c r="AE1093" s="148" t="s">
        <v>103</v>
      </c>
      <c r="AF1093" s="148" t="s">
        <v>104</v>
      </c>
      <c r="AG1093" s="148" t="s">
        <v>55</v>
      </c>
      <c r="AH1093" s="148" t="s">
        <v>56</v>
      </c>
      <c r="AI1093" s="148" t="s">
        <v>699</v>
      </c>
      <c r="AJ1093" s="148" t="s">
        <v>351</v>
      </c>
      <c r="AK1093" s="148" t="s">
        <v>352</v>
      </c>
      <c r="AL1093" s="148" t="s">
        <v>700</v>
      </c>
      <c r="AM1093" s="148" t="s">
        <v>701</v>
      </c>
      <c r="AN1093" s="148" t="s">
        <v>702</v>
      </c>
      <c r="AO1093" s="148" t="s">
        <v>198</v>
      </c>
      <c r="AP1093" s="148" t="s">
        <v>1562</v>
      </c>
      <c r="AQ1093" s="148" t="s">
        <v>1563</v>
      </c>
    </row>
    <row r="1094" spans="1:68" x14ac:dyDescent="0.25">
      <c r="B1094" s="148" t="s">
        <v>844</v>
      </c>
      <c r="C1094" s="148" t="s">
        <v>845</v>
      </c>
      <c r="D1094" s="148" t="s">
        <v>710</v>
      </c>
      <c r="E1094" s="148" t="s">
        <v>709</v>
      </c>
      <c r="F1094" s="148" t="s">
        <v>726</v>
      </c>
      <c r="G1094" s="148" t="s">
        <v>727</v>
      </c>
      <c r="H1094" s="148" t="s">
        <v>731</v>
      </c>
      <c r="I1094" s="148" t="s">
        <v>732</v>
      </c>
      <c r="J1094" s="148" t="s">
        <v>733</v>
      </c>
      <c r="K1094" s="148" t="s">
        <v>734</v>
      </c>
      <c r="L1094" s="148" t="s">
        <v>735</v>
      </c>
      <c r="M1094" s="148" t="s">
        <v>736</v>
      </c>
      <c r="N1094" s="148" t="s">
        <v>737</v>
      </c>
      <c r="O1094" s="148" t="s">
        <v>738</v>
      </c>
      <c r="P1094" s="148" t="s">
        <v>739</v>
      </c>
      <c r="Q1094" s="148" t="s">
        <v>740</v>
      </c>
      <c r="R1094" s="148" t="s">
        <v>741</v>
      </c>
      <c r="S1094" s="148" t="s">
        <v>742</v>
      </c>
      <c r="T1094" s="148" t="s">
        <v>743</v>
      </c>
      <c r="U1094" s="148" t="s">
        <v>744</v>
      </c>
      <c r="V1094" s="148" t="s">
        <v>745</v>
      </c>
      <c r="W1094" s="148" t="s">
        <v>746</v>
      </c>
      <c r="X1094" s="148" t="s">
        <v>747</v>
      </c>
      <c r="Y1094" s="148" t="s">
        <v>748</v>
      </c>
      <c r="Z1094" s="148" t="s">
        <v>749</v>
      </c>
      <c r="AA1094" s="148" t="s">
        <v>750</v>
      </c>
      <c r="AB1094" s="148" t="s">
        <v>751</v>
      </c>
      <c r="AC1094" s="148" t="s">
        <v>752</v>
      </c>
      <c r="AD1094" s="148" t="s">
        <v>753</v>
      </c>
      <c r="AE1094" s="148" t="s">
        <v>754</v>
      </c>
      <c r="AF1094" s="148" t="s">
        <v>755</v>
      </c>
      <c r="AG1094" s="148" t="s">
        <v>756</v>
      </c>
      <c r="AH1094" s="148" t="s">
        <v>757</v>
      </c>
      <c r="AI1094" s="148" t="s">
        <v>758</v>
      </c>
      <c r="AJ1094" s="148" t="s">
        <v>759</v>
      </c>
      <c r="AK1094" s="148" t="s">
        <v>760</v>
      </c>
      <c r="AL1094" s="148" t="s">
        <v>761</v>
      </c>
      <c r="AM1094" s="148" t="s">
        <v>762</v>
      </c>
      <c r="AN1094" s="148" t="s">
        <v>763</v>
      </c>
      <c r="AO1094" s="148" t="s">
        <v>652</v>
      </c>
      <c r="AP1094" s="148" t="s">
        <v>1561</v>
      </c>
      <c r="AQ1094" s="148" t="s">
        <v>1563</v>
      </c>
    </row>
    <row r="1095" spans="1:68" x14ac:dyDescent="0.25">
      <c r="B1095" s="92">
        <f>$B$2</f>
        <v>20180327</v>
      </c>
      <c r="C1095" s="92" t="str">
        <f>$F$5</f>
        <v>9999</v>
      </c>
      <c r="D1095" s="8" t="str">
        <f>$D$5</f>
        <v>6001</v>
      </c>
      <c r="E1095" s="8" t="s">
        <v>228</v>
      </c>
      <c r="F1095" s="92">
        <f>G1095+H1095+I1095</f>
        <v>178230.77</v>
      </c>
      <c r="G1095" s="92">
        <f>SUMPRODUCT(($D$1017:$D$1039=D1095)*($E$1017:$E$1039=E1095)*($H$1017:$H$1039=1)*($L$1017:$L$1039))+SUMPRODUCT(($D$1017:$D$1039=D1095)*($E$1017:$E$1039=E1095)*($H$1017:$H$1039=1)*($M$1017:$M$1039))</f>
        <v>92752.670000000013</v>
      </c>
      <c r="H1095" s="92">
        <f>SUMPRODUCT(($D$1017:$D$1039=D1095)*($E$1017:$E$1039=E1095)*($H$1017:$H$1039=3)*($L$1017:$L$1039))+SUMPRODUCT(($D$1017:$D$1039=D1095)*($E$1017:$E$1039=E1095)*($H$1017:$H$1039=3)*($M$1017:$M$1039))</f>
        <v>70061.7</v>
      </c>
      <c r="I1095" s="92">
        <f>SUMPRODUCT(($D$1017:$D$1039=D1095)*($E$1017:$E$1039=E1095)*($P$1017:$P$1039))</f>
        <v>15416.4</v>
      </c>
      <c r="J1095" s="115">
        <f>K1095+L1095+M1095</f>
        <v>145489.99999999997</v>
      </c>
      <c r="K1095" s="115">
        <f>SUMPRODUCT(($D$1017:$D$1039=D1095)*($E$1017:$E$1039=E1095)*($H$1017:$H$1039=1)*($N$1017:$N$1039))+SUMPRODUCT(($D$1017:$D$1039=D1095)*($E$1017:$E$1039=E1095)*($H$1017:$H$1039=1)*($O$1017:$O$1039))</f>
        <v>76342.899999999994</v>
      </c>
      <c r="L1095" s="115">
        <f>SUMPRODUCT(($D$1017:$D$1039=D1095)*($E$1017:$E$1039=E1095)*($H$1017:$H$1039=3)*($N$1017:$N$1039))+SUMPRODUCT(($D$1017:$D$1039=D1095)*($E$1017:$E$1039=E1095)*($H$1017:$H$1039=3)*($O$1017:$O$1039))</f>
        <v>56801.7</v>
      </c>
      <c r="M1095" s="92">
        <f>SUMPRODUCT(($D$1017:$D$1039=D1095)*($E$1017:$E$1039=E1095)*($Q$1017:$Q$1039))</f>
        <v>12345.4</v>
      </c>
      <c r="N1095" s="92">
        <f>O1095+P1095+AL1095</f>
        <v>-11240</v>
      </c>
      <c r="O1095" s="92">
        <f>SUMPRODUCT(($D$1017:$D$1039=D1095)*($E$1017:$E$1039=E1095)*($AL$1017:$AL$1039))+SUMPRODUCT(($D$1017:$D$1039=D1095)*($E$1017:$E$1039=E1095)*($AK$1017:$AK$1039))</f>
        <v>-7125</v>
      </c>
      <c r="P1095" s="92">
        <f>SUMPRODUCT(($D$1017:$D$1039=D1095)*($E$1017:$E$1039=E1095)*($AO$1017:$AO$1039))+SUMPRODUCT(($D$1017:$D$1039=D1095)*($E$1017:$E$1039=E1095)*($AP$1017:$AP$1039))</f>
        <v>-4115</v>
      </c>
      <c r="Q1095" s="115">
        <f>R1095+S1095</f>
        <v>-22585</v>
      </c>
      <c r="R1095" s="92">
        <f>SUMPRODUCT(($D$1017:$D$1039=D1095)*($E$1017:$E$1039=E1095)*($AN$1017:$AN$1039))+SUMPRODUCT(($D$1017:$D$1039=D1095)*($E$1017:$E$1039=E1095)*($AM$1017:$AM$1039))</f>
        <v>-12135</v>
      </c>
      <c r="S1095" s="92">
        <f>SUMPRODUCT(($D$1017:$D$1039=D1095)*($E$1017:$E$1039=E1095)*($AQ$1017:$AQ$1039))+SUMPRODUCT(($D$1017:$D$1039=D1095)*($E$1017:$E$1039=E1095)*($AR$1017:$AR$1039))</f>
        <v>-10450</v>
      </c>
      <c r="T1095" s="92">
        <f>SUMPRODUCT(($D$1017:$D$1039=D1095)*($E$1017:$E$1039=E1095)*($Y$1017:$Y$1039))</f>
        <v>2259.8399999999997</v>
      </c>
      <c r="U1095" s="92">
        <f>SUMPRODUCT(($F$806:$F$815=D1095)*($O$806:$O$815=2)*($U$806:$U$815))</f>
        <v>91.66</v>
      </c>
      <c r="V1095" s="92">
        <f>SUMPRODUCT(($D$1017:$D$1039=D1095)*($E$1017:$E$1039=E1095)*($AA$1017:$AA$1039))</f>
        <v>1166.44</v>
      </c>
      <c r="W1095" s="92">
        <f>SUMPRODUCT(($D$1017:$D$1039=D1095)*($E$1017:$E$1039=E1095)*($AB$1017:$AB$1039))</f>
        <v>0</v>
      </c>
      <c r="X1095" s="176">
        <f>SUMPRODUCT(($D$1017:$D$1039=D1095)*($E$1017:$E$1039=E1095)*($AC$1017:$AC$1039))</f>
        <v>982.38</v>
      </c>
      <c r="Y1095" s="92">
        <f>SUMPRODUCT(($D$1017:$D$1039=D1095)*($E$1017:$E$1039=E1095)*($AD$1017:$AD$1039))</f>
        <v>0</v>
      </c>
      <c r="Z1095" s="92">
        <f>SUMPRODUCT(($D$1017:$D$1039=D1095)*($E$1017:$E$1039=E1095)*($BV$1017:$BV$1039=1)*($L$1017:$L$1039))+SUMPRODUCT(($D$1017:$D$1039=D1095)*($E$1017:$E$1039=E1095)*($BV$1017:$BV$1039=1)*($M$1017:$M$1039))+SUMPRODUCT(($D$1017:$D$1039=D1095)*($E$1017:$E$1039=E1095)*($BV$1017:$BV$1039=1)*($P$1017:$P$1039))</f>
        <v>37575.799999999996</v>
      </c>
      <c r="AA1095" s="261">
        <f>SUMPRODUCT(($D$1017:$D$1039=D1095)*($E$1017:$E$1039=E1095)*($BV$1017:$BV$1039=1)*($AK$1017:$AK$1039))+SUMPRODUCT(($D$1017:$D$1039=D1095)*($E$1017:$E$1039=E1095)*($BV$1017:$BV$1039=1)*($AL$1017:$AL$1039))+SUMPRODUCT(($D$1017:$D$1039=D1095)*($E$1017:$E$1039=E1095)*($BV$1017:$BV$1039=1)*($AO$1017:$AO$1039))+SUMPRODUCT(($D$1017:$D$1039=D1095)*($E$1017:$E$1039=E1095)*($BV$1017:$BV$1039=1)*($AP$1017:$AP$1039))</f>
        <v>-1060</v>
      </c>
      <c r="AB1095" s="237">
        <f>SUMPRODUCT(($D$1017:$D$1039=D1095)*($E$1017:$E$1039=E1095)*($BV$1017:$BV$1039=1)*($Y$1017:$Y$1039))+SUMPRODUCT(($D$1017:$D$1039=D1095)*($E$1017:$E$1039=E1095)*($BV$1017:$BV$1039=1)*($Z$1017:$Z$1039))+SUMPRODUCT(($D$1017:$D$1039=D1095)*($E$1017:$E$1039=E1095)*($BV$1017:$BV$1039=1)*($AA$1017:$AA$1039))+SUMPRODUCT(($D$1017:$D$1039=D1095)*($E$1017:$E$1039=E1095)*($BV$1017:$BV$1039=1)*($AB$1017:$AB$1039))+SUMPRODUCT(($D$1017:$D$1039=D1095)*($E$1017:$E$1039=E1095)*($BV$1017:$BV$1039=1)*($AC$1017:$AC$1039))+SUMPRODUCT(($D$1017:$D$1039=D1095)*($E$1017:$E$1039=E1095)*($BV$1017:$BV$1039=1)*($AD$1017:$AD$1039))+SUMPRODUCT(($F$806:$F$815=D1095)*($O$806:$O$815=2)*($AC$806:$AC$815=0)*($AD$806:$AD$815=1)*($U$806:$U$815))</f>
        <v>553.79999999999995</v>
      </c>
      <c r="AC1095" s="92">
        <f>SUMPRODUCT(($D$1017:$D$1039=D1095)*($E$1017:$E$1039=E1095)*($AE$1017:$AE$1039))</f>
        <v>1909.7</v>
      </c>
      <c r="AD1095" s="92">
        <f>SUMPRODUCT(($F$806:$F$815=D1095)*($O$806:$O$815=1)*($U$806:$U$815))</f>
        <v>122.14</v>
      </c>
      <c r="AE1095" s="92">
        <v>0</v>
      </c>
      <c r="AF1095" s="92">
        <f>SUMPRODUCT(($D$1017:$D$1039=D1095)*($E$1017:$E$1039=E1095)*($AH$1017:$AH$1039))</f>
        <v>0</v>
      </c>
      <c r="AG1095" s="92">
        <f>SUMPRODUCT(($D$1017:$D$1039=D1095)*($E$1017:$E$1039=E1095)*($AI$1017:$AI$1039))</f>
        <v>823.48</v>
      </c>
      <c r="AH1095" s="92">
        <f>SUMPRODUCT(($D$1017:$D$1039=D1095)*($E$1017:$E$1039=E1095)*($AJ$1017:$AJ$1039))</f>
        <v>0</v>
      </c>
      <c r="AI1095" s="92">
        <f>SUMPRODUCT(($D$1017:$D$1039=D1095)*($E$1017:$E$1039=E1095)*($BV$1017:$BV$1039=1)*($N$1017:$N$1039))+SUMPRODUCT(($D$1017:$D$1039=D1095)*($E$1017:$E$1039=E1095)*($BV$1017:$BV$1039=1)*($O$1017:$O$1039))+SUMPRODUCT(($D$1017:$D$1039=D1095)*($E$1017:$E$1039=E1095)*($BV$1017:$BV$1039=1)*($Q$1017:$Q$1039))</f>
        <v>30171.799999999996</v>
      </c>
      <c r="AJ1095" s="92">
        <f>SUMPRODUCT(($D$1017:$D$1039=D1095)*($E$1017:$E$1039=E1095)*($W$1017:$W$1039))</f>
        <v>75270</v>
      </c>
      <c r="AK1095" s="92">
        <f>SUMPRODUCT(($D$1017:$D$1039=D1095)*($E$1017:$E$1039=E1095)*($X$1017:$X$1039))</f>
        <v>57395</v>
      </c>
      <c r="AL1095" s="92">
        <v>0</v>
      </c>
      <c r="AM1095" s="92">
        <f>SUMPRODUCT(($E$922:$E$998=D1095)*($J$922:$J$998=0)*($AT$922:$AT$998=E1095)*($P$922:$P$998))</f>
        <v>0</v>
      </c>
      <c r="AN1095" s="92">
        <f>SUMPRODUCT(($E$922:$E$998=D1095)*($J$922:$J$998=1)*($AT$922:$AT$998=E1095)*($P$922:$P$998))</f>
        <v>12800</v>
      </c>
      <c r="AO1095" s="92" t="str">
        <f>$B$19</f>
        <v>CZCE</v>
      </c>
      <c r="AP1095" s="111">
        <f>SUMPRODUCT(($D$1017:$D$1039=D1095)*($E$1017:$E$1039=E1095)*($BV$1017:$BV$1039=1)*($W$1017:$W$1039))</f>
        <v>0</v>
      </c>
      <c r="AQ1095" s="111">
        <f>SUMPRODUCT(($D$1017:$D$1039=D1095)*($E$1017:$E$1039=E1095)*($BV$1017:$BV$1039=1)*($X$1017:$X$1039))</f>
        <v>0</v>
      </c>
    </row>
    <row r="1096" spans="1:68" x14ac:dyDescent="0.25">
      <c r="B1096" s="92">
        <f>$B$2</f>
        <v>20180327</v>
      </c>
      <c r="C1096" s="92" t="str">
        <f>$F$5</f>
        <v>9999</v>
      </c>
      <c r="D1096" s="8" t="str">
        <f>$D$5</f>
        <v>6001</v>
      </c>
      <c r="E1096" s="8" t="s">
        <v>1898</v>
      </c>
      <c r="F1096" s="92">
        <f>G1096+H1096+I1096</f>
        <v>0</v>
      </c>
      <c r="G1096" s="92">
        <f>SUMPRODUCT(($D$1017:$D$1039=D1096)*($E$1017:$E$1039=E1096)*($H$1017:$H$1039=1)*($L$1017:$L$1039))+SUMPRODUCT(($D$1017:$D$1039=D1096)*($E$1017:$E$1039=E1096)*($H$1017:$H$1039=1)*($M$1017:$M$1039))</f>
        <v>0</v>
      </c>
      <c r="H1096" s="92">
        <f>SUMPRODUCT(($D$1017:$D$1039=D1096)*($E$1017:$E$1039=E1096)*($H$1017:$H$1039=3)*($L$1017:$L$1039))+SUMPRODUCT(($D$1017:$D$1039=D1096)*($E$1017:$E$1039=E1096)*($H$1017:$H$1039=3)*($M$1017:$M$1039))</f>
        <v>0</v>
      </c>
      <c r="I1096" s="92">
        <f>SUMPRODUCT(($D$1017:$D$1039=D1096)*($E$1017:$E$1039=E1096)*($P$1017:$P$1039))</f>
        <v>0</v>
      </c>
      <c r="J1096" s="115">
        <f>K1096+L1096+M1096</f>
        <v>0</v>
      </c>
      <c r="K1096" s="115">
        <f>SUMPRODUCT(($D$1017:$D$1039=D1096)*($E$1017:$E$1039=E1096)*($H$1017:$H$1039=1)*($N$1017:$N$1039))+SUMPRODUCT(($D$1017:$D$1039=D1096)*($E$1017:$E$1039=E1096)*($H$1017:$H$1039=1)*($O$1017:$O$1039))</f>
        <v>0</v>
      </c>
      <c r="L1096" s="115">
        <f>SUMPRODUCT(($D$1017:$D$1039=D1096)*($E$1017:$E$1039=E1096)*($H$1017:$H$1039=3)*($N$1017:$N$1039))+SUMPRODUCT(($D$1017:$D$1039=D1096)*($E$1017:$E$1039=E1096)*($H$1017:$H$1039=3)*($O$1017:$O$1039))</f>
        <v>0</v>
      </c>
      <c r="M1096" s="92">
        <f>SUMPRODUCT(($D$1017:$D$1039=D1096)*($E$1017:$E$1039=E1096)*($Q$1017:$Q$1039))</f>
        <v>0</v>
      </c>
      <c r="N1096" s="92">
        <f>O1096+P1096+AL1096</f>
        <v>0</v>
      </c>
      <c r="O1096" s="92">
        <f>SUMPRODUCT(($D$1017:$D$1039=D1096)*($E$1017:$E$1039=E1096)*($AL$1017:$AL$1039))+SUMPRODUCT(($D$1017:$D$1039=D1096)*($E$1017:$E$1039=E1096)*($AK$1017:$AK$1039))</f>
        <v>0</v>
      </c>
      <c r="P1096" s="92">
        <f>SUMPRODUCT(($D$1017:$D$1039=D1096)*($E$1017:$E$1039=E1096)*($AO$1017:$AO$1039))+SUMPRODUCT(($D$1017:$D$1039=D1096)*($E$1017:$E$1039=E1096)*($AP$1017:$AP$1039))</f>
        <v>0</v>
      </c>
      <c r="Q1096" s="115">
        <f>R1096+S1096</f>
        <v>0</v>
      </c>
      <c r="R1096" s="92">
        <f>SUMPRODUCT(($D$1017:$D$1039=D1096)*($E$1017:$E$1039=E1096)*($AN$1017:$AN$1039))+SUMPRODUCT(($D$1017:$D$1039=D1096)*($E$1017:$E$1039=E1096)*($AM$1017:$AM$1039))</f>
        <v>0</v>
      </c>
      <c r="S1096" s="92">
        <f>SUMPRODUCT(($D$1017:$D$1039=D1096)*($E$1017:$E$1039=E1096)*($AQ$1017:$AQ$1039))+SUMPRODUCT(($D$1017:$D$1039=D1096)*($E$1017:$E$1039=E1096)*($AR$1017:$AR$1039))</f>
        <v>0</v>
      </c>
      <c r="T1096" s="92">
        <f>SUMPRODUCT(($D$1017:$D$1039=D1096)*($E$1017:$E$1039=E1096)*($Y$1017:$Y$1039))</f>
        <v>0</v>
      </c>
      <c r="U1096" s="92">
        <f>SUMPRODUCT(($D$1017:$D$1039=D1096)*($E$1017:$E$1039=E1096)*($Z$1017:$Z$1039))</f>
        <v>0</v>
      </c>
      <c r="V1096" s="92">
        <f>SUMPRODUCT(($D$1017:$D$1039=D1096)*($E$1017:$E$1039=E1096)*($AA$1017:$AA$1039))</f>
        <v>0</v>
      </c>
      <c r="W1096" s="92">
        <f>SUMPRODUCT(($D$1017:$D$1039=D1096)*($E$1017:$E$1039=E1096)*($AB$1017:$AB$1039))</f>
        <v>0</v>
      </c>
      <c r="X1096" s="176">
        <f>SUMPRODUCT(($D$1017:$D$1039=D1096)*($E$1017:$E$1039=E1096)*($AC$1017:$AC$1039))</f>
        <v>0</v>
      </c>
      <c r="Y1096" s="92">
        <f>SUMPRODUCT(($D$1017:$D$1039=D1096)*($E$1017:$E$1039=E1096)*($AD$1017:$AD$1039))</f>
        <v>0</v>
      </c>
      <c r="Z1096" s="92">
        <f>SUMPRODUCT(($D$1017:$D$1039=D1096)*($E$1017:$E$1039=E1096)*($BV$1017:$BV$1039=1)*($L$1017:$L$1039))+SUMPRODUCT(($D$1017:$D$1039=D1096)*($E$1017:$E$1039=E1096)*($BV$1017:$BV$1039=1)*($M$1017:$M$1039))+SUMPRODUCT(($D$1017:$D$1039=D1096)*($E$1017:$E$1039=E1096)*($BV$1017:$BV$1039=1)*($P$1017:$P$1039))</f>
        <v>0</v>
      </c>
      <c r="AA1096" s="261">
        <f>SUMPRODUCT(($D$1017:$D$1039=D1096)*($E$1017:$E$1039=E1096)*($BV$1017:$BV$1039=1)*($AK$1017:$AK$1039))+SUMPRODUCT(($D$1017:$D$1039=D1096)*($E$1017:$E$1039=E1096)*($BV$1017:$BV$1039=1)*($AL$1017:$AL$1039))+SUMPRODUCT(($D$1017:$D$1039=D1096)*($E$1017:$E$1039=E1096)*($BV$1017:$BV$1039=1)*($AO$1017:$AO$1039))+SUMPRODUCT(($D$1017:$D$1039=D1096)*($E$1017:$E$1039=E1096)*($BV$1017:$BV$1039=1)*($AP$1017:$AP$1039))</f>
        <v>0</v>
      </c>
      <c r="AB1096" s="423">
        <f>SUMPRODUCT(($D$1017:$D$1039=D1096)*($E$1017:$E$1039=E1096)*($BV$1017:$BV$1039=1)*($Y$1017:$Y$1039))</f>
        <v>0</v>
      </c>
      <c r="AC1096" s="92">
        <f>SUMPRODUCT(($D$1017:$D$1039=D1096)*($E$1017:$E$1039=E1096)*($AE$1017:$AE$1039))</f>
        <v>0</v>
      </c>
      <c r="AD1096" s="244">
        <f>SUMPRODUCT(($D$1017:$D$1039=D1096)*($E$1017:$E$1039=E1096)*($AG$1017:$AG$1039))</f>
        <v>0</v>
      </c>
      <c r="AE1096" s="92">
        <v>0</v>
      </c>
      <c r="AF1096" s="92">
        <f>SUMPRODUCT(($D$1017:$D$1039=D1096)*($E$1017:$E$1039=E1096)*($AH$1017:$AH$1039))</f>
        <v>0</v>
      </c>
      <c r="AG1096" s="92">
        <f>SUMPRODUCT(($D$1017:$D$1039=D1096)*($E$1017:$E$1039=E1096)*($AI$1017:$AI$1039))</f>
        <v>0</v>
      </c>
      <c r="AH1096" s="92">
        <f>SUMPRODUCT(($D$1017:$D$1039=D1096)*($E$1017:$E$1039=E1096)*($AJ$1017:$AJ$1039))</f>
        <v>0</v>
      </c>
      <c r="AI1096" s="244">
        <f>SUMPRODUCT(($D$1017:$D$1039=D1096)*($E$1017:$E$1039=E1096)*($BV$1017:$BV$1039=1)*($N$1017:$N$1039))+SUMPRODUCT(($D$1017:$D$1039=D1096)*($E$1017:$E$1039=E1096)*($BV$1017:$BV$1039=1)*($O$1017:$O$1039))+SUMPRODUCT(($D$1017:$D$1039=D1096)*($E$1017:$E$1039=E1096)*($BV$1017:$BV$1039=1)*($Q$1017:$Q$1039))</f>
        <v>0</v>
      </c>
      <c r="AJ1096" s="92">
        <f>SUMPRODUCT(($D$1017:$D$1039=D1096)*($E$1017:$E$1039=E1096)*($W$1017:$W$1039))</f>
        <v>0</v>
      </c>
      <c r="AK1096" s="92">
        <f>SUMPRODUCT(($D$1017:$D$1039=D1096)*($E$1017:$E$1039=E1096)*($X$1017:$X$1039))</f>
        <v>0</v>
      </c>
      <c r="AL1096" s="92">
        <v>0</v>
      </c>
      <c r="AM1096" s="244">
        <f>SUMPRODUCT(($E$922:$E$998=D1096)*($J$922:$J$998=0)*($AT$922:$AT$998=E1096)*($P$922:$P$998))+SUMPRODUCT(($E$922:$E$998=D1096)*($J$922:$J$998=0)*($AT$922:$AT$998=E1096)*($Q$922:$Q$998))</f>
        <v>0</v>
      </c>
      <c r="AN1096" s="92">
        <f>SUMPRODUCT(($E$922:$E$998=D1096)*($J$922:$J$998=1)*($AT$922:$AT$998=E1096)*($P$922:$P$998))</f>
        <v>0</v>
      </c>
      <c r="AO1096" s="92" t="str">
        <f>$B$19</f>
        <v>CZCE</v>
      </c>
      <c r="AP1096" s="111">
        <f>SUMPRODUCT(($D$1017:$D$1039=D1096)*($E$1017:$E$1039=E1096)*($BV$1017:$BV$1039=1)*($W$1017:$W$1039))</f>
        <v>0</v>
      </c>
      <c r="AQ1096" s="111">
        <f>SUMPRODUCT(($D$1017:$D$1039=D1096)*($E$1017:$E$1039=E1096)*($BV$1017:$BV$1039=1)*($X$1017:$X$1039))</f>
        <v>0</v>
      </c>
    </row>
    <row r="1097" spans="1:68" x14ac:dyDescent="0.25">
      <c r="B1097" s="92">
        <f>$B$2</f>
        <v>20180327</v>
      </c>
      <c r="C1097" s="92" t="str">
        <f>$F$5</f>
        <v>9999</v>
      </c>
      <c r="D1097" s="8" t="str">
        <f>$D$5</f>
        <v>6001</v>
      </c>
      <c r="E1097" s="8" t="s">
        <v>229</v>
      </c>
      <c r="F1097" s="92">
        <f>G1097+H1097+I1097</f>
        <v>0</v>
      </c>
      <c r="G1097" s="92">
        <f>SUMPRODUCT(($D$1017:$D$1039=D1097)*($E$1017:$E$1039=E1097)*($H$1017:$H$1039=1)*($L$1017:$L$1039))+SUMPRODUCT(($D$1017:$D$1039=D1097)*($E$1017:$E$1039=E1097)*($H$1017:$H$1039=1)*($M$1017:$M$1039))</f>
        <v>0</v>
      </c>
      <c r="H1097" s="92">
        <f>SUMPRODUCT(($D$1017:$D$1039=D1097)*($E$1017:$E$1039=E1097)*($H$1017:$H$1039=3)*($L$1017:$L$1039))+SUMPRODUCT(($D$1017:$D$1039=D1097)*($E$1017:$E$1039=E1097)*($H$1017:$H$1039=3)*($M$1017:$M$1039))</f>
        <v>0</v>
      </c>
      <c r="I1097" s="92">
        <f>SUMPRODUCT(($D$1017:$D$1039=D1097)*($E$1017:$E$1039=E1097)*($P$1017:$P$1039))</f>
        <v>0</v>
      </c>
      <c r="J1097" s="92">
        <f>K1097+L1097+M1097</f>
        <v>0</v>
      </c>
      <c r="K1097" s="92">
        <f>SUMPRODUCT(($D$1017:$D$1039=D1097)*($E$1017:$E$1039=E1097)*($H$1017:$H$1039=1)*($N$1017:$N$1039))+SUMPRODUCT(($D$1017:$D$1039=D1097)*($E$1017:$E$1039=E1097)*($H$1017:$H$1039=1)*($O$1017:$O$1039))</f>
        <v>0</v>
      </c>
      <c r="L1097" s="92">
        <f>SUMPRODUCT(($D$1017:$D$1039=D1097)*($E$1017:$E$1039=E1097)*($H$1017:$H$1039=3)*($N$1017:$N$1039))+SUMPRODUCT(($D$1017:$D$1039=D1097)*($E$1017:$E$1039=E1097)*($H$1017:$H$1039=3)*($O$1017:$O$1039))</f>
        <v>0</v>
      </c>
      <c r="M1097" s="92">
        <f>SUMPRODUCT(($D$1017:$D$1039=D1097)*($E$1017:$E$1039=E1097)*($Q$1017:$Q$1039))</f>
        <v>0</v>
      </c>
      <c r="N1097" s="92">
        <f>O1097+P1097+AL1097</f>
        <v>0</v>
      </c>
      <c r="O1097" s="92">
        <f>SUMPRODUCT(($D$1017:$D$1039=D1097)*($E$1017:$E$1039=E1097)*($AL$1017:$AL$1039))+SUMPRODUCT(($D$1017:$D$1039=D1097)*($E$1017:$E$1039=E1097)*($AM$1017:$AM$1039))</f>
        <v>0</v>
      </c>
      <c r="P1097" s="92">
        <f>SUMPRODUCT(($D$1017:$D$1039=D1097)*($E$1017:$E$1039=E1097)*($AO$1017:$AO$1039))+SUMPRODUCT(($D$1017:$D$1039=D1097)*($E$1017:$E$1039=E1097)*($AP$1017:$AP$1039))</f>
        <v>0</v>
      </c>
      <c r="Q1097" s="115">
        <f>R1097+S1097</f>
        <v>0</v>
      </c>
      <c r="R1097" s="92">
        <f>SUMPRODUCT(($D$1017:$D$1039=D1097)*($E$1017:$E$1039=E1097)*($AN$1017:$AN$1039))+SUMPRODUCT(($D$1017:$D$1039=D1097)*($E$1017:$E$1039=E1097)*($AO$1017:$AO$1039))</f>
        <v>0</v>
      </c>
      <c r="S1097" s="92">
        <f>SUMPRODUCT(($D$1017:$D$1039=D1097)*($E$1017:$E$1039=E1097)*($AQ$1017:$AQ$1039))+SUMPRODUCT(($D$1017:$D$1039=D1097)*($E$1017:$E$1039=E1097)*($AR$1017:$AR$1039))</f>
        <v>0</v>
      </c>
      <c r="T1097" s="92">
        <f>SUMPRODUCT(($D$1017:$D$1039=D1097)*($E$1017:$E$1039=E1097)*($Y$1017:$Y$1039))</f>
        <v>0</v>
      </c>
      <c r="U1097" s="92">
        <f>SUMPRODUCT(($D$1017:$D$1039=D1097)*($E$1017:$E$1039=E1097)*($Z$1017:$Z$1039))</f>
        <v>0</v>
      </c>
      <c r="V1097" s="92">
        <f>SUMPRODUCT(($D$1017:$D$1039=D1097)*($E$1017:$E$1039=E1097)*($AA$1017:$AA$1039))</f>
        <v>0</v>
      </c>
      <c r="W1097" s="92">
        <f>SUMPRODUCT(($D$1017:$D$1039=D1097)*($E$1017:$E$1039=E1097)*($AB$1017:$AB$1039))</f>
        <v>0</v>
      </c>
      <c r="X1097" s="176">
        <f>SUMPRODUCT(($D$1017:$D$1039=D1097)*($E$1017:$E$1039=E1097)*($AC$1017:$AC$1039))</f>
        <v>0</v>
      </c>
      <c r="Y1097" s="92">
        <f>SUMPRODUCT(($D$1017:$D$1039=D1097)*($E$1017:$E$1039=E1097)*($AD$1017:$AD$1039))</f>
        <v>0</v>
      </c>
      <c r="Z1097" s="92">
        <f>SUMPRODUCT(($D$1017:$D$1039=D1097)*($E$1017:$E$1039=E1097)*($W$1017:$BV$1039=1)*($L$1017:$L$1039))+SUMPRODUCT(($D$1017:$D$1039=D1097)*($E$1017:$E$1039=E1097)*($W$1017:$BV$1039=1)*($M$1017:$M$1039))+SUMPRODUCT(($D$1017:$D$1039=D1097)*($E$1017:$E$1039=E1097)*($W$1017:$BV$1039=1)*($P$1017:$P$1039))</f>
        <v>0</v>
      </c>
      <c r="AA1097" s="92">
        <f>SUMPRODUCT(($D$1017:$D$1039=D1097)*($E$1017:$E$1039=E1097)*($W$1017:$BV$1039=1)*($AK$1017:$AK$1039))+SUMPRODUCT(($D$1017:$D$1039=D1097)*($E$1017:$E$1039=E1097)*($W$1017:$BV$1039=1)*($AL$1017:$AL$1039))+SUMPRODUCT(($D$1017:$D$1039=D1097)*($E$1017:$E$1039=E1097)*($W$1017:$BV$1039=1)*($AO$1017:$AO$1039))+SUMPRODUCT(($D$1017:$D$1039=D1097)*($E$1017:$E$1039=E1097)*($W$1017:$BV$1039=1)*($AP$1017:$AP$1039))</f>
        <v>0</v>
      </c>
      <c r="AB1097" s="92">
        <f>SUMPRODUCT(($D$1017:$D$1039=D1097)*($E$1017:$E$1039=E1097)*($BV$1017:$BV$1039=1)*($Y$1017:$Y$1039))</f>
        <v>0</v>
      </c>
      <c r="AC1097" s="92">
        <f>SUMPRODUCT(($D$1017:$D$1039=D1097)*($E$1017:$E$1039=E1097)*($AE$1017:$AE$1039))</f>
        <v>0</v>
      </c>
      <c r="AD1097" s="244">
        <f>SUMPRODUCT(($D$1017:$D$1039=D1097)*($E$1017:$E$1039=E1097)*($AG$1017:$AG$1039))</f>
        <v>0</v>
      </c>
      <c r="AE1097" s="92">
        <f>SUMPRODUCT(($D$1017:$D$1039=D1097)*($E$1017:$E$1039=E1097)*($AG$1017:$AG$1039))</f>
        <v>0</v>
      </c>
      <c r="AF1097" s="92">
        <f>SUMPRODUCT(($D$1017:$D$1039=D1097)*($E$1017:$E$1039=E1097)*($AH$1017:$AH$1039))</f>
        <v>0</v>
      </c>
      <c r="AG1097" s="92">
        <f>SUMPRODUCT(($D$1017:$D$1039=D1097)*($E$1017:$E$1039=E1097)*($AI$1017:$AI$1039))</f>
        <v>0</v>
      </c>
      <c r="AH1097" s="92">
        <f>SUMPRODUCT(($D$1017:$D$1039=D1097)*($E$1017:$E$1039=E1097)*($AJ$1017:$AJ$1039))</f>
        <v>0</v>
      </c>
      <c r="AI1097" s="92">
        <f>SUMPRODUCT(($D$1017:$D$1039=D1097)*($E$1017:$E$1039=E1097)*($W$1017:$BV$1039=1)*($N$1017:$N$1039))+SUMPRODUCT(($D$1017:$D$1039=D1097)*($E$1017:$E$1039=E1097)*($W$1017:$BV$1039=1)*($O$1017:$O$1039))+SUMPRODUCT(($D$1017:$D$1039=D1097)*($E$1017:$E$1039=E1097)*($W$1017:$BV$1039=1)*($Q$1017:$Q$1039))</f>
        <v>0</v>
      </c>
      <c r="AJ1097" s="92">
        <f>SUMPRODUCT(($D$1017:$D$1039=D1097)*($E$1017:$E$1039=E1097)*($W$1017:$W$1039))</f>
        <v>0</v>
      </c>
      <c r="AK1097" s="92">
        <f>SUMPRODUCT(($D$1017:$D$1039=D1097)*($E$1017:$E$1039=E1097)*($X$1017:$X$1039))</f>
        <v>0</v>
      </c>
      <c r="AL1097" s="92">
        <v>0</v>
      </c>
      <c r="AM1097" s="92">
        <f>SUMPRODUCT(($E$922:$E$998=D1097)*($J$922:$J$998=0)*($AT$922:$AT$998=E1097)*($P$922:$P$998))</f>
        <v>0</v>
      </c>
      <c r="AN1097" s="92">
        <f>SUMPRODUCT(($E$922:$E$998=D1097)*($J$922:$J$998=1)*($AT$922:$AT$998=E1097)*($P$922:$P$998))+SUMPRODUCT(($E$922:$E$998=D1097)*($J$922:$J$998=1)*($AT$922:$AT$998=E1097)*($Q$922:$Q$998))</f>
        <v>0</v>
      </c>
      <c r="AO1097" s="92" t="str">
        <f>$B$19</f>
        <v>CZCE</v>
      </c>
      <c r="AP1097" s="111">
        <f>SUMPRODUCT(($D$1017:$D$1039=D1097)*($E$1017:$E$1039=E1097)*($BV$1017:$BV$1039=1)*($W$1017:$W$1039))</f>
        <v>0</v>
      </c>
      <c r="AQ1097" s="111">
        <f>SUMPRODUCT(($D$1017:$D$1039=D1097)*($E$1017:$E$1039=E1097)*($BV$1017:$BV$1039=1)*($X$1017:$X$1039))</f>
        <v>0</v>
      </c>
    </row>
    <row r="1098" spans="1:68" x14ac:dyDescent="0.25">
      <c r="A1098" t="s">
        <v>1364</v>
      </c>
      <c r="B1098" t="s">
        <v>715</v>
      </c>
    </row>
    <row r="1099" spans="1:68" x14ac:dyDescent="0.25">
      <c r="A1099" s="57" t="s">
        <v>124</v>
      </c>
      <c r="B1099" s="57" t="s">
        <v>980</v>
      </c>
    </row>
    <row r="1100" spans="1:68" x14ac:dyDescent="0.25">
      <c r="A1100" t="s">
        <v>306</v>
      </c>
      <c r="B1100" s="719" t="s">
        <v>1858</v>
      </c>
      <c r="C1100" s="719"/>
      <c r="D1100" s="719"/>
      <c r="E1100" s="719"/>
      <c r="F1100" s="719"/>
      <c r="G1100" s="719"/>
      <c r="H1100" s="719"/>
      <c r="I1100" s="719"/>
      <c r="J1100" s="719"/>
      <c r="K1100" s="719"/>
      <c r="L1100" s="719"/>
      <c r="M1100" s="719"/>
      <c r="N1100" s="719"/>
      <c r="O1100" s="719"/>
      <c r="P1100" s="719"/>
      <c r="Q1100" s="719"/>
      <c r="R1100" s="719"/>
      <c r="S1100" s="719"/>
      <c r="T1100" s="719"/>
      <c r="U1100" s="719"/>
      <c r="V1100" s="719"/>
      <c r="W1100" s="719"/>
      <c r="X1100" s="719"/>
      <c r="Y1100" s="719"/>
      <c r="Z1100" s="719"/>
      <c r="AA1100" s="719"/>
      <c r="AB1100" s="719"/>
      <c r="AC1100" s="719"/>
      <c r="AD1100" s="719"/>
      <c r="AE1100" s="719"/>
      <c r="AF1100" s="719"/>
      <c r="AG1100" s="719"/>
      <c r="AH1100" s="719"/>
      <c r="AI1100" s="719"/>
      <c r="AJ1100" s="719"/>
      <c r="AK1100" s="719"/>
      <c r="AL1100" s="719"/>
      <c r="AM1100" s="719"/>
      <c r="AN1100" s="719"/>
      <c r="AO1100" s="719"/>
      <c r="AP1100" s="719"/>
      <c r="AQ1100" s="719"/>
      <c r="AR1100" s="719"/>
      <c r="AS1100" s="719"/>
      <c r="AT1100" s="719"/>
      <c r="AU1100" s="719"/>
      <c r="AV1100" s="719"/>
      <c r="AW1100" s="719"/>
      <c r="AX1100" s="719"/>
      <c r="AY1100" s="719"/>
      <c r="AZ1100" s="719"/>
      <c r="BA1100" s="719"/>
      <c r="BB1100" s="719"/>
      <c r="BC1100" s="719"/>
      <c r="BD1100" s="719"/>
      <c r="BE1100" s="719"/>
      <c r="BF1100" s="719"/>
      <c r="BG1100" s="719"/>
      <c r="BH1100" s="719"/>
      <c r="BI1100" s="719"/>
      <c r="BJ1100" s="719"/>
      <c r="BK1100" s="719"/>
      <c r="BL1100" s="719"/>
      <c r="BM1100" s="719"/>
      <c r="BN1100" s="719"/>
      <c r="BO1100" s="719"/>
      <c r="BP1100" s="719"/>
    </row>
    <row r="1101" spans="1:68" x14ac:dyDescent="0.25">
      <c r="A1101" t="s">
        <v>1365</v>
      </c>
      <c r="B1101" s="148" t="s">
        <v>365</v>
      </c>
      <c r="C1101" s="148" t="s">
        <v>843</v>
      </c>
      <c r="D1101" s="148" t="s">
        <v>118</v>
      </c>
      <c r="E1101" s="148" t="s">
        <v>226</v>
      </c>
      <c r="F1101" s="148" t="s">
        <v>764</v>
      </c>
      <c r="G1101" s="148" t="s">
        <v>765</v>
      </c>
      <c r="H1101" s="148" t="s">
        <v>766</v>
      </c>
      <c r="I1101" s="148" t="s">
        <v>767</v>
      </c>
      <c r="J1101" s="148" t="s">
        <v>768</v>
      </c>
      <c r="K1101" s="148" t="s">
        <v>769</v>
      </c>
      <c r="L1101" s="148" t="s">
        <v>770</v>
      </c>
      <c r="M1101" s="148" t="s">
        <v>771</v>
      </c>
      <c r="N1101" s="148" t="s">
        <v>772</v>
      </c>
      <c r="O1101" s="148" t="s">
        <v>773</v>
      </c>
      <c r="P1101" s="148" t="s">
        <v>774</v>
      </c>
      <c r="Q1101" s="148" t="s">
        <v>775</v>
      </c>
      <c r="R1101" s="148" t="s">
        <v>776</v>
      </c>
      <c r="S1101" s="148" t="s">
        <v>777</v>
      </c>
      <c r="T1101" s="148" t="s">
        <v>778</v>
      </c>
      <c r="U1101" s="148" t="s">
        <v>779</v>
      </c>
      <c r="V1101" s="148" t="s">
        <v>780</v>
      </c>
      <c r="W1101" s="148" t="s">
        <v>1380</v>
      </c>
      <c r="X1101" s="148" t="s">
        <v>1464</v>
      </c>
      <c r="Y1101" s="148" t="s">
        <v>781</v>
      </c>
      <c r="Z1101" s="148" t="s">
        <v>782</v>
      </c>
      <c r="AA1101" s="148" t="s">
        <v>783</v>
      </c>
      <c r="AB1101" s="239" t="s">
        <v>784</v>
      </c>
      <c r="AC1101" s="148" t="s">
        <v>685</v>
      </c>
      <c r="AD1101" s="148" t="s">
        <v>703</v>
      </c>
      <c r="AE1101" s="148" t="s">
        <v>683</v>
      </c>
      <c r="AF1101" s="148" t="s">
        <v>684</v>
      </c>
      <c r="AG1101" s="148" t="s">
        <v>704</v>
      </c>
      <c r="AH1101" s="148" t="s">
        <v>705</v>
      </c>
      <c r="AI1101" s="148" t="s">
        <v>706</v>
      </c>
      <c r="AJ1101" s="148" t="s">
        <v>707</v>
      </c>
      <c r="AK1101" s="148" t="s">
        <v>708</v>
      </c>
      <c r="AL1101" s="148" t="s">
        <v>694</v>
      </c>
      <c r="AM1101" s="148" t="s">
        <v>63</v>
      </c>
      <c r="AN1101" s="148" t="s">
        <v>695</v>
      </c>
      <c r="AO1101" s="148" t="s">
        <v>696</v>
      </c>
      <c r="AP1101" s="148" t="s">
        <v>693</v>
      </c>
      <c r="AQ1101" s="148" t="s">
        <v>692</v>
      </c>
      <c r="AR1101" s="148" t="s">
        <v>728</v>
      </c>
      <c r="AS1101" s="148" t="s">
        <v>21</v>
      </c>
      <c r="AT1101" s="148" t="s">
        <v>689</v>
      </c>
      <c r="AU1101" s="148" t="s">
        <v>102</v>
      </c>
      <c r="AV1101" s="148" t="s">
        <v>53</v>
      </c>
      <c r="AW1101" s="148" t="s">
        <v>54</v>
      </c>
      <c r="AX1101" s="148" t="s">
        <v>106</v>
      </c>
      <c r="AY1101" s="148" t="s">
        <v>107</v>
      </c>
      <c r="AZ1101" s="148" t="s">
        <v>698</v>
      </c>
      <c r="BA1101" s="148" t="s">
        <v>729</v>
      </c>
      <c r="BB1101" s="148" t="s">
        <v>6</v>
      </c>
      <c r="BC1101" s="148" t="s">
        <v>103</v>
      </c>
      <c r="BD1101" s="148" t="s">
        <v>104</v>
      </c>
      <c r="BE1101" s="148" t="s">
        <v>55</v>
      </c>
      <c r="BF1101" s="148" t="s">
        <v>56</v>
      </c>
      <c r="BG1101" s="148" t="s">
        <v>699</v>
      </c>
      <c r="BH1101" s="148" t="s">
        <v>351</v>
      </c>
      <c r="BI1101" s="148" t="s">
        <v>352</v>
      </c>
      <c r="BJ1101" s="148" t="s">
        <v>700</v>
      </c>
      <c r="BK1101" s="148" t="s">
        <v>701</v>
      </c>
      <c r="BL1101" s="148" t="s">
        <v>702</v>
      </c>
      <c r="BM1101" s="201" t="s">
        <v>1205</v>
      </c>
      <c r="BN1101" s="201" t="s">
        <v>1206</v>
      </c>
      <c r="BO1101" s="201" t="s">
        <v>1900</v>
      </c>
      <c r="BP1101" s="201" t="s">
        <v>1889</v>
      </c>
    </row>
    <row r="1102" spans="1:68" x14ac:dyDescent="0.25">
      <c r="B1102" s="202" t="s">
        <v>844</v>
      </c>
      <c r="C1102" s="202" t="s">
        <v>845</v>
      </c>
      <c r="D1102" s="202" t="s">
        <v>710</v>
      </c>
      <c r="E1102" s="202" t="s">
        <v>709</v>
      </c>
      <c r="F1102" s="202" t="s">
        <v>785</v>
      </c>
      <c r="G1102" s="202" t="s">
        <v>786</v>
      </c>
      <c r="H1102" s="202" t="s">
        <v>724</v>
      </c>
      <c r="I1102" s="202" t="s">
        <v>788</v>
      </c>
      <c r="J1102" s="411" t="s">
        <v>789</v>
      </c>
      <c r="K1102" s="411" t="s">
        <v>790</v>
      </c>
      <c r="L1102" s="411" t="s">
        <v>791</v>
      </c>
      <c r="M1102" s="202" t="s">
        <v>792</v>
      </c>
      <c r="N1102" s="411" t="s">
        <v>793</v>
      </c>
      <c r="O1102" s="202" t="s">
        <v>794</v>
      </c>
      <c r="P1102" s="202" t="s">
        <v>795</v>
      </c>
      <c r="Q1102" s="202" t="s">
        <v>796</v>
      </c>
      <c r="R1102" s="202" t="s">
        <v>797</v>
      </c>
      <c r="S1102" s="202" t="s">
        <v>798</v>
      </c>
      <c r="T1102" s="202" t="s">
        <v>799</v>
      </c>
      <c r="U1102" s="411" t="s">
        <v>800</v>
      </c>
      <c r="V1102" s="202" t="s">
        <v>801</v>
      </c>
      <c r="W1102" s="202" t="s">
        <v>802</v>
      </c>
      <c r="X1102" s="202" t="s">
        <v>803</v>
      </c>
      <c r="Y1102" s="411" t="s">
        <v>804</v>
      </c>
      <c r="Z1102" s="411" t="s">
        <v>805</v>
      </c>
      <c r="AA1102" s="202" t="s">
        <v>806</v>
      </c>
      <c r="AB1102" s="411" t="s">
        <v>725</v>
      </c>
      <c r="AC1102" s="411" t="s">
        <v>808</v>
      </c>
      <c r="AD1102" s="202" t="s">
        <v>726</v>
      </c>
      <c r="AE1102" s="202" t="s">
        <v>727</v>
      </c>
      <c r="AF1102" s="202" t="s">
        <v>731</v>
      </c>
      <c r="AG1102" s="202" t="s">
        <v>732</v>
      </c>
      <c r="AH1102" s="202" t="s">
        <v>733</v>
      </c>
      <c r="AI1102" s="202" t="s">
        <v>734</v>
      </c>
      <c r="AJ1102" s="202" t="s">
        <v>735</v>
      </c>
      <c r="AK1102" s="202" t="s">
        <v>736</v>
      </c>
      <c r="AL1102" s="202" t="s">
        <v>737</v>
      </c>
      <c r="AM1102" s="202" t="s">
        <v>738</v>
      </c>
      <c r="AN1102" s="202" t="s">
        <v>739</v>
      </c>
      <c r="AO1102" s="202" t="s">
        <v>740</v>
      </c>
      <c r="AP1102" s="202" t="s">
        <v>741</v>
      </c>
      <c r="AQ1102" s="202" t="s">
        <v>742</v>
      </c>
      <c r="AR1102" s="202" t="s">
        <v>743</v>
      </c>
      <c r="AS1102" s="202" t="s">
        <v>744</v>
      </c>
      <c r="AT1102" s="202" t="s">
        <v>745</v>
      </c>
      <c r="AU1102" s="202" t="s">
        <v>746</v>
      </c>
      <c r="AV1102" s="202" t="s">
        <v>747</v>
      </c>
      <c r="AW1102" s="202" t="s">
        <v>748</v>
      </c>
      <c r="AX1102" s="202" t="s">
        <v>749</v>
      </c>
      <c r="AY1102" s="202" t="s">
        <v>750</v>
      </c>
      <c r="AZ1102" s="202" t="s">
        <v>751</v>
      </c>
      <c r="BA1102" s="202" t="s">
        <v>752</v>
      </c>
      <c r="BB1102" s="202" t="s">
        <v>753</v>
      </c>
      <c r="BC1102" s="202" t="s">
        <v>754</v>
      </c>
      <c r="BD1102" s="202" t="s">
        <v>755</v>
      </c>
      <c r="BE1102" s="202" t="s">
        <v>756</v>
      </c>
      <c r="BF1102" s="202" t="s">
        <v>757</v>
      </c>
      <c r="BG1102" s="202" t="s">
        <v>758</v>
      </c>
      <c r="BH1102" s="202" t="s">
        <v>759</v>
      </c>
      <c r="BI1102" s="202" t="s">
        <v>760</v>
      </c>
      <c r="BJ1102" s="202" t="s">
        <v>761</v>
      </c>
      <c r="BK1102" s="202" t="s">
        <v>762</v>
      </c>
      <c r="BL1102" s="202" t="s">
        <v>763</v>
      </c>
      <c r="BM1102" s="201" t="s">
        <v>1205</v>
      </c>
      <c r="BN1102" s="201" t="s">
        <v>1206</v>
      </c>
      <c r="BO1102" s="201" t="s">
        <v>1900</v>
      </c>
      <c r="BP1102" s="201" t="s">
        <v>1889</v>
      </c>
    </row>
    <row r="1103" spans="1:68" x14ac:dyDescent="0.25">
      <c r="B1103" s="92">
        <f>$B$2</f>
        <v>20180327</v>
      </c>
      <c r="C1103" s="92" t="str">
        <f>$F$5</f>
        <v>9999</v>
      </c>
      <c r="D1103" s="92" t="str">
        <f>$D$5</f>
        <v>6001</v>
      </c>
      <c r="E1103" s="92" t="s">
        <v>228</v>
      </c>
      <c r="F1103" s="109">
        <f>ROUND(G1103-S1103+T1103+AL1103-AR1103-AS1103-AT1103-AU1103-AV1103-AW1103+BH1103-BI1103,2)</f>
        <v>74460.91</v>
      </c>
      <c r="G1103" s="92">
        <f>'day1'!F858</f>
        <v>71325.86</v>
      </c>
      <c r="H1103" s="118">
        <f>I1103-S1103+T1103+AP1103-AR1103-AS1103-AT1103-AU1103-AV1103-AW1103+BH1103-BI1103</f>
        <v>84910.909999999974</v>
      </c>
      <c r="I1103" s="92">
        <f>'day1'!H858</f>
        <v>82670.86</v>
      </c>
      <c r="J1103" s="237">
        <f>ROUND(F1103+U1103-V1103+Q1103,2)</f>
        <v>92080.97</v>
      </c>
      <c r="K1103" s="237">
        <f>ROUND(F1103+Q1103-AD1103+U1103-V1103,2)</f>
        <v>-86149.8</v>
      </c>
      <c r="L1103" s="237">
        <f>ROUND(F1103-AD1103-O1103-V1103+U1103,2)</f>
        <v>-92149.8</v>
      </c>
      <c r="M1103" s="92">
        <v>0</v>
      </c>
      <c r="N1103" s="92">
        <f>IF(P1103-K1103&gt;0,P1103-K1103,0)</f>
        <v>88149.8</v>
      </c>
      <c r="O1103" s="92">
        <f>D193</f>
        <v>1000</v>
      </c>
      <c r="P1103" s="92">
        <f>E193</f>
        <v>2000</v>
      </c>
      <c r="Q1103" s="200">
        <f>J362</f>
        <v>5000</v>
      </c>
      <c r="R1103" s="92">
        <f>'day1'!Q858</f>
        <v>5000</v>
      </c>
      <c r="S1103" s="92">
        <f>SUMPRODUCT(( $C$451:$C$456=D1103)*($D$451:$D$456=E1103)*($F$451:$F$456=1)*($E$451:$E$456))</f>
        <v>4000</v>
      </c>
      <c r="T1103" s="109">
        <f>SUMPRODUCT(( $C$451:$C$456=D1103)*($D$451:$D$456=E1103)*($F$451:$F$456=0)*($E$451:$E$456))</f>
        <v>5000.37</v>
      </c>
      <c r="U1103" s="237">
        <f>ROUND(V1105*BM1103*BN1103+V1104*BO1103*BP1103,2)</f>
        <v>12620.06</v>
      </c>
      <c r="V1103" s="92">
        <v>0</v>
      </c>
      <c r="W1103" s="237">
        <f>'day1'!U858</f>
        <v>6310.28</v>
      </c>
      <c r="X1103" s="92">
        <v>0</v>
      </c>
      <c r="Y1103" s="92">
        <f>IF(U1103&gt;=AX1103,AX1103,U1103)</f>
        <v>12620.06</v>
      </c>
      <c r="Z1103" s="92">
        <f>IF(U1103&gt;=BG1103,BG1103,U1103)</f>
        <v>12620.06</v>
      </c>
      <c r="AA1103" s="92">
        <v>0</v>
      </c>
      <c r="AB1103" s="241">
        <f>J1103+BK1103-BL1103</f>
        <v>79280.97</v>
      </c>
      <c r="AC1103" s="237">
        <f>U1103-W1103</f>
        <v>6309.78</v>
      </c>
      <c r="AD1103" s="92">
        <f t="shared" ref="AD1103:BL1103" si="802">F1095</f>
        <v>178230.77</v>
      </c>
      <c r="AE1103" s="92">
        <f t="shared" si="802"/>
        <v>92752.670000000013</v>
      </c>
      <c r="AF1103" s="92">
        <f t="shared" si="802"/>
        <v>70061.7</v>
      </c>
      <c r="AG1103" s="92">
        <f t="shared" si="802"/>
        <v>15416.4</v>
      </c>
      <c r="AH1103" s="92">
        <f t="shared" si="802"/>
        <v>145489.99999999997</v>
      </c>
      <c r="AI1103" s="92">
        <f t="shared" si="802"/>
        <v>76342.899999999994</v>
      </c>
      <c r="AJ1103" s="92">
        <f t="shared" si="802"/>
        <v>56801.7</v>
      </c>
      <c r="AK1103" s="92">
        <f t="shared" si="802"/>
        <v>12345.4</v>
      </c>
      <c r="AL1103" s="92">
        <f t="shared" si="802"/>
        <v>-11240</v>
      </c>
      <c r="AM1103" s="92">
        <f t="shared" si="802"/>
        <v>-7125</v>
      </c>
      <c r="AN1103" s="92">
        <f t="shared" si="802"/>
        <v>-4115</v>
      </c>
      <c r="AO1103" s="92">
        <f t="shared" si="802"/>
        <v>-22585</v>
      </c>
      <c r="AP1103" s="92">
        <f t="shared" si="802"/>
        <v>-12135</v>
      </c>
      <c r="AQ1103" s="92">
        <f t="shared" si="802"/>
        <v>-10450</v>
      </c>
      <c r="AR1103" s="92">
        <f t="shared" si="802"/>
        <v>2259.8399999999997</v>
      </c>
      <c r="AS1103" s="92">
        <f t="shared" si="802"/>
        <v>91.66</v>
      </c>
      <c r="AT1103" s="92">
        <f t="shared" si="802"/>
        <v>1166.44</v>
      </c>
      <c r="AU1103" s="92">
        <f t="shared" si="802"/>
        <v>0</v>
      </c>
      <c r="AV1103" s="92">
        <f t="shared" si="802"/>
        <v>982.38</v>
      </c>
      <c r="AW1103" s="92">
        <f t="shared" si="802"/>
        <v>0</v>
      </c>
      <c r="AX1103" s="92">
        <f t="shared" si="802"/>
        <v>37575.799999999996</v>
      </c>
      <c r="AY1103" s="92">
        <f t="shared" si="802"/>
        <v>-1060</v>
      </c>
      <c r="AZ1103" s="92">
        <f t="shared" si="802"/>
        <v>553.79999999999995</v>
      </c>
      <c r="BA1103" s="92">
        <f t="shared" si="802"/>
        <v>1909.7</v>
      </c>
      <c r="BB1103" s="92">
        <f t="shared" si="802"/>
        <v>122.14</v>
      </c>
      <c r="BC1103" s="92">
        <f t="shared" si="802"/>
        <v>0</v>
      </c>
      <c r="BD1103" s="92">
        <f t="shared" si="802"/>
        <v>0</v>
      </c>
      <c r="BE1103" s="92">
        <f t="shared" si="802"/>
        <v>823.48</v>
      </c>
      <c r="BF1103" s="92">
        <f t="shared" si="802"/>
        <v>0</v>
      </c>
      <c r="BG1103" s="92">
        <f t="shared" si="802"/>
        <v>30171.799999999996</v>
      </c>
      <c r="BH1103" s="92">
        <f t="shared" si="802"/>
        <v>75270</v>
      </c>
      <c r="BI1103" s="92">
        <f t="shared" si="802"/>
        <v>57395</v>
      </c>
      <c r="BJ1103" s="92">
        <f t="shared" si="802"/>
        <v>0</v>
      </c>
      <c r="BK1103" s="92">
        <f t="shared" si="802"/>
        <v>0</v>
      </c>
      <c r="BL1103" s="92">
        <f t="shared" si="802"/>
        <v>12800</v>
      </c>
      <c r="BM1103" s="111">
        <f>B198</f>
        <v>6.1234000000000002</v>
      </c>
      <c r="BN1103" s="111">
        <f>B203</f>
        <v>0.9</v>
      </c>
      <c r="BO1103" s="92">
        <f>B200</f>
        <v>0.88200000000000001</v>
      </c>
      <c r="BP1103" s="92">
        <f>B205</f>
        <v>0.9</v>
      </c>
    </row>
    <row r="1104" spans="1:68" x14ac:dyDescent="0.25">
      <c r="B1104" s="92">
        <f>$B$2</f>
        <v>20180327</v>
      </c>
      <c r="C1104" s="92" t="str">
        <f>$F$5</f>
        <v>9999</v>
      </c>
      <c r="D1104" s="92" t="str">
        <f>$D$5</f>
        <v>6001</v>
      </c>
      <c r="E1104" s="92" t="s">
        <v>1899</v>
      </c>
      <c r="F1104" s="109">
        <f>ROUND(G1104-S1104+T1104+AL1104-AR1104-AS1104-AT1104-AU1104-AV1104-AW1104+BH1104-BI1104,2)</f>
        <v>2001.64</v>
      </c>
      <c r="G1104" s="92">
        <f>'day1'!F859</f>
        <v>1000.8599999999999</v>
      </c>
      <c r="H1104" s="424">
        <f>I1104-S1104+T1104+AO1104-AR1104-AS1104-AT1104-AU1104-AV1104-AW1104</f>
        <v>2001.6399999999994</v>
      </c>
      <c r="I1104" s="92">
        <f>'day1'!H859</f>
        <v>1000.8599999999999</v>
      </c>
      <c r="J1104" s="237">
        <f>ROUND(F1104+U1104-V1104+Q1104,2)</f>
        <v>0</v>
      </c>
      <c r="K1104" s="237">
        <f>ROUND(F1104+Q1104-AD1104+U1104-V1104,2)</f>
        <v>0</v>
      </c>
      <c r="L1104" s="237">
        <f>ROUND(F1104-AD1104-O1104-V1104+U1104,2)</f>
        <v>0</v>
      </c>
      <c r="M1104" s="92">
        <v>0</v>
      </c>
      <c r="N1104" s="92">
        <f>IF(P1104-K1104&gt;0,P1104-K1104,0)</f>
        <v>0</v>
      </c>
      <c r="O1104" s="92">
        <v>0</v>
      </c>
      <c r="P1104" s="92">
        <v>0</v>
      </c>
      <c r="Q1104" s="92">
        <v>0</v>
      </c>
      <c r="R1104" s="92">
        <v>0</v>
      </c>
      <c r="S1104" s="92">
        <f>SUMPRODUCT(( $C$451:$C$456=D1104)*($D$451:$D$456=E1104)*($F$451:$F$456=1)*($E$451:$E$456))</f>
        <v>5000</v>
      </c>
      <c r="T1104" s="109">
        <f>SUMPRODUCT(( $C$451:$C$456=D1104)*($D$451:$D$456=E1104)*($F$451:$F$456=0)*($E$451:$E$456))</f>
        <v>6000.78</v>
      </c>
      <c r="U1104" s="237">
        <v>0</v>
      </c>
      <c r="V1104" s="109">
        <f>T1104-S1104+G1104</f>
        <v>2001.6399999999996</v>
      </c>
      <c r="W1104" s="237">
        <v>0</v>
      </c>
      <c r="X1104" s="92">
        <f>'day1'!V859</f>
        <v>1000.8599999999999</v>
      </c>
      <c r="Y1104" s="92">
        <v>0</v>
      </c>
      <c r="Z1104" s="92">
        <v>0</v>
      </c>
      <c r="AA1104" s="92">
        <v>0</v>
      </c>
      <c r="AB1104" s="241">
        <f>J1104+BK1104-BL1104</f>
        <v>0</v>
      </c>
      <c r="AC1104" s="237">
        <v>0</v>
      </c>
      <c r="AD1104" s="92">
        <v>0</v>
      </c>
      <c r="AE1104" s="92">
        <v>0</v>
      </c>
      <c r="AF1104" s="92">
        <v>0</v>
      </c>
      <c r="AG1104" s="92">
        <v>0</v>
      </c>
      <c r="AH1104" s="92">
        <v>0</v>
      </c>
      <c r="AI1104" s="92">
        <v>0</v>
      </c>
      <c r="AJ1104" s="92">
        <v>0</v>
      </c>
      <c r="AK1104" s="92">
        <v>0</v>
      </c>
      <c r="AL1104" s="92">
        <v>0</v>
      </c>
      <c r="AM1104" s="92">
        <v>0</v>
      </c>
      <c r="AN1104" s="92">
        <v>0</v>
      </c>
      <c r="AO1104" s="92">
        <v>0</v>
      </c>
      <c r="AP1104" s="92">
        <v>0</v>
      </c>
      <c r="AQ1104" s="92">
        <v>0</v>
      </c>
      <c r="AR1104" s="92">
        <v>0</v>
      </c>
      <c r="AS1104" s="92">
        <v>0</v>
      </c>
      <c r="AT1104" s="92">
        <v>0</v>
      </c>
      <c r="AU1104" s="92">
        <v>0</v>
      </c>
      <c r="AV1104" s="92">
        <v>0</v>
      </c>
      <c r="AW1104" s="92">
        <v>0</v>
      </c>
      <c r="AX1104" s="92">
        <v>0</v>
      </c>
      <c r="AY1104" s="92">
        <v>0</v>
      </c>
      <c r="AZ1104" s="92">
        <v>0</v>
      </c>
      <c r="BA1104" s="92">
        <v>0</v>
      </c>
      <c r="BB1104" s="92">
        <v>0</v>
      </c>
      <c r="BC1104" s="92">
        <v>0</v>
      </c>
      <c r="BD1104" s="92">
        <v>0</v>
      </c>
      <c r="BE1104" s="92">
        <v>0</v>
      </c>
      <c r="BF1104" s="92">
        <v>0</v>
      </c>
      <c r="BG1104" s="92">
        <v>0</v>
      </c>
      <c r="BH1104" s="92">
        <v>0</v>
      </c>
      <c r="BI1104" s="92">
        <v>0</v>
      </c>
      <c r="BJ1104" s="92">
        <v>0</v>
      </c>
      <c r="BK1104" s="92">
        <v>0</v>
      </c>
      <c r="BL1104" s="92">
        <v>0</v>
      </c>
      <c r="BM1104" s="92"/>
      <c r="BN1104" s="111"/>
      <c r="BO1104" s="92">
        <f>BO1103</f>
        <v>0.88200000000000001</v>
      </c>
      <c r="BP1104" s="92">
        <f>BP1103</f>
        <v>0.9</v>
      </c>
    </row>
    <row r="1105" spans="1:68" x14ac:dyDescent="0.25">
      <c r="B1105" s="92">
        <f>$B$2</f>
        <v>20180327</v>
      </c>
      <c r="C1105" s="92" t="str">
        <f>$F$5</f>
        <v>9999</v>
      </c>
      <c r="D1105" s="92" t="str">
        <f>$D$5</f>
        <v>6001</v>
      </c>
      <c r="E1105" s="111" t="s">
        <v>229</v>
      </c>
      <c r="F1105" s="237">
        <f>G1105-S1105+T1105+AL1105-AR1105-AS1105-AT1105-AU1105-AV1105-AW1105+BH1105-BI1105</f>
        <v>2001.6399999999994</v>
      </c>
      <c r="G1105" s="92">
        <f>'day1'!F860</f>
        <v>1000.8599999999999</v>
      </c>
      <c r="H1105" s="109">
        <f>I1105-S1105+T1105+AO1105-AR1105-AS1105-AT1105-AU1105-AV1105-AW1105</f>
        <v>2001.6399999999994</v>
      </c>
      <c r="I1105" s="92">
        <f>'day1'!H860</f>
        <v>1000.8599999999999</v>
      </c>
      <c r="J1105" s="92">
        <f>F1105+U1105-V1105+Q1105</f>
        <v>-2.2737367544323206E-13</v>
      </c>
      <c r="K1105" s="92">
        <f>F1105+Q1105-AD1105+U1105-V1105</f>
        <v>0</v>
      </c>
      <c r="L1105" s="237">
        <f>ROUND(F1105-AD1105-O1105-V1105+U1105,2)</f>
        <v>0</v>
      </c>
      <c r="M1105" s="92">
        <v>0</v>
      </c>
      <c r="N1105" s="92">
        <f>IF(P1105-K1105&gt;0,Q1158-L1158,0)</f>
        <v>0</v>
      </c>
      <c r="O1105" s="92">
        <v>0</v>
      </c>
      <c r="P1105" s="92">
        <v>0</v>
      </c>
      <c r="Q1105" s="92">
        <v>0</v>
      </c>
      <c r="R1105" s="92">
        <v>0</v>
      </c>
      <c r="S1105" s="92">
        <f>SUMPRODUCT(( $C$451:$C$456=D1105)*($D$451:$D$456=E1105)*($F$451:$F$456=1)*($E$451:$E$456))</f>
        <v>6000</v>
      </c>
      <c r="T1105" s="109">
        <f>SUMPRODUCT(( $C$451:$C$456=D1105)*($D$451:$D$456=E1105)*($F$451:$F$456=0)*($E$451:$E$456))</f>
        <v>7000.78</v>
      </c>
      <c r="U1105" s="92">
        <v>0</v>
      </c>
      <c r="V1105" s="237">
        <f>T1105-S1105+G1105</f>
        <v>2001.6399999999996</v>
      </c>
      <c r="W1105" s="92">
        <v>0</v>
      </c>
      <c r="X1105" s="92">
        <f>'day1'!V860</f>
        <v>1000.8599999999999</v>
      </c>
      <c r="Y1105" s="92">
        <v>0</v>
      </c>
      <c r="Z1105" s="92">
        <v>0</v>
      </c>
      <c r="AA1105" s="92">
        <v>0</v>
      </c>
      <c r="AB1105" s="241">
        <f>J1105+BK1105-BL1105</f>
        <v>-2.2737367544323206E-13</v>
      </c>
      <c r="AC1105" s="92">
        <v>0</v>
      </c>
      <c r="AD1105" s="92">
        <v>0</v>
      </c>
      <c r="AE1105" s="92">
        <v>0</v>
      </c>
      <c r="AF1105" s="92">
        <v>0</v>
      </c>
      <c r="AG1105" s="92">
        <v>0</v>
      </c>
      <c r="AH1105" s="92">
        <v>0</v>
      </c>
      <c r="AI1105" s="92">
        <v>0</v>
      </c>
      <c r="AJ1105" s="92">
        <v>0</v>
      </c>
      <c r="AK1105" s="92">
        <v>0</v>
      </c>
      <c r="AL1105" s="92">
        <v>0</v>
      </c>
      <c r="AM1105" s="92">
        <v>0</v>
      </c>
      <c r="AN1105" s="92">
        <v>0</v>
      </c>
      <c r="AO1105" s="92">
        <v>0</v>
      </c>
      <c r="AP1105" s="92">
        <v>0</v>
      </c>
      <c r="AQ1105" s="92">
        <v>0</v>
      </c>
      <c r="AR1105" s="92">
        <v>0</v>
      </c>
      <c r="AS1105" s="92">
        <v>0</v>
      </c>
      <c r="AT1105" s="92">
        <v>0</v>
      </c>
      <c r="AU1105" s="92">
        <v>0</v>
      </c>
      <c r="AV1105" s="92">
        <v>0</v>
      </c>
      <c r="AW1105" s="92">
        <v>0</v>
      </c>
      <c r="AX1105" s="92">
        <v>0</v>
      </c>
      <c r="AY1105" s="92">
        <v>0</v>
      </c>
      <c r="AZ1105" s="92">
        <v>0</v>
      </c>
      <c r="BA1105" s="92">
        <v>0</v>
      </c>
      <c r="BB1105" s="92">
        <v>0</v>
      </c>
      <c r="BC1105" s="92">
        <v>0</v>
      </c>
      <c r="BD1105" s="92">
        <v>0</v>
      </c>
      <c r="BE1105" s="92">
        <v>0</v>
      </c>
      <c r="BF1105" s="92">
        <v>0</v>
      </c>
      <c r="BG1105" s="92">
        <v>0</v>
      </c>
      <c r="BH1105" s="92">
        <v>0</v>
      </c>
      <c r="BI1105" s="92">
        <v>0</v>
      </c>
      <c r="BJ1105" s="92">
        <v>0</v>
      </c>
      <c r="BK1105" s="92">
        <v>0</v>
      </c>
      <c r="BL1105" s="92">
        <v>0</v>
      </c>
      <c r="BM1105" s="92">
        <f>BM1103</f>
        <v>6.1234000000000002</v>
      </c>
      <c r="BN1105" s="92">
        <f>BN1103</f>
        <v>0.9</v>
      </c>
      <c r="BO1105" s="92"/>
      <c r="BP1105" s="92"/>
    </row>
    <row r="1106" spans="1:68" x14ac:dyDescent="0.25">
      <c r="A1106" t="s">
        <v>173</v>
      </c>
      <c r="B1106" t="s">
        <v>837</v>
      </c>
      <c r="F1106" s="242"/>
      <c r="G1106" s="242"/>
      <c r="H1106" s="242"/>
      <c r="I1106" s="242"/>
      <c r="J1106" s="242"/>
      <c r="K1106" s="242"/>
      <c r="L1106" s="242"/>
      <c r="M1106" s="242"/>
      <c r="N1106" s="242"/>
      <c r="O1106" s="242"/>
      <c r="P1106" s="242"/>
      <c r="Q1106" s="242"/>
      <c r="R1106" s="242"/>
      <c r="S1106" s="242"/>
      <c r="T1106" s="242"/>
      <c r="U1106" s="242"/>
      <c r="V1106" s="242"/>
      <c r="W1106" s="242"/>
      <c r="X1106" s="242"/>
      <c r="Y1106" s="242"/>
      <c r="Z1106" s="242"/>
      <c r="AA1106" s="242"/>
      <c r="AB1106" s="242"/>
      <c r="AC1106" s="242"/>
      <c r="AD1106" s="242"/>
      <c r="AE1106" s="242"/>
      <c r="AF1106" s="242"/>
      <c r="AG1106" s="242"/>
      <c r="AH1106" s="242"/>
      <c r="AI1106" s="242"/>
      <c r="AJ1106" s="242"/>
      <c r="AK1106" s="242"/>
      <c r="AL1106" s="242"/>
      <c r="AM1106" s="242"/>
      <c r="AN1106" s="242"/>
      <c r="AO1106" s="242"/>
      <c r="AP1106" s="242"/>
      <c r="AQ1106" s="242"/>
      <c r="AR1106" s="242"/>
      <c r="AS1106" s="242"/>
      <c r="AT1106" s="242"/>
      <c r="AU1106" s="242"/>
      <c r="AV1106" s="242"/>
      <c r="AW1106" s="242"/>
      <c r="AX1106" s="242"/>
      <c r="AY1106" s="242"/>
      <c r="AZ1106" s="242"/>
      <c r="BA1106" s="242"/>
      <c r="BB1106" s="242"/>
      <c r="BC1106" s="242"/>
      <c r="BD1106" s="242"/>
      <c r="BE1106" s="242"/>
      <c r="BF1106" s="242"/>
      <c r="BG1106" s="242"/>
      <c r="BH1106" s="242"/>
      <c r="BI1106" s="242"/>
      <c r="BJ1106" s="242"/>
      <c r="BK1106" s="242"/>
      <c r="BL1106" s="242"/>
    </row>
    <row r="1107" spans="1:68" x14ac:dyDescent="0.25">
      <c r="A1107" s="57" t="s">
        <v>124</v>
      </c>
      <c r="B1107" s="57" t="s">
        <v>980</v>
      </c>
      <c r="L1107" s="238"/>
    </row>
    <row r="1108" spans="1:68" x14ac:dyDescent="0.25">
      <c r="A1108" t="s">
        <v>306</v>
      </c>
      <c r="B1108" s="719" t="s">
        <v>838</v>
      </c>
      <c r="C1108" s="719"/>
      <c r="D1108" s="719"/>
      <c r="E1108" s="719"/>
      <c r="F1108" s="719"/>
      <c r="G1108" s="719"/>
      <c r="H1108" s="719"/>
      <c r="I1108" s="719"/>
      <c r="J1108" s="719"/>
      <c r="K1108" s="719"/>
      <c r="L1108" s="719"/>
      <c r="M1108" s="719"/>
      <c r="N1108" s="719"/>
      <c r="O1108" s="719"/>
      <c r="P1108" s="719"/>
      <c r="Q1108" s="719"/>
      <c r="R1108" s="719"/>
      <c r="S1108" s="719"/>
      <c r="T1108" s="719"/>
      <c r="U1108" s="719"/>
      <c r="V1108" s="719"/>
      <c r="W1108" s="719"/>
      <c r="X1108" s="719"/>
      <c r="Y1108" s="719"/>
      <c r="Z1108" s="719"/>
      <c r="AA1108" s="719"/>
      <c r="AB1108" s="719"/>
      <c r="AC1108" s="719"/>
      <c r="AD1108" s="719"/>
      <c r="AE1108" s="719"/>
      <c r="AF1108" s="719"/>
      <c r="AG1108" s="719"/>
      <c r="AH1108" s="719"/>
      <c r="AI1108" s="719"/>
      <c r="AJ1108" s="719"/>
      <c r="AK1108" s="719"/>
      <c r="AL1108" s="719"/>
      <c r="AM1108" s="719"/>
      <c r="AN1108" s="719"/>
      <c r="AO1108" s="719"/>
      <c r="AP1108" s="719"/>
      <c r="AQ1108" s="719"/>
      <c r="AR1108" s="719"/>
      <c r="AS1108" s="719"/>
    </row>
    <row r="1109" spans="1:68" x14ac:dyDescent="0.25">
      <c r="A1109" t="s">
        <v>1366</v>
      </c>
      <c r="B1109" s="148" t="s">
        <v>365</v>
      </c>
      <c r="C1109" s="148" t="s">
        <v>843</v>
      </c>
      <c r="D1109" s="148" t="s">
        <v>198</v>
      </c>
      <c r="E1109" s="148" t="s">
        <v>118</v>
      </c>
      <c r="F1109" s="148" t="s">
        <v>849</v>
      </c>
      <c r="G1109" s="148" t="s">
        <v>764</v>
      </c>
      <c r="H1109" s="148" t="s">
        <v>765</v>
      </c>
      <c r="I1109" s="148" t="s">
        <v>768</v>
      </c>
      <c r="J1109" s="148" t="s">
        <v>769</v>
      </c>
      <c r="K1109" s="148" t="s">
        <v>770</v>
      </c>
      <c r="L1109" s="148" t="s">
        <v>777</v>
      </c>
      <c r="M1109" s="148" t="s">
        <v>778</v>
      </c>
      <c r="N1109" s="148" t="s">
        <v>775</v>
      </c>
      <c r="O1109" s="148" t="s">
        <v>703</v>
      </c>
      <c r="P1109" s="148" t="s">
        <v>683</v>
      </c>
      <c r="Q1109" s="148" t="s">
        <v>684</v>
      </c>
      <c r="R1109" s="148" t="s">
        <v>704</v>
      </c>
      <c r="S1109" s="148" t="s">
        <v>705</v>
      </c>
      <c r="T1109" s="148" t="s">
        <v>706</v>
      </c>
      <c r="U1109" s="148" t="s">
        <v>707</v>
      </c>
      <c r="V1109" s="148" t="s">
        <v>708</v>
      </c>
      <c r="W1109" s="148" t="s">
        <v>850</v>
      </c>
      <c r="X1109" s="148" t="s">
        <v>14</v>
      </c>
      <c r="Y1109" s="148" t="s">
        <v>694</v>
      </c>
      <c r="Z1109" s="148" t="s">
        <v>696</v>
      </c>
      <c r="AA1109" s="148" t="s">
        <v>60</v>
      </c>
      <c r="AB1109" s="148" t="s">
        <v>414</v>
      </c>
      <c r="AC1109" s="148" t="s">
        <v>570</v>
      </c>
      <c r="AD1109" s="148" t="s">
        <v>633</v>
      </c>
      <c r="AE1109" s="148" t="s">
        <v>630</v>
      </c>
      <c r="AF1109" s="148" t="s">
        <v>632</v>
      </c>
      <c r="AG1109" s="148" t="s">
        <v>729</v>
      </c>
      <c r="AH1109" s="148" t="s">
        <v>6</v>
      </c>
      <c r="AI1109" s="148" t="s">
        <v>103</v>
      </c>
      <c r="AJ1109" s="148" t="s">
        <v>104</v>
      </c>
      <c r="AK1109" s="148" t="s">
        <v>55</v>
      </c>
      <c r="AL1109" s="148" t="s">
        <v>56</v>
      </c>
      <c r="AM1109" s="148" t="s">
        <v>853</v>
      </c>
      <c r="AN1109" s="148" t="s">
        <v>854</v>
      </c>
      <c r="AO1109" s="148" t="s">
        <v>700</v>
      </c>
      <c r="AP1109" s="201" t="s">
        <v>1205</v>
      </c>
      <c r="AQ1109" s="201" t="s">
        <v>1206</v>
      </c>
      <c r="AR1109" s="201" t="s">
        <v>1900</v>
      </c>
      <c r="AS1109" s="201" t="s">
        <v>1902</v>
      </c>
    </row>
    <row r="1110" spans="1:68" x14ac:dyDescent="0.25">
      <c r="B1110" s="148" t="s">
        <v>844</v>
      </c>
      <c r="C1110" s="148" t="s">
        <v>845</v>
      </c>
      <c r="D1110" s="148" t="s">
        <v>652</v>
      </c>
      <c r="E1110" s="148" t="s">
        <v>710</v>
      </c>
      <c r="F1110" s="148" t="s">
        <v>709</v>
      </c>
      <c r="G1110" s="148" t="s">
        <v>785</v>
      </c>
      <c r="H1110" s="148" t="s">
        <v>786</v>
      </c>
      <c r="I1110" s="148" t="s">
        <v>789</v>
      </c>
      <c r="J1110" s="148" t="s">
        <v>790</v>
      </c>
      <c r="K1110" s="148" t="s">
        <v>791</v>
      </c>
      <c r="L1110" s="148" t="s">
        <v>798</v>
      </c>
      <c r="M1110" s="148" t="s">
        <v>799</v>
      </c>
      <c r="N1110" s="148" t="s">
        <v>796</v>
      </c>
      <c r="O1110" s="148" t="s">
        <v>726</v>
      </c>
      <c r="P1110" s="148" t="s">
        <v>727</v>
      </c>
      <c r="Q1110" s="148" t="s">
        <v>731</v>
      </c>
      <c r="R1110" s="148" t="s">
        <v>732</v>
      </c>
      <c r="S1110" s="148" t="s">
        <v>733</v>
      </c>
      <c r="T1110" s="148" t="s">
        <v>734</v>
      </c>
      <c r="U1110" s="148" t="s">
        <v>735</v>
      </c>
      <c r="V1110" s="148" t="s">
        <v>736</v>
      </c>
      <c r="W1110" s="148" t="s">
        <v>738</v>
      </c>
      <c r="X1110" s="148" t="s">
        <v>739</v>
      </c>
      <c r="Y1110" s="148" t="s">
        <v>737</v>
      </c>
      <c r="Z1110" s="148" t="s">
        <v>740</v>
      </c>
      <c r="AA1110" s="148" t="s">
        <v>743</v>
      </c>
      <c r="AB1110" s="148" t="s">
        <v>744</v>
      </c>
      <c r="AC1110" s="148" t="s">
        <v>745</v>
      </c>
      <c r="AD1110" s="148" t="s">
        <v>746</v>
      </c>
      <c r="AE1110" s="148" t="s">
        <v>747</v>
      </c>
      <c r="AF1110" s="148" t="s">
        <v>748</v>
      </c>
      <c r="AG1110" s="148" t="s">
        <v>752</v>
      </c>
      <c r="AH1110" s="148" t="s">
        <v>753</v>
      </c>
      <c r="AI1110" s="148" t="s">
        <v>754</v>
      </c>
      <c r="AJ1110" s="148" t="s">
        <v>755</v>
      </c>
      <c r="AK1110" s="148" t="s">
        <v>756</v>
      </c>
      <c r="AL1110" s="148" t="s">
        <v>757</v>
      </c>
      <c r="AM1110" s="148" t="s">
        <v>759</v>
      </c>
      <c r="AN1110" s="148" t="s">
        <v>760</v>
      </c>
      <c r="AO1110" s="148" t="s">
        <v>761</v>
      </c>
      <c r="AP1110" s="201" t="s">
        <v>1205</v>
      </c>
      <c r="AQ1110" s="201" t="s">
        <v>1206</v>
      </c>
      <c r="AR1110" s="201" t="s">
        <v>1900</v>
      </c>
      <c r="AS1110" s="201" t="s">
        <v>1902</v>
      </c>
    </row>
    <row r="1111" spans="1:68" x14ac:dyDescent="0.25">
      <c r="B1111" s="92">
        <f>$B$2</f>
        <v>20180327</v>
      </c>
      <c r="C1111" s="92" t="str">
        <f>$F$5</f>
        <v>9999</v>
      </c>
      <c r="D1111" s="92" t="str">
        <f>$B$19</f>
        <v>CZCE</v>
      </c>
      <c r="E1111" s="92">
        <v>99990201</v>
      </c>
      <c r="F1111" s="92" t="s">
        <v>228</v>
      </c>
      <c r="G1111" s="237">
        <f>ROUND(H1111-L1111+M1111+Y1111-AG1111-AH1111-AI1111-AJ1111-AK1111-AL1111+AM1111-AN1111,2)</f>
        <v>81623.88</v>
      </c>
      <c r="H1111" s="92">
        <f>'day1'!G866</f>
        <v>75844.080000000016</v>
      </c>
      <c r="I1111" s="92">
        <f>ROUND(IF(N1111&gt;S1111,G1111,G1111+N1111-S1111),2)</f>
        <v>-25232.080000000002</v>
      </c>
      <c r="J1111" s="92">
        <f>MAX(I1111,0)</f>
        <v>0</v>
      </c>
      <c r="K1111" s="92">
        <f>G1111-S1111</f>
        <v>-63866.119999999966</v>
      </c>
      <c r="L1111" s="92">
        <f>SUMPRODUCT(( $C$520:$C$525=E1111)*($D$520:$D$525=F1111)*($F$520:$F$525=1)*($E$520:$E$525))</f>
        <v>1000</v>
      </c>
      <c r="M1111" s="109">
        <f>SUMPRODUCT(( $C$520:$C$525=E1111)*($D$520:$D$525=F1111)*($F$520:$F$525=0)*($E$520:$E$525))</f>
        <v>3000.12</v>
      </c>
      <c r="N1111" s="200">
        <f>ROUND(Q1103+ROUND(G1113*AP1113*AQ1113,2)+ROUND(G1112*AR1112*AS1112,2),2)</f>
        <v>38634.04</v>
      </c>
      <c r="O1111" s="92">
        <f t="shared" ref="O1111:V1111" si="803">F1095</f>
        <v>178230.77</v>
      </c>
      <c r="P1111" s="92">
        <f t="shared" si="803"/>
        <v>92752.670000000013</v>
      </c>
      <c r="Q1111" s="92">
        <f t="shared" si="803"/>
        <v>70061.7</v>
      </c>
      <c r="R1111" s="92">
        <f t="shared" si="803"/>
        <v>15416.4</v>
      </c>
      <c r="S1111" s="92">
        <f t="shared" si="803"/>
        <v>145489.99999999997</v>
      </c>
      <c r="T1111" s="92">
        <f t="shared" si="803"/>
        <v>76342.899999999994</v>
      </c>
      <c r="U1111" s="92">
        <f t="shared" si="803"/>
        <v>56801.7</v>
      </c>
      <c r="V1111" s="92">
        <f t="shared" si="803"/>
        <v>12345.4</v>
      </c>
      <c r="W1111" s="92">
        <f>O1095</f>
        <v>-7125</v>
      </c>
      <c r="X1111" s="92">
        <f>P1095</f>
        <v>-4115</v>
      </c>
      <c r="Y1111" s="92">
        <f>N1095</f>
        <v>-11240</v>
      </c>
      <c r="Z1111" s="244">
        <v>0</v>
      </c>
      <c r="AA1111" s="92">
        <f t="shared" ref="AA1111:AF1111" si="804">T1095</f>
        <v>2259.8399999999997</v>
      </c>
      <c r="AB1111" s="92">
        <f t="shared" si="804"/>
        <v>91.66</v>
      </c>
      <c r="AC1111" s="92">
        <f t="shared" si="804"/>
        <v>1166.44</v>
      </c>
      <c r="AD1111" s="92">
        <f t="shared" si="804"/>
        <v>0</v>
      </c>
      <c r="AE1111" s="92">
        <f t="shared" si="804"/>
        <v>982.38</v>
      </c>
      <c r="AF1111" s="92">
        <f t="shared" si="804"/>
        <v>0</v>
      </c>
      <c r="AG1111" s="92">
        <f t="shared" ref="AG1111:AL1111" si="805">AC1095</f>
        <v>1909.7</v>
      </c>
      <c r="AH1111" s="92">
        <f t="shared" si="805"/>
        <v>122.14</v>
      </c>
      <c r="AI1111" s="92">
        <f t="shared" si="805"/>
        <v>0</v>
      </c>
      <c r="AJ1111" s="92">
        <f t="shared" si="805"/>
        <v>0</v>
      </c>
      <c r="AK1111" s="92">
        <f t="shared" si="805"/>
        <v>823.48</v>
      </c>
      <c r="AL1111" s="92">
        <f t="shared" si="805"/>
        <v>0</v>
      </c>
      <c r="AM1111" s="92">
        <f>AJ1095</f>
        <v>75270</v>
      </c>
      <c r="AN1111" s="92">
        <f>AK1095</f>
        <v>57395</v>
      </c>
      <c r="AO1111" s="92">
        <f>AL1095</f>
        <v>0</v>
      </c>
      <c r="AP1111" s="111">
        <f>B198</f>
        <v>6.1234000000000002</v>
      </c>
      <c r="AQ1111" s="111">
        <f>B208</f>
        <v>0.8</v>
      </c>
      <c r="AR1111" s="92">
        <f>B200</f>
        <v>0.88200000000000001</v>
      </c>
      <c r="AS1111" s="92">
        <f>B210</f>
        <v>0.8</v>
      </c>
    </row>
    <row r="1112" spans="1:68" x14ac:dyDescent="0.25">
      <c r="B1112" s="92">
        <f>$B$2</f>
        <v>20180327</v>
      </c>
      <c r="C1112" s="92" t="str">
        <f>$F$5</f>
        <v>9999</v>
      </c>
      <c r="D1112" s="92" t="str">
        <f>$B$19</f>
        <v>CZCE</v>
      </c>
      <c r="E1112" s="92">
        <v>99990203</v>
      </c>
      <c r="F1112" s="92" t="s">
        <v>1898</v>
      </c>
      <c r="G1112" s="92">
        <f>H1112-L1112+M1112+Y1112-AG1112-AH1112-AI1112-AJ1112-AK1112-AL1112+AM1112-AN1112</f>
        <v>6001.4500000000007</v>
      </c>
      <c r="H1112" s="92">
        <f>'day1'!G867</f>
        <v>4000.5600000000004</v>
      </c>
      <c r="I1112" s="92">
        <f>IF(N1112&gt;S1112,G1112,G1112+N1112-S1112)</f>
        <v>0</v>
      </c>
      <c r="J1112" s="92">
        <f>MAX(I1112,0)</f>
        <v>0</v>
      </c>
      <c r="K1112" s="92">
        <f>G1112-S1112</f>
        <v>6001.4500000000007</v>
      </c>
      <c r="L1112" s="92">
        <f>SUMPRODUCT(( $C$520:$C$525=E1112)*($D$520:$D$525=F1112)*($F$520:$F$525=1)*($E$520:$E$525))</f>
        <v>2000</v>
      </c>
      <c r="M1112" s="109">
        <f>SUMPRODUCT(( $C$520:$C$525=E1112)*($D$520:$D$525=F1112)*($F$520:$F$525=0)*($E$520:$E$525))</f>
        <v>4000.89</v>
      </c>
      <c r="N1112" s="200">
        <f>-G1112</f>
        <v>-6001.4500000000007</v>
      </c>
      <c r="O1112" s="92">
        <v>0</v>
      </c>
      <c r="P1112" s="92">
        <v>0</v>
      </c>
      <c r="Q1112" s="92">
        <v>0</v>
      </c>
      <c r="R1112" s="92">
        <v>0</v>
      </c>
      <c r="S1112" s="92">
        <v>0</v>
      </c>
      <c r="T1112" s="92">
        <v>0</v>
      </c>
      <c r="U1112" s="92">
        <v>0</v>
      </c>
      <c r="V1112" s="92">
        <v>0</v>
      </c>
      <c r="W1112" s="92">
        <v>0</v>
      </c>
      <c r="X1112" s="92">
        <v>0</v>
      </c>
      <c r="Y1112" s="92">
        <v>0</v>
      </c>
      <c r="Z1112" s="244">
        <v>0</v>
      </c>
      <c r="AA1112" s="92">
        <v>0</v>
      </c>
      <c r="AB1112" s="92">
        <v>0</v>
      </c>
      <c r="AC1112" s="92">
        <v>0</v>
      </c>
      <c r="AD1112" s="92">
        <v>0</v>
      </c>
      <c r="AE1112" s="92">
        <v>0</v>
      </c>
      <c r="AF1112" s="92">
        <v>0</v>
      </c>
      <c r="AG1112" s="92">
        <v>0</v>
      </c>
      <c r="AH1112" s="92">
        <v>0</v>
      </c>
      <c r="AI1112" s="92">
        <v>0</v>
      </c>
      <c r="AJ1112" s="92">
        <v>0</v>
      </c>
      <c r="AK1112" s="92">
        <v>0</v>
      </c>
      <c r="AL1112" s="92">
        <v>0</v>
      </c>
      <c r="AM1112" s="92">
        <v>0</v>
      </c>
      <c r="AN1112" s="92">
        <v>0</v>
      </c>
      <c r="AO1112" s="92">
        <v>0</v>
      </c>
      <c r="AP1112" s="111"/>
      <c r="AQ1112" s="111"/>
      <c r="AR1112" s="92">
        <f>AR1111</f>
        <v>0.88200000000000001</v>
      </c>
      <c r="AS1112" s="92">
        <f>AS1111</f>
        <v>0.8</v>
      </c>
    </row>
    <row r="1113" spans="1:68" ht="15" customHeight="1" x14ac:dyDescent="0.25">
      <c r="B1113" s="92">
        <f>$B$2</f>
        <v>20180327</v>
      </c>
      <c r="C1113" s="92" t="str">
        <f>$F$5</f>
        <v>9999</v>
      </c>
      <c r="D1113" s="92" t="str">
        <f>$B$19</f>
        <v>CZCE</v>
      </c>
      <c r="E1113" s="92">
        <v>99990202</v>
      </c>
      <c r="F1113" s="111" t="s">
        <v>1560</v>
      </c>
      <c r="G1113" s="92">
        <f>H1113-L1113+M1113+Y1113-AG1113-AH1113-AI1113-AJ1113-AK1113-AL1113+AM1113-AN1113</f>
        <v>6001.4500000000007</v>
      </c>
      <c r="H1113" s="92">
        <f>'day1'!G868</f>
        <v>4000.5600000000004</v>
      </c>
      <c r="I1113" s="92">
        <f>IF(N1113&gt;S1113,G1113,G1113+N1113-S1113)</f>
        <v>0</v>
      </c>
      <c r="J1113" s="92">
        <f>MAX(I1113,0)</f>
        <v>0</v>
      </c>
      <c r="K1113" s="92">
        <f>G1113-S1113</f>
        <v>6001.4500000000007</v>
      </c>
      <c r="L1113" s="92">
        <f>SUMPRODUCT(( $C$520:$C$525=E1113)*($D$520:$D$525=F1113)*($F$520:$F$525=1)*($E$520:$E$525))</f>
        <v>3000</v>
      </c>
      <c r="M1113" s="109">
        <f>SUMPRODUCT(( $C$520:$C$525=E1113)*($D$520:$D$525=F1113)*($F$520:$F$525=0)*($E$520:$E$525))</f>
        <v>5000.8900000000003</v>
      </c>
      <c r="N1113" s="92">
        <f>-G1113</f>
        <v>-6001.4500000000007</v>
      </c>
      <c r="O1113" s="92">
        <v>0</v>
      </c>
      <c r="P1113" s="92">
        <v>0</v>
      </c>
      <c r="Q1113" s="92">
        <v>0</v>
      </c>
      <c r="R1113" s="92">
        <v>0</v>
      </c>
      <c r="S1113" s="92">
        <v>0</v>
      </c>
      <c r="T1113" s="92">
        <v>0</v>
      </c>
      <c r="U1113" s="92">
        <v>0</v>
      </c>
      <c r="V1113" s="92">
        <v>0</v>
      </c>
      <c r="W1113" s="92">
        <v>0</v>
      </c>
      <c r="X1113" s="92">
        <v>0</v>
      </c>
      <c r="Y1113" s="92">
        <v>0</v>
      </c>
      <c r="Z1113" s="92">
        <v>0</v>
      </c>
      <c r="AA1113" s="92">
        <v>0</v>
      </c>
      <c r="AB1113" s="92">
        <v>0</v>
      </c>
      <c r="AC1113" s="92">
        <v>0</v>
      </c>
      <c r="AD1113" s="92">
        <v>0</v>
      </c>
      <c r="AE1113" s="92">
        <v>0</v>
      </c>
      <c r="AF1113" s="92">
        <v>0</v>
      </c>
      <c r="AG1113" s="92">
        <v>0</v>
      </c>
      <c r="AH1113" s="92">
        <v>0</v>
      </c>
      <c r="AI1113" s="92">
        <v>0</v>
      </c>
      <c r="AJ1113" s="92">
        <v>0</v>
      </c>
      <c r="AK1113" s="92">
        <v>0</v>
      </c>
      <c r="AL1113" s="92">
        <v>0</v>
      </c>
      <c r="AM1113" s="92">
        <v>0</v>
      </c>
      <c r="AN1113" s="92">
        <v>0</v>
      </c>
      <c r="AO1113" s="92">
        <v>0</v>
      </c>
      <c r="AP1113" s="92">
        <f>AP1111</f>
        <v>6.1234000000000002</v>
      </c>
      <c r="AQ1113" s="92">
        <f>AQ1111</f>
        <v>0.8</v>
      </c>
      <c r="AR1113" s="92"/>
      <c r="AS1113" s="92"/>
    </row>
    <row r="1114" spans="1:68" x14ac:dyDescent="0.25">
      <c r="G1114" s="242"/>
      <c r="H1114" s="242"/>
      <c r="I1114" s="242"/>
      <c r="J1114" s="242"/>
      <c r="K1114" s="242"/>
      <c r="L1114" s="242"/>
      <c r="M1114" s="242"/>
      <c r="N1114" s="242"/>
      <c r="O1114" s="242"/>
      <c r="P1114" s="242"/>
      <c r="Q1114" s="242"/>
      <c r="R1114" s="242"/>
      <c r="S1114" s="242"/>
      <c r="T1114" s="242"/>
      <c r="U1114" s="242"/>
      <c r="V1114" s="242"/>
      <c r="W1114" s="242"/>
      <c r="X1114" s="242"/>
      <c r="Y1114" s="242"/>
      <c r="Z1114" s="242"/>
      <c r="AA1114" s="242"/>
      <c r="AB1114" s="242"/>
      <c r="AC1114" s="242"/>
      <c r="AD1114" s="242"/>
      <c r="AE1114" s="242"/>
      <c r="AF1114" s="242"/>
      <c r="AG1114" s="242"/>
      <c r="AH1114" s="242"/>
      <c r="AI1114" s="242"/>
      <c r="AJ1114" s="242"/>
      <c r="AK1114" s="242"/>
      <c r="AL1114" s="242"/>
      <c r="AM1114" s="242"/>
      <c r="AN1114" s="242"/>
      <c r="AO1114" s="242"/>
    </row>
    <row r="1115" spans="1:68" ht="24" customHeight="1" x14ac:dyDescent="0.25">
      <c r="A1115" s="262" t="s">
        <v>173</v>
      </c>
      <c r="B1115" s="218" t="s">
        <v>1673</v>
      </c>
      <c r="C1115" s="359" t="s">
        <v>1749</v>
      </c>
      <c r="D1115" s="9"/>
      <c r="E1115" s="9"/>
      <c r="F1115" s="9"/>
      <c r="G1115" s="60"/>
      <c r="H1115" s="60"/>
      <c r="I1115" s="60"/>
      <c r="J1115" s="60"/>
      <c r="K1115" s="60"/>
      <c r="L1115" s="60"/>
      <c r="M1115" s="60"/>
      <c r="N1115" s="60"/>
      <c r="O1115" s="60"/>
      <c r="P1115" s="60"/>
      <c r="Q1115" s="60"/>
      <c r="R1115" s="60"/>
      <c r="S1115" s="60"/>
      <c r="T1115" s="60"/>
      <c r="U1115" s="60"/>
      <c r="V1115" s="60"/>
      <c r="W1115" s="60"/>
      <c r="X1115" s="60"/>
      <c r="Y1115" s="60"/>
      <c r="Z1115" s="60"/>
      <c r="AA1115" s="60"/>
      <c r="AB1115" s="60"/>
      <c r="AC1115" s="60"/>
      <c r="AD1115" s="60"/>
      <c r="AE1115" s="60"/>
      <c r="AF1115" s="60"/>
      <c r="AG1115" s="60"/>
      <c r="AH1115" s="60"/>
      <c r="AI1115" s="60"/>
      <c r="AJ1115" s="60"/>
      <c r="AK1115" s="60"/>
      <c r="AL1115" s="60"/>
      <c r="AM1115" s="60"/>
      <c r="AN1115" s="60"/>
      <c r="AO1115" s="60"/>
      <c r="AP1115" s="60"/>
      <c r="AQ1115" s="60"/>
      <c r="AR1115" s="60"/>
      <c r="AS1115" s="60"/>
      <c r="AT1115" s="60"/>
      <c r="AU1115" s="60"/>
      <c r="AV1115" s="60"/>
      <c r="AW1115" s="60"/>
      <c r="AX1115" s="60"/>
      <c r="AY1115" s="60"/>
      <c r="AZ1115" s="60"/>
      <c r="BA1115" s="60"/>
      <c r="BB1115" s="60"/>
      <c r="BC1115" s="60"/>
      <c r="BD1115" s="60"/>
      <c r="BE1115" s="60"/>
      <c r="BF1115" s="60"/>
      <c r="BG1115" s="60"/>
      <c r="BH1115" s="60"/>
      <c r="BI1115" s="60"/>
      <c r="BJ1115" s="60"/>
      <c r="BK1115" s="60"/>
      <c r="BL1115" s="60"/>
      <c r="BM1115" s="60"/>
    </row>
    <row r="1116" spans="1:68" x14ac:dyDescent="0.25">
      <c r="A1116" s="262" t="s">
        <v>173</v>
      </c>
      <c r="B1116" s="348" t="s">
        <v>970</v>
      </c>
      <c r="C1116" s="348" t="s">
        <v>1735</v>
      </c>
      <c r="D1116" s="9"/>
      <c r="E1116" s="9"/>
      <c r="F1116" s="9"/>
      <c r="G1116" s="246"/>
      <c r="H1116" s="60"/>
      <c r="I1116" s="60"/>
      <c r="J1116" s="60"/>
      <c r="K1116" s="60"/>
      <c r="L1116" s="60"/>
      <c r="M1116" s="60"/>
      <c r="N1116" s="60"/>
      <c r="O1116" s="60"/>
      <c r="P1116" s="60"/>
      <c r="Q1116" s="60"/>
      <c r="R1116" s="60"/>
      <c r="S1116" s="60"/>
      <c r="T1116" s="60"/>
      <c r="U1116" s="60"/>
      <c r="V1116" s="60"/>
      <c r="W1116" s="60"/>
      <c r="X1116" s="60"/>
      <c r="Y1116" s="60"/>
      <c r="Z1116" s="60"/>
      <c r="AA1116" s="60"/>
      <c r="AB1116" s="60"/>
      <c r="AC1116" s="60"/>
      <c r="AD1116" s="60"/>
      <c r="AE1116" s="60"/>
      <c r="AF1116" s="60"/>
      <c r="AG1116" s="60"/>
      <c r="AH1116" s="60"/>
      <c r="AI1116" s="60"/>
      <c r="AJ1116" s="60"/>
      <c r="AK1116" s="60"/>
      <c r="AL1116" s="60"/>
      <c r="AM1116" s="60"/>
      <c r="AN1116" s="60"/>
      <c r="AO1116" s="60"/>
      <c r="AP1116" s="60"/>
      <c r="AQ1116" s="246"/>
      <c r="AR1116" s="246"/>
      <c r="AS1116" s="246"/>
      <c r="AT1116" s="246"/>
      <c r="AU1116" s="246"/>
      <c r="AV1116" s="246"/>
      <c r="AW1116" s="246"/>
      <c r="AX1116" s="246"/>
      <c r="AY1116" s="246"/>
      <c r="AZ1116" s="246"/>
      <c r="BA1116" s="246"/>
      <c r="BB1116" s="246"/>
      <c r="BC1116" s="246"/>
      <c r="BD1116" s="246"/>
      <c r="BE1116" s="246"/>
      <c r="BF1116" s="246"/>
      <c r="BG1116" s="246"/>
      <c r="BH1116" s="246"/>
      <c r="BI1116" s="246"/>
      <c r="BJ1116" s="246"/>
      <c r="BK1116" s="246"/>
      <c r="BL1116" s="246"/>
      <c r="BM1116" s="246"/>
      <c r="BN1116" s="246"/>
    </row>
    <row r="1117" spans="1:68" x14ac:dyDescent="0.25">
      <c r="A1117" s="262" t="s">
        <v>173</v>
      </c>
      <c r="B1117" s="348" t="s">
        <v>1095</v>
      </c>
      <c r="C1117" s="360" t="s">
        <v>1622</v>
      </c>
      <c r="G1117" s="242"/>
      <c r="H1117" s="242"/>
      <c r="I1117" s="242"/>
      <c r="J1117" s="242"/>
      <c r="K1117" s="242"/>
      <c r="L1117" s="242"/>
      <c r="M1117" s="242"/>
      <c r="N1117" s="242"/>
      <c r="O1117" s="242"/>
      <c r="P1117" s="242"/>
      <c r="Q1117" s="242"/>
      <c r="R1117" s="242"/>
      <c r="S1117" s="242"/>
      <c r="T1117" s="242"/>
      <c r="U1117" s="242"/>
      <c r="V1117" s="242"/>
      <c r="W1117" s="242"/>
      <c r="X1117" s="242"/>
      <c r="Y1117" s="242"/>
      <c r="Z1117" s="242"/>
      <c r="AA1117" s="242"/>
      <c r="AB1117" s="242"/>
      <c r="AC1117" s="242"/>
      <c r="AD1117" s="242"/>
      <c r="AE1117" s="242"/>
      <c r="AF1117" s="242"/>
      <c r="AG1117" s="242"/>
      <c r="AH1117" s="242"/>
      <c r="AI1117" s="242"/>
      <c r="AJ1117" s="242"/>
      <c r="AK1117" s="242"/>
      <c r="AL1117" s="242"/>
      <c r="AM1117" s="242"/>
      <c r="AN1117" s="242"/>
      <c r="AO1117" s="242"/>
      <c r="AP1117" s="242"/>
      <c r="AQ1117" s="242"/>
      <c r="AR1117" s="242"/>
      <c r="AS1117" s="242"/>
      <c r="AT1117" s="242"/>
      <c r="AU1117" s="242"/>
      <c r="AV1117" s="242"/>
      <c r="AW1117" s="242"/>
      <c r="AX1117" s="242"/>
      <c r="AY1117" s="242"/>
      <c r="AZ1117" s="242"/>
      <c r="BA1117" s="242"/>
      <c r="BB1117" s="242"/>
      <c r="BC1117" s="242"/>
      <c r="BD1117" s="242"/>
      <c r="BE1117" s="242"/>
      <c r="BF1117" s="242"/>
      <c r="BG1117" s="242"/>
      <c r="BH1117" s="242"/>
      <c r="BI1117" s="242"/>
      <c r="BJ1117" s="242"/>
      <c r="BK1117" s="242"/>
      <c r="BL1117" s="242"/>
      <c r="BM1117" s="242"/>
      <c r="BN1117" s="242"/>
    </row>
    <row r="1118" spans="1:68" ht="34.950000000000003" customHeight="1" x14ac:dyDescent="0.25">
      <c r="A1118" s="262" t="s">
        <v>173</v>
      </c>
      <c r="B1118" s="348"/>
      <c r="C1118" s="226" t="s">
        <v>1736</v>
      </c>
    </row>
    <row r="1119" spans="1:68" x14ac:dyDescent="0.25">
      <c r="A1119" s="262" t="s">
        <v>173</v>
      </c>
      <c r="B1119" s="168" t="s">
        <v>1673</v>
      </c>
      <c r="C1119" s="4" t="s">
        <v>1682</v>
      </c>
      <c r="O1119" s="242"/>
    </row>
    <row r="1120" spans="1:68" x14ac:dyDescent="0.25">
      <c r="A1120" s="262" t="s">
        <v>173</v>
      </c>
      <c r="B1120" s="57" t="s">
        <v>124</v>
      </c>
      <c r="C1120" s="57" t="s">
        <v>1683</v>
      </c>
      <c r="D1120" s="9"/>
      <c r="E1120" s="9"/>
      <c r="F1120" s="9"/>
      <c r="G1120" s="9"/>
      <c r="H1120" s="60"/>
      <c r="I1120" s="60"/>
      <c r="J1120" s="60"/>
      <c r="K1120" s="60"/>
      <c r="L1120" s="60"/>
      <c r="M1120" s="60"/>
      <c r="N1120" s="60"/>
      <c r="O1120" s="60"/>
      <c r="P1120" s="60"/>
      <c r="Q1120" s="60"/>
      <c r="R1120" s="60"/>
      <c r="S1120" s="60"/>
      <c r="T1120" s="60"/>
      <c r="U1120" s="60"/>
      <c r="V1120" s="60"/>
      <c r="W1120" s="60"/>
      <c r="X1120" s="60"/>
      <c r="Y1120" s="60"/>
      <c r="Z1120" s="60"/>
      <c r="AA1120" s="60"/>
      <c r="AB1120" s="60"/>
      <c r="AC1120" s="60"/>
      <c r="AD1120" s="60"/>
      <c r="AE1120" s="60"/>
      <c r="AF1120" s="60"/>
      <c r="AG1120" s="60"/>
      <c r="AH1120" s="60"/>
      <c r="AI1120" s="60"/>
      <c r="AJ1120" s="60"/>
      <c r="AK1120" s="60"/>
      <c r="AL1120" s="60"/>
      <c r="AM1120" s="60"/>
      <c r="AN1120" s="60"/>
      <c r="AO1120" s="60"/>
      <c r="AP1120" s="60"/>
      <c r="AQ1120" s="60"/>
      <c r="AR1120" s="60"/>
      <c r="AS1120" s="60"/>
      <c r="AT1120" s="60"/>
      <c r="AU1120" s="60"/>
      <c r="AV1120" s="60"/>
      <c r="AW1120" s="60"/>
      <c r="AX1120" s="60"/>
      <c r="AY1120" s="60"/>
      <c r="AZ1120" s="60"/>
      <c r="BA1120" s="60"/>
      <c r="BB1120" s="60"/>
      <c r="BC1120" s="60"/>
      <c r="BD1120" s="60"/>
      <c r="BE1120" s="60"/>
      <c r="BF1120" s="60"/>
      <c r="BG1120" s="60"/>
      <c r="BH1120" s="60"/>
      <c r="BI1120" s="60"/>
      <c r="BJ1120" s="60"/>
      <c r="BK1120" s="60"/>
      <c r="BL1120" s="60"/>
      <c r="BM1120" s="60"/>
    </row>
    <row r="1121" spans="1:105" x14ac:dyDescent="0.25">
      <c r="A1121" s="262" t="s">
        <v>173</v>
      </c>
      <c r="B1121" s="262" t="s">
        <v>1860</v>
      </c>
      <c r="C1121" s="701" t="s">
        <v>1699</v>
      </c>
      <c r="D1121" s="701"/>
      <c r="E1121" s="701"/>
      <c r="F1121" s="701"/>
      <c r="G1121" s="701"/>
      <c r="H1121" s="701"/>
      <c r="I1121" s="701"/>
      <c r="J1121" s="701"/>
      <c r="K1121" s="701"/>
      <c r="L1121" s="701"/>
      <c r="M1121" s="701"/>
      <c r="N1121" s="701"/>
      <c r="O1121" s="701"/>
      <c r="P1121" s="701"/>
      <c r="Q1121" s="701"/>
      <c r="R1121" s="701"/>
      <c r="S1121" s="701"/>
      <c r="T1121" s="730" t="s">
        <v>1700</v>
      </c>
      <c r="U1121" s="730" t="s">
        <v>1107</v>
      </c>
      <c r="V1121" s="730" t="s">
        <v>1108</v>
      </c>
      <c r="W1121" s="60"/>
      <c r="X1121" s="60"/>
      <c r="Y1121" s="60"/>
      <c r="Z1121" s="60"/>
      <c r="AA1121" s="60"/>
      <c r="AB1121" s="60"/>
      <c r="AC1121" s="60"/>
      <c r="AD1121" s="60"/>
      <c r="AE1121" s="60"/>
      <c r="AF1121" s="60"/>
      <c r="AG1121" s="60"/>
      <c r="AH1121" s="60"/>
      <c r="AI1121" s="60"/>
      <c r="AJ1121" s="60"/>
      <c r="AK1121" s="60"/>
      <c r="AL1121" s="60"/>
      <c r="AM1121" s="60"/>
      <c r="AN1121" s="60"/>
      <c r="AO1121" s="60"/>
      <c r="AP1121" s="60"/>
      <c r="AQ1121" s="60"/>
      <c r="AR1121" s="60"/>
      <c r="AS1121" s="60"/>
      <c r="AT1121" s="60"/>
      <c r="AU1121" s="60"/>
      <c r="AV1121" s="60"/>
      <c r="AW1121" s="60"/>
      <c r="AX1121" s="60"/>
      <c r="AY1121" s="60"/>
      <c r="AZ1121" s="60"/>
      <c r="BA1121" s="60"/>
      <c r="BB1121" s="60"/>
      <c r="BC1121" s="60"/>
      <c r="BD1121" s="60"/>
      <c r="BE1121" s="60"/>
      <c r="BF1121" s="60"/>
      <c r="BG1121" s="60"/>
      <c r="BH1121" s="60"/>
      <c r="BI1121" s="60"/>
      <c r="BJ1121" s="60"/>
      <c r="BK1121" s="60"/>
      <c r="BL1121" s="60"/>
      <c r="BM1121" s="60"/>
    </row>
    <row r="1122" spans="1:105" x14ac:dyDescent="0.25">
      <c r="A1122" s="262" t="s">
        <v>173</v>
      </c>
      <c r="C1122" s="92" t="s">
        <v>1395</v>
      </c>
      <c r="D1122" s="92" t="s">
        <v>1684</v>
      </c>
      <c r="E1122" s="92" t="s">
        <v>1394</v>
      </c>
      <c r="F1122" s="92" t="s">
        <v>1401</v>
      </c>
      <c r="G1122" s="92" t="s">
        <v>1685</v>
      </c>
      <c r="H1122" s="92" t="s">
        <v>1686</v>
      </c>
      <c r="I1122" s="92" t="s">
        <v>1687</v>
      </c>
      <c r="J1122" s="92" t="s">
        <v>1688</v>
      </c>
      <c r="K1122" s="92" t="s">
        <v>1689</v>
      </c>
      <c r="L1122" s="92" t="s">
        <v>1690</v>
      </c>
      <c r="M1122" s="92" t="s">
        <v>1691</v>
      </c>
      <c r="N1122" s="92" t="s">
        <v>1692</v>
      </c>
      <c r="O1122" s="92" t="s">
        <v>1693</v>
      </c>
      <c r="P1122" s="92" t="s">
        <v>1694</v>
      </c>
      <c r="Q1122" s="92" t="s">
        <v>1695</v>
      </c>
      <c r="R1122" s="92" t="s">
        <v>1696</v>
      </c>
      <c r="S1122" s="92" t="s">
        <v>1697</v>
      </c>
      <c r="T1122" s="696"/>
      <c r="U1122" s="696"/>
      <c r="V1122" s="696"/>
      <c r="W1122" s="242"/>
      <c r="X1122" s="242"/>
      <c r="Y1122" s="242"/>
      <c r="Z1122" s="242"/>
      <c r="AA1122" s="242"/>
      <c r="AB1122" s="242"/>
      <c r="AC1122" s="242"/>
      <c r="AD1122" s="242"/>
      <c r="AE1122" s="242"/>
      <c r="AF1122" s="242"/>
      <c r="AG1122" s="242"/>
      <c r="AH1122" s="242"/>
      <c r="AI1122" s="242"/>
      <c r="AJ1122" s="242"/>
      <c r="AK1122" s="242"/>
      <c r="AL1122" s="242"/>
      <c r="AM1122" s="242"/>
      <c r="AN1122" s="242"/>
      <c r="AO1122" s="242"/>
      <c r="AP1122" s="242"/>
      <c r="AQ1122" s="242"/>
      <c r="AR1122" s="242"/>
      <c r="AS1122" s="242"/>
      <c r="AT1122" s="242"/>
      <c r="AU1122" s="242"/>
      <c r="AV1122" s="242"/>
      <c r="AW1122" s="242"/>
      <c r="AX1122" s="242"/>
      <c r="AY1122" s="242"/>
      <c r="AZ1122" s="242"/>
      <c r="BA1122" s="242"/>
      <c r="BB1122" s="242"/>
      <c r="BC1122" s="242"/>
      <c r="BD1122" s="242"/>
      <c r="BE1122" s="242"/>
      <c r="BF1122" s="242"/>
      <c r="BG1122" s="242"/>
      <c r="BH1122" s="238"/>
      <c r="BI1122" s="242"/>
      <c r="BJ1122" s="242"/>
      <c r="BK1122" s="242"/>
      <c r="BL1122" s="242"/>
      <c r="BM1122" s="242"/>
    </row>
    <row r="1123" spans="1:105" x14ac:dyDescent="0.25">
      <c r="A1123" s="262" t="s">
        <v>173</v>
      </c>
      <c r="C1123" s="92">
        <f t="shared" ref="C1123:D1127" si="806">$B$2</f>
        <v>20180327</v>
      </c>
      <c r="D1123" s="92">
        <f t="shared" si="806"/>
        <v>20180327</v>
      </c>
      <c r="E1123" s="92" t="str">
        <f>$F$5</f>
        <v>9999</v>
      </c>
      <c r="F1123" s="92" t="str">
        <f>$B$19</f>
        <v>CZCE</v>
      </c>
      <c r="G1123" s="109">
        <v>2</v>
      </c>
      <c r="H1123" s="109">
        <v>1</v>
      </c>
      <c r="I1123" s="109">
        <v>2</v>
      </c>
      <c r="J1123" s="109">
        <v>0</v>
      </c>
      <c r="K1123" s="109">
        <f>$C$2</f>
        <v>20180326</v>
      </c>
      <c r="L1123" s="109">
        <v>7</v>
      </c>
      <c r="M1123" s="109">
        <v>2</v>
      </c>
      <c r="N1123" s="109">
        <v>2</v>
      </c>
      <c r="O1123" s="109">
        <v>2</v>
      </c>
      <c r="P1123" s="109">
        <v>0</v>
      </c>
      <c r="Q1123" s="370" t="s">
        <v>1128</v>
      </c>
      <c r="R1123" s="92">
        <f>$B$2</f>
        <v>20180327</v>
      </c>
      <c r="S1123" s="371">
        <v>0.54887731481481483</v>
      </c>
      <c r="T1123" s="727" t="s">
        <v>1128</v>
      </c>
      <c r="U1123" s="727"/>
      <c r="V1123" s="727"/>
      <c r="W1123" s="242"/>
      <c r="X1123" s="242"/>
      <c r="Y1123" s="242"/>
      <c r="Z1123" s="242"/>
      <c r="AA1123" s="242"/>
      <c r="AB1123" s="242"/>
      <c r="AC1123" s="242"/>
      <c r="AD1123" s="242"/>
      <c r="AE1123" s="242"/>
      <c r="AF1123" s="242"/>
      <c r="AG1123" s="242"/>
      <c r="AH1123" s="242"/>
      <c r="AI1123" s="242"/>
      <c r="AJ1123" s="242"/>
      <c r="AK1123" s="242"/>
      <c r="AL1123" s="242"/>
      <c r="AM1123" s="242"/>
      <c r="AN1123" s="242"/>
      <c r="AO1123" s="242"/>
      <c r="AP1123" s="242"/>
      <c r="AQ1123" s="242"/>
      <c r="AR1123" s="242"/>
      <c r="AS1123" s="242"/>
      <c r="AT1123" s="242"/>
      <c r="AU1123" s="242"/>
      <c r="AV1123" s="242"/>
      <c r="AW1123" s="242"/>
      <c r="AX1123" s="242"/>
      <c r="AY1123" s="242"/>
      <c r="AZ1123" s="242"/>
      <c r="BA1123" s="242"/>
      <c r="BB1123" s="242"/>
      <c r="BC1123" s="242"/>
      <c r="BD1123" s="242"/>
      <c r="BE1123" s="242"/>
      <c r="BF1123" s="242"/>
      <c r="BG1123" s="242"/>
      <c r="BH1123" s="242"/>
      <c r="BI1123" s="242"/>
      <c r="BJ1123" s="242"/>
      <c r="BK1123" s="242"/>
      <c r="BL1123" s="242"/>
      <c r="BM1123" s="242"/>
      <c r="BN1123" s="242"/>
      <c r="BO1123" s="242"/>
      <c r="BP1123" s="242"/>
      <c r="BQ1123" s="242"/>
      <c r="BR1123" s="242"/>
      <c r="BS1123" s="242"/>
      <c r="BT1123" s="242"/>
      <c r="BU1123" s="242"/>
      <c r="BV1123" s="242"/>
      <c r="BW1123" s="242"/>
      <c r="BX1123" s="242"/>
      <c r="BY1123" s="242"/>
      <c r="BZ1123" s="242"/>
      <c r="CA1123" s="242"/>
      <c r="CB1123" s="242"/>
      <c r="CC1123" s="242"/>
      <c r="CD1123" s="242"/>
      <c r="CE1123" s="242"/>
      <c r="CF1123" s="242"/>
      <c r="CG1123" s="242"/>
      <c r="CH1123" s="242"/>
      <c r="CI1123" s="242"/>
      <c r="CJ1123" s="242"/>
      <c r="CK1123" s="242"/>
      <c r="CL1123" s="242"/>
      <c r="CM1123" s="242"/>
      <c r="CN1123" s="242"/>
      <c r="CO1123" s="242"/>
      <c r="CP1123" s="242"/>
      <c r="CQ1123" s="242"/>
      <c r="CR1123" s="242"/>
      <c r="CS1123" s="242"/>
      <c r="CT1123" s="242"/>
      <c r="CU1123" s="242"/>
      <c r="CV1123" s="242"/>
      <c r="CW1123" s="242"/>
      <c r="CX1123" s="242"/>
      <c r="CY1123" s="242"/>
      <c r="CZ1123" s="242"/>
      <c r="DA1123" s="242"/>
    </row>
    <row r="1124" spans="1:105" x14ac:dyDescent="0.25">
      <c r="A1124" s="262" t="s">
        <v>173</v>
      </c>
      <c r="C1124" s="92">
        <f t="shared" si="806"/>
        <v>20180327</v>
      </c>
      <c r="D1124" s="92">
        <f t="shared" si="806"/>
        <v>20180327</v>
      </c>
      <c r="E1124" s="92" t="str">
        <f>$F$5</f>
        <v>9999</v>
      </c>
      <c r="F1124" s="92" t="s">
        <v>1701</v>
      </c>
      <c r="G1124" s="109">
        <v>2</v>
      </c>
      <c r="H1124" s="109">
        <v>1</v>
      </c>
      <c r="I1124" s="109">
        <v>2</v>
      </c>
      <c r="J1124" s="109">
        <v>0</v>
      </c>
      <c r="K1124" s="109">
        <f t="shared" ref="K1124:K1127" si="807">$C$2</f>
        <v>20180326</v>
      </c>
      <c r="L1124" s="109">
        <v>7</v>
      </c>
      <c r="M1124" s="109">
        <v>2</v>
      </c>
      <c r="N1124" s="109">
        <v>2</v>
      </c>
      <c r="O1124" s="109">
        <v>2</v>
      </c>
      <c r="P1124" s="109">
        <v>0</v>
      </c>
      <c r="Q1124" s="370" t="s">
        <v>1128</v>
      </c>
      <c r="R1124" s="92">
        <f>$B$2</f>
        <v>20180327</v>
      </c>
      <c r="S1124" s="371">
        <v>0.54887731481481483</v>
      </c>
      <c r="T1124" s="728"/>
      <c r="U1124" s="728"/>
      <c r="V1124" s="728"/>
      <c r="W1124" s="242"/>
      <c r="X1124" s="242"/>
      <c r="Y1124" s="242"/>
      <c r="Z1124" s="242"/>
      <c r="AA1124" s="242"/>
      <c r="AB1124" s="242"/>
      <c r="AC1124" s="242"/>
      <c r="AD1124" s="242"/>
      <c r="AE1124" s="242"/>
      <c r="AF1124" s="242"/>
      <c r="AG1124" s="242"/>
      <c r="AH1124" s="242"/>
      <c r="AI1124" s="242"/>
      <c r="AJ1124" s="242"/>
      <c r="AK1124" s="242"/>
      <c r="AL1124" s="242"/>
      <c r="AM1124" s="242"/>
      <c r="AN1124" s="242"/>
      <c r="AO1124" s="242"/>
      <c r="AP1124" s="242"/>
      <c r="AQ1124" s="242"/>
      <c r="AR1124" s="242"/>
      <c r="AS1124" s="242"/>
      <c r="AT1124" s="242"/>
      <c r="AU1124" s="242"/>
      <c r="AV1124" s="242"/>
      <c r="AW1124" s="242"/>
      <c r="AX1124" s="242"/>
      <c r="AY1124" s="242"/>
      <c r="AZ1124" s="242"/>
      <c r="BA1124" s="242"/>
      <c r="BB1124" s="242"/>
      <c r="BC1124" s="242"/>
      <c r="BD1124" s="242"/>
      <c r="BE1124" s="242"/>
      <c r="BF1124" s="242"/>
      <c r="BG1124" s="242"/>
      <c r="BH1124" s="242"/>
      <c r="BI1124" s="242"/>
      <c r="BJ1124" s="242"/>
      <c r="BK1124" s="242"/>
      <c r="BL1124" s="242"/>
      <c r="BM1124" s="242"/>
      <c r="BN1124" s="242"/>
      <c r="BO1124" s="242"/>
      <c r="BP1124" s="242"/>
      <c r="BQ1124" s="242"/>
      <c r="BR1124" s="242"/>
      <c r="BS1124" s="242"/>
      <c r="BT1124" s="242"/>
      <c r="BU1124" s="242"/>
      <c r="BV1124" s="242"/>
      <c r="BW1124" s="242"/>
      <c r="BX1124" s="242"/>
      <c r="BY1124" s="242"/>
      <c r="BZ1124" s="242"/>
      <c r="CA1124" s="242"/>
      <c r="CB1124" s="242"/>
      <c r="CC1124" s="242"/>
      <c r="CD1124" s="242"/>
      <c r="CE1124" s="242"/>
      <c r="CF1124" s="242"/>
      <c r="CG1124" s="242"/>
      <c r="CH1124" s="242"/>
      <c r="CI1124" s="242"/>
      <c r="CJ1124" s="242"/>
      <c r="CK1124" s="242"/>
      <c r="CL1124" s="242"/>
      <c r="CM1124" s="242"/>
      <c r="CN1124" s="242"/>
      <c r="CO1124" s="242"/>
      <c r="CP1124" s="242"/>
      <c r="CQ1124" s="242"/>
      <c r="CR1124" s="242"/>
      <c r="CS1124" s="242"/>
      <c r="CT1124" s="242"/>
      <c r="CU1124" s="242"/>
      <c r="CV1124" s="242"/>
      <c r="CW1124" s="242"/>
      <c r="CX1124" s="242"/>
      <c r="CY1124" s="242"/>
      <c r="CZ1124" s="242"/>
      <c r="DA1124" s="242"/>
    </row>
    <row r="1125" spans="1:105" x14ac:dyDescent="0.25">
      <c r="A1125" s="262" t="s">
        <v>173</v>
      </c>
      <c r="C1125" s="92">
        <f t="shared" si="806"/>
        <v>20180327</v>
      </c>
      <c r="D1125" s="92">
        <f t="shared" si="806"/>
        <v>20180327</v>
      </c>
      <c r="E1125" s="92" t="str">
        <f>$F$5</f>
        <v>9999</v>
      </c>
      <c r="F1125" s="92" t="s">
        <v>1708</v>
      </c>
      <c r="G1125" s="109">
        <v>2</v>
      </c>
      <c r="H1125" s="109">
        <v>1</v>
      </c>
      <c r="I1125" s="109">
        <v>2</v>
      </c>
      <c r="J1125" s="109">
        <v>0</v>
      </c>
      <c r="K1125" s="109">
        <f t="shared" si="807"/>
        <v>20180326</v>
      </c>
      <c r="L1125" s="109">
        <v>7</v>
      </c>
      <c r="M1125" s="109">
        <v>2</v>
      </c>
      <c r="N1125" s="109">
        <v>2</v>
      </c>
      <c r="O1125" s="109">
        <v>2</v>
      </c>
      <c r="P1125" s="109">
        <v>0</v>
      </c>
      <c r="Q1125" s="370" t="s">
        <v>1128</v>
      </c>
      <c r="R1125" s="92">
        <f>$B$2</f>
        <v>20180327</v>
      </c>
      <c r="S1125" s="371">
        <v>0.54887731481481483</v>
      </c>
      <c r="T1125" s="728"/>
      <c r="U1125" s="728"/>
      <c r="V1125" s="728"/>
      <c r="W1125" s="242"/>
      <c r="X1125" s="242"/>
      <c r="Y1125" s="242"/>
      <c r="Z1125" s="242"/>
      <c r="AA1125" s="242"/>
      <c r="AB1125" s="242"/>
      <c r="AC1125" s="242"/>
      <c r="AD1125" s="242"/>
      <c r="AE1125" s="242"/>
      <c r="AF1125" s="242"/>
      <c r="AG1125" s="242"/>
      <c r="AH1125" s="242"/>
      <c r="AI1125" s="242"/>
      <c r="AJ1125" s="242"/>
      <c r="AK1125" s="242"/>
      <c r="AL1125" s="242"/>
      <c r="AM1125" s="242"/>
      <c r="AN1125" s="242"/>
      <c r="AO1125" s="242"/>
      <c r="AP1125" s="242"/>
      <c r="AQ1125" s="242"/>
      <c r="AR1125" s="242"/>
      <c r="AS1125" s="242"/>
      <c r="AT1125" s="242"/>
      <c r="AU1125" s="242"/>
      <c r="AV1125" s="242"/>
      <c r="AW1125" s="242"/>
      <c r="AX1125" s="242"/>
      <c r="AY1125" s="242"/>
      <c r="AZ1125" s="242"/>
      <c r="BA1125" s="242"/>
      <c r="BB1125" s="242"/>
      <c r="BC1125" s="242"/>
      <c r="BD1125" s="242"/>
      <c r="BE1125" s="242"/>
      <c r="BF1125" s="242"/>
      <c r="BG1125" s="242"/>
      <c r="BH1125" s="242"/>
      <c r="BI1125" s="242"/>
      <c r="BJ1125" s="242"/>
      <c r="BK1125" s="242"/>
      <c r="BL1125" s="242"/>
      <c r="BM1125" s="242"/>
      <c r="BN1125" s="242"/>
      <c r="BO1125" s="242"/>
      <c r="BP1125" s="242"/>
      <c r="BQ1125" s="242"/>
      <c r="BR1125" s="242"/>
      <c r="BS1125" s="242"/>
      <c r="BT1125" s="242"/>
      <c r="BU1125" s="242"/>
      <c r="BV1125" s="242"/>
      <c r="BW1125" s="242"/>
      <c r="BX1125" s="242"/>
      <c r="BY1125" s="242"/>
      <c r="BZ1125" s="242"/>
      <c r="CA1125" s="242"/>
      <c r="CB1125" s="242"/>
      <c r="CC1125" s="242"/>
      <c r="CD1125" s="242"/>
      <c r="CE1125" s="242"/>
      <c r="CF1125" s="242"/>
      <c r="CG1125" s="242"/>
      <c r="CH1125" s="242"/>
      <c r="CI1125" s="242"/>
      <c r="CJ1125" s="242"/>
      <c r="CK1125" s="242"/>
      <c r="CL1125" s="242"/>
      <c r="CM1125" s="242"/>
      <c r="CN1125" s="242"/>
      <c r="CO1125" s="242"/>
      <c r="CP1125" s="242"/>
      <c r="CQ1125" s="242"/>
      <c r="CR1125" s="242"/>
      <c r="CS1125" s="242"/>
      <c r="CT1125" s="242"/>
      <c r="CU1125" s="242"/>
      <c r="CV1125" s="242"/>
      <c r="CW1125" s="242"/>
      <c r="CX1125" s="242"/>
      <c r="CY1125" s="242"/>
      <c r="CZ1125" s="242"/>
      <c r="DA1125" s="242"/>
    </row>
    <row r="1126" spans="1:105" x14ac:dyDescent="0.25">
      <c r="A1126" s="262" t="s">
        <v>173</v>
      </c>
      <c r="C1126" s="92">
        <f t="shared" si="806"/>
        <v>20180327</v>
      </c>
      <c r="D1126" s="92">
        <f t="shared" si="806"/>
        <v>20180327</v>
      </c>
      <c r="E1126" s="92" t="str">
        <f>$F$5</f>
        <v>9999</v>
      </c>
      <c r="F1126" s="92" t="s">
        <v>1709</v>
      </c>
      <c r="G1126" s="109">
        <v>2</v>
      </c>
      <c r="H1126" s="109">
        <v>1</v>
      </c>
      <c r="I1126" s="109">
        <v>2</v>
      </c>
      <c r="J1126" s="109">
        <v>0</v>
      </c>
      <c r="K1126" s="109">
        <f t="shared" si="807"/>
        <v>20180326</v>
      </c>
      <c r="L1126" s="109">
        <v>7</v>
      </c>
      <c r="M1126" s="109">
        <v>2</v>
      </c>
      <c r="N1126" s="109">
        <v>2</v>
      </c>
      <c r="O1126" s="109">
        <v>2</v>
      </c>
      <c r="P1126" s="109">
        <v>0</v>
      </c>
      <c r="Q1126" s="370" t="s">
        <v>1128</v>
      </c>
      <c r="R1126" s="92">
        <f>$B$2</f>
        <v>20180327</v>
      </c>
      <c r="S1126" s="371">
        <v>0.54887731481481483</v>
      </c>
      <c r="T1126" s="728"/>
      <c r="U1126" s="728"/>
      <c r="V1126" s="728"/>
      <c r="W1126" s="242"/>
      <c r="X1126" s="242"/>
      <c r="Y1126" s="242"/>
      <c r="Z1126" s="242"/>
      <c r="AA1126" s="242"/>
      <c r="AB1126" s="242"/>
      <c r="AC1126" s="242"/>
      <c r="AD1126" s="242"/>
      <c r="AE1126" s="242"/>
      <c r="AF1126" s="242"/>
      <c r="AG1126" s="242"/>
      <c r="AH1126" s="242"/>
      <c r="AI1126" s="242"/>
      <c r="AJ1126" s="242"/>
      <c r="AK1126" s="242"/>
      <c r="AL1126" s="242"/>
      <c r="AM1126" s="242"/>
      <c r="AN1126" s="242"/>
      <c r="AO1126" s="242"/>
      <c r="AP1126" s="242"/>
      <c r="AQ1126" s="242"/>
      <c r="AR1126" s="242"/>
      <c r="AS1126" s="242"/>
      <c r="AT1126" s="242"/>
      <c r="AU1126" s="242"/>
      <c r="AV1126" s="242"/>
      <c r="AW1126" s="242"/>
      <c r="AX1126" s="242"/>
      <c r="AY1126" s="242"/>
      <c r="AZ1126" s="242"/>
      <c r="BA1126" s="242"/>
      <c r="BB1126" s="242"/>
      <c r="BC1126" s="242"/>
      <c r="BD1126" s="242"/>
      <c r="BE1126" s="242"/>
      <c r="BF1126" s="242"/>
      <c r="BG1126" s="242"/>
      <c r="BH1126" s="242"/>
      <c r="BI1126" s="242"/>
      <c r="BJ1126" s="242"/>
      <c r="BK1126" s="242"/>
      <c r="BL1126" s="242"/>
      <c r="BM1126" s="242"/>
      <c r="BN1126" s="242"/>
      <c r="BO1126" s="242"/>
      <c r="BP1126" s="242"/>
      <c r="BQ1126" s="242"/>
      <c r="BR1126" s="242"/>
      <c r="BS1126" s="242"/>
      <c r="BT1126" s="242"/>
      <c r="BU1126" s="242"/>
      <c r="BV1126" s="242"/>
      <c r="BW1126" s="242"/>
      <c r="BX1126" s="242"/>
      <c r="BY1126" s="242"/>
      <c r="BZ1126" s="242"/>
      <c r="CA1126" s="242"/>
      <c r="CB1126" s="242"/>
      <c r="CC1126" s="242"/>
      <c r="CD1126" s="242"/>
      <c r="CE1126" s="242"/>
      <c r="CF1126" s="242"/>
      <c r="CG1126" s="242"/>
      <c r="CH1126" s="242"/>
      <c r="CI1126" s="242"/>
      <c r="CJ1126" s="242"/>
      <c r="CK1126" s="242"/>
      <c r="CL1126" s="242"/>
      <c r="CM1126" s="242"/>
      <c r="CN1126" s="242"/>
      <c r="CO1126" s="242"/>
      <c r="CP1126" s="242"/>
      <c r="CQ1126" s="242"/>
      <c r="CR1126" s="242"/>
      <c r="CS1126" s="242"/>
      <c r="CT1126" s="242"/>
      <c r="CU1126" s="242"/>
      <c r="CV1126" s="242"/>
      <c r="CW1126" s="242"/>
      <c r="CX1126" s="242"/>
      <c r="CY1126" s="242"/>
      <c r="CZ1126" s="242"/>
      <c r="DA1126" s="242"/>
    </row>
    <row r="1127" spans="1:105" x14ac:dyDescent="0.25">
      <c r="A1127" s="262" t="s">
        <v>173</v>
      </c>
      <c r="C1127" s="92">
        <f t="shared" si="806"/>
        <v>20180327</v>
      </c>
      <c r="D1127" s="92">
        <f t="shared" si="806"/>
        <v>20180327</v>
      </c>
      <c r="E1127" s="92" t="str">
        <f>$F$5</f>
        <v>9999</v>
      </c>
      <c r="F1127" s="92" t="s">
        <v>1710</v>
      </c>
      <c r="G1127" s="109">
        <v>2</v>
      </c>
      <c r="H1127" s="109">
        <v>1</v>
      </c>
      <c r="I1127" s="109">
        <v>2</v>
      </c>
      <c r="J1127" s="109">
        <v>0</v>
      </c>
      <c r="K1127" s="109">
        <f t="shared" si="807"/>
        <v>20180326</v>
      </c>
      <c r="L1127" s="109">
        <v>7</v>
      </c>
      <c r="M1127" s="109">
        <v>2</v>
      </c>
      <c r="N1127" s="109">
        <v>2</v>
      </c>
      <c r="O1127" s="109">
        <v>2</v>
      </c>
      <c r="P1127" s="109">
        <v>0</v>
      </c>
      <c r="Q1127" s="370" t="s">
        <v>1128</v>
      </c>
      <c r="R1127" s="92">
        <f>$B$2</f>
        <v>20180327</v>
      </c>
      <c r="S1127" s="371">
        <v>0.54887731481481483</v>
      </c>
      <c r="T1127" s="696"/>
      <c r="U1127" s="696"/>
      <c r="V1127" s="696"/>
      <c r="W1127" s="242"/>
      <c r="X1127" s="242"/>
      <c r="Y1127" s="242"/>
      <c r="Z1127" s="242"/>
      <c r="AA1127" s="242"/>
      <c r="AB1127" s="242"/>
      <c r="AC1127" s="242"/>
      <c r="AD1127" s="242"/>
      <c r="AE1127" s="242"/>
      <c r="AF1127" s="242"/>
      <c r="AG1127" s="242"/>
      <c r="AH1127" s="242"/>
      <c r="AI1127" s="242"/>
      <c r="AJ1127" s="242"/>
      <c r="AK1127" s="242"/>
      <c r="AL1127" s="242"/>
      <c r="AM1127" s="242"/>
      <c r="AN1127" s="242"/>
      <c r="AO1127" s="242"/>
      <c r="AP1127" s="242"/>
      <c r="AQ1127" s="242"/>
      <c r="AR1127" s="242"/>
      <c r="AS1127" s="242"/>
      <c r="AT1127" s="242"/>
      <c r="AU1127" s="242"/>
      <c r="AV1127" s="242"/>
      <c r="AW1127" s="242"/>
      <c r="AX1127" s="242"/>
      <c r="AY1127" s="242"/>
      <c r="AZ1127" s="242"/>
      <c r="BA1127" s="242"/>
      <c r="BB1127" s="242"/>
      <c r="BC1127" s="242"/>
      <c r="BD1127" s="242"/>
      <c r="BE1127" s="242"/>
      <c r="BF1127" s="242"/>
      <c r="BG1127" s="242"/>
      <c r="BH1127" s="242"/>
      <c r="BI1127" s="242"/>
      <c r="BJ1127" s="242"/>
      <c r="BK1127" s="242"/>
      <c r="BL1127" s="242"/>
      <c r="BM1127" s="242"/>
      <c r="BN1127" s="242"/>
      <c r="BO1127" s="242"/>
      <c r="BP1127" s="242"/>
      <c r="BQ1127" s="242"/>
      <c r="BR1127" s="242"/>
      <c r="BS1127" s="242"/>
      <c r="BT1127" s="242"/>
      <c r="BU1127" s="242"/>
      <c r="BV1127" s="242"/>
      <c r="BW1127" s="242"/>
      <c r="BX1127" s="242"/>
      <c r="BY1127" s="242"/>
      <c r="BZ1127" s="242"/>
      <c r="CA1127" s="242"/>
      <c r="CB1127" s="242"/>
      <c r="CC1127" s="242"/>
      <c r="CD1127" s="242"/>
      <c r="CE1127" s="242"/>
      <c r="CF1127" s="242"/>
      <c r="CG1127" s="242"/>
      <c r="CH1127" s="242"/>
      <c r="CI1127" s="242"/>
      <c r="CJ1127" s="242"/>
      <c r="CK1127" s="242"/>
      <c r="CL1127" s="242"/>
      <c r="CM1127" s="242"/>
      <c r="CN1127" s="242"/>
      <c r="CO1127" s="242"/>
      <c r="CP1127" s="242"/>
      <c r="CQ1127" s="242"/>
      <c r="CR1127" s="242"/>
      <c r="CS1127" s="242"/>
      <c r="CT1127" s="242"/>
      <c r="CU1127" s="242"/>
      <c r="CV1127" s="242"/>
      <c r="CW1127" s="242"/>
      <c r="CX1127" s="242"/>
      <c r="CY1127" s="242"/>
      <c r="CZ1127" s="242"/>
      <c r="DA1127" s="242"/>
    </row>
    <row r="1128" spans="1:105" x14ac:dyDescent="0.25">
      <c r="A1128" s="262" t="s">
        <v>173</v>
      </c>
      <c r="C1128" s="126"/>
      <c r="D1128" s="126"/>
      <c r="E1128" s="126"/>
      <c r="F1128" s="126"/>
      <c r="G1128" s="160"/>
      <c r="H1128" s="160"/>
      <c r="I1128" s="160"/>
      <c r="J1128" s="160"/>
      <c r="K1128" s="160"/>
      <c r="L1128" s="160"/>
      <c r="M1128" s="160"/>
      <c r="N1128" s="160"/>
      <c r="O1128" s="160"/>
      <c r="P1128" s="160"/>
      <c r="Q1128" s="372"/>
      <c r="R1128" s="126"/>
      <c r="S1128" s="373"/>
      <c r="T1128" s="372"/>
      <c r="U1128" s="372"/>
      <c r="V1128" s="372"/>
      <c r="W1128" s="242"/>
      <c r="X1128" s="242"/>
      <c r="Y1128" s="242"/>
      <c r="Z1128" s="242"/>
      <c r="AA1128" s="242"/>
      <c r="AB1128" s="242"/>
      <c r="AC1128" s="242"/>
      <c r="AD1128" s="242"/>
      <c r="AE1128" s="242"/>
      <c r="AF1128" s="242"/>
      <c r="AG1128" s="242"/>
      <c r="AH1128" s="242"/>
      <c r="AI1128" s="242"/>
      <c r="AJ1128" s="242"/>
      <c r="AK1128" s="242"/>
      <c r="AL1128" s="242"/>
      <c r="AM1128" s="242"/>
      <c r="AN1128" s="242"/>
      <c r="AO1128" s="242"/>
      <c r="AP1128" s="242"/>
      <c r="AQ1128" s="242"/>
      <c r="AR1128" s="242"/>
      <c r="AS1128" s="242"/>
      <c r="AT1128" s="242"/>
      <c r="AU1128" s="242"/>
      <c r="AV1128" s="242"/>
      <c r="AW1128" s="242"/>
      <c r="AX1128" s="242"/>
      <c r="AY1128" s="242"/>
      <c r="AZ1128" s="242"/>
      <c r="BA1128" s="242"/>
      <c r="BB1128" s="242"/>
      <c r="BC1128" s="242"/>
      <c r="BD1128" s="242"/>
      <c r="BE1128" s="242"/>
      <c r="BF1128" s="242"/>
      <c r="BG1128" s="242"/>
      <c r="BH1128" s="242"/>
      <c r="BI1128" s="242"/>
      <c r="BJ1128" s="242"/>
      <c r="BK1128" s="242"/>
      <c r="BL1128" s="242"/>
      <c r="BM1128" s="242"/>
      <c r="BN1128" s="242"/>
      <c r="BO1128" s="242"/>
      <c r="BP1128" s="242"/>
      <c r="BQ1128" s="242"/>
      <c r="BR1128" s="242"/>
      <c r="BS1128" s="242"/>
      <c r="BT1128" s="242"/>
      <c r="BU1128" s="242"/>
      <c r="BV1128" s="242"/>
      <c r="BW1128" s="242"/>
      <c r="BX1128" s="242"/>
      <c r="BY1128" s="242"/>
      <c r="BZ1128" s="242"/>
      <c r="CA1128" s="242"/>
      <c r="CB1128" s="242"/>
      <c r="CC1128" s="242"/>
      <c r="CD1128" s="242"/>
      <c r="CE1128" s="242"/>
      <c r="CF1128" s="242"/>
      <c r="CG1128" s="242"/>
      <c r="CH1128" s="242"/>
      <c r="CI1128" s="242"/>
      <c r="CJ1128" s="242"/>
      <c r="CK1128" s="242"/>
      <c r="CL1128" s="242"/>
      <c r="CM1128" s="242"/>
      <c r="CN1128" s="242"/>
      <c r="CO1128" s="242"/>
      <c r="CP1128" s="242"/>
      <c r="CQ1128" s="242"/>
      <c r="CR1128" s="242"/>
      <c r="CS1128" s="242"/>
      <c r="CT1128" s="242"/>
      <c r="CU1128" s="242"/>
      <c r="CV1128" s="242"/>
      <c r="CW1128" s="242"/>
      <c r="CX1128" s="242"/>
      <c r="CY1128" s="242"/>
      <c r="CZ1128" s="242"/>
      <c r="DA1128" s="242"/>
    </row>
    <row r="1129" spans="1:105" x14ac:dyDescent="0.25">
      <c r="A1129" s="262" t="s">
        <v>173</v>
      </c>
      <c r="B1129" s="4" t="s">
        <v>1711</v>
      </c>
      <c r="C1129" s="4" t="s">
        <v>1702</v>
      </c>
    </row>
    <row r="1130" spans="1:105" x14ac:dyDescent="0.25">
      <c r="A1130" s="262" t="s">
        <v>173</v>
      </c>
      <c r="B1130" s="57" t="s">
        <v>124</v>
      </c>
      <c r="C1130" s="57" t="s">
        <v>1703</v>
      </c>
      <c r="D1130" s="9"/>
    </row>
    <row r="1131" spans="1:105" x14ac:dyDescent="0.25">
      <c r="A1131" s="262" t="s">
        <v>173</v>
      </c>
      <c r="B1131" t="s">
        <v>1095</v>
      </c>
      <c r="C1131" s="701" t="s">
        <v>1859</v>
      </c>
      <c r="D1131" s="701"/>
      <c r="E1131" s="701"/>
      <c r="F1131" s="701"/>
      <c r="G1131" s="701"/>
      <c r="H1131" s="701"/>
      <c r="I1131" s="701"/>
      <c r="J1131" s="701"/>
      <c r="K1131" s="701"/>
      <c r="L1131" s="701"/>
      <c r="M1131" s="701"/>
      <c r="N1131" s="701"/>
      <c r="O1131" s="701"/>
      <c r="P1131" s="701"/>
      <c r="Q1131" s="701"/>
      <c r="R1131" s="701"/>
      <c r="S1131" s="701"/>
      <c r="T1131" s="729" t="s">
        <v>1700</v>
      </c>
      <c r="U1131" s="729" t="s">
        <v>1107</v>
      </c>
      <c r="V1131" s="729" t="s">
        <v>1108</v>
      </c>
    </row>
    <row r="1132" spans="1:105" x14ac:dyDescent="0.25">
      <c r="A1132" s="262" t="s">
        <v>173</v>
      </c>
      <c r="C1132" s="92" t="s">
        <v>1395</v>
      </c>
      <c r="D1132" s="92" t="s">
        <v>1684</v>
      </c>
      <c r="E1132" s="92" t="s">
        <v>1394</v>
      </c>
      <c r="F1132" s="92" t="s">
        <v>1401</v>
      </c>
      <c r="G1132" s="92" t="s">
        <v>1685</v>
      </c>
      <c r="H1132" s="92" t="s">
        <v>1686</v>
      </c>
      <c r="I1132" s="92" t="s">
        <v>1687</v>
      </c>
      <c r="J1132" s="92" t="s">
        <v>1688</v>
      </c>
      <c r="K1132" s="92" t="s">
        <v>1689</v>
      </c>
      <c r="L1132" s="92" t="s">
        <v>1690</v>
      </c>
      <c r="M1132" s="92" t="s">
        <v>1691</v>
      </c>
      <c r="N1132" s="92" t="s">
        <v>1692</v>
      </c>
      <c r="O1132" s="92" t="s">
        <v>1693</v>
      </c>
      <c r="P1132" s="92" t="s">
        <v>1694</v>
      </c>
      <c r="Q1132" s="92" t="s">
        <v>1695</v>
      </c>
      <c r="R1132" s="92" t="s">
        <v>1696</v>
      </c>
      <c r="S1132" s="92" t="s">
        <v>1697</v>
      </c>
      <c r="T1132" s="679"/>
      <c r="U1132" s="679"/>
      <c r="V1132" s="679"/>
    </row>
    <row r="1133" spans="1:105" x14ac:dyDescent="0.25">
      <c r="A1133" s="262" t="s">
        <v>173</v>
      </c>
      <c r="C1133" s="92">
        <f t="shared" ref="C1133:D1137" si="808">$B$2</f>
        <v>20180327</v>
      </c>
      <c r="D1133" s="92">
        <f t="shared" si="808"/>
        <v>20180327</v>
      </c>
      <c r="E1133" s="92" t="str">
        <f>$F$5</f>
        <v>9999</v>
      </c>
      <c r="F1133" s="92" t="s">
        <v>1704</v>
      </c>
      <c r="G1133" s="109">
        <v>3</v>
      </c>
      <c r="H1133" s="109">
        <v>1</v>
      </c>
      <c r="I1133" s="109">
        <v>2</v>
      </c>
      <c r="J1133" s="109">
        <v>0</v>
      </c>
      <c r="K1133" s="109">
        <f>$C$2</f>
        <v>20180326</v>
      </c>
      <c r="L1133" s="109">
        <v>7</v>
      </c>
      <c r="M1133" s="109">
        <v>2</v>
      </c>
      <c r="N1133" s="109">
        <v>2</v>
      </c>
      <c r="O1133" s="109">
        <v>2</v>
      </c>
      <c r="P1133" s="109">
        <v>0</v>
      </c>
      <c r="Q1133" s="370" t="s">
        <v>1128</v>
      </c>
      <c r="R1133" s="109">
        <f>$B$2</f>
        <v>20180327</v>
      </c>
      <c r="S1133" s="371">
        <v>0.54887731481481483</v>
      </c>
      <c r="T1133" s="679" t="s">
        <v>1128</v>
      </c>
      <c r="U1133" s="679"/>
      <c r="V1133" s="679"/>
    </row>
    <row r="1134" spans="1:105" x14ac:dyDescent="0.25">
      <c r="A1134" s="262" t="s">
        <v>173</v>
      </c>
      <c r="C1134" s="92">
        <f t="shared" si="808"/>
        <v>20180327</v>
      </c>
      <c r="D1134" s="92">
        <f t="shared" si="808"/>
        <v>20180327</v>
      </c>
      <c r="E1134" s="92" t="str">
        <f>$F$5</f>
        <v>9999</v>
      </c>
      <c r="F1134" s="92" t="s">
        <v>1701</v>
      </c>
      <c r="G1134" s="109">
        <v>3</v>
      </c>
      <c r="H1134" s="109">
        <v>1</v>
      </c>
      <c r="I1134" s="109">
        <v>2</v>
      </c>
      <c r="J1134" s="109">
        <v>0</v>
      </c>
      <c r="K1134" s="109">
        <f t="shared" ref="K1134:K1137" si="809">$C$2</f>
        <v>20180326</v>
      </c>
      <c r="L1134" s="109">
        <v>7</v>
      </c>
      <c r="M1134" s="109">
        <v>2</v>
      </c>
      <c r="N1134" s="109">
        <v>2</v>
      </c>
      <c r="O1134" s="109">
        <v>2</v>
      </c>
      <c r="P1134" s="109">
        <v>0</v>
      </c>
      <c r="Q1134" s="370" t="s">
        <v>1128</v>
      </c>
      <c r="R1134" s="109">
        <f>$B$2</f>
        <v>20180327</v>
      </c>
      <c r="S1134" s="371">
        <v>0.54887731481481483</v>
      </c>
      <c r="T1134" s="679"/>
      <c r="U1134" s="679"/>
      <c r="V1134" s="679"/>
    </row>
    <row r="1135" spans="1:105" x14ac:dyDescent="0.25">
      <c r="A1135" s="262" t="s">
        <v>173</v>
      </c>
      <c r="C1135" s="92">
        <f t="shared" si="808"/>
        <v>20180327</v>
      </c>
      <c r="D1135" s="92">
        <f t="shared" si="808"/>
        <v>20180327</v>
      </c>
      <c r="E1135" s="92" t="str">
        <f>$F$5</f>
        <v>9999</v>
      </c>
      <c r="F1135" s="92" t="s">
        <v>1705</v>
      </c>
      <c r="G1135" s="109">
        <v>3</v>
      </c>
      <c r="H1135" s="109">
        <v>1</v>
      </c>
      <c r="I1135" s="109">
        <v>2</v>
      </c>
      <c r="J1135" s="109">
        <v>0</v>
      </c>
      <c r="K1135" s="109">
        <f t="shared" si="809"/>
        <v>20180326</v>
      </c>
      <c r="L1135" s="109">
        <v>7</v>
      </c>
      <c r="M1135" s="109">
        <v>2</v>
      </c>
      <c r="N1135" s="109">
        <v>2</v>
      </c>
      <c r="O1135" s="109">
        <v>2</v>
      </c>
      <c r="P1135" s="109">
        <v>0</v>
      </c>
      <c r="Q1135" s="370" t="s">
        <v>1128</v>
      </c>
      <c r="R1135" s="109">
        <f>$B$2</f>
        <v>20180327</v>
      </c>
      <c r="S1135" s="371">
        <v>0.54887731481481483</v>
      </c>
      <c r="T1135" s="679"/>
      <c r="U1135" s="679"/>
      <c r="V1135" s="679"/>
    </row>
    <row r="1136" spans="1:105" x14ac:dyDescent="0.25">
      <c r="A1136" s="262" t="s">
        <v>173</v>
      </c>
      <c r="C1136" s="92">
        <f t="shared" si="808"/>
        <v>20180327</v>
      </c>
      <c r="D1136" s="92">
        <f t="shared" si="808"/>
        <v>20180327</v>
      </c>
      <c r="E1136" s="92" t="str">
        <f>$F$5</f>
        <v>9999</v>
      </c>
      <c r="F1136" s="92" t="s">
        <v>1706</v>
      </c>
      <c r="G1136" s="109">
        <v>3</v>
      </c>
      <c r="H1136" s="109">
        <v>1</v>
      </c>
      <c r="I1136" s="109">
        <v>2</v>
      </c>
      <c r="J1136" s="109">
        <v>0</v>
      </c>
      <c r="K1136" s="109">
        <f t="shared" si="809"/>
        <v>20180326</v>
      </c>
      <c r="L1136" s="109">
        <v>7</v>
      </c>
      <c r="M1136" s="109">
        <v>2</v>
      </c>
      <c r="N1136" s="109">
        <v>2</v>
      </c>
      <c r="O1136" s="109">
        <v>2</v>
      </c>
      <c r="P1136" s="109">
        <v>0</v>
      </c>
      <c r="Q1136" s="370" t="s">
        <v>1128</v>
      </c>
      <c r="R1136" s="109">
        <f>$B$2</f>
        <v>20180327</v>
      </c>
      <c r="S1136" s="371">
        <v>0.54887731481481483</v>
      </c>
      <c r="T1136" s="679"/>
      <c r="U1136" s="679"/>
      <c r="V1136" s="679"/>
    </row>
    <row r="1137" spans="1:22" x14ac:dyDescent="0.25">
      <c r="A1137" s="262" t="s">
        <v>173</v>
      </c>
      <c r="C1137" s="92">
        <f t="shared" si="808"/>
        <v>20180327</v>
      </c>
      <c r="D1137" s="92">
        <f t="shared" si="808"/>
        <v>20180327</v>
      </c>
      <c r="E1137" s="92" t="str">
        <f>$F$5</f>
        <v>9999</v>
      </c>
      <c r="F1137" s="92" t="s">
        <v>1707</v>
      </c>
      <c r="G1137" s="109">
        <v>3</v>
      </c>
      <c r="H1137" s="109">
        <v>1</v>
      </c>
      <c r="I1137" s="109">
        <v>2</v>
      </c>
      <c r="J1137" s="109">
        <v>0</v>
      </c>
      <c r="K1137" s="109">
        <f t="shared" si="809"/>
        <v>20180326</v>
      </c>
      <c r="L1137" s="109">
        <v>7</v>
      </c>
      <c r="M1137" s="109">
        <v>2</v>
      </c>
      <c r="N1137" s="109">
        <v>2</v>
      </c>
      <c r="O1137" s="109">
        <v>2</v>
      </c>
      <c r="P1137" s="109">
        <v>0</v>
      </c>
      <c r="Q1137" s="370" t="s">
        <v>1128</v>
      </c>
      <c r="R1137" s="109">
        <f>$B$2</f>
        <v>20180327</v>
      </c>
      <c r="S1137" s="371">
        <v>0.54887731481481483</v>
      </c>
      <c r="T1137" s="679"/>
      <c r="U1137" s="679"/>
      <c r="V1137" s="679"/>
    </row>
    <row r="1138" spans="1:22" x14ac:dyDescent="0.25">
      <c r="A1138" s="262" t="s">
        <v>173</v>
      </c>
      <c r="B1138" s="4" t="s">
        <v>1711</v>
      </c>
      <c r="C1138" s="4" t="s">
        <v>1712</v>
      </c>
    </row>
    <row r="1139" spans="1:22" x14ac:dyDescent="0.25">
      <c r="A1139" s="262" t="s">
        <v>173</v>
      </c>
      <c r="B1139" s="57" t="s">
        <v>124</v>
      </c>
      <c r="C1139" s="57" t="s">
        <v>1713</v>
      </c>
      <c r="D1139" s="9"/>
    </row>
    <row r="1140" spans="1:22" x14ac:dyDescent="0.25">
      <c r="A1140" s="262" t="s">
        <v>173</v>
      </c>
      <c r="B1140" t="s">
        <v>1715</v>
      </c>
      <c r="C1140" s="92" t="s">
        <v>1723</v>
      </c>
      <c r="D1140" s="92" t="s">
        <v>1724</v>
      </c>
      <c r="E1140" s="92" t="s">
        <v>1725</v>
      </c>
      <c r="F1140" s="92" t="s">
        <v>1726</v>
      </c>
      <c r="G1140" s="92" t="s">
        <v>1727</v>
      </c>
      <c r="H1140" s="92" t="s">
        <v>1728</v>
      </c>
      <c r="I1140" s="92" t="s">
        <v>1729</v>
      </c>
      <c r="J1140" s="92" t="s">
        <v>1730</v>
      </c>
      <c r="K1140" s="92" t="s">
        <v>1731</v>
      </c>
      <c r="L1140" s="92" t="s">
        <v>1732</v>
      </c>
      <c r="M1140" s="92" t="s">
        <v>1722</v>
      </c>
      <c r="N1140" s="92" t="s">
        <v>1108</v>
      </c>
    </row>
    <row r="1141" spans="1:22" x14ac:dyDescent="0.25">
      <c r="A1141" s="262" t="s">
        <v>173</v>
      </c>
      <c r="C1141" s="374" t="s">
        <v>1741</v>
      </c>
      <c r="D1141" s="92" t="s">
        <v>1724</v>
      </c>
      <c r="E1141" s="92" t="s">
        <v>1725</v>
      </c>
      <c r="F1141" s="92" t="s">
        <v>1726</v>
      </c>
      <c r="G1141" s="92" t="s">
        <v>1727</v>
      </c>
      <c r="H1141" s="92" t="s">
        <v>1728</v>
      </c>
      <c r="I1141" s="92" t="s">
        <v>1729</v>
      </c>
      <c r="J1141" s="92" t="s">
        <v>1730</v>
      </c>
      <c r="K1141" s="92" t="s">
        <v>1731</v>
      </c>
      <c r="L1141" s="92" t="s">
        <v>1128</v>
      </c>
      <c r="M1141" s="92"/>
      <c r="N1141" s="92"/>
    </row>
    <row r="1142" spans="1:22" x14ac:dyDescent="0.25">
      <c r="A1142" s="262" t="s">
        <v>173</v>
      </c>
      <c r="B1142" s="57" t="s">
        <v>124</v>
      </c>
      <c r="C1142" s="57" t="s">
        <v>1716</v>
      </c>
      <c r="D1142" s="9"/>
    </row>
    <row r="1143" spans="1:22" x14ac:dyDescent="0.25">
      <c r="A1143" s="262" t="s">
        <v>173</v>
      </c>
      <c r="B1143" t="s">
        <v>1715</v>
      </c>
      <c r="C1143" s="92" t="s">
        <v>1718</v>
      </c>
      <c r="D1143" s="92" t="s">
        <v>1126</v>
      </c>
      <c r="E1143" s="92" t="s">
        <v>1719</v>
      </c>
      <c r="F1143" s="92" t="s">
        <v>1720</v>
      </c>
      <c r="G1143" s="92" t="s">
        <v>1721</v>
      </c>
      <c r="H1143" s="92" t="s">
        <v>1722</v>
      </c>
      <c r="I1143" s="92" t="s">
        <v>1108</v>
      </c>
    </row>
    <row r="1144" spans="1:22" x14ac:dyDescent="0.25">
      <c r="A1144" s="262" t="s">
        <v>173</v>
      </c>
      <c r="C1144" s="92">
        <f>'day1'!E2</f>
        <v>20180328</v>
      </c>
      <c r="D1144" s="92" t="s">
        <v>1128</v>
      </c>
      <c r="E1144" s="108" t="s">
        <v>1861</v>
      </c>
      <c r="F1144" s="92">
        <v>7</v>
      </c>
      <c r="G1144" s="92">
        <v>2</v>
      </c>
      <c r="H1144" s="92"/>
      <c r="I1144" s="92"/>
    </row>
    <row r="1145" spans="1:22" x14ac:dyDescent="0.25">
      <c r="A1145" s="262" t="s">
        <v>173</v>
      </c>
    </row>
    <row r="1146" spans="1:22" x14ac:dyDescent="0.25">
      <c r="A1146" s="262" t="s">
        <v>173</v>
      </c>
      <c r="B1146" s="4" t="s">
        <v>1711</v>
      </c>
      <c r="C1146" s="4" t="s">
        <v>1733</v>
      </c>
    </row>
    <row r="1147" spans="1:22" x14ac:dyDescent="0.25">
      <c r="A1147" s="262" t="s">
        <v>173</v>
      </c>
      <c r="B1147" s="348" t="s">
        <v>970</v>
      </c>
      <c r="C1147" s="348" t="s">
        <v>1735</v>
      </c>
    </row>
    <row r="1148" spans="1:22" x14ac:dyDescent="0.25">
      <c r="A1148" s="262" t="s">
        <v>173</v>
      </c>
      <c r="B1148" s="348" t="s">
        <v>1095</v>
      </c>
      <c r="C1148" s="360" t="s">
        <v>1622</v>
      </c>
    </row>
    <row r="1149" spans="1:22" x14ac:dyDescent="0.25">
      <c r="A1149" s="262" t="s">
        <v>173</v>
      </c>
      <c r="B1149" s="348"/>
      <c r="C1149" s="225" t="s">
        <v>1734</v>
      </c>
    </row>
    <row r="1150" spans="1:22" x14ac:dyDescent="0.25">
      <c r="A1150" s="262" t="s">
        <v>173</v>
      </c>
      <c r="B1150" s="262" t="s">
        <v>1737</v>
      </c>
      <c r="C1150" t="s">
        <v>1738</v>
      </c>
    </row>
    <row r="1151" spans="1:22" x14ac:dyDescent="0.25">
      <c r="A1151" s="262" t="s">
        <v>173</v>
      </c>
      <c r="B1151" s="57" t="s">
        <v>124</v>
      </c>
      <c r="C1151" s="57" t="s">
        <v>1713</v>
      </c>
      <c r="D1151" s="9"/>
    </row>
    <row r="1152" spans="1:22" x14ac:dyDescent="0.25">
      <c r="A1152" s="262" t="s">
        <v>173</v>
      </c>
      <c r="B1152" t="s">
        <v>1715</v>
      </c>
      <c r="C1152" s="92" t="s">
        <v>1723</v>
      </c>
      <c r="D1152" s="92" t="s">
        <v>1724</v>
      </c>
      <c r="E1152" s="92" t="s">
        <v>1725</v>
      </c>
      <c r="F1152" s="92" t="s">
        <v>1726</v>
      </c>
      <c r="G1152" s="92" t="s">
        <v>1727</v>
      </c>
      <c r="H1152" s="92" t="s">
        <v>1728</v>
      </c>
      <c r="I1152" s="92" t="s">
        <v>1729</v>
      </c>
      <c r="J1152" s="92" t="s">
        <v>1730</v>
      </c>
      <c r="K1152" s="92" t="s">
        <v>1731</v>
      </c>
      <c r="L1152" s="92" t="s">
        <v>1732</v>
      </c>
      <c r="M1152" s="92" t="s">
        <v>1722</v>
      </c>
      <c r="N1152" s="92" t="s">
        <v>1108</v>
      </c>
    </row>
    <row r="1153" spans="1:14" x14ac:dyDescent="0.25">
      <c r="A1153" s="262" t="s">
        <v>173</v>
      </c>
      <c r="C1153" s="108" t="s">
        <v>1742</v>
      </c>
      <c r="D1153" s="92" t="s">
        <v>1724</v>
      </c>
      <c r="E1153" s="92" t="s">
        <v>1725</v>
      </c>
      <c r="F1153" s="92" t="s">
        <v>1726</v>
      </c>
      <c r="G1153" s="92" t="s">
        <v>1727</v>
      </c>
      <c r="H1153" s="92" t="s">
        <v>1728</v>
      </c>
      <c r="I1153" s="92" t="s">
        <v>1729</v>
      </c>
      <c r="J1153" s="92" t="s">
        <v>1730</v>
      </c>
      <c r="K1153" s="92" t="s">
        <v>1731</v>
      </c>
      <c r="L1153" s="92" t="s">
        <v>1128</v>
      </c>
      <c r="M1153" s="92"/>
      <c r="N1153" s="92"/>
    </row>
    <row r="1154" spans="1:14" x14ac:dyDescent="0.25">
      <c r="A1154" s="262" t="s">
        <v>173</v>
      </c>
      <c r="B1154" s="57" t="s">
        <v>124</v>
      </c>
      <c r="C1154" s="57" t="s">
        <v>1740</v>
      </c>
      <c r="D1154" s="9"/>
    </row>
    <row r="1155" spans="1:14" x14ac:dyDescent="0.25">
      <c r="A1155" s="262" t="s">
        <v>173</v>
      </c>
      <c r="B1155" t="s">
        <v>1698</v>
      </c>
      <c r="C1155" s="92" t="s">
        <v>1743</v>
      </c>
      <c r="D1155" s="92" t="s">
        <v>1723</v>
      </c>
      <c r="E1155" s="92" t="s">
        <v>1732</v>
      </c>
      <c r="F1155" s="92" t="s">
        <v>1722</v>
      </c>
      <c r="G1155" s="92" t="s">
        <v>1108</v>
      </c>
    </row>
    <row r="1156" spans="1:14" x14ac:dyDescent="0.25">
      <c r="A1156" s="262" t="s">
        <v>173</v>
      </c>
      <c r="C1156" s="92">
        <f>'day1'!E2</f>
        <v>20180328</v>
      </c>
      <c r="D1156" s="108" t="s">
        <v>1744</v>
      </c>
      <c r="E1156" s="92" t="s">
        <v>1128</v>
      </c>
      <c r="F1156" s="92"/>
      <c r="G1156" s="92"/>
    </row>
    <row r="1157" spans="1:14" x14ac:dyDescent="0.25">
      <c r="A1157" s="262" t="s">
        <v>173</v>
      </c>
      <c r="B1157" t="s">
        <v>1737</v>
      </c>
      <c r="C1157" t="s">
        <v>1739</v>
      </c>
    </row>
    <row r="1158" spans="1:14" x14ac:dyDescent="0.25">
      <c r="A1158" s="262" t="s">
        <v>173</v>
      </c>
      <c r="B1158" s="57" t="s">
        <v>124</v>
      </c>
      <c r="C1158" s="57" t="s">
        <v>1713</v>
      </c>
      <c r="D1158" s="9"/>
    </row>
    <row r="1159" spans="1:14" x14ac:dyDescent="0.25">
      <c r="A1159" s="262" t="s">
        <v>173</v>
      </c>
      <c r="B1159" t="s">
        <v>1715</v>
      </c>
      <c r="C1159" s="92" t="s">
        <v>1723</v>
      </c>
      <c r="D1159" s="92" t="s">
        <v>1724</v>
      </c>
      <c r="E1159" s="92" t="s">
        <v>1725</v>
      </c>
      <c r="F1159" s="92" t="s">
        <v>1726</v>
      </c>
      <c r="G1159" s="92" t="s">
        <v>1727</v>
      </c>
      <c r="H1159" s="92" t="s">
        <v>1728</v>
      </c>
      <c r="I1159" s="92" t="s">
        <v>1729</v>
      </c>
      <c r="J1159" s="92" t="s">
        <v>1730</v>
      </c>
      <c r="K1159" s="92" t="s">
        <v>1731</v>
      </c>
      <c r="L1159" s="92" t="s">
        <v>1732</v>
      </c>
      <c r="M1159" s="92" t="s">
        <v>1722</v>
      </c>
      <c r="N1159" s="92" t="s">
        <v>1108</v>
      </c>
    </row>
    <row r="1160" spans="1:14" x14ac:dyDescent="0.25">
      <c r="A1160" s="262" t="s">
        <v>173</v>
      </c>
      <c r="C1160" s="108" t="s">
        <v>1742</v>
      </c>
      <c r="D1160" s="92" t="s">
        <v>1724</v>
      </c>
      <c r="E1160" s="92" t="s">
        <v>1725</v>
      </c>
      <c r="F1160" s="92" t="s">
        <v>1726</v>
      </c>
      <c r="G1160" s="92" t="s">
        <v>1727</v>
      </c>
      <c r="H1160" s="92" t="s">
        <v>1728</v>
      </c>
      <c r="I1160" s="92" t="s">
        <v>1729</v>
      </c>
      <c r="J1160" s="92" t="s">
        <v>1730</v>
      </c>
      <c r="K1160" s="92" t="s">
        <v>1731</v>
      </c>
      <c r="L1160" s="92" t="s">
        <v>1128</v>
      </c>
      <c r="M1160" s="92"/>
      <c r="N1160" s="92"/>
    </row>
    <row r="1161" spans="1:14" x14ac:dyDescent="0.25">
      <c r="A1161" s="262" t="s">
        <v>173</v>
      </c>
      <c r="B1161" s="57" t="s">
        <v>124</v>
      </c>
      <c r="C1161" s="57" t="s">
        <v>1716</v>
      </c>
      <c r="D1161" s="9"/>
    </row>
    <row r="1162" spans="1:14" x14ac:dyDescent="0.25">
      <c r="A1162" s="262" t="s">
        <v>173</v>
      </c>
      <c r="B1162" t="s">
        <v>1095</v>
      </c>
      <c r="C1162" s="92" t="s">
        <v>1717</v>
      </c>
      <c r="D1162" s="92" t="s">
        <v>1732</v>
      </c>
      <c r="E1162" s="92" t="s">
        <v>1719</v>
      </c>
      <c r="F1162" s="92" t="s">
        <v>1720</v>
      </c>
      <c r="G1162" s="92" t="s">
        <v>1721</v>
      </c>
      <c r="H1162" s="92" t="s">
        <v>1722</v>
      </c>
      <c r="I1162" s="92" t="s">
        <v>1107</v>
      </c>
    </row>
    <row r="1163" spans="1:14" x14ac:dyDescent="0.25">
      <c r="A1163" s="262" t="s">
        <v>173</v>
      </c>
      <c r="C1163" s="92">
        <f>'day1'!E2</f>
        <v>20180328</v>
      </c>
      <c r="D1163" s="92" t="s">
        <v>1128</v>
      </c>
      <c r="E1163" s="108" t="s">
        <v>1745</v>
      </c>
      <c r="F1163" s="92">
        <v>2</v>
      </c>
      <c r="G1163" s="92">
        <v>7</v>
      </c>
      <c r="H1163" s="92"/>
      <c r="I1163" s="92"/>
    </row>
  </sheetData>
  <mergeCells count="374">
    <mergeCell ref="AF573:AF574"/>
    <mergeCell ref="B1100:BP1100"/>
    <mergeCell ref="B1108:AS1108"/>
    <mergeCell ref="AF538:AF539"/>
    <mergeCell ref="B543:AB543"/>
    <mergeCell ref="AC543:AC544"/>
    <mergeCell ref="AD543:AD544"/>
    <mergeCell ref="AE543:AE544"/>
    <mergeCell ref="AF543:AF544"/>
    <mergeCell ref="B568:AB568"/>
    <mergeCell ref="AC568:AC569"/>
    <mergeCell ref="AD568:AD569"/>
    <mergeCell ref="AE568:AE569"/>
    <mergeCell ref="AF568:AF569"/>
    <mergeCell ref="B678:R678"/>
    <mergeCell ref="S678:S679"/>
    <mergeCell ref="T678:T679"/>
    <mergeCell ref="U678:U679"/>
    <mergeCell ref="B1043:L1043"/>
    <mergeCell ref="M1043:Q1043"/>
    <mergeCell ref="B829:U829"/>
    <mergeCell ref="B690:AQ690"/>
    <mergeCell ref="V663:V664"/>
    <mergeCell ref="B668:R668"/>
    <mergeCell ref="T1133:T1137"/>
    <mergeCell ref="U1133:U1137"/>
    <mergeCell ref="V1133:V1137"/>
    <mergeCell ref="C1121:S1121"/>
    <mergeCell ref="T1121:T1122"/>
    <mergeCell ref="U1121:U1122"/>
    <mergeCell ref="V1121:V1122"/>
    <mergeCell ref="T1123:T1127"/>
    <mergeCell ref="U1123:U1127"/>
    <mergeCell ref="V1123:V1127"/>
    <mergeCell ref="C1131:S1131"/>
    <mergeCell ref="T1131:T1132"/>
    <mergeCell ref="U1131:U1132"/>
    <mergeCell ref="V1131:V1132"/>
    <mergeCell ref="B803:Z803"/>
    <mergeCell ref="B819:AC819"/>
    <mergeCell ref="B795:R795"/>
    <mergeCell ref="C653:S653"/>
    <mergeCell ref="U653:U654"/>
    <mergeCell ref="V653:V654"/>
    <mergeCell ref="W653:W654"/>
    <mergeCell ref="C658:S658"/>
    <mergeCell ref="T658:T659"/>
    <mergeCell ref="U658:U659"/>
    <mergeCell ref="V658:V659"/>
    <mergeCell ref="T653:T654"/>
    <mergeCell ref="B765:Y765"/>
    <mergeCell ref="S668:S669"/>
    <mergeCell ref="T668:T669"/>
    <mergeCell ref="U668:U669"/>
    <mergeCell ref="B673:R673"/>
    <mergeCell ref="T673:T674"/>
    <mergeCell ref="U673:U674"/>
    <mergeCell ref="V673:V674"/>
    <mergeCell ref="S673:S674"/>
    <mergeCell ref="C663:S663"/>
    <mergeCell ref="T663:T664"/>
    <mergeCell ref="U663:U664"/>
    <mergeCell ref="AC548:AC549"/>
    <mergeCell ref="W633:W634"/>
    <mergeCell ref="C638:S638"/>
    <mergeCell ref="T638:T639"/>
    <mergeCell ref="U638:U639"/>
    <mergeCell ref="V638:V639"/>
    <mergeCell ref="T633:T634"/>
    <mergeCell ref="C648:S648"/>
    <mergeCell ref="T648:T649"/>
    <mergeCell ref="U648:U649"/>
    <mergeCell ref="V648:V649"/>
    <mergeCell ref="V633:V634"/>
    <mergeCell ref="AC573:AC574"/>
    <mergeCell ref="V643:V644"/>
    <mergeCell ref="V608:V609"/>
    <mergeCell ref="C613:S613"/>
    <mergeCell ref="U613:U614"/>
    <mergeCell ref="V613:V614"/>
    <mergeCell ref="C633:S633"/>
    <mergeCell ref="U633:U634"/>
    <mergeCell ref="AD573:AD574"/>
    <mergeCell ref="AE573:AE574"/>
    <mergeCell ref="AC558:AC559"/>
    <mergeCell ref="AD553:AD554"/>
    <mergeCell ref="AD563:AD564"/>
    <mergeCell ref="AD558:AD559"/>
    <mergeCell ref="AE558:AE559"/>
    <mergeCell ref="AE553:AE554"/>
    <mergeCell ref="AC553:AC554"/>
    <mergeCell ref="AD548:AD549"/>
    <mergeCell ref="AE548:AE549"/>
    <mergeCell ref="B459:AE459"/>
    <mergeCell ref="AD421:AD422"/>
    <mergeCell ref="AC528:AC529"/>
    <mergeCell ref="AC421:AC422"/>
    <mergeCell ref="B464:AE464"/>
    <mergeCell ref="C441:M441"/>
    <mergeCell ref="C446:M446"/>
    <mergeCell ref="B479:AE479"/>
    <mergeCell ref="B484:AE484"/>
    <mergeCell ref="B489:AE489"/>
    <mergeCell ref="B469:AE469"/>
    <mergeCell ref="B474:AE474"/>
    <mergeCell ref="B548:AB548"/>
    <mergeCell ref="B499:AE499"/>
    <mergeCell ref="B504:AE504"/>
    <mergeCell ref="B538:AB538"/>
    <mergeCell ref="AC538:AC539"/>
    <mergeCell ref="AD538:AD539"/>
    <mergeCell ref="AE538:AE539"/>
    <mergeCell ref="AD528:AD529"/>
    <mergeCell ref="AE528:AE529"/>
    <mergeCell ref="AC533:AC534"/>
    <mergeCell ref="AF504:AF505"/>
    <mergeCell ref="AG504:AG505"/>
    <mergeCell ref="AH504:AH505"/>
    <mergeCell ref="AI504:AI505"/>
    <mergeCell ref="AF528:AF529"/>
    <mergeCell ref="AD533:AD534"/>
    <mergeCell ref="AE533:AE534"/>
    <mergeCell ref="AF533:AF534"/>
    <mergeCell ref="B494:AE494"/>
    <mergeCell ref="B509:AE509"/>
    <mergeCell ref="B514:AE514"/>
    <mergeCell ref="B528:AB528"/>
    <mergeCell ref="B533:AB533"/>
    <mergeCell ref="AF509:AF510"/>
    <mergeCell ref="AF489:AF490"/>
    <mergeCell ref="AG489:AG490"/>
    <mergeCell ref="AH489:AH490"/>
    <mergeCell ref="AI489:AI490"/>
    <mergeCell ref="AF494:AF495"/>
    <mergeCell ref="AG494:AG495"/>
    <mergeCell ref="AH494:AH495"/>
    <mergeCell ref="AI494:AI495"/>
    <mergeCell ref="AF499:AF500"/>
    <mergeCell ref="AG499:AG500"/>
    <mergeCell ref="AH499:AH500"/>
    <mergeCell ref="AI499:AI500"/>
    <mergeCell ref="B227:K227"/>
    <mergeCell ref="S375:S376"/>
    <mergeCell ref="S370:S371"/>
    <mergeCell ref="C370:R370"/>
    <mergeCell ref="C375:R375"/>
    <mergeCell ref="C359:M359"/>
    <mergeCell ref="AH459:AH460"/>
    <mergeCell ref="AF484:AF485"/>
    <mergeCell ref="AG484:AG485"/>
    <mergeCell ref="AH484:AH485"/>
    <mergeCell ref="AF479:AF480"/>
    <mergeCell ref="AG479:AG480"/>
    <mergeCell ref="AH479:AH480"/>
    <mergeCell ref="AF464:AF465"/>
    <mergeCell ref="AF469:AF470"/>
    <mergeCell ref="AG469:AG470"/>
    <mergeCell ref="AH469:AH470"/>
    <mergeCell ref="AF474:AF475"/>
    <mergeCell ref="AG474:AG475"/>
    <mergeCell ref="AH474:AH475"/>
    <mergeCell ref="AF459:AF460"/>
    <mergeCell ref="AG459:AG460"/>
    <mergeCell ref="U324:U325"/>
    <mergeCell ref="V324:V325"/>
    <mergeCell ref="AF578:AF579"/>
    <mergeCell ref="AC583:AC584"/>
    <mergeCell ref="AD583:AD584"/>
    <mergeCell ref="AE583:AE584"/>
    <mergeCell ref="AF583:AF584"/>
    <mergeCell ref="AC578:AC579"/>
    <mergeCell ref="AD578:AD579"/>
    <mergeCell ref="W613:W614"/>
    <mergeCell ref="B248:E248"/>
    <mergeCell ref="B553:AB553"/>
    <mergeCell ref="B573:AB573"/>
    <mergeCell ref="W279:W280"/>
    <mergeCell ref="C284:S284"/>
    <mergeCell ref="T284:T285"/>
    <mergeCell ref="U284:U285"/>
    <mergeCell ref="V284:V285"/>
    <mergeCell ref="W259:W260"/>
    <mergeCell ref="B398:AJ398"/>
    <mergeCell ref="S354:S355"/>
    <mergeCell ref="T354:T355"/>
    <mergeCell ref="U354:U355"/>
    <mergeCell ref="C279:S279"/>
    <mergeCell ref="C324:S324"/>
    <mergeCell ref="T324:T325"/>
    <mergeCell ref="S683:S684"/>
    <mergeCell ref="T683:T684"/>
    <mergeCell ref="U683:U684"/>
    <mergeCell ref="T593:T594"/>
    <mergeCell ref="T613:T614"/>
    <mergeCell ref="C618:S618"/>
    <mergeCell ref="T618:T619"/>
    <mergeCell ref="U618:U619"/>
    <mergeCell ref="C628:S628"/>
    <mergeCell ref="C643:S643"/>
    <mergeCell ref="T643:T644"/>
    <mergeCell ref="U643:U644"/>
    <mergeCell ref="B839:AD839"/>
    <mergeCell ref="B873:AV873"/>
    <mergeCell ref="B919:AV919"/>
    <mergeCell ref="B1014:BV1014"/>
    <mergeCell ref="B1092:AQ1092"/>
    <mergeCell ref="B1006:L1006"/>
    <mergeCell ref="C588:S588"/>
    <mergeCell ref="T588:T589"/>
    <mergeCell ref="U588:U589"/>
    <mergeCell ref="V588:V589"/>
    <mergeCell ref="C593:S593"/>
    <mergeCell ref="U593:U594"/>
    <mergeCell ref="V593:V594"/>
    <mergeCell ref="W593:W594"/>
    <mergeCell ref="C598:S598"/>
    <mergeCell ref="T598:T599"/>
    <mergeCell ref="U598:U599"/>
    <mergeCell ref="V598:V599"/>
    <mergeCell ref="C608:S608"/>
    <mergeCell ref="T608:T609"/>
    <mergeCell ref="U608:U609"/>
    <mergeCell ref="B683:R683"/>
    <mergeCell ref="C603:S603"/>
    <mergeCell ref="T603:T604"/>
    <mergeCell ref="AM394:AM395"/>
    <mergeCell ref="AN394:AN395"/>
    <mergeCell ref="B394:AJ394"/>
    <mergeCell ref="U603:U604"/>
    <mergeCell ref="V603:V604"/>
    <mergeCell ref="C623:S623"/>
    <mergeCell ref="T623:T624"/>
    <mergeCell ref="U623:U624"/>
    <mergeCell ref="V623:V624"/>
    <mergeCell ref="AF548:AF549"/>
    <mergeCell ref="AF553:AF554"/>
    <mergeCell ref="AF558:AF559"/>
    <mergeCell ref="AC563:AC564"/>
    <mergeCell ref="AE578:AE579"/>
    <mergeCell ref="B421:AB421"/>
    <mergeCell ref="B426:AB426"/>
    <mergeCell ref="B558:AB558"/>
    <mergeCell ref="AG464:AG465"/>
    <mergeCell ref="AH464:AH465"/>
    <mergeCell ref="B563:AB563"/>
    <mergeCell ref="B578:AB578"/>
    <mergeCell ref="B583:AB583"/>
    <mergeCell ref="V618:V619"/>
    <mergeCell ref="AE563:AE564"/>
    <mergeCell ref="AM398:AM399"/>
    <mergeCell ref="AN398:AN399"/>
    <mergeCell ref="B403:AJ403"/>
    <mergeCell ref="AK403:AK404"/>
    <mergeCell ref="AL403:AL404"/>
    <mergeCell ref="AM403:AM404"/>
    <mergeCell ref="AN403:AN404"/>
    <mergeCell ref="T628:T629"/>
    <mergeCell ref="U628:U629"/>
    <mergeCell ref="V628:V629"/>
    <mergeCell ref="AF563:AF564"/>
    <mergeCell ref="AI484:AI485"/>
    <mergeCell ref="AI479:AI480"/>
    <mergeCell ref="AI459:AI460"/>
    <mergeCell ref="AI469:AI470"/>
    <mergeCell ref="AI474:AI475"/>
    <mergeCell ref="AI464:AI465"/>
    <mergeCell ref="AG509:AG510"/>
    <mergeCell ref="AH509:AH510"/>
    <mergeCell ref="AI509:AI510"/>
    <mergeCell ref="AF514:AF515"/>
    <mergeCell ref="AG514:AG515"/>
    <mergeCell ref="AH514:AH515"/>
    <mergeCell ref="AI514:AI515"/>
    <mergeCell ref="AM407:AM408"/>
    <mergeCell ref="AN407:AN408"/>
    <mergeCell ref="B431:AB431"/>
    <mergeCell ref="AC431:AC432"/>
    <mergeCell ref="AD431:AD432"/>
    <mergeCell ref="AE431:AE432"/>
    <mergeCell ref="AF431:AF432"/>
    <mergeCell ref="AE421:AE422"/>
    <mergeCell ref="AF421:AF422"/>
    <mergeCell ref="AC426:AC427"/>
    <mergeCell ref="AD426:AD427"/>
    <mergeCell ref="AE426:AE427"/>
    <mergeCell ref="AF426:AF427"/>
    <mergeCell ref="B407:AJ407"/>
    <mergeCell ref="AK407:AK408"/>
    <mergeCell ref="AL407:AL408"/>
    <mergeCell ref="AK398:AK399"/>
    <mergeCell ref="AL398:AL399"/>
    <mergeCell ref="AK394:AK395"/>
    <mergeCell ref="AL394:AL395"/>
    <mergeCell ref="W299:W300"/>
    <mergeCell ref="C304:S304"/>
    <mergeCell ref="T304:T305"/>
    <mergeCell ref="U304:U305"/>
    <mergeCell ref="V304:V305"/>
    <mergeCell ref="C309:S309"/>
    <mergeCell ref="T309:T310"/>
    <mergeCell ref="U309:U310"/>
    <mergeCell ref="V309:V310"/>
    <mergeCell ref="B334:R334"/>
    <mergeCell ref="S334:S335"/>
    <mergeCell ref="T334:T335"/>
    <mergeCell ref="U334:U335"/>
    <mergeCell ref="T370:T371"/>
    <mergeCell ref="U370:U371"/>
    <mergeCell ref="V370:V371"/>
    <mergeCell ref="T375:T376"/>
    <mergeCell ref="U375:U376"/>
    <mergeCell ref="V375:V376"/>
    <mergeCell ref="B354:R354"/>
    <mergeCell ref="C329:S329"/>
    <mergeCell ref="T329:T330"/>
    <mergeCell ref="U329:U330"/>
    <mergeCell ref="V329:V330"/>
    <mergeCell ref="C299:S299"/>
    <mergeCell ref="C289:S289"/>
    <mergeCell ref="T289:T290"/>
    <mergeCell ref="U289:U290"/>
    <mergeCell ref="V289:V290"/>
    <mergeCell ref="C294:S294"/>
    <mergeCell ref="U314:U315"/>
    <mergeCell ref="V314:V315"/>
    <mergeCell ref="C319:S319"/>
    <mergeCell ref="T279:T280"/>
    <mergeCell ref="U279:U280"/>
    <mergeCell ref="V279:V280"/>
    <mergeCell ref="T319:T320"/>
    <mergeCell ref="U319:U320"/>
    <mergeCell ref="V319:V320"/>
    <mergeCell ref="W319:W320"/>
    <mergeCell ref="C254:S254"/>
    <mergeCell ref="T254:T255"/>
    <mergeCell ref="U254:U255"/>
    <mergeCell ref="V254:V255"/>
    <mergeCell ref="C259:S259"/>
    <mergeCell ref="T259:T260"/>
    <mergeCell ref="U259:U260"/>
    <mergeCell ref="V259:V260"/>
    <mergeCell ref="C264:S264"/>
    <mergeCell ref="T264:T265"/>
    <mergeCell ref="U264:U265"/>
    <mergeCell ref="V264:V265"/>
    <mergeCell ref="C269:S269"/>
    <mergeCell ref="T269:T270"/>
    <mergeCell ref="U269:U270"/>
    <mergeCell ref="V269:V270"/>
    <mergeCell ref="C274:S274"/>
    <mergeCell ref="T274:T275"/>
    <mergeCell ref="U274:U275"/>
    <mergeCell ref="V274:V275"/>
    <mergeCell ref="B349:R349"/>
    <mergeCell ref="S349:S350"/>
    <mergeCell ref="T349:T350"/>
    <mergeCell ref="U349:U350"/>
    <mergeCell ref="T294:T295"/>
    <mergeCell ref="U294:U295"/>
    <mergeCell ref="V294:V295"/>
    <mergeCell ref="T299:T300"/>
    <mergeCell ref="U299:U300"/>
    <mergeCell ref="V299:V300"/>
    <mergeCell ref="B339:R339"/>
    <mergeCell ref="S339:S340"/>
    <mergeCell ref="T339:T340"/>
    <mergeCell ref="U339:U340"/>
    <mergeCell ref="V339:V340"/>
    <mergeCell ref="B344:R344"/>
    <mergeCell ref="S344:S345"/>
    <mergeCell ref="T344:T345"/>
    <mergeCell ref="U344:U345"/>
    <mergeCell ref="C314:S314"/>
    <mergeCell ref="T314:T315"/>
  </mergeCells>
  <phoneticPr fontId="2" type="noConversion"/>
  <hyperlinks>
    <hyperlink ref="B246" r:id="rId1"/>
    <hyperlink ref="B251" r:id="rId2"/>
    <hyperlink ref="B214"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M1151"/>
  <sheetViews>
    <sheetView topLeftCell="A1073" workbookViewId="0">
      <selection activeCell="AB1083" sqref="AB1083"/>
    </sheetView>
  </sheetViews>
  <sheetFormatPr defaultRowHeight="14.4" x14ac:dyDescent="0.25"/>
  <cols>
    <col min="1" max="1" width="14.88671875" customWidth="1"/>
    <col min="2" max="2" width="37.88671875" customWidth="1"/>
    <col min="3" max="3" width="19.88671875" customWidth="1"/>
    <col min="4" max="4" width="20.21875" customWidth="1"/>
    <col min="5" max="5" width="16.88671875" customWidth="1"/>
    <col min="6" max="6" width="19.77734375" customWidth="1"/>
    <col min="7" max="7" width="17.33203125" customWidth="1"/>
    <col min="8" max="8" width="16" customWidth="1"/>
    <col min="9" max="9" width="17.109375" customWidth="1"/>
    <col min="10" max="10" width="17.33203125" customWidth="1"/>
    <col min="11" max="11" width="19.109375" customWidth="1"/>
    <col min="12" max="12" width="17.109375" customWidth="1"/>
    <col min="13" max="13" width="15.6640625" customWidth="1"/>
    <col min="14" max="15" width="20" customWidth="1"/>
    <col min="16" max="16" width="18.77734375" customWidth="1"/>
    <col min="17" max="17" width="21.88671875" customWidth="1"/>
    <col min="18" max="18" width="21.109375" customWidth="1"/>
    <col min="19" max="19" width="22.33203125" customWidth="1"/>
    <col min="20" max="20" width="16.88671875" customWidth="1"/>
    <col min="21" max="21" width="18.44140625" customWidth="1"/>
    <col min="22" max="22" width="21.77734375" customWidth="1"/>
    <col min="23" max="23" width="35.5546875" customWidth="1"/>
    <col min="24" max="24" width="17.44140625" customWidth="1"/>
    <col min="25" max="25" width="21.109375" customWidth="1"/>
    <col min="26" max="26" width="20.44140625" customWidth="1"/>
    <col min="27" max="27" width="22.77734375" customWidth="1"/>
    <col min="28" max="28" width="24.44140625" customWidth="1"/>
    <col min="29" max="29" width="17.44140625" customWidth="1"/>
    <col min="30" max="30" width="27.21875" customWidth="1"/>
    <col min="31" max="31" width="22.77734375" customWidth="1"/>
    <col min="32" max="32" width="15.44140625" customWidth="1"/>
    <col min="33" max="33" width="20.33203125" customWidth="1"/>
    <col min="34" max="34" width="14.88671875" customWidth="1"/>
    <col min="35" max="35" width="18.33203125" customWidth="1"/>
    <col min="36" max="36" width="13.44140625" customWidth="1"/>
    <col min="37" max="37" width="19.44140625" customWidth="1"/>
    <col min="38" max="38" width="17.44140625" customWidth="1"/>
    <col min="39" max="39" width="23.21875" customWidth="1"/>
    <col min="40" max="40" width="21.77734375" customWidth="1"/>
    <col min="41" max="41" width="19.77734375" customWidth="1"/>
    <col min="42" max="42" width="23.6640625" customWidth="1"/>
    <col min="43" max="43" width="19.88671875" customWidth="1"/>
    <col min="44" max="44" width="18.109375" customWidth="1"/>
    <col min="45" max="45" width="26.109375" customWidth="1"/>
    <col min="46" max="46" width="22.44140625" customWidth="1"/>
    <col min="47" max="47" width="15.44140625" customWidth="1"/>
    <col min="48" max="48" width="17.77734375" customWidth="1"/>
    <col min="49" max="49" width="18.6640625" customWidth="1"/>
    <col min="50" max="50" width="15.6640625" customWidth="1"/>
    <col min="51" max="51" width="12.77734375" customWidth="1"/>
    <col min="52" max="52" width="15.44140625" customWidth="1"/>
    <col min="53" max="53" width="19.109375" customWidth="1"/>
    <col min="54" max="54" width="20.6640625" customWidth="1"/>
    <col min="55" max="55" width="14" customWidth="1"/>
    <col min="56" max="56" width="16.88671875" customWidth="1"/>
    <col min="57" max="57" width="18.21875" customWidth="1"/>
    <col min="58" max="58" width="22.33203125" customWidth="1"/>
    <col min="59" max="59" width="19.44140625" customWidth="1"/>
    <col min="60" max="60" width="21" customWidth="1"/>
    <col min="61" max="61" width="26" customWidth="1"/>
    <col min="62" max="62" width="19.44140625" customWidth="1"/>
    <col min="63" max="63" width="17.88671875" customWidth="1"/>
    <col min="64" max="64" width="17.33203125" customWidth="1"/>
    <col min="65" max="65" width="16.33203125" customWidth="1"/>
    <col min="66" max="66" width="18" customWidth="1"/>
    <col min="67" max="67" width="17" customWidth="1"/>
    <col min="68" max="68" width="12.109375" customWidth="1"/>
    <col min="69" max="69" width="15.21875" customWidth="1"/>
    <col min="70" max="70" width="17.21875" customWidth="1"/>
    <col min="71" max="71" width="18.33203125" customWidth="1"/>
    <col min="72" max="72" width="22" customWidth="1"/>
    <col min="73" max="73" width="17" customWidth="1"/>
    <col min="74" max="74" width="16.109375" customWidth="1"/>
    <col min="75" max="75" width="14.33203125" customWidth="1"/>
  </cols>
  <sheetData>
    <row r="1" spans="1:7" x14ac:dyDescent="0.25">
      <c r="A1" t="str">
        <f>data!A1</f>
        <v>comment</v>
      </c>
      <c r="B1" s="93" t="str">
        <f>data!B1</f>
        <v>交易日</v>
      </c>
      <c r="C1" s="93" t="str">
        <f>data!C1</f>
        <v>day1</v>
      </c>
      <c r="D1" s="93" t="str">
        <f>data!D1</f>
        <v>day2</v>
      </c>
      <c r="E1" s="93" t="str">
        <f>data!E1</f>
        <v>day3</v>
      </c>
      <c r="F1" s="93" t="s">
        <v>1229</v>
      </c>
      <c r="G1" s="93" t="s">
        <v>1230</v>
      </c>
    </row>
    <row r="2" spans="1:7" x14ac:dyDescent="0.25">
      <c r="A2" t="str">
        <f>data!A2</f>
        <v>comment</v>
      </c>
      <c r="B2" s="93">
        <f>E2</f>
        <v>20180328</v>
      </c>
      <c r="C2" s="93">
        <f>data!C2</f>
        <v>20180326</v>
      </c>
      <c r="D2" s="93">
        <f>data!D2</f>
        <v>20180327</v>
      </c>
      <c r="E2" s="93">
        <f>data!E2</f>
        <v>20180328</v>
      </c>
      <c r="F2" s="92">
        <f>B219+1</f>
        <v>2</v>
      </c>
      <c r="G2" s="92">
        <f>B224+1</f>
        <v>2</v>
      </c>
    </row>
    <row r="3" spans="1:7" x14ac:dyDescent="0.25">
      <c r="A3" t="str">
        <f>data!A3</f>
        <v>comment</v>
      </c>
      <c r="B3" t="str">
        <f>data!B3</f>
        <v>投资者信息</v>
      </c>
    </row>
    <row r="4" spans="1:7" x14ac:dyDescent="0.25">
      <c r="A4" t="str">
        <f>data!A4</f>
        <v>comment</v>
      </c>
      <c r="B4" s="93" t="str">
        <f>data!B4</f>
        <v>投资者代码</v>
      </c>
      <c r="C4" s="93" t="str">
        <f>data!C4</f>
        <v>投资单元</v>
      </c>
      <c r="D4" s="93" t="str">
        <f>data!D4</f>
        <v>资金账号</v>
      </c>
      <c r="E4" s="93" t="str">
        <f>data!E4</f>
        <v xml:space="preserve"> 币种代码</v>
      </c>
      <c r="F4" s="93" t="str">
        <f>data!F4</f>
        <v>经纪公司</v>
      </c>
      <c r="G4" s="93" t="str">
        <f>data!G4</f>
        <v>交易编码</v>
      </c>
    </row>
    <row r="5" spans="1:7" x14ac:dyDescent="0.25">
      <c r="A5" t="str">
        <f>data!A5</f>
        <v>comment</v>
      </c>
      <c r="B5" s="92" t="str">
        <f>data!B5</f>
        <v>6001</v>
      </c>
      <c r="C5" s="92" t="str">
        <f>data!C5</f>
        <v>B00101</v>
      </c>
      <c r="D5" s="92" t="str">
        <f>data!D5</f>
        <v>6001</v>
      </c>
      <c r="E5" s="92" t="str">
        <f>data!E5</f>
        <v>CNY</v>
      </c>
      <c r="F5" s="111" t="str">
        <f>data!F5</f>
        <v>9999</v>
      </c>
      <c r="G5" s="111" t="str">
        <f>data!G5</f>
        <v>50010001</v>
      </c>
    </row>
    <row r="6" spans="1:7" x14ac:dyDescent="0.25">
      <c r="A6" t="str">
        <f>data!A6</f>
        <v>comment</v>
      </c>
      <c r="B6" s="92" t="str">
        <f>data!B6</f>
        <v>6001</v>
      </c>
      <c r="C6" s="92" t="str">
        <f>data!C6</f>
        <v>B00102</v>
      </c>
      <c r="D6" s="92" t="str">
        <f>data!D6</f>
        <v>6001</v>
      </c>
      <c r="E6" s="92" t="str">
        <f>data!E6</f>
        <v>CNY</v>
      </c>
      <c r="F6" s="111" t="str">
        <f>data!F6</f>
        <v>9999</v>
      </c>
      <c r="G6" s="111" t="str">
        <f>data!G6</f>
        <v>50010002</v>
      </c>
    </row>
    <row r="7" spans="1:7" x14ac:dyDescent="0.25">
      <c r="A7" t="str">
        <f>data!A7</f>
        <v>comment</v>
      </c>
      <c r="B7" t="str">
        <f>data!B7</f>
        <v>资金账号</v>
      </c>
    </row>
    <row r="8" spans="1:7" x14ac:dyDescent="0.25">
      <c r="A8" t="str">
        <f>data!A8</f>
        <v>comment</v>
      </c>
      <c r="B8" s="93" t="str">
        <f>data!B8</f>
        <v>投资者代码</v>
      </c>
      <c r="C8" s="93" t="str">
        <f>data!C8</f>
        <v>资金账号</v>
      </c>
      <c r="D8" s="93" t="str">
        <f>data!D8</f>
        <v>币种代码</v>
      </c>
    </row>
    <row r="9" spans="1:7" x14ac:dyDescent="0.25">
      <c r="A9" t="str">
        <f>data!A9</f>
        <v>comment</v>
      </c>
      <c r="B9" s="92" t="str">
        <f>data!B9</f>
        <v>6001</v>
      </c>
      <c r="C9" s="92" t="str">
        <f>data!C9</f>
        <v>6001</v>
      </c>
      <c r="D9" s="92" t="str">
        <f>data!D9</f>
        <v>CNY</v>
      </c>
    </row>
    <row r="10" spans="1:7" x14ac:dyDescent="0.25">
      <c r="A10" t="str">
        <f>data!A10</f>
        <v>comment</v>
      </c>
      <c r="B10" s="92" t="str">
        <f>data!B10</f>
        <v>6001</v>
      </c>
      <c r="C10" s="92" t="str">
        <f>data!C10</f>
        <v>6001</v>
      </c>
      <c r="D10" s="92" t="str">
        <f>data!D10</f>
        <v>HKD</v>
      </c>
    </row>
    <row r="11" spans="1:7" x14ac:dyDescent="0.25">
      <c r="A11" t="str">
        <f>data!A11</f>
        <v>comment</v>
      </c>
      <c r="B11" s="92" t="str">
        <f>data!B11</f>
        <v>6001</v>
      </c>
      <c r="C11" s="92" t="str">
        <f>data!C11</f>
        <v>6001</v>
      </c>
      <c r="D11" s="92" t="str">
        <f>data!D11</f>
        <v>USD</v>
      </c>
    </row>
    <row r="12" spans="1:7" x14ac:dyDescent="0.25">
      <c r="A12" t="str">
        <f>data!A12</f>
        <v>comment</v>
      </c>
      <c r="B12" t="str">
        <f>data!B12</f>
        <v>交易所资金账号</v>
      </c>
    </row>
    <row r="13" spans="1:7" x14ac:dyDescent="0.25">
      <c r="A13" t="str">
        <f>data!A13</f>
        <v>comment</v>
      </c>
      <c r="B13" s="93" t="str">
        <f>data!B13</f>
        <v>交易所代码</v>
      </c>
      <c r="C13" s="93" t="str">
        <f>data!C13</f>
        <v>交易所账号</v>
      </c>
      <c r="D13" s="93" t="str">
        <f>data!D13</f>
        <v>币种代码</v>
      </c>
    </row>
    <row r="14" spans="1:7" x14ac:dyDescent="0.25">
      <c r="A14" t="str">
        <f>data!A14</f>
        <v>comment</v>
      </c>
      <c r="B14" s="92" t="str">
        <f>data!B14</f>
        <v>CZCE</v>
      </c>
      <c r="C14" s="92">
        <f>data!C14</f>
        <v>99990201</v>
      </c>
      <c r="D14" s="92" t="str">
        <f>data!D14</f>
        <v>CNY</v>
      </c>
    </row>
    <row r="15" spans="1:7" x14ac:dyDescent="0.25">
      <c r="A15" t="str">
        <f>data!A15</f>
        <v>comment</v>
      </c>
      <c r="B15" s="92" t="str">
        <f>data!B15</f>
        <v>CZCE</v>
      </c>
      <c r="C15" s="92">
        <f>data!C15</f>
        <v>99990203</v>
      </c>
      <c r="D15" s="92" t="str">
        <f>data!D15</f>
        <v>HKD</v>
      </c>
    </row>
    <row r="16" spans="1:7" x14ac:dyDescent="0.25">
      <c r="A16" t="str">
        <f>data!A16</f>
        <v>comment</v>
      </c>
      <c r="B16" s="92" t="str">
        <f>data!B16</f>
        <v>CZCE</v>
      </c>
      <c r="C16" s="92">
        <f>data!C16</f>
        <v>99990202</v>
      </c>
      <c r="D16" s="92" t="str">
        <f>data!D16</f>
        <v>USD</v>
      </c>
    </row>
    <row r="17" spans="1:13" x14ac:dyDescent="0.25">
      <c r="A17" t="str">
        <f>data!A17</f>
        <v>comment</v>
      </c>
      <c r="B17" t="str">
        <f>data!B17</f>
        <v>产品合约</v>
      </c>
    </row>
    <row r="18" spans="1:13" x14ac:dyDescent="0.25">
      <c r="A18" t="str">
        <f>data!A18</f>
        <v>comment</v>
      </c>
      <c r="B18" s="93" t="str">
        <f>data!B18</f>
        <v>交易所</v>
      </c>
      <c r="C18" s="93" t="str">
        <f>data!C18</f>
        <v>合约</v>
      </c>
      <c r="D18" s="93" t="str">
        <f>data!D18</f>
        <v>品种</v>
      </c>
      <c r="E18" s="93" t="str">
        <f>data!E18</f>
        <v>合约乘数</v>
      </c>
      <c r="F18" s="93" t="str">
        <f>data!F18</f>
        <v>到期日</v>
      </c>
      <c r="G18" s="93">
        <f>data!G18</f>
        <v>2</v>
      </c>
      <c r="H18" s="93" t="str">
        <f>data!H18</f>
        <v>看涨看跌0：涨，1：跌</v>
      </c>
      <c r="I18" s="93" t="str">
        <f>data!I18</f>
        <v>标的期货合约</v>
      </c>
      <c r="J18" s="93" t="str">
        <f>data!J18</f>
        <v>执行价格</v>
      </c>
      <c r="K18" s="93" t="str">
        <f>data!K18</f>
        <v>是否特殊品种:0正常,1 特殊</v>
      </c>
      <c r="L18" s="93" t="str">
        <f>data!L18</f>
        <v>品种类型</v>
      </c>
      <c r="M18" s="93" t="str">
        <f>data!M18</f>
        <v>基础商品乘数</v>
      </c>
    </row>
    <row r="19" spans="1:13" x14ac:dyDescent="0.25">
      <c r="A19" t="str">
        <f>data!A19</f>
        <v>comment</v>
      </c>
      <c r="B19" s="92" t="str">
        <f>data!B19</f>
        <v>CZCE</v>
      </c>
      <c r="C19" s="92" t="str">
        <f>data!C19</f>
        <v>SR807</v>
      </c>
      <c r="D19" s="92" t="str">
        <f>data!D19</f>
        <v>SR</v>
      </c>
      <c r="E19" s="92">
        <f>data!E19</f>
        <v>10</v>
      </c>
      <c r="F19" s="92">
        <f>data!F19</f>
        <v>20180328</v>
      </c>
      <c r="G19" s="92">
        <f>data!G19</f>
        <v>1</v>
      </c>
      <c r="H19" s="92">
        <f>data!H19</f>
        <v>9</v>
      </c>
      <c r="I19" s="92" t="str">
        <f>data!I19</f>
        <v>SR807</v>
      </c>
      <c r="J19" s="92"/>
      <c r="K19" s="111">
        <f>data!K19</f>
        <v>0</v>
      </c>
      <c r="L19" s="93">
        <f>data!L19</f>
        <v>0</v>
      </c>
      <c r="M19" s="93">
        <f>data!M19</f>
        <v>1</v>
      </c>
    </row>
    <row r="20" spans="1:13" x14ac:dyDescent="0.25">
      <c r="A20" t="str">
        <f>data!A20</f>
        <v>comment</v>
      </c>
      <c r="B20" s="92" t="str">
        <f>data!B20</f>
        <v>CZCE</v>
      </c>
      <c r="C20" s="92" t="str">
        <f>data!C20</f>
        <v>SR809</v>
      </c>
      <c r="D20" s="92" t="str">
        <f>data!D20</f>
        <v>SR</v>
      </c>
      <c r="E20" s="92">
        <f>data!E20</f>
        <v>10</v>
      </c>
      <c r="F20" s="92">
        <f>data!F20</f>
        <v>20180333</v>
      </c>
      <c r="G20" s="92">
        <f>data!G20</f>
        <v>1</v>
      </c>
      <c r="H20" s="92">
        <f>data!H20</f>
        <v>9</v>
      </c>
      <c r="I20" s="92" t="str">
        <f>data!I20</f>
        <v>SR809</v>
      </c>
      <c r="J20" s="92"/>
      <c r="K20" s="111">
        <f>data!K20</f>
        <v>0</v>
      </c>
      <c r="L20" s="93">
        <f>data!L20</f>
        <v>0</v>
      </c>
      <c r="M20" s="93">
        <f>data!M20</f>
        <v>1</v>
      </c>
    </row>
    <row r="21" spans="1:13" x14ac:dyDescent="0.25">
      <c r="A21" t="str">
        <f>data!A21</f>
        <v>comment</v>
      </c>
      <c r="B21" s="92" t="str">
        <f>data!B21</f>
        <v>CZCE</v>
      </c>
      <c r="C21" s="92" t="str">
        <f>data!C21</f>
        <v>OI811</v>
      </c>
      <c r="D21" s="92" t="str">
        <f>data!D21</f>
        <v>OI</v>
      </c>
      <c r="E21" s="92">
        <f>data!E21</f>
        <v>10</v>
      </c>
      <c r="F21" s="92">
        <f>data!F21</f>
        <v>20180333</v>
      </c>
      <c r="G21" s="92">
        <f>data!G21</f>
        <v>1</v>
      </c>
      <c r="H21" s="92">
        <f>data!H21</f>
        <v>9</v>
      </c>
      <c r="I21" s="92" t="str">
        <f>data!I21</f>
        <v>OI811</v>
      </c>
      <c r="J21" s="92"/>
      <c r="K21" s="111">
        <f>data!K21</f>
        <v>0</v>
      </c>
      <c r="L21" s="93">
        <f>data!L21</f>
        <v>0</v>
      </c>
      <c r="M21" s="93">
        <f>data!M21</f>
        <v>1</v>
      </c>
    </row>
    <row r="22" spans="1:13" x14ac:dyDescent="0.25">
      <c r="A22" t="str">
        <f>data!A22</f>
        <v>comment</v>
      </c>
      <c r="B22" s="92" t="str">
        <f>data!B22</f>
        <v>CZCE</v>
      </c>
      <c r="C22" s="92" t="str">
        <f>data!C22</f>
        <v>PTA807</v>
      </c>
      <c r="D22" s="92" t="str">
        <f>data!D22</f>
        <v>PTA</v>
      </c>
      <c r="E22" s="92">
        <f>data!E22</f>
        <v>5</v>
      </c>
      <c r="F22" s="92">
        <f>data!F22</f>
        <v>20180328</v>
      </c>
      <c r="G22" s="92">
        <f>data!G22</f>
        <v>1</v>
      </c>
      <c r="H22" s="92">
        <f>data!H22</f>
        <v>9</v>
      </c>
      <c r="I22" s="92" t="str">
        <f>data!I22</f>
        <v>PTA807</v>
      </c>
      <c r="J22" s="92"/>
      <c r="K22" s="111">
        <f>data!K22</f>
        <v>1</v>
      </c>
      <c r="L22" s="93">
        <f>data!L22</f>
        <v>0</v>
      </c>
      <c r="M22" s="93">
        <f>data!M22</f>
        <v>1</v>
      </c>
    </row>
    <row r="23" spans="1:13" x14ac:dyDescent="0.25">
      <c r="A23" t="str">
        <f>data!A23</f>
        <v>comment</v>
      </c>
      <c r="B23" s="92" t="str">
        <f>data!B23</f>
        <v>CZCE</v>
      </c>
      <c r="C23" s="92" t="str">
        <f>data!C23</f>
        <v>PTA809</v>
      </c>
      <c r="D23" s="92" t="str">
        <f>data!D23</f>
        <v>PTA</v>
      </c>
      <c r="E23" s="92">
        <f>data!E23</f>
        <v>5</v>
      </c>
      <c r="F23" s="92">
        <f>data!F23</f>
        <v>20180333</v>
      </c>
      <c r="G23" s="92">
        <f>data!G23</f>
        <v>1</v>
      </c>
      <c r="H23" s="92">
        <f>data!H23</f>
        <v>9</v>
      </c>
      <c r="I23" s="92" t="str">
        <f>data!I23</f>
        <v>PTA809</v>
      </c>
      <c r="J23" s="92"/>
      <c r="K23" s="111">
        <f>data!K23</f>
        <v>1</v>
      </c>
      <c r="L23" s="93">
        <f>data!L23</f>
        <v>0</v>
      </c>
      <c r="M23" s="93">
        <f>data!M23</f>
        <v>1</v>
      </c>
    </row>
    <row r="24" spans="1:13" x14ac:dyDescent="0.25">
      <c r="A24" t="str">
        <f>data!A24</f>
        <v>comment</v>
      </c>
      <c r="B24" s="92" t="str">
        <f>data!B24</f>
        <v>CZCE</v>
      </c>
      <c r="C24" s="92" t="str">
        <f>data!C24</f>
        <v>PTA807C6500</v>
      </c>
      <c r="D24" s="92" t="str">
        <f>data!D24</f>
        <v>PTAC</v>
      </c>
      <c r="E24" s="92">
        <f>data!E24</f>
        <v>5</v>
      </c>
      <c r="F24" s="92">
        <f>data!F24</f>
        <v>20180328</v>
      </c>
      <c r="G24" s="92">
        <f>data!G24</f>
        <v>2</v>
      </c>
      <c r="H24" s="92">
        <f>data!H24</f>
        <v>0</v>
      </c>
      <c r="I24" s="92" t="str">
        <f>data!I24</f>
        <v>PTA807</v>
      </c>
      <c r="J24" s="92">
        <f>data!J24</f>
        <v>6500</v>
      </c>
      <c r="K24" s="111">
        <f>data!K24</f>
        <v>0</v>
      </c>
      <c r="L24" s="93">
        <f>data!L24</f>
        <v>1</v>
      </c>
      <c r="M24" s="93">
        <f>data!M24</f>
        <v>1</v>
      </c>
    </row>
    <row r="25" spans="1:13" x14ac:dyDescent="0.25">
      <c r="A25" t="str">
        <f>data!A25</f>
        <v>comment</v>
      </c>
      <c r="B25" s="92" t="str">
        <f>data!B25</f>
        <v>CZCE</v>
      </c>
      <c r="C25" s="92" t="str">
        <f>data!C25</f>
        <v>PTA807P6200</v>
      </c>
      <c r="D25" s="92" t="str">
        <f>data!D25</f>
        <v>PTAP</v>
      </c>
      <c r="E25" s="92">
        <f>data!E25</f>
        <v>5</v>
      </c>
      <c r="F25" s="92">
        <f>data!F25</f>
        <v>20180328</v>
      </c>
      <c r="G25" s="92">
        <f>data!G25</f>
        <v>2</v>
      </c>
      <c r="H25" s="92">
        <f>data!H25</f>
        <v>1</v>
      </c>
      <c r="I25" s="92" t="str">
        <f>data!I25</f>
        <v>PTA807</v>
      </c>
      <c r="J25" s="92">
        <f>data!J25</f>
        <v>6200</v>
      </c>
      <c r="K25" s="111">
        <f>data!K25</f>
        <v>0</v>
      </c>
      <c r="L25" s="93">
        <f>data!L25</f>
        <v>1</v>
      </c>
      <c r="M25" s="93">
        <f>data!M25</f>
        <v>1</v>
      </c>
    </row>
    <row r="26" spans="1:13" x14ac:dyDescent="0.25">
      <c r="A26" t="str">
        <f>data!A26</f>
        <v>comment</v>
      </c>
      <c r="B26" s="92" t="str">
        <f>data!B26</f>
        <v>CZCE</v>
      </c>
      <c r="C26" s="92" t="str">
        <f>data!C26</f>
        <v>PTA807P6500</v>
      </c>
      <c r="D26" s="92" t="str">
        <f>data!D26</f>
        <v>PTAP</v>
      </c>
      <c r="E26" s="92">
        <f>data!E26</f>
        <v>5</v>
      </c>
      <c r="F26" s="92">
        <f>data!F26</f>
        <v>20180328</v>
      </c>
      <c r="G26" s="92">
        <f>data!G26</f>
        <v>2</v>
      </c>
      <c r="H26" s="92">
        <f>data!H26</f>
        <v>1</v>
      </c>
      <c r="I26" s="92" t="str">
        <f>data!I26</f>
        <v>PTA807</v>
      </c>
      <c r="J26" s="92">
        <f>data!J26</f>
        <v>6500</v>
      </c>
      <c r="K26" s="111">
        <f>data!K26</f>
        <v>0</v>
      </c>
      <c r="L26" s="93">
        <f>data!L26</f>
        <v>1</v>
      </c>
      <c r="M26" s="93">
        <f>data!M26</f>
        <v>1</v>
      </c>
    </row>
    <row r="27" spans="1:13" x14ac:dyDescent="0.25">
      <c r="A27" t="str">
        <f>data!A27</f>
        <v>comment</v>
      </c>
      <c r="B27" s="92" t="str">
        <f>data!B27</f>
        <v>CZCE</v>
      </c>
      <c r="C27" s="92" t="str">
        <f>data!C27</f>
        <v>SR807C6500</v>
      </c>
      <c r="D27" s="92" t="str">
        <f>data!D27</f>
        <v>SRC</v>
      </c>
      <c r="E27" s="92">
        <f>data!E27</f>
        <v>10</v>
      </c>
      <c r="F27" s="92">
        <f>data!F27</f>
        <v>20180327</v>
      </c>
      <c r="G27" s="92">
        <f>data!G27</f>
        <v>2</v>
      </c>
      <c r="H27" s="92">
        <f>data!H27</f>
        <v>0</v>
      </c>
      <c r="I27" s="92" t="str">
        <f>data!I27</f>
        <v>SR807</v>
      </c>
      <c r="J27" s="92">
        <f>data!J27</f>
        <v>6500</v>
      </c>
      <c r="K27" s="111">
        <f>data!K27</f>
        <v>0</v>
      </c>
      <c r="L27" s="93">
        <f>data!L27</f>
        <v>1</v>
      </c>
      <c r="M27" s="93">
        <f>data!M27</f>
        <v>1</v>
      </c>
    </row>
    <row r="28" spans="1:13" x14ac:dyDescent="0.25">
      <c r="A28" t="str">
        <f>data!A28</f>
        <v>comment</v>
      </c>
      <c r="B28" s="92" t="str">
        <f>data!B28</f>
        <v>CZCE</v>
      </c>
      <c r="C28" s="92" t="str">
        <f>data!C28</f>
        <v>SR807P6500</v>
      </c>
      <c r="D28" s="92" t="str">
        <f>data!D28</f>
        <v>SRP</v>
      </c>
      <c r="E28" s="92">
        <f>data!E28</f>
        <v>10</v>
      </c>
      <c r="F28" s="92">
        <f>data!F28</f>
        <v>20180327</v>
      </c>
      <c r="G28" s="92">
        <f>data!G28</f>
        <v>2</v>
      </c>
      <c r="H28" s="92">
        <f>data!H28</f>
        <v>1</v>
      </c>
      <c r="I28" s="92" t="str">
        <f>data!I28</f>
        <v>SR807</v>
      </c>
      <c r="J28" s="92">
        <f>data!J28</f>
        <v>6500</v>
      </c>
      <c r="K28" s="111">
        <f>data!K28</f>
        <v>0</v>
      </c>
      <c r="L28" s="93">
        <f>data!L28</f>
        <v>1</v>
      </c>
      <c r="M28" s="93">
        <f>data!M28</f>
        <v>1</v>
      </c>
    </row>
    <row r="29" spans="1:13" x14ac:dyDescent="0.25">
      <c r="A29" t="str">
        <f>data!A29</f>
        <v>comment</v>
      </c>
      <c r="B29" s="92" t="str">
        <f>data!B29</f>
        <v>CZCE</v>
      </c>
      <c r="C29" s="92" t="str">
        <f>data!C29</f>
        <v>SR807P6400</v>
      </c>
      <c r="D29" s="92" t="str">
        <f>data!D29</f>
        <v>SRP</v>
      </c>
      <c r="E29" s="92">
        <f>data!E29</f>
        <v>10</v>
      </c>
      <c r="F29" s="92">
        <f>data!F29</f>
        <v>20180327</v>
      </c>
      <c r="G29" s="92">
        <f>data!G29</f>
        <v>2</v>
      </c>
      <c r="H29" s="92">
        <f>data!H29</f>
        <v>1</v>
      </c>
      <c r="I29" s="92" t="str">
        <f>data!I29</f>
        <v>SR807</v>
      </c>
      <c r="J29" s="92">
        <f>data!J29</f>
        <v>6400</v>
      </c>
      <c r="K29" s="111">
        <f>data!K29</f>
        <v>0</v>
      </c>
      <c r="L29" s="93">
        <f>data!L29</f>
        <v>1</v>
      </c>
      <c r="M29" s="93">
        <f>data!M29</f>
        <v>1</v>
      </c>
    </row>
    <row r="30" spans="1:13" s="294" customFormat="1" x14ac:dyDescent="0.25">
      <c r="A30" s="294" t="str">
        <f>data!A30</f>
        <v>comment</v>
      </c>
      <c r="B30" s="295" t="str">
        <f>data!B30</f>
        <v>CZCE</v>
      </c>
      <c r="C30" s="295" t="str">
        <f>data!C30</f>
        <v>SR809C6600</v>
      </c>
      <c r="D30" s="295" t="str">
        <f>data!D30</f>
        <v>SRC</v>
      </c>
      <c r="E30" s="295">
        <f>data!E30</f>
        <v>10</v>
      </c>
      <c r="F30" s="295">
        <f>data!F30</f>
        <v>20180332</v>
      </c>
      <c r="G30" s="295">
        <f>data!G30</f>
        <v>2</v>
      </c>
      <c r="H30" s="295">
        <f>data!H30</f>
        <v>0</v>
      </c>
      <c r="I30" s="295" t="str">
        <f>data!I30</f>
        <v>SR809</v>
      </c>
      <c r="J30" s="295">
        <f>data!J30</f>
        <v>6600</v>
      </c>
      <c r="K30" s="295">
        <f>data!K30</f>
        <v>0</v>
      </c>
      <c r="L30" s="295">
        <f>data!L30</f>
        <v>1</v>
      </c>
      <c r="M30" s="295">
        <f>data!M30</f>
        <v>1</v>
      </c>
    </row>
    <row r="31" spans="1:13" x14ac:dyDescent="0.25">
      <c r="A31" t="str">
        <f>data!A31</f>
        <v>comment</v>
      </c>
      <c r="B31" s="92" t="str">
        <f>data!B31</f>
        <v>CZCE</v>
      </c>
      <c r="C31" s="92" t="str">
        <f>data!C31</f>
        <v>SR809C6500</v>
      </c>
      <c r="D31" s="92" t="str">
        <f>data!D31</f>
        <v>SRC</v>
      </c>
      <c r="E31" s="92">
        <f>data!E31</f>
        <v>10</v>
      </c>
      <c r="F31" s="92">
        <f>data!F31</f>
        <v>20180327</v>
      </c>
      <c r="G31" s="92">
        <f>data!G31</f>
        <v>0</v>
      </c>
      <c r="H31" s="92">
        <f>data!H31</f>
        <v>0</v>
      </c>
      <c r="I31" s="92" t="str">
        <f>data!I31</f>
        <v>SR809</v>
      </c>
      <c r="J31" s="92">
        <f>data!J31</f>
        <v>6500</v>
      </c>
      <c r="K31" s="111">
        <f>data!K31</f>
        <v>0</v>
      </c>
      <c r="L31" s="93">
        <f>data!L31</f>
        <v>1</v>
      </c>
      <c r="M31" s="93">
        <f>data!M31</f>
        <v>1</v>
      </c>
    </row>
    <row r="32" spans="1:13" x14ac:dyDescent="0.25">
      <c r="A32" t="str">
        <f>data!A32</f>
        <v>comment</v>
      </c>
      <c r="B32" s="93" t="str">
        <f>data!B32</f>
        <v>交易所</v>
      </c>
      <c r="C32" s="93" t="str">
        <f>data!C32</f>
        <v>组合合约</v>
      </c>
      <c r="D32" s="93" t="str">
        <f>data!D32</f>
        <v>组合类型</v>
      </c>
      <c r="E32" s="93" t="str">
        <f>data!E32</f>
        <v>组合方向</v>
      </c>
      <c r="F32" s="93" t="str">
        <f>data!F32</f>
        <v>左腿合约</v>
      </c>
      <c r="G32" s="93" t="str">
        <f>data!G32</f>
        <v>左腿方向</v>
      </c>
      <c r="H32" s="93" t="str">
        <f>data!H32</f>
        <v>右腿合约</v>
      </c>
      <c r="I32" s="93" t="str">
        <f>data!I32</f>
        <v>右腿方向</v>
      </c>
      <c r="J32" s="93" t="str">
        <f>data!J32</f>
        <v>组合类型</v>
      </c>
      <c r="K32" s="167"/>
      <c r="L32" s="167"/>
    </row>
    <row r="33" spans="1:12" x14ac:dyDescent="0.25">
      <c r="A33" t="str">
        <f>data!A33</f>
        <v>comment</v>
      </c>
      <c r="B33" s="92" t="str">
        <f>data!B33</f>
        <v>CZCE</v>
      </c>
      <c r="C33" s="92" t="str">
        <f>data!C33</f>
        <v>SR807&amp;SR809</v>
      </c>
      <c r="D33" s="92" t="str">
        <f>data!D33</f>
        <v>同品种跨期</v>
      </c>
      <c r="E33" s="92">
        <f>data!E33</f>
        <v>0</v>
      </c>
      <c r="F33" s="92" t="str">
        <f>data!F33</f>
        <v>SR807</v>
      </c>
      <c r="G33" s="92">
        <f>data!G33</f>
        <v>0</v>
      </c>
      <c r="H33" s="92" t="str">
        <f>data!H33</f>
        <v>SR809</v>
      </c>
      <c r="I33" s="92">
        <f>data!I33</f>
        <v>1</v>
      </c>
      <c r="J33" s="92" t="str">
        <f>data!J33</f>
        <v>SPD</v>
      </c>
      <c r="K33" s="167"/>
      <c r="L33" s="167"/>
    </row>
    <row r="34" spans="1:12" x14ac:dyDescent="0.25">
      <c r="A34" t="str">
        <f>data!A34</f>
        <v>comment</v>
      </c>
      <c r="B34" s="92" t="str">
        <f>data!B34</f>
        <v>CZCE</v>
      </c>
      <c r="C34" s="92" t="str">
        <f>data!C34</f>
        <v>SR807&amp;SR809</v>
      </c>
      <c r="D34" s="92" t="str">
        <f>data!D34</f>
        <v>同品种跨期</v>
      </c>
      <c r="E34" s="92">
        <f>data!E34</f>
        <v>1</v>
      </c>
      <c r="F34" s="92" t="str">
        <f>data!F34</f>
        <v>SR807</v>
      </c>
      <c r="G34" s="92">
        <f>data!G34</f>
        <v>1</v>
      </c>
      <c r="H34" s="92" t="str">
        <f>data!H34</f>
        <v>SR809</v>
      </c>
      <c r="I34" s="92">
        <f>data!I34</f>
        <v>0</v>
      </c>
      <c r="J34" s="92" t="str">
        <f>data!J34</f>
        <v>SPD</v>
      </c>
      <c r="K34" s="167"/>
      <c r="L34" s="167"/>
    </row>
    <row r="35" spans="1:12" x14ac:dyDescent="0.25">
      <c r="A35" t="str">
        <f>data!A35</f>
        <v>comment</v>
      </c>
      <c r="B35" s="92" t="str">
        <f>data!B35</f>
        <v>CZCE</v>
      </c>
      <c r="C35" s="92" t="str">
        <f>data!C35</f>
        <v>SR807&amp;OI811</v>
      </c>
      <c r="D35" s="92" t="str">
        <f>data!D35</f>
        <v>不同品种跨期</v>
      </c>
      <c r="E35" s="92">
        <f>data!E35</f>
        <v>1</v>
      </c>
      <c r="F35" s="92" t="str">
        <f>data!F35</f>
        <v>SR807</v>
      </c>
      <c r="G35" s="92">
        <f>data!G35</f>
        <v>1</v>
      </c>
      <c r="H35" s="92" t="str">
        <f>data!H35</f>
        <v>OI811</v>
      </c>
      <c r="I35" s="92">
        <f>data!I35</f>
        <v>1</v>
      </c>
      <c r="J35" s="92" t="str">
        <f>data!J35</f>
        <v>SPD</v>
      </c>
      <c r="K35" s="167"/>
      <c r="L35" s="167"/>
    </row>
    <row r="36" spans="1:12" x14ac:dyDescent="0.25">
      <c r="A36" t="str">
        <f>data!A36</f>
        <v>comment</v>
      </c>
      <c r="B36" s="92" t="str">
        <f>data!B36</f>
        <v>CZCE</v>
      </c>
      <c r="C36" s="92" t="str">
        <f>data!C36</f>
        <v>SR807&amp;OI811</v>
      </c>
      <c r="D36" s="92" t="str">
        <f>data!D36</f>
        <v>不同品种跨期</v>
      </c>
      <c r="E36" s="92">
        <f>data!E36</f>
        <v>1</v>
      </c>
      <c r="F36" s="92" t="str">
        <f>data!F36</f>
        <v>SR807</v>
      </c>
      <c r="G36" s="92">
        <f>data!G36</f>
        <v>1</v>
      </c>
      <c r="H36" s="92" t="str">
        <f>data!H36</f>
        <v>OI811</v>
      </c>
      <c r="I36" s="92">
        <f>data!I36</f>
        <v>0</v>
      </c>
      <c r="J36" s="92" t="str">
        <f>data!J36</f>
        <v>SPD</v>
      </c>
      <c r="K36" s="167"/>
      <c r="L36" s="167"/>
    </row>
    <row r="37" spans="1:12" x14ac:dyDescent="0.25">
      <c r="A37" t="str">
        <f>data!A37</f>
        <v>comment</v>
      </c>
      <c r="B37" s="92" t="str">
        <f>data!B37</f>
        <v>CZCE</v>
      </c>
      <c r="C37" s="92" t="str">
        <f>data!C37</f>
        <v>SR807&amp;SR807C6500</v>
      </c>
      <c r="D37" s="92" t="str">
        <f>data!D37</f>
        <v>备兑看涨</v>
      </c>
      <c r="E37" s="92">
        <f>data!E37</f>
        <v>0</v>
      </c>
      <c r="F37" s="92" t="str">
        <f>data!F37</f>
        <v>SR807</v>
      </c>
      <c r="G37" s="92">
        <f>data!G37</f>
        <v>0</v>
      </c>
      <c r="H37" s="92" t="str">
        <f>data!H37</f>
        <v>SR807C6500</v>
      </c>
      <c r="I37" s="92">
        <f>data!I37</f>
        <v>1</v>
      </c>
      <c r="J37" s="92" t="str">
        <f>data!J37</f>
        <v>PRT</v>
      </c>
      <c r="K37" s="167"/>
      <c r="L37" s="167"/>
    </row>
    <row r="38" spans="1:12" x14ac:dyDescent="0.25">
      <c r="A38" t="str">
        <f>data!A38</f>
        <v>comment</v>
      </c>
      <c r="B38" s="92" t="str">
        <f>data!B38</f>
        <v>CZCE</v>
      </c>
      <c r="C38" s="92" t="str">
        <f>data!C38</f>
        <v>SR807&amp;SR807P6500</v>
      </c>
      <c r="D38" s="92" t="str">
        <f>data!D38</f>
        <v>备兑看跌</v>
      </c>
      <c r="E38" s="92">
        <f>data!E38</f>
        <v>1</v>
      </c>
      <c r="F38" s="92" t="str">
        <f>data!F38</f>
        <v>SR807</v>
      </c>
      <c r="G38" s="92">
        <f>data!G38</f>
        <v>1</v>
      </c>
      <c r="H38" s="92" t="str">
        <f>data!H38</f>
        <v>SR807P6500</v>
      </c>
      <c r="I38" s="92">
        <f>data!I38</f>
        <v>1</v>
      </c>
      <c r="J38" s="92" t="str">
        <f>data!J38</f>
        <v>PRT</v>
      </c>
      <c r="K38" s="167"/>
      <c r="L38" s="167"/>
    </row>
    <row r="39" spans="1:12" x14ac:dyDescent="0.25">
      <c r="A39" t="str">
        <f>data!A39</f>
        <v>comment</v>
      </c>
      <c r="B39" s="92" t="str">
        <f>data!B39</f>
        <v>CZCE</v>
      </c>
      <c r="C39" s="92" t="str">
        <f>data!C39</f>
        <v>PTA807&amp;PTA807C6500</v>
      </c>
      <c r="D39" s="92" t="str">
        <f>data!D39</f>
        <v>备兑看涨</v>
      </c>
      <c r="E39" s="92">
        <f>data!E39</f>
        <v>0</v>
      </c>
      <c r="F39" s="92" t="str">
        <f>data!F39</f>
        <v>PTA807</v>
      </c>
      <c r="G39" s="92">
        <f>data!G39</f>
        <v>0</v>
      </c>
      <c r="H39" s="92" t="str">
        <f>data!H39</f>
        <v>PTA807P6200</v>
      </c>
      <c r="I39" s="92">
        <f>data!I39</f>
        <v>1</v>
      </c>
      <c r="J39" s="92" t="str">
        <f>data!J39</f>
        <v>PRT</v>
      </c>
      <c r="K39" s="167"/>
      <c r="L39" s="167"/>
    </row>
    <row r="40" spans="1:12" x14ac:dyDescent="0.25">
      <c r="A40" t="str">
        <f>data!A40</f>
        <v>comment</v>
      </c>
      <c r="B40" s="92" t="str">
        <f>data!B40</f>
        <v>CZCE</v>
      </c>
      <c r="C40" s="92" t="str">
        <f>data!C40</f>
        <v>PTA807&amp;PTA807C6500</v>
      </c>
      <c r="D40" s="92" t="str">
        <f>data!D40</f>
        <v>备兑看跌</v>
      </c>
      <c r="E40" s="92">
        <f>data!E40</f>
        <v>1</v>
      </c>
      <c r="F40" s="92" t="str">
        <f>data!F40</f>
        <v>PTA807</v>
      </c>
      <c r="G40" s="92">
        <f>data!G40</f>
        <v>1</v>
      </c>
      <c r="H40" s="92" t="str">
        <f>data!H40</f>
        <v>PTA807P6200</v>
      </c>
      <c r="I40" s="92">
        <f>data!I40</f>
        <v>1</v>
      </c>
      <c r="J40" s="92" t="str">
        <f>data!J40</f>
        <v>PRT</v>
      </c>
      <c r="K40" s="167"/>
      <c r="L40" s="167"/>
    </row>
    <row r="41" spans="1:12" x14ac:dyDescent="0.25">
      <c r="A41" t="str">
        <f>data!A42</f>
        <v>comment</v>
      </c>
      <c r="B41" s="92" t="str">
        <f>data!B42</f>
        <v>CZCE</v>
      </c>
      <c r="C41" s="92" t="str">
        <f>data!C41</f>
        <v>SR809&amp;SR809C6600</v>
      </c>
      <c r="D41" s="92" t="str">
        <f>data!D41</f>
        <v>备兑看涨</v>
      </c>
      <c r="E41" s="92">
        <f>data!E41</f>
        <v>0</v>
      </c>
      <c r="F41" s="92" t="str">
        <f>data!F41</f>
        <v>SR809</v>
      </c>
      <c r="G41" s="92">
        <f>data!G41</f>
        <v>0</v>
      </c>
      <c r="H41" s="92" t="str">
        <f>data!H41</f>
        <v>SR809C6600</v>
      </c>
      <c r="I41" s="92">
        <f>data!I41</f>
        <v>1</v>
      </c>
      <c r="J41" s="92" t="str">
        <f>data!J41</f>
        <v>PRT</v>
      </c>
      <c r="K41" s="167"/>
      <c r="L41" s="167"/>
    </row>
    <row r="42" spans="1:12" x14ac:dyDescent="0.25">
      <c r="A42" t="str">
        <f>data!A43</f>
        <v>comment</v>
      </c>
      <c r="B42" s="92" t="str">
        <f>data!B43</f>
        <v>CZCE</v>
      </c>
      <c r="C42" s="92" t="str">
        <f>data!C42</f>
        <v>PTA807C6500&amp;PTA807P6500</v>
      </c>
      <c r="D42" s="92" t="str">
        <f>data!D42</f>
        <v>跨式</v>
      </c>
      <c r="E42" s="92">
        <f>data!E42</f>
        <v>0</v>
      </c>
      <c r="F42" s="92" t="str">
        <f>data!F42</f>
        <v>PTA807P6200</v>
      </c>
      <c r="G42" s="92">
        <f>data!G42</f>
        <v>0</v>
      </c>
      <c r="H42" s="92" t="str">
        <f>data!H42</f>
        <v>PTA807P6500</v>
      </c>
      <c r="I42" s="92">
        <f>data!I42</f>
        <v>0</v>
      </c>
      <c r="J42" s="92" t="str">
        <f>data!J42</f>
        <v>STD</v>
      </c>
      <c r="K42" s="167"/>
      <c r="L42" s="167"/>
    </row>
    <row r="43" spans="1:12" x14ac:dyDescent="0.25">
      <c r="A43" t="str">
        <f>data!A44</f>
        <v>comment</v>
      </c>
      <c r="B43" s="92" t="str">
        <f>data!B44</f>
        <v>CZCE</v>
      </c>
      <c r="C43" s="92" t="str">
        <f>data!C43</f>
        <v>PTA807C6500&amp;PTA807P6500</v>
      </c>
      <c r="D43" s="92" t="str">
        <f>data!D43</f>
        <v>跨式</v>
      </c>
      <c r="E43" s="92">
        <f>data!E43</f>
        <v>1</v>
      </c>
      <c r="F43" s="92" t="str">
        <f>data!F43</f>
        <v>PTA807P6200</v>
      </c>
      <c r="G43" s="92">
        <f>data!G43</f>
        <v>1</v>
      </c>
      <c r="H43" s="92" t="str">
        <f>data!H43</f>
        <v>PTA807P6500</v>
      </c>
      <c r="I43" s="92">
        <f>data!I43</f>
        <v>1</v>
      </c>
      <c r="J43" s="92" t="str">
        <f>data!J43</f>
        <v>STD</v>
      </c>
      <c r="K43" s="167"/>
      <c r="L43" s="167"/>
    </row>
    <row r="44" spans="1:12" x14ac:dyDescent="0.25">
      <c r="A44" t="str">
        <f>data!A45</f>
        <v>comment</v>
      </c>
      <c r="B44" s="92" t="str">
        <f>data!B45</f>
        <v>CZCE</v>
      </c>
      <c r="C44" s="92" t="str">
        <f>data!C44</f>
        <v>PTA807C6500&amp;PTA807P6200</v>
      </c>
      <c r="D44" s="92" t="str">
        <f>data!D44</f>
        <v>宽跨式</v>
      </c>
      <c r="E44" s="92">
        <f>data!E44</f>
        <v>0</v>
      </c>
      <c r="F44" s="92" t="str">
        <f>data!F44</f>
        <v>PTA807P6200</v>
      </c>
      <c r="G44" s="92">
        <f>data!G44</f>
        <v>0</v>
      </c>
      <c r="H44" s="92" t="str">
        <f>data!H44</f>
        <v>PTA807C6500</v>
      </c>
      <c r="I44" s="92">
        <f>data!I44</f>
        <v>0</v>
      </c>
      <c r="J44" s="92" t="str">
        <f>data!J44</f>
        <v>STG</v>
      </c>
      <c r="K44" s="167"/>
      <c r="L44" s="167"/>
    </row>
    <row r="45" spans="1:12" x14ac:dyDescent="0.25">
      <c r="A45" t="str">
        <f>data!A37</f>
        <v>comment</v>
      </c>
      <c r="B45" s="92" t="str">
        <f>data!B37</f>
        <v>CZCE</v>
      </c>
      <c r="C45" s="92" t="str">
        <f>data!C45</f>
        <v>PTA807C6500&amp;PTA807P6200</v>
      </c>
      <c r="D45" s="92" t="str">
        <f>data!D45</f>
        <v>宽跨式</v>
      </c>
      <c r="E45" s="92">
        <f>data!E45</f>
        <v>1</v>
      </c>
      <c r="F45" s="92" t="str">
        <f>data!F45</f>
        <v>PTA807P6200</v>
      </c>
      <c r="G45" s="92">
        <f>data!G45</f>
        <v>1</v>
      </c>
      <c r="H45" s="92" t="str">
        <f>data!H45</f>
        <v>PTA807C6500</v>
      </c>
      <c r="I45" s="92">
        <f>data!I45</f>
        <v>1</v>
      </c>
      <c r="J45" s="92" t="str">
        <f>data!J45</f>
        <v>STG</v>
      </c>
      <c r="K45" s="167"/>
      <c r="L45" s="167"/>
    </row>
    <row r="46" spans="1:12" x14ac:dyDescent="0.25">
      <c r="A46" t="str">
        <f>data!A38</f>
        <v>comment</v>
      </c>
      <c r="B46" s="92" t="str">
        <f>data!B38</f>
        <v>CZCE</v>
      </c>
      <c r="C46" s="92" t="str">
        <f>data!C46</f>
        <v>SR807C6500&amp;SR807P6500</v>
      </c>
      <c r="D46" s="92" t="str">
        <f>data!D46</f>
        <v>跨式</v>
      </c>
      <c r="E46" s="92">
        <f>data!E46</f>
        <v>0</v>
      </c>
      <c r="F46" s="92" t="str">
        <f>data!F46</f>
        <v>SR807C6500</v>
      </c>
      <c r="G46" s="92">
        <f>data!G46</f>
        <v>0</v>
      </c>
      <c r="H46" s="92" t="str">
        <f>data!H46</f>
        <v>SR807P6500</v>
      </c>
      <c r="I46" s="92">
        <f>data!I46</f>
        <v>0</v>
      </c>
      <c r="J46" s="92" t="str">
        <f>data!J46</f>
        <v>STD</v>
      </c>
      <c r="K46" s="167"/>
      <c r="L46" s="167"/>
    </row>
    <row r="47" spans="1:12" x14ac:dyDescent="0.25">
      <c r="A47" t="str">
        <f>data!A46</f>
        <v>comment</v>
      </c>
      <c r="B47" s="92" t="str">
        <f>data!B46</f>
        <v>CZCE</v>
      </c>
      <c r="C47" s="92" t="str">
        <f>data!C47</f>
        <v>SR807C6500&amp;SR807P6500</v>
      </c>
      <c r="D47" s="92" t="str">
        <f>data!D47</f>
        <v>跨式</v>
      </c>
      <c r="E47" s="92">
        <f>data!E47</f>
        <v>1</v>
      </c>
      <c r="F47" s="92" t="str">
        <f>data!F47</f>
        <v>SR807C6500</v>
      </c>
      <c r="G47" s="92">
        <f>data!G47</f>
        <v>1</v>
      </c>
      <c r="H47" s="92" t="str">
        <f>data!H47</f>
        <v>SR807P6500</v>
      </c>
      <c r="I47" s="92">
        <f>data!I47</f>
        <v>1</v>
      </c>
      <c r="J47" s="92" t="str">
        <f>data!J47</f>
        <v>STD</v>
      </c>
      <c r="K47" s="167"/>
      <c r="L47" s="167"/>
    </row>
    <row r="48" spans="1:12" x14ac:dyDescent="0.25">
      <c r="A48" t="str">
        <f>data!A47</f>
        <v>comment</v>
      </c>
      <c r="B48" s="92" t="str">
        <f>data!B47</f>
        <v>CZCE</v>
      </c>
      <c r="C48" s="92" t="str">
        <f>data!C48</f>
        <v>SR807C6500&amp;SR807P6400</v>
      </c>
      <c r="D48" s="92" t="str">
        <f>data!D48</f>
        <v>宽跨式</v>
      </c>
      <c r="E48" s="92">
        <f>data!E48</f>
        <v>0</v>
      </c>
      <c r="F48" s="92" t="str">
        <f>data!F48</f>
        <v>SR807C6500</v>
      </c>
      <c r="G48" s="92">
        <f>data!G48</f>
        <v>0</v>
      </c>
      <c r="H48" s="92" t="str">
        <f>data!H48</f>
        <v>SR807P6400</v>
      </c>
      <c r="I48" s="92">
        <f>data!I48</f>
        <v>0</v>
      </c>
      <c r="J48" s="92" t="str">
        <f>data!J48</f>
        <v>STG</v>
      </c>
      <c r="K48" s="167"/>
      <c r="L48" s="167"/>
    </row>
    <row r="49" spans="1:13" x14ac:dyDescent="0.25">
      <c r="A49" t="str">
        <f>data!A48</f>
        <v>comment</v>
      </c>
      <c r="B49" s="92" t="str">
        <f>data!B48</f>
        <v>CZCE</v>
      </c>
      <c r="C49" s="92" t="str">
        <f>data!C49</f>
        <v>SR807C6500&amp;SR807P6400</v>
      </c>
      <c r="D49" s="92" t="str">
        <f>data!D49</f>
        <v>宽跨式</v>
      </c>
      <c r="E49" s="92">
        <f>data!E49</f>
        <v>1</v>
      </c>
      <c r="F49" s="92" t="str">
        <f>data!F49</f>
        <v>SR807C6500</v>
      </c>
      <c r="G49" s="92">
        <f>data!G49</f>
        <v>1</v>
      </c>
      <c r="H49" s="92" t="str">
        <f>data!H49</f>
        <v>SR807P6400</v>
      </c>
      <c r="I49" s="92">
        <f>data!I49</f>
        <v>1</v>
      </c>
      <c r="J49" s="92" t="str">
        <f>data!J49</f>
        <v>STG</v>
      </c>
      <c r="K49" s="167"/>
      <c r="L49" s="167"/>
    </row>
    <row r="50" spans="1:13" x14ac:dyDescent="0.25">
      <c r="A50" t="str">
        <f>data!A49</f>
        <v>comment</v>
      </c>
      <c r="B50" s="92" t="str">
        <f>data!B49</f>
        <v>CZCE</v>
      </c>
      <c r="C50" s="92" t="str">
        <f>data!C50</f>
        <v>PTA807&amp;PTA809</v>
      </c>
      <c r="D50" s="92" t="str">
        <f>data!D50</f>
        <v>同品种跨期</v>
      </c>
      <c r="E50" s="92">
        <f>data!E50</f>
        <v>0</v>
      </c>
      <c r="F50" s="92" t="str">
        <f>data!F50</f>
        <v>PTA807</v>
      </c>
      <c r="G50" s="92">
        <f>data!G50</f>
        <v>0</v>
      </c>
      <c r="H50" s="92" t="str">
        <f>data!H50</f>
        <v>PTA809</v>
      </c>
      <c r="I50" s="92">
        <f>data!I50</f>
        <v>1</v>
      </c>
      <c r="J50" s="92" t="str">
        <f>data!J50</f>
        <v>SPD</v>
      </c>
      <c r="K50" s="167"/>
      <c r="L50" s="167"/>
    </row>
    <row r="51" spans="1:13" x14ac:dyDescent="0.25">
      <c r="A51" t="str">
        <f>data!A50</f>
        <v>comment</v>
      </c>
      <c r="B51" s="92" t="str">
        <f>data!B50</f>
        <v>CZCE</v>
      </c>
      <c r="C51" s="92" t="str">
        <f>data!C51</f>
        <v>PTA807&amp;PTA809</v>
      </c>
      <c r="D51" s="92" t="str">
        <f>data!D51</f>
        <v>同品种跨期</v>
      </c>
      <c r="E51" s="92">
        <f>data!E51</f>
        <v>1</v>
      </c>
      <c r="F51" s="92" t="str">
        <f>data!F51</f>
        <v>PTA807</v>
      </c>
      <c r="G51" s="92">
        <f>data!G51</f>
        <v>1</v>
      </c>
      <c r="H51" s="92" t="str">
        <f>data!H51</f>
        <v>PTA809</v>
      </c>
      <c r="I51" s="92">
        <f>data!I51</f>
        <v>0</v>
      </c>
      <c r="J51" s="92" t="str">
        <f>data!J51</f>
        <v>SPD</v>
      </c>
      <c r="K51" s="167"/>
      <c r="L51" s="167"/>
    </row>
    <row r="52" spans="1:13" x14ac:dyDescent="0.25">
      <c r="A52" t="str">
        <f>data!A53</f>
        <v>comment</v>
      </c>
      <c r="B52" s="93" t="str">
        <f>data!B53</f>
        <v>交易所代码</v>
      </c>
      <c r="C52" s="93" t="str">
        <f>data!C53</f>
        <v>合约代码</v>
      </c>
      <c r="D52" s="93" t="str">
        <f>data!D53</f>
        <v>投机套保标志（投机1 套保3 做市商4）</v>
      </c>
      <c r="E52" s="93" t="str">
        <f>data!E53</f>
        <v>多空方向（0多头1空头）</v>
      </c>
      <c r="F52" s="93" t="str">
        <f>data!F53</f>
        <v>辅助列</v>
      </c>
      <c r="G52" s="93" t="str">
        <f>data!G53</f>
        <v>交易所按金额</v>
      </c>
      <c r="H52" s="93" t="str">
        <f>data!H53</f>
        <v>交易所按数</v>
      </c>
      <c r="I52" s="93" t="str">
        <f>data!I53</f>
        <v>投资者按金额</v>
      </c>
      <c r="J52" s="93" t="str">
        <f>data!J53</f>
        <v>投资者按手数</v>
      </c>
      <c r="K52" s="93" t="str">
        <f>data!K53</f>
        <v>标的按金额</v>
      </c>
      <c r="L52" s="93" t="str">
        <f>data!L53</f>
        <v>标的按手数</v>
      </c>
      <c r="M52">
        <f>data!M53</f>
        <v>0</v>
      </c>
    </row>
    <row r="53" spans="1:13" x14ac:dyDescent="0.25">
      <c r="A53" t="str">
        <f>data!A54</f>
        <v>comment</v>
      </c>
      <c r="B53" s="92" t="str">
        <f>data!B54</f>
        <v>CZCE</v>
      </c>
      <c r="C53" s="92" t="str">
        <f>data!C54</f>
        <v>SR807</v>
      </c>
      <c r="D53" s="92">
        <f>data!D54</f>
        <v>1</v>
      </c>
      <c r="E53" s="92">
        <f>data!E54</f>
        <v>0</v>
      </c>
      <c r="F53" s="92" t="str">
        <f>data!F54</f>
        <v>SR80710</v>
      </c>
      <c r="G53" s="92">
        <f>data!G54</f>
        <v>0.04</v>
      </c>
      <c r="H53" s="92">
        <f>data!H54</f>
        <v>4</v>
      </c>
      <c r="I53" s="92">
        <f>data!I54</f>
        <v>0.05</v>
      </c>
      <c r="J53" s="92">
        <f>data!J54</f>
        <v>5</v>
      </c>
      <c r="K53" s="92">
        <f>data!K54</f>
        <v>0.01</v>
      </c>
      <c r="L53" s="92">
        <f>data!L54</f>
        <v>1</v>
      </c>
    </row>
    <row r="54" spans="1:13" x14ac:dyDescent="0.25">
      <c r="A54" t="str">
        <f>data!A55</f>
        <v>comment</v>
      </c>
      <c r="B54" s="92" t="str">
        <f>data!B55</f>
        <v>CZCE</v>
      </c>
      <c r="C54" s="92" t="str">
        <f>data!C55</f>
        <v>SR807</v>
      </c>
      <c r="D54" s="92">
        <f>data!D55</f>
        <v>1</v>
      </c>
      <c r="E54" s="92">
        <f>data!E55</f>
        <v>1</v>
      </c>
      <c r="F54" s="92" t="str">
        <f>data!F55</f>
        <v>SR80711</v>
      </c>
      <c r="G54" s="92">
        <f>data!G55</f>
        <v>4.1000000000000002E-2</v>
      </c>
      <c r="H54" s="92">
        <f>data!H55</f>
        <v>4.0999999999999996</v>
      </c>
      <c r="I54" s="92">
        <f>data!I55</f>
        <v>5.0999999999999997E-2</v>
      </c>
      <c r="J54" s="92">
        <f>data!J55</f>
        <v>5.0999999999999996</v>
      </c>
      <c r="K54" s="92">
        <f>data!K55</f>
        <v>1.0999999999999999E-2</v>
      </c>
      <c r="L54" s="92">
        <f>data!L55</f>
        <v>1.1100000000000001</v>
      </c>
    </row>
    <row r="55" spans="1:13" x14ac:dyDescent="0.25">
      <c r="A55" t="str">
        <f>data!A56</f>
        <v>comment</v>
      </c>
      <c r="B55" s="92" t="str">
        <f>data!B56</f>
        <v>CZCE</v>
      </c>
      <c r="C55" s="92" t="str">
        <f>data!C56</f>
        <v>SR807</v>
      </c>
      <c r="D55" s="92">
        <f>data!D56</f>
        <v>3</v>
      </c>
      <c r="E55" s="92">
        <f>data!E56</f>
        <v>0</v>
      </c>
      <c r="F55" s="92" t="str">
        <f>data!F56</f>
        <v>SR80730</v>
      </c>
      <c r="G55" s="92">
        <f>data!G56</f>
        <v>4.2000000000000003E-2</v>
      </c>
      <c r="H55" s="92">
        <f>data!H56</f>
        <v>4.2</v>
      </c>
      <c r="I55" s="92">
        <f>data!I56</f>
        <v>5.1999999999999998E-2</v>
      </c>
      <c r="J55" s="92">
        <f>data!J56</f>
        <v>5.2</v>
      </c>
      <c r="K55" s="92">
        <f>data!K56</f>
        <v>1.2E-2</v>
      </c>
      <c r="L55" s="92">
        <f>data!L56</f>
        <v>1.1200000000000001</v>
      </c>
    </row>
    <row r="56" spans="1:13" x14ac:dyDescent="0.25">
      <c r="A56" t="str">
        <f>data!A57</f>
        <v>comment</v>
      </c>
      <c r="B56" s="92" t="str">
        <f>data!B57</f>
        <v>CZCE</v>
      </c>
      <c r="C56" s="92" t="str">
        <f>data!C57</f>
        <v>SR807</v>
      </c>
      <c r="D56" s="92">
        <f>data!D57</f>
        <v>3</v>
      </c>
      <c r="E56" s="92">
        <f>data!E57</f>
        <v>1</v>
      </c>
      <c r="F56" s="92" t="str">
        <f>data!F57</f>
        <v>SR80731</v>
      </c>
      <c r="G56" s="92">
        <f>data!G57</f>
        <v>4.2999999999999997E-2</v>
      </c>
      <c r="H56" s="92">
        <f>data!H57</f>
        <v>4.3</v>
      </c>
      <c r="I56" s="92">
        <f>data!I57</f>
        <v>5.2999999999999999E-2</v>
      </c>
      <c r="J56" s="92">
        <f>data!J57</f>
        <v>5.3</v>
      </c>
      <c r="K56" s="92">
        <f>data!K57</f>
        <v>1.2999999999999999E-2</v>
      </c>
      <c r="L56" s="92">
        <f>data!L57</f>
        <v>1.1299999999999999</v>
      </c>
    </row>
    <row r="57" spans="1:13" x14ac:dyDescent="0.25">
      <c r="A57" t="str">
        <f>data!A58</f>
        <v>comment</v>
      </c>
      <c r="B57" s="92" t="str">
        <f>data!B58</f>
        <v>CZCE</v>
      </c>
      <c r="C57" s="92" t="str">
        <f>data!C58</f>
        <v>SR809</v>
      </c>
      <c r="D57" s="92">
        <f>data!D58</f>
        <v>1</v>
      </c>
      <c r="E57" s="92">
        <f>data!E58</f>
        <v>0</v>
      </c>
      <c r="F57" s="92" t="str">
        <f>data!F58</f>
        <v>SR80910</v>
      </c>
      <c r="G57" s="92">
        <f>data!G58</f>
        <v>0.04</v>
      </c>
      <c r="H57" s="92">
        <f>data!H58</f>
        <v>4</v>
      </c>
      <c r="I57" s="92">
        <f>data!I58</f>
        <v>0.05</v>
      </c>
      <c r="J57" s="92">
        <f>data!J58</f>
        <v>5</v>
      </c>
      <c r="K57" s="92">
        <f>data!K58</f>
        <v>0.01</v>
      </c>
      <c r="L57" s="92">
        <f>data!L58</f>
        <v>1</v>
      </c>
    </row>
    <row r="58" spans="1:13" x14ac:dyDescent="0.25">
      <c r="A58" t="str">
        <f>data!A59</f>
        <v>comment</v>
      </c>
      <c r="B58" s="92" t="str">
        <f>data!B59</f>
        <v>CZCE</v>
      </c>
      <c r="C58" s="92" t="str">
        <f>data!C59</f>
        <v>SR809</v>
      </c>
      <c r="D58" s="92">
        <f>data!D59</f>
        <v>1</v>
      </c>
      <c r="E58" s="92">
        <f>data!E59</f>
        <v>1</v>
      </c>
      <c r="F58" s="92" t="str">
        <f>data!F59</f>
        <v>SR80911</v>
      </c>
      <c r="G58" s="92">
        <f>data!G59</f>
        <v>4.1000000000000002E-2</v>
      </c>
      <c r="H58" s="92">
        <f>data!H59</f>
        <v>4.0999999999999996</v>
      </c>
      <c r="I58" s="92">
        <f>data!I59</f>
        <v>5.0999999999999997E-2</v>
      </c>
      <c r="J58" s="92">
        <f>data!J59</f>
        <v>5.0999999999999996</v>
      </c>
      <c r="K58" s="92">
        <f>data!K59</f>
        <v>1.0999999999999999E-2</v>
      </c>
      <c r="L58" s="92">
        <f>data!L59</f>
        <v>1.1100000000000001</v>
      </c>
    </row>
    <row r="59" spans="1:13" x14ac:dyDescent="0.25">
      <c r="A59" t="str">
        <f>data!A60</f>
        <v>comment</v>
      </c>
      <c r="B59" s="92" t="str">
        <f>data!B60</f>
        <v>CZCE</v>
      </c>
      <c r="C59" s="92" t="str">
        <f>data!C60</f>
        <v>SR809</v>
      </c>
      <c r="D59" s="92">
        <f>data!D60</f>
        <v>3</v>
      </c>
      <c r="E59" s="92">
        <f>data!E60</f>
        <v>0</v>
      </c>
      <c r="F59" s="92" t="str">
        <f>data!F60</f>
        <v>SR80930</v>
      </c>
      <c r="G59" s="92">
        <f>data!G60</f>
        <v>4.2000000000000003E-2</v>
      </c>
      <c r="H59" s="92">
        <f>data!H60</f>
        <v>4.2</v>
      </c>
      <c r="I59" s="92">
        <f>data!I60</f>
        <v>5.1999999999999998E-2</v>
      </c>
      <c r="J59" s="92">
        <f>data!J60</f>
        <v>5.2</v>
      </c>
      <c r="K59" s="92">
        <f>data!K60</f>
        <v>1.2E-2</v>
      </c>
      <c r="L59" s="92">
        <f>data!L60</f>
        <v>1.1200000000000001</v>
      </c>
    </row>
    <row r="60" spans="1:13" x14ac:dyDescent="0.25">
      <c r="A60" t="str">
        <f>data!A61</f>
        <v>comment</v>
      </c>
      <c r="B60" s="92" t="str">
        <f>data!B61</f>
        <v>CZCE</v>
      </c>
      <c r="C60" s="92" t="str">
        <f>data!C61</f>
        <v>SR809</v>
      </c>
      <c r="D60" s="92">
        <f>data!D61</f>
        <v>3</v>
      </c>
      <c r="E60" s="92">
        <f>data!E61</f>
        <v>1</v>
      </c>
      <c r="F60" s="92" t="str">
        <f>data!F61</f>
        <v>SR80931</v>
      </c>
      <c r="G60" s="92">
        <f>data!G61</f>
        <v>4.2999999999999997E-2</v>
      </c>
      <c r="H60" s="92">
        <f>data!H61</f>
        <v>4.3</v>
      </c>
      <c r="I60" s="92">
        <f>data!I61</f>
        <v>5.2999999999999999E-2</v>
      </c>
      <c r="J60" s="92">
        <f>data!J61</f>
        <v>5.3</v>
      </c>
      <c r="K60" s="92">
        <f>data!K61</f>
        <v>1.2999999999999999E-2</v>
      </c>
      <c r="L60" s="92">
        <f>data!L61</f>
        <v>1.1299999999999999</v>
      </c>
    </row>
    <row r="61" spans="1:13" x14ac:dyDescent="0.25">
      <c r="A61" t="str">
        <f>data!A62</f>
        <v>comment</v>
      </c>
      <c r="B61" s="92" t="str">
        <f>data!B62</f>
        <v>CZCE</v>
      </c>
      <c r="C61" s="92" t="str">
        <f>data!C62</f>
        <v>OI811</v>
      </c>
      <c r="D61" s="92">
        <f>data!D62</f>
        <v>1</v>
      </c>
      <c r="E61" s="92">
        <f>data!E62</f>
        <v>0</v>
      </c>
      <c r="F61" s="92" t="str">
        <f>data!F62</f>
        <v>OI81110</v>
      </c>
      <c r="G61" s="92">
        <f>data!G62</f>
        <v>0.04</v>
      </c>
      <c r="H61" s="92">
        <f>data!H62</f>
        <v>4</v>
      </c>
      <c r="I61" s="92">
        <f>data!I62</f>
        <v>0.05</v>
      </c>
      <c r="J61" s="92">
        <f>data!J62</f>
        <v>5</v>
      </c>
      <c r="K61" s="92">
        <f>data!K62</f>
        <v>0.01</v>
      </c>
      <c r="L61" s="92">
        <f>data!L62</f>
        <v>1</v>
      </c>
    </row>
    <row r="62" spans="1:13" x14ac:dyDescent="0.25">
      <c r="A62" t="str">
        <f>data!A63</f>
        <v>comment</v>
      </c>
      <c r="B62" s="92" t="str">
        <f>data!B63</f>
        <v>CZCE</v>
      </c>
      <c r="C62" s="92" t="str">
        <f>data!C63</f>
        <v>OI811</v>
      </c>
      <c r="D62" s="92">
        <f>data!D63</f>
        <v>1</v>
      </c>
      <c r="E62" s="92">
        <f>data!E63</f>
        <v>1</v>
      </c>
      <c r="F62" s="92" t="str">
        <f>data!F63</f>
        <v>OI81111</v>
      </c>
      <c r="G62" s="92">
        <f>data!G63</f>
        <v>4.1000000000000002E-2</v>
      </c>
      <c r="H62" s="92">
        <f>data!H63</f>
        <v>4.0999999999999996</v>
      </c>
      <c r="I62" s="92">
        <f>data!I63</f>
        <v>5.0999999999999997E-2</v>
      </c>
      <c r="J62" s="92">
        <f>data!J63</f>
        <v>5.0999999999999996</v>
      </c>
      <c r="K62" s="92">
        <f>data!K63</f>
        <v>1.0999999999999999E-2</v>
      </c>
      <c r="L62" s="92">
        <f>data!L63</f>
        <v>1.1100000000000001</v>
      </c>
    </row>
    <row r="63" spans="1:13" x14ac:dyDescent="0.25">
      <c r="A63" t="str">
        <f>data!A64</f>
        <v>comment</v>
      </c>
      <c r="B63" s="92" t="str">
        <f>data!B64</f>
        <v>CZCE</v>
      </c>
      <c r="C63" s="92" t="str">
        <f>data!C64</f>
        <v>OI811</v>
      </c>
      <c r="D63" s="92">
        <f>data!D64</f>
        <v>3</v>
      </c>
      <c r="E63" s="92">
        <f>data!E64</f>
        <v>0</v>
      </c>
      <c r="F63" s="92" t="str">
        <f>data!F64</f>
        <v>OI81130</v>
      </c>
      <c r="G63" s="92">
        <f>data!G64</f>
        <v>4.2000000000000003E-2</v>
      </c>
      <c r="H63" s="92">
        <f>data!H64</f>
        <v>4.2</v>
      </c>
      <c r="I63" s="92">
        <f>data!I64</f>
        <v>5.1999999999999998E-2</v>
      </c>
      <c r="J63" s="92">
        <f>data!J64</f>
        <v>5.2</v>
      </c>
      <c r="K63" s="92">
        <f>data!K64</f>
        <v>1.2E-2</v>
      </c>
      <c r="L63" s="92">
        <f>data!L64</f>
        <v>1.1200000000000001</v>
      </c>
    </row>
    <row r="64" spans="1:13" x14ac:dyDescent="0.25">
      <c r="A64" t="str">
        <f>data!A65</f>
        <v>comment</v>
      </c>
      <c r="B64" s="92" t="str">
        <f>data!B65</f>
        <v>CZCE</v>
      </c>
      <c r="C64" s="92" t="str">
        <f>data!C65</f>
        <v>OI811</v>
      </c>
      <c r="D64" s="92">
        <f>data!D65</f>
        <v>3</v>
      </c>
      <c r="E64" s="92">
        <f>data!E65</f>
        <v>1</v>
      </c>
      <c r="F64" s="92" t="str">
        <f>data!F65</f>
        <v>OI81131</v>
      </c>
      <c r="G64" s="92">
        <f>data!G65</f>
        <v>4.2999999999999997E-2</v>
      </c>
      <c r="H64" s="92">
        <f>data!H65</f>
        <v>4.3</v>
      </c>
      <c r="I64" s="92">
        <f>data!I65</f>
        <v>5.2999999999999999E-2</v>
      </c>
      <c r="J64" s="92">
        <f>data!J65</f>
        <v>5.3</v>
      </c>
      <c r="K64" s="92">
        <f>data!K65</f>
        <v>1.2999999999999999E-2</v>
      </c>
      <c r="L64" s="92">
        <f>data!L65</f>
        <v>1.1299999999999999</v>
      </c>
    </row>
    <row r="65" spans="1:13" x14ac:dyDescent="0.25">
      <c r="A65" t="str">
        <f>data!A66</f>
        <v>comment</v>
      </c>
      <c r="B65" s="92" t="str">
        <f>data!B66</f>
        <v>CZCE</v>
      </c>
      <c r="C65" s="92" t="str">
        <f>data!C66</f>
        <v>PTA807</v>
      </c>
      <c r="D65" s="92">
        <f>data!D66</f>
        <v>1</v>
      </c>
      <c r="E65" s="92">
        <f>data!E66</f>
        <v>0</v>
      </c>
      <c r="F65" s="92" t="str">
        <f>data!F66</f>
        <v>PTA80710</v>
      </c>
      <c r="G65" s="92">
        <f>data!G66</f>
        <v>0.04</v>
      </c>
      <c r="H65" s="92">
        <f>data!H66</f>
        <v>4</v>
      </c>
      <c r="I65" s="92">
        <f>data!I66</f>
        <v>0.05</v>
      </c>
      <c r="J65" s="92">
        <f>data!J66</f>
        <v>5</v>
      </c>
      <c r="K65" s="92">
        <f>data!K66</f>
        <v>0.01</v>
      </c>
      <c r="L65" s="92">
        <f>data!L66</f>
        <v>1</v>
      </c>
    </row>
    <row r="66" spans="1:13" x14ac:dyDescent="0.25">
      <c r="A66" t="str">
        <f>data!A67</f>
        <v>comment</v>
      </c>
      <c r="B66" s="92" t="str">
        <f>data!B67</f>
        <v>CZCE</v>
      </c>
      <c r="C66" s="92" t="str">
        <f>data!C67</f>
        <v>PTA807</v>
      </c>
      <c r="D66" s="92">
        <f>data!D67</f>
        <v>1</v>
      </c>
      <c r="E66" s="92">
        <f>data!E67</f>
        <v>1</v>
      </c>
      <c r="F66" s="92" t="str">
        <f>data!F67</f>
        <v>PTA80711</v>
      </c>
      <c r="G66" s="92">
        <f>data!G67</f>
        <v>4.1000000000000002E-2</v>
      </c>
      <c r="H66" s="92">
        <f>data!H67</f>
        <v>4.0999999999999996</v>
      </c>
      <c r="I66" s="92">
        <f>data!I67</f>
        <v>5.0999999999999997E-2</v>
      </c>
      <c r="J66" s="92">
        <f>data!J67</f>
        <v>5.0999999999999996</v>
      </c>
      <c r="K66" s="92">
        <f>data!K67</f>
        <v>1.0999999999999999E-2</v>
      </c>
      <c r="L66" s="92">
        <f>data!L67</f>
        <v>1.1100000000000001</v>
      </c>
    </row>
    <row r="67" spans="1:13" x14ac:dyDescent="0.25">
      <c r="A67" t="str">
        <f>data!A68</f>
        <v>comment</v>
      </c>
      <c r="B67" s="92" t="str">
        <f>data!B68</f>
        <v>CZCE</v>
      </c>
      <c r="C67" s="92" t="str">
        <f>data!C68</f>
        <v>PTA807</v>
      </c>
      <c r="D67" s="92">
        <f>data!D68</f>
        <v>3</v>
      </c>
      <c r="E67" s="92">
        <f>data!E68</f>
        <v>0</v>
      </c>
      <c r="F67" s="92" t="str">
        <f>data!F68</f>
        <v>PTA80730</v>
      </c>
      <c r="G67" s="92">
        <f>data!G68</f>
        <v>4.2000000000000003E-2</v>
      </c>
      <c r="H67" s="92">
        <f>data!H68</f>
        <v>4.2</v>
      </c>
      <c r="I67" s="92">
        <f>data!I68</f>
        <v>5.1999999999999998E-2</v>
      </c>
      <c r="J67" s="92">
        <f>data!J68</f>
        <v>5.2</v>
      </c>
      <c r="K67" s="92">
        <f>data!K68</f>
        <v>1.2E-2</v>
      </c>
      <c r="L67" s="92">
        <f>data!L68</f>
        <v>1.1200000000000001</v>
      </c>
    </row>
    <row r="68" spans="1:13" x14ac:dyDescent="0.25">
      <c r="A68" t="str">
        <f>data!A69</f>
        <v>comment</v>
      </c>
      <c r="B68" s="92" t="str">
        <f>data!B69</f>
        <v>CZCE</v>
      </c>
      <c r="C68" s="92" t="str">
        <f>data!C69</f>
        <v>PTA807</v>
      </c>
      <c r="D68" s="92">
        <f>data!D69</f>
        <v>3</v>
      </c>
      <c r="E68" s="92">
        <f>data!E69</f>
        <v>1</v>
      </c>
      <c r="F68" s="92" t="str">
        <f>data!F69</f>
        <v>PTA80731</v>
      </c>
      <c r="G68" s="92">
        <f>data!G69</f>
        <v>4.2999999999999997E-2</v>
      </c>
      <c r="H68" s="92">
        <f>data!H69</f>
        <v>4.3</v>
      </c>
      <c r="I68" s="92">
        <f>data!I69</f>
        <v>5.2999999999999999E-2</v>
      </c>
      <c r="J68" s="92">
        <f>data!J69</f>
        <v>5.3</v>
      </c>
      <c r="K68" s="92">
        <f>data!K69</f>
        <v>1.2999999999999999E-2</v>
      </c>
      <c r="L68" s="92">
        <f>data!L69</f>
        <v>1.1299999999999999</v>
      </c>
    </row>
    <row r="69" spans="1:13" x14ac:dyDescent="0.25">
      <c r="A69" t="str">
        <f>data!A70</f>
        <v>comment</v>
      </c>
      <c r="B69" s="92" t="str">
        <f>data!B70</f>
        <v>CZCE</v>
      </c>
      <c r="C69" s="92" t="str">
        <f>data!C70</f>
        <v>PTA809</v>
      </c>
      <c r="D69" s="92">
        <f>data!D70</f>
        <v>1</v>
      </c>
      <c r="E69" s="92">
        <f>data!E70</f>
        <v>0</v>
      </c>
      <c r="F69" s="92" t="str">
        <f>data!F70</f>
        <v>PTA80910</v>
      </c>
      <c r="G69" s="92">
        <f>data!G70</f>
        <v>0.04</v>
      </c>
      <c r="H69" s="92">
        <f>data!H70</f>
        <v>4</v>
      </c>
      <c r="I69" s="92">
        <f>data!I70</f>
        <v>0.05</v>
      </c>
      <c r="J69" s="92">
        <f>data!J70</f>
        <v>5</v>
      </c>
      <c r="K69" s="92">
        <f>data!K70</f>
        <v>0.01</v>
      </c>
      <c r="L69" s="92">
        <f>data!L70</f>
        <v>1</v>
      </c>
    </row>
    <row r="70" spans="1:13" x14ac:dyDescent="0.25">
      <c r="A70" t="str">
        <f>data!A71</f>
        <v>comment</v>
      </c>
      <c r="B70" s="92" t="str">
        <f>data!B71</f>
        <v>CZCE</v>
      </c>
      <c r="C70" s="92" t="str">
        <f>data!C71</f>
        <v>PTA809</v>
      </c>
      <c r="D70" s="92">
        <f>data!D71</f>
        <v>1</v>
      </c>
      <c r="E70" s="92">
        <f>data!E71</f>
        <v>1</v>
      </c>
      <c r="F70" s="92" t="str">
        <f>data!F71</f>
        <v>PTA80911</v>
      </c>
      <c r="G70" s="92">
        <f>data!G71</f>
        <v>4.1000000000000002E-2</v>
      </c>
      <c r="H70" s="92">
        <f>data!H71</f>
        <v>4.0999999999999996</v>
      </c>
      <c r="I70" s="92">
        <f>data!I71</f>
        <v>5.0999999999999997E-2</v>
      </c>
      <c r="J70" s="92">
        <f>data!J71</f>
        <v>5.0999999999999996</v>
      </c>
      <c r="K70" s="92">
        <f>data!K71</f>
        <v>1.0999999999999999E-2</v>
      </c>
      <c r="L70" s="92">
        <f>data!L71</f>
        <v>1.1100000000000001</v>
      </c>
    </row>
    <row r="71" spans="1:13" x14ac:dyDescent="0.25">
      <c r="A71" t="str">
        <f>data!A72</f>
        <v>comment</v>
      </c>
      <c r="B71" s="92" t="str">
        <f>data!B72</f>
        <v>CZCE</v>
      </c>
      <c r="C71" s="92" t="str">
        <f>data!C72</f>
        <v>PTA809</v>
      </c>
      <c r="D71" s="92">
        <f>data!D72</f>
        <v>3</v>
      </c>
      <c r="E71" s="92">
        <f>data!E72</f>
        <v>0</v>
      </c>
      <c r="F71" s="92" t="str">
        <f>data!F72</f>
        <v>PTA80930</v>
      </c>
      <c r="G71" s="92">
        <f>data!G72</f>
        <v>4.2000000000000003E-2</v>
      </c>
      <c r="H71" s="92">
        <f>data!H72</f>
        <v>4.2</v>
      </c>
      <c r="I71" s="92">
        <f>data!I72</f>
        <v>5.1999999999999998E-2</v>
      </c>
      <c r="J71" s="92">
        <f>data!J72</f>
        <v>5.2</v>
      </c>
      <c r="K71" s="92">
        <f>data!K72</f>
        <v>1.2E-2</v>
      </c>
      <c r="L71" s="92">
        <f>data!L72</f>
        <v>1.1200000000000001</v>
      </c>
    </row>
    <row r="72" spans="1:13" x14ac:dyDescent="0.25">
      <c r="A72" t="str">
        <f>data!A73</f>
        <v>comment</v>
      </c>
      <c r="B72" s="92" t="str">
        <f>data!B73</f>
        <v>CZCE</v>
      </c>
      <c r="C72" s="92" t="str">
        <f>data!C73</f>
        <v>PTA809</v>
      </c>
      <c r="D72" s="92">
        <f>data!D73</f>
        <v>3</v>
      </c>
      <c r="E72" s="92">
        <f>data!E73</f>
        <v>1</v>
      </c>
      <c r="F72" s="92" t="str">
        <f>data!F73</f>
        <v>PTA80931</v>
      </c>
      <c r="G72" s="92">
        <f>data!G73</f>
        <v>4.2999999999999997E-2</v>
      </c>
      <c r="H72" s="92">
        <f>data!H73</f>
        <v>4.3</v>
      </c>
      <c r="I72" s="92">
        <f>data!I73</f>
        <v>5.2999999999999999E-2</v>
      </c>
      <c r="J72" s="92">
        <f>data!J73</f>
        <v>5.3</v>
      </c>
      <c r="K72" s="92">
        <f>data!K73</f>
        <v>1.2999999999999999E-2</v>
      </c>
      <c r="L72" s="92">
        <f>data!L73</f>
        <v>1.1299999999999999</v>
      </c>
    </row>
    <row r="73" spans="1:13" x14ac:dyDescent="0.25">
      <c r="A73" t="str">
        <f>data!A74</f>
        <v>comment</v>
      </c>
      <c r="B73" t="str">
        <f>data!B74</f>
        <v>期货：交易所手续费率&amp;投资者手续费率</v>
      </c>
    </row>
    <row r="74" spans="1:13" x14ac:dyDescent="0.25">
      <c r="A74" t="str">
        <f>data!A75</f>
        <v>comment</v>
      </c>
      <c r="B74" s="93" t="str">
        <f>data!B75</f>
        <v>投资者代码</v>
      </c>
      <c r="C74" s="93" t="str">
        <f>data!C75</f>
        <v>交易所代码</v>
      </c>
      <c r="D74" s="93" t="str">
        <f>data!D75</f>
        <v>合约代码</v>
      </c>
      <c r="E74" s="93" t="str">
        <f>data!E75</f>
        <v>投机套保标志</v>
      </c>
      <c r="F74" s="93" t="str">
        <f>data!F75</f>
        <v>开平标志</v>
      </c>
      <c r="G74" s="93" t="str">
        <f>data!G75</f>
        <v>辅助列</v>
      </c>
      <c r="H74" s="93" t="str">
        <f>data!H75</f>
        <v>投资者按金额</v>
      </c>
      <c r="I74" s="93" t="str">
        <f>data!I75</f>
        <v>投资者按手数</v>
      </c>
      <c r="J74" s="93" t="str">
        <f>data!J75</f>
        <v>交易所按金额</v>
      </c>
      <c r="K74" s="93" t="str">
        <f>data!K75</f>
        <v xml:space="preserve">交易所按手数 </v>
      </c>
      <c r="L74" s="93" t="str">
        <f>data!L75</f>
        <v>投资者结算按金额</v>
      </c>
      <c r="M74" s="93" t="str">
        <f>data!M75</f>
        <v>投资者结算按手数</v>
      </c>
    </row>
    <row r="75" spans="1:13" x14ac:dyDescent="0.25">
      <c r="A75" t="str">
        <f>data!A76</f>
        <v>comment</v>
      </c>
      <c r="B75" s="92" t="str">
        <f>data!B76</f>
        <v>6001</v>
      </c>
      <c r="C75" s="92" t="str">
        <f>data!C76</f>
        <v>CZCE</v>
      </c>
      <c r="D75" s="92" t="str">
        <f>data!D76</f>
        <v>SR807</v>
      </c>
      <c r="E75" s="92">
        <f>data!E76</f>
        <v>1</v>
      </c>
      <c r="F75" s="92">
        <f>data!F76</f>
        <v>0</v>
      </c>
      <c r="G75" s="92" t="str">
        <f>data!G76</f>
        <v>SR80710</v>
      </c>
      <c r="H75" s="92">
        <f>data!H76</f>
        <v>5.0000000000000001E-4</v>
      </c>
      <c r="I75" s="92">
        <f>data!I76</f>
        <v>5</v>
      </c>
      <c r="J75" s="92">
        <f>data!J76</f>
        <v>4.0000000000000002E-4</v>
      </c>
      <c r="K75" s="92">
        <f>data!K76</f>
        <v>4</v>
      </c>
      <c r="L75" s="92">
        <f>data!L76</f>
        <v>2.0000000000000001E-4</v>
      </c>
      <c r="M75" s="92">
        <f>data!M76</f>
        <v>2</v>
      </c>
    </row>
    <row r="76" spans="1:13" x14ac:dyDescent="0.25">
      <c r="A76" t="str">
        <f>data!A77</f>
        <v>comment</v>
      </c>
      <c r="B76" s="92" t="str">
        <f>data!B77</f>
        <v>6001</v>
      </c>
      <c r="C76" s="92" t="str">
        <f>data!C77</f>
        <v>CZCE</v>
      </c>
      <c r="D76" s="92" t="str">
        <f>data!D77</f>
        <v>SR807</v>
      </c>
      <c r="E76" s="92">
        <f>data!E77</f>
        <v>1</v>
      </c>
      <c r="F76" s="92">
        <f>data!F77</f>
        <v>1</v>
      </c>
      <c r="G76" s="92" t="str">
        <f>data!G77</f>
        <v>SR80711</v>
      </c>
      <c r="H76" s="92">
        <f>data!H77</f>
        <v>4.0000000000000002E-4</v>
      </c>
      <c r="I76" s="92">
        <f>data!I77</f>
        <v>4</v>
      </c>
      <c r="J76" s="92">
        <f>data!J77</f>
        <v>2.9999999999999997E-4</v>
      </c>
      <c r="K76" s="92">
        <f>data!K77</f>
        <v>3</v>
      </c>
      <c r="L76" s="92">
        <f>data!L77</f>
        <v>2.0000000000000001E-4</v>
      </c>
      <c r="M76" s="92">
        <f>data!M77</f>
        <v>2</v>
      </c>
    </row>
    <row r="77" spans="1:13" x14ac:dyDescent="0.25">
      <c r="A77" t="str">
        <f>data!A78</f>
        <v>comment</v>
      </c>
      <c r="B77" s="92" t="str">
        <f>data!B78</f>
        <v>6001</v>
      </c>
      <c r="C77" s="92" t="str">
        <f>data!C78</f>
        <v>CZCE</v>
      </c>
      <c r="D77" s="92" t="str">
        <f>data!D78</f>
        <v>SR807</v>
      </c>
      <c r="E77" s="92">
        <f>data!E78</f>
        <v>1</v>
      </c>
      <c r="F77" s="92">
        <f>data!F78</f>
        <v>2</v>
      </c>
      <c r="G77" s="92" t="str">
        <f>data!G78</f>
        <v>SR80712</v>
      </c>
      <c r="H77" s="92">
        <f>data!H78</f>
        <v>2.9999999999999997E-4</v>
      </c>
      <c r="I77" s="92">
        <f>data!I78</f>
        <v>3</v>
      </c>
      <c r="J77" s="92">
        <f>data!J78</f>
        <v>2.0000000000000001E-4</v>
      </c>
      <c r="K77" s="92">
        <f>data!K78</f>
        <v>2</v>
      </c>
      <c r="L77" s="92">
        <f>data!L78</f>
        <v>2.0000000000000001E-4</v>
      </c>
      <c r="M77" s="92">
        <f>data!M78</f>
        <v>2</v>
      </c>
    </row>
    <row r="78" spans="1:13" x14ac:dyDescent="0.25">
      <c r="A78" t="str">
        <f>data!A79</f>
        <v>comment</v>
      </c>
      <c r="B78" s="92" t="str">
        <f>data!B79</f>
        <v>6001</v>
      </c>
      <c r="C78" s="92" t="str">
        <f>data!C79</f>
        <v>CZCE</v>
      </c>
      <c r="D78" s="92" t="str">
        <f>data!D79</f>
        <v>SR807</v>
      </c>
      <c r="E78" s="92">
        <f>data!E79</f>
        <v>1</v>
      </c>
      <c r="F78" s="92">
        <f>data!F79</f>
        <v>3</v>
      </c>
      <c r="G78" s="92" t="str">
        <f>data!G79</f>
        <v>SR80713</v>
      </c>
      <c r="H78" s="92">
        <f>data!H79</f>
        <v>2.0000000000000001E-4</v>
      </c>
      <c r="I78" s="92">
        <f>data!I79</f>
        <v>2</v>
      </c>
      <c r="J78" s="92">
        <f>data!J79</f>
        <v>1E-4</v>
      </c>
      <c r="K78" s="92">
        <f>data!K79</f>
        <v>1</v>
      </c>
      <c r="L78" s="92">
        <f>data!L79</f>
        <v>2.0000000000000001E-4</v>
      </c>
      <c r="M78" s="92">
        <f>data!M79</f>
        <v>2</v>
      </c>
    </row>
    <row r="79" spans="1:13" x14ac:dyDescent="0.25">
      <c r="A79" t="str">
        <f>data!A80</f>
        <v>comment</v>
      </c>
      <c r="B79" s="92" t="str">
        <f>data!B80</f>
        <v>6001</v>
      </c>
      <c r="C79" s="92" t="str">
        <f>data!C80</f>
        <v>CZCE</v>
      </c>
      <c r="D79" s="92" t="str">
        <f>data!D80</f>
        <v>SR807</v>
      </c>
      <c r="E79" s="92">
        <f>data!E80</f>
        <v>3</v>
      </c>
      <c r="F79" s="92">
        <f>data!F80</f>
        <v>0</v>
      </c>
      <c r="G79" s="92" t="str">
        <f>data!G80</f>
        <v>SR80730</v>
      </c>
      <c r="H79" s="92">
        <f>data!H80</f>
        <v>5.0000000000000001E-4</v>
      </c>
      <c r="I79" s="92">
        <f>data!I80</f>
        <v>5</v>
      </c>
      <c r="J79" s="92">
        <f>data!J80</f>
        <v>5.0000000000000001E-4</v>
      </c>
      <c r="K79" s="92">
        <f>data!K80</f>
        <v>5</v>
      </c>
      <c r="L79" s="92">
        <f>data!L80</f>
        <v>2.0000000000000001E-4</v>
      </c>
      <c r="M79" s="92">
        <f>data!M80</f>
        <v>2</v>
      </c>
    </row>
    <row r="80" spans="1:13" x14ac:dyDescent="0.25">
      <c r="A80" t="str">
        <f>data!A81</f>
        <v>comment</v>
      </c>
      <c r="B80" s="92" t="str">
        <f>data!B81</f>
        <v>6001</v>
      </c>
      <c r="C80" s="92" t="str">
        <f>data!C81</f>
        <v>CZCE</v>
      </c>
      <c r="D80" s="92" t="str">
        <f>data!D81</f>
        <v>SR807</v>
      </c>
      <c r="E80" s="92">
        <f>data!E81</f>
        <v>3</v>
      </c>
      <c r="F80" s="92">
        <f>data!F81</f>
        <v>1</v>
      </c>
      <c r="G80" s="92" t="str">
        <f>data!G81</f>
        <v>SR80731</v>
      </c>
      <c r="H80" s="92">
        <f>data!H81</f>
        <v>4.0000000000000002E-4</v>
      </c>
      <c r="I80" s="92">
        <f>data!I81</f>
        <v>4</v>
      </c>
      <c r="J80" s="92">
        <f>data!J81</f>
        <v>3.9999999999999996E-4</v>
      </c>
      <c r="K80" s="92">
        <f>data!K81</f>
        <v>4</v>
      </c>
      <c r="L80" s="92">
        <f>data!L81</f>
        <v>2.0000000000000001E-4</v>
      </c>
      <c r="M80" s="92">
        <f>data!M81</f>
        <v>2</v>
      </c>
    </row>
    <row r="81" spans="1:13" x14ac:dyDescent="0.25">
      <c r="A81" t="str">
        <f>data!A82</f>
        <v>comment</v>
      </c>
      <c r="B81" s="92" t="str">
        <f>data!B82</f>
        <v>6001</v>
      </c>
      <c r="C81" s="92" t="str">
        <f>data!C82</f>
        <v>CZCE</v>
      </c>
      <c r="D81" s="92" t="str">
        <f>data!D82</f>
        <v>SR807</v>
      </c>
      <c r="E81" s="92">
        <f>data!E82</f>
        <v>3</v>
      </c>
      <c r="F81" s="92">
        <f>data!F82</f>
        <v>2</v>
      </c>
      <c r="G81" s="92" t="str">
        <f>data!G82</f>
        <v>SR80732</v>
      </c>
      <c r="H81" s="92">
        <f>data!H82</f>
        <v>2.9999999999999997E-4</v>
      </c>
      <c r="I81" s="92">
        <f>data!I82</f>
        <v>3</v>
      </c>
      <c r="J81" s="92">
        <f>data!J82</f>
        <v>3.0000000000000003E-4</v>
      </c>
      <c r="K81" s="92">
        <f>data!K82</f>
        <v>3</v>
      </c>
      <c r="L81" s="92">
        <f>data!L82</f>
        <v>2.0000000000000001E-4</v>
      </c>
      <c r="M81" s="92">
        <f>data!M82</f>
        <v>2</v>
      </c>
    </row>
    <row r="82" spans="1:13" x14ac:dyDescent="0.25">
      <c r="A82" t="str">
        <f>data!A83</f>
        <v>comment</v>
      </c>
      <c r="B82" s="92" t="str">
        <f>data!B83</f>
        <v>6001</v>
      </c>
      <c r="C82" s="92" t="str">
        <f>data!C83</f>
        <v>CZCE</v>
      </c>
      <c r="D82" s="92" t="str">
        <f>data!D83</f>
        <v>SR807</v>
      </c>
      <c r="E82" s="92">
        <f>data!E83</f>
        <v>3</v>
      </c>
      <c r="F82" s="92">
        <f>data!F83</f>
        <v>3</v>
      </c>
      <c r="G82" s="92" t="str">
        <f>data!G83</f>
        <v>SR80733</v>
      </c>
      <c r="H82" s="92">
        <f>data!H83</f>
        <v>2.0000000000000001E-4</v>
      </c>
      <c r="I82" s="92">
        <f>data!I83</f>
        <v>2</v>
      </c>
      <c r="J82" s="92">
        <f>data!J83</f>
        <v>2.0000000000000001E-4</v>
      </c>
      <c r="K82" s="92">
        <f>data!K83</f>
        <v>2</v>
      </c>
      <c r="L82" s="92">
        <f>data!L83</f>
        <v>2.0000000000000001E-4</v>
      </c>
      <c r="M82" s="92">
        <f>data!M83</f>
        <v>2</v>
      </c>
    </row>
    <row r="83" spans="1:13" x14ac:dyDescent="0.25">
      <c r="A83" t="str">
        <f>data!A84</f>
        <v>comment</v>
      </c>
      <c r="B83" s="92" t="str">
        <f>data!B84</f>
        <v>6001</v>
      </c>
      <c r="C83" s="92" t="str">
        <f>data!C84</f>
        <v>CZCE</v>
      </c>
      <c r="D83" s="92" t="str">
        <f>data!D84</f>
        <v>SR809</v>
      </c>
      <c r="E83" s="92">
        <f>data!E84</f>
        <v>1</v>
      </c>
      <c r="F83" s="92">
        <f>data!F84</f>
        <v>0</v>
      </c>
      <c r="G83" s="92" t="str">
        <f>data!G84</f>
        <v>SR80910</v>
      </c>
      <c r="H83" s="92">
        <f>data!H84</f>
        <v>5.0000000000000001E-4</v>
      </c>
      <c r="I83" s="92">
        <f>data!I84</f>
        <v>5</v>
      </c>
      <c r="J83" s="92">
        <f>data!J84</f>
        <v>4.0000000000000002E-4</v>
      </c>
      <c r="K83" s="92">
        <f>data!K84</f>
        <v>4</v>
      </c>
      <c r="L83" s="92">
        <f>data!L84</f>
        <v>2.0000000000000001E-4</v>
      </c>
      <c r="M83" s="92">
        <f>data!M84</f>
        <v>2</v>
      </c>
    </row>
    <row r="84" spans="1:13" x14ac:dyDescent="0.25">
      <c r="A84" t="str">
        <f>data!A85</f>
        <v>comment</v>
      </c>
      <c r="B84" s="92" t="str">
        <f>data!B85</f>
        <v>6001</v>
      </c>
      <c r="C84" s="92" t="str">
        <f>data!C85</f>
        <v>CZCE</v>
      </c>
      <c r="D84" s="92" t="str">
        <f>data!D85</f>
        <v>SR809</v>
      </c>
      <c r="E84" s="92">
        <f>data!E85</f>
        <v>1</v>
      </c>
      <c r="F84" s="92">
        <f>data!F85</f>
        <v>1</v>
      </c>
      <c r="G84" s="92" t="str">
        <f>data!G85</f>
        <v>SR80911</v>
      </c>
      <c r="H84" s="92">
        <f>data!H85</f>
        <v>4.0000000000000002E-4</v>
      </c>
      <c r="I84" s="92">
        <f>data!I85</f>
        <v>4</v>
      </c>
      <c r="J84" s="92">
        <f>data!J85</f>
        <v>2.9999999999999997E-4</v>
      </c>
      <c r="K84" s="92">
        <f>data!K85</f>
        <v>3</v>
      </c>
      <c r="L84" s="92">
        <f>data!L85</f>
        <v>2.0000000000000001E-4</v>
      </c>
      <c r="M84" s="92">
        <f>data!M85</f>
        <v>2</v>
      </c>
    </row>
    <row r="85" spans="1:13" x14ac:dyDescent="0.25">
      <c r="A85" t="str">
        <f>data!A86</f>
        <v>comment</v>
      </c>
      <c r="B85" s="92" t="str">
        <f>data!B86</f>
        <v>6001</v>
      </c>
      <c r="C85" s="92" t="str">
        <f>data!C86</f>
        <v>CZCE</v>
      </c>
      <c r="D85" s="92" t="str">
        <f>data!D86</f>
        <v>SR809</v>
      </c>
      <c r="E85" s="92">
        <f>data!E86</f>
        <v>1</v>
      </c>
      <c r="F85" s="92">
        <f>data!F86</f>
        <v>2</v>
      </c>
      <c r="G85" s="92" t="str">
        <f>data!G86</f>
        <v>SR80912</v>
      </c>
      <c r="H85" s="92">
        <f>data!H86</f>
        <v>2.9999999999999997E-4</v>
      </c>
      <c r="I85" s="92">
        <f>data!I86</f>
        <v>3</v>
      </c>
      <c r="J85" s="92">
        <f>data!J86</f>
        <v>2.0000000000000001E-4</v>
      </c>
      <c r="K85" s="92">
        <f>data!K86</f>
        <v>2</v>
      </c>
      <c r="L85" s="92">
        <f>data!L86</f>
        <v>2.0000000000000001E-4</v>
      </c>
      <c r="M85" s="92">
        <f>data!M86</f>
        <v>2</v>
      </c>
    </row>
    <row r="86" spans="1:13" x14ac:dyDescent="0.25">
      <c r="A86" t="str">
        <f>data!A87</f>
        <v>comment</v>
      </c>
      <c r="B86" s="92" t="str">
        <f>data!B87</f>
        <v>6001</v>
      </c>
      <c r="C86" s="92" t="str">
        <f>data!C87</f>
        <v>CZCE</v>
      </c>
      <c r="D86" s="92" t="str">
        <f>data!D87</f>
        <v>SR809</v>
      </c>
      <c r="E86" s="92">
        <f>data!E87</f>
        <v>1</v>
      </c>
      <c r="F86" s="92">
        <f>data!F87</f>
        <v>3</v>
      </c>
      <c r="G86" s="92" t="str">
        <f>data!G87</f>
        <v>SR80913</v>
      </c>
      <c r="H86" s="92">
        <f>data!H87</f>
        <v>2.0000000000000001E-4</v>
      </c>
      <c r="I86" s="92">
        <f>data!I87</f>
        <v>2</v>
      </c>
      <c r="J86" s="92">
        <f>data!J87</f>
        <v>1E-4</v>
      </c>
      <c r="K86" s="92">
        <f>data!K87</f>
        <v>1</v>
      </c>
      <c r="L86" s="92">
        <f>data!L87</f>
        <v>2.0000000000000001E-4</v>
      </c>
      <c r="M86" s="92">
        <f>data!M87</f>
        <v>2</v>
      </c>
    </row>
    <row r="87" spans="1:13" x14ac:dyDescent="0.25">
      <c r="A87" t="str">
        <f>data!A88</f>
        <v>comment</v>
      </c>
      <c r="B87" s="92" t="str">
        <f>data!B88</f>
        <v>6001</v>
      </c>
      <c r="C87" s="92" t="str">
        <f>data!C88</f>
        <v>CZCE</v>
      </c>
      <c r="D87" s="92" t="str">
        <f>data!D88</f>
        <v>SR809</v>
      </c>
      <c r="E87" s="92">
        <f>data!E88</f>
        <v>3</v>
      </c>
      <c r="F87" s="92">
        <f>data!F88</f>
        <v>0</v>
      </c>
      <c r="G87" s="92" t="str">
        <f>data!G88</f>
        <v>SR80930</v>
      </c>
      <c r="H87" s="92">
        <f>data!H88</f>
        <v>5.0000000000000001E-4</v>
      </c>
      <c r="I87" s="92">
        <f>data!I88</f>
        <v>5</v>
      </c>
      <c r="J87" s="92">
        <f>data!J88</f>
        <v>5.0000000000000001E-4</v>
      </c>
      <c r="K87" s="92">
        <f>data!K88</f>
        <v>5</v>
      </c>
      <c r="L87" s="92">
        <f>data!L88</f>
        <v>2.0000000000000001E-4</v>
      </c>
      <c r="M87" s="92">
        <f>data!M88</f>
        <v>2</v>
      </c>
    </row>
    <row r="88" spans="1:13" x14ac:dyDescent="0.25">
      <c r="A88" t="str">
        <f>data!A89</f>
        <v>comment</v>
      </c>
      <c r="B88" s="92" t="str">
        <f>data!B89</f>
        <v>6001</v>
      </c>
      <c r="C88" s="92" t="str">
        <f>data!C89</f>
        <v>CZCE</v>
      </c>
      <c r="D88" s="92" t="str">
        <f>data!D89</f>
        <v>SR809</v>
      </c>
      <c r="E88" s="92">
        <f>data!E89</f>
        <v>3</v>
      </c>
      <c r="F88" s="92">
        <f>data!F89</f>
        <v>1</v>
      </c>
      <c r="G88" s="92" t="str">
        <f>data!G89</f>
        <v>SR80931</v>
      </c>
      <c r="H88" s="92">
        <f>data!H89</f>
        <v>4.0000000000000002E-4</v>
      </c>
      <c r="I88" s="92">
        <f>data!I89</f>
        <v>4</v>
      </c>
      <c r="J88" s="92">
        <f>data!J89</f>
        <v>3.9999999999999996E-4</v>
      </c>
      <c r="K88" s="92">
        <f>data!K89</f>
        <v>4</v>
      </c>
      <c r="L88" s="92">
        <f>data!L89</f>
        <v>2.0000000000000001E-4</v>
      </c>
      <c r="M88" s="92">
        <f>data!M89</f>
        <v>2</v>
      </c>
    </row>
    <row r="89" spans="1:13" x14ac:dyDescent="0.25">
      <c r="A89" t="str">
        <f>data!A90</f>
        <v>comment</v>
      </c>
      <c r="B89" s="92" t="str">
        <f>data!B90</f>
        <v>6001</v>
      </c>
      <c r="C89" s="92" t="str">
        <f>data!C90</f>
        <v>CZCE</v>
      </c>
      <c r="D89" s="92" t="str">
        <f>data!D90</f>
        <v>SR809</v>
      </c>
      <c r="E89" s="92">
        <f>data!E90</f>
        <v>3</v>
      </c>
      <c r="F89" s="92">
        <f>data!F90</f>
        <v>2</v>
      </c>
      <c r="G89" s="92" t="str">
        <f>data!G90</f>
        <v>SR80932</v>
      </c>
      <c r="H89" s="92">
        <f>data!H90</f>
        <v>2.9999999999999997E-4</v>
      </c>
      <c r="I89" s="92">
        <f>data!I90</f>
        <v>3</v>
      </c>
      <c r="J89" s="92">
        <f>data!J90</f>
        <v>3.0000000000000003E-4</v>
      </c>
      <c r="K89" s="92">
        <f>data!K90</f>
        <v>3</v>
      </c>
      <c r="L89" s="92">
        <f>data!L90</f>
        <v>2.0000000000000001E-4</v>
      </c>
      <c r="M89" s="92">
        <f>data!M90</f>
        <v>2</v>
      </c>
    </row>
    <row r="90" spans="1:13" x14ac:dyDescent="0.25">
      <c r="A90" t="str">
        <f>data!A91</f>
        <v>comment</v>
      </c>
      <c r="B90" s="92" t="str">
        <f>data!B91</f>
        <v>6001</v>
      </c>
      <c r="C90" s="92" t="str">
        <f>data!C91</f>
        <v>CZCE</v>
      </c>
      <c r="D90" s="92" t="str">
        <f>data!D91</f>
        <v>SR809</v>
      </c>
      <c r="E90" s="92">
        <f>data!E91</f>
        <v>3</v>
      </c>
      <c r="F90" s="92">
        <f>data!F91</f>
        <v>3</v>
      </c>
      <c r="G90" s="92" t="str">
        <f>data!G91</f>
        <v>SR80933</v>
      </c>
      <c r="H90" s="92">
        <f>data!H91</f>
        <v>2.0000000000000001E-4</v>
      </c>
      <c r="I90" s="92">
        <f>data!I91</f>
        <v>2</v>
      </c>
      <c r="J90" s="92">
        <f>data!J91</f>
        <v>2.0000000000000001E-4</v>
      </c>
      <c r="K90" s="92">
        <f>data!K91</f>
        <v>2</v>
      </c>
      <c r="L90" s="92">
        <f>data!L91</f>
        <v>2.0000000000000001E-4</v>
      </c>
      <c r="M90" s="92">
        <f>data!M91</f>
        <v>2</v>
      </c>
    </row>
    <row r="91" spans="1:13" x14ac:dyDescent="0.25">
      <c r="A91" t="str">
        <f>data!A92</f>
        <v>comment</v>
      </c>
      <c r="B91" s="92" t="str">
        <f>data!B92</f>
        <v>6001</v>
      </c>
      <c r="C91" s="92" t="str">
        <f>data!C92</f>
        <v>CZCE</v>
      </c>
      <c r="D91" s="92" t="str">
        <f>data!D92</f>
        <v>OI811</v>
      </c>
      <c r="E91" s="92">
        <f>data!E92</f>
        <v>1</v>
      </c>
      <c r="F91" s="92">
        <f>data!F92</f>
        <v>0</v>
      </c>
      <c r="G91" s="92" t="str">
        <f>data!G92</f>
        <v>OI81110</v>
      </c>
      <c r="H91" s="92">
        <f>data!H92</f>
        <v>5.0000000000000001E-4</v>
      </c>
      <c r="I91" s="92">
        <f>data!I92</f>
        <v>5</v>
      </c>
      <c r="J91" s="92">
        <f>data!J92</f>
        <v>4.0000000000000002E-4</v>
      </c>
      <c r="K91" s="92">
        <f>data!K92</f>
        <v>4</v>
      </c>
      <c r="L91" s="92">
        <f>data!L92</f>
        <v>2.0000000000000001E-4</v>
      </c>
      <c r="M91" s="92">
        <f>data!M92</f>
        <v>2</v>
      </c>
    </row>
    <row r="92" spans="1:13" x14ac:dyDescent="0.25">
      <c r="A92" t="str">
        <f>data!A93</f>
        <v>comment</v>
      </c>
      <c r="B92" s="92" t="str">
        <f>data!B93</f>
        <v>6001</v>
      </c>
      <c r="C92" s="92" t="str">
        <f>data!C93</f>
        <v>CZCE</v>
      </c>
      <c r="D92" s="92" t="str">
        <f>data!D93</f>
        <v>OI811</v>
      </c>
      <c r="E92" s="92">
        <f>data!E93</f>
        <v>1</v>
      </c>
      <c r="F92" s="92">
        <f>data!F93</f>
        <v>1</v>
      </c>
      <c r="G92" s="92" t="str">
        <f>data!G93</f>
        <v>OI81111</v>
      </c>
      <c r="H92" s="92">
        <f>data!H93</f>
        <v>4.0000000000000002E-4</v>
      </c>
      <c r="I92" s="92">
        <f>data!I93</f>
        <v>4</v>
      </c>
      <c r="J92" s="92">
        <f>data!J93</f>
        <v>2.9999999999999997E-4</v>
      </c>
      <c r="K92" s="92">
        <f>data!K93</f>
        <v>3</v>
      </c>
      <c r="L92" s="92">
        <f>data!L93</f>
        <v>2.0000000000000001E-4</v>
      </c>
      <c r="M92" s="92">
        <f>data!M93</f>
        <v>2</v>
      </c>
    </row>
    <row r="93" spans="1:13" x14ac:dyDescent="0.25">
      <c r="A93" t="str">
        <f>data!A94</f>
        <v>comment</v>
      </c>
      <c r="B93" s="92" t="str">
        <f>data!B94</f>
        <v>6001</v>
      </c>
      <c r="C93" s="92" t="str">
        <f>data!C94</f>
        <v>CZCE</v>
      </c>
      <c r="D93" s="92" t="str">
        <f>data!D94</f>
        <v>OI811</v>
      </c>
      <c r="E93" s="92">
        <f>data!E94</f>
        <v>1</v>
      </c>
      <c r="F93" s="92">
        <f>data!F94</f>
        <v>2</v>
      </c>
      <c r="G93" s="92" t="str">
        <f>data!G94</f>
        <v>OI81112</v>
      </c>
      <c r="H93" s="92">
        <f>data!H94</f>
        <v>2.9999999999999997E-4</v>
      </c>
      <c r="I93" s="92">
        <f>data!I94</f>
        <v>3</v>
      </c>
      <c r="J93" s="92">
        <f>data!J94</f>
        <v>2.0000000000000001E-4</v>
      </c>
      <c r="K93" s="92">
        <f>data!K94</f>
        <v>2</v>
      </c>
      <c r="L93" s="92">
        <f>data!L94</f>
        <v>2.0000000000000001E-4</v>
      </c>
      <c r="M93" s="92">
        <f>data!M94</f>
        <v>2</v>
      </c>
    </row>
    <row r="94" spans="1:13" x14ac:dyDescent="0.25">
      <c r="A94" t="str">
        <f>data!A95</f>
        <v>comment</v>
      </c>
      <c r="B94" s="92" t="str">
        <f>data!B95</f>
        <v>6001</v>
      </c>
      <c r="C94" s="92" t="str">
        <f>data!C95</f>
        <v>CZCE</v>
      </c>
      <c r="D94" s="92" t="str">
        <f>data!D95</f>
        <v>OI811</v>
      </c>
      <c r="E94" s="92">
        <f>data!E95</f>
        <v>1</v>
      </c>
      <c r="F94" s="92">
        <f>data!F95</f>
        <v>3</v>
      </c>
      <c r="G94" s="92" t="str">
        <f>data!G95</f>
        <v>OI81113</v>
      </c>
      <c r="H94" s="92">
        <f>data!H95</f>
        <v>2.0000000000000001E-4</v>
      </c>
      <c r="I94" s="92">
        <f>data!I95</f>
        <v>2</v>
      </c>
      <c r="J94" s="92">
        <f>data!J95</f>
        <v>1E-4</v>
      </c>
      <c r="K94" s="92">
        <f>data!K95</f>
        <v>1</v>
      </c>
      <c r="L94" s="92">
        <f>data!L95</f>
        <v>2.0000000000000001E-4</v>
      </c>
      <c r="M94" s="92">
        <f>data!M95</f>
        <v>2</v>
      </c>
    </row>
    <row r="95" spans="1:13" x14ac:dyDescent="0.25">
      <c r="A95" t="str">
        <f>data!A96</f>
        <v>comment</v>
      </c>
      <c r="B95" s="92" t="str">
        <f>data!B96</f>
        <v>6001</v>
      </c>
      <c r="C95" s="92" t="str">
        <f>data!C96</f>
        <v>CZCE</v>
      </c>
      <c r="D95" s="92" t="str">
        <f>data!D96</f>
        <v>OI811</v>
      </c>
      <c r="E95" s="92">
        <f>data!E96</f>
        <v>3</v>
      </c>
      <c r="F95" s="92">
        <f>data!F96</f>
        <v>0</v>
      </c>
      <c r="G95" s="92" t="str">
        <f>data!G96</f>
        <v>OI81130</v>
      </c>
      <c r="H95" s="92">
        <f>data!H96</f>
        <v>5.0000000000000001E-4</v>
      </c>
      <c r="I95" s="92">
        <f>data!I96</f>
        <v>5</v>
      </c>
      <c r="J95" s="92">
        <f>data!J96</f>
        <v>5.0000000000000001E-4</v>
      </c>
      <c r="K95" s="92">
        <f>data!K96</f>
        <v>5</v>
      </c>
      <c r="L95" s="92">
        <f>data!L96</f>
        <v>2.0000000000000001E-4</v>
      </c>
      <c r="M95" s="92">
        <f>data!M96</f>
        <v>2</v>
      </c>
    </row>
    <row r="96" spans="1:13" x14ac:dyDescent="0.25">
      <c r="A96" t="str">
        <f>data!A97</f>
        <v>comment</v>
      </c>
      <c r="B96" s="92" t="str">
        <f>data!B97</f>
        <v>6001</v>
      </c>
      <c r="C96" s="92" t="str">
        <f>data!C97</f>
        <v>CZCE</v>
      </c>
      <c r="D96" s="92" t="str">
        <f>data!D97</f>
        <v>OI811</v>
      </c>
      <c r="E96" s="92">
        <f>data!E97</f>
        <v>3</v>
      </c>
      <c r="F96" s="92">
        <f>data!F97</f>
        <v>1</v>
      </c>
      <c r="G96" s="92" t="str">
        <f>data!G97</f>
        <v>OI81131</v>
      </c>
      <c r="H96" s="92">
        <f>data!H97</f>
        <v>4.0000000000000002E-4</v>
      </c>
      <c r="I96" s="92">
        <f>data!I97</f>
        <v>4</v>
      </c>
      <c r="J96" s="92">
        <f>data!J97</f>
        <v>3.9999999999999996E-4</v>
      </c>
      <c r="K96" s="92">
        <f>data!K97</f>
        <v>4</v>
      </c>
      <c r="L96" s="92">
        <f>data!L97</f>
        <v>2.0000000000000001E-4</v>
      </c>
      <c r="M96" s="92">
        <f>data!M97</f>
        <v>2</v>
      </c>
    </row>
    <row r="97" spans="1:13" x14ac:dyDescent="0.25">
      <c r="A97" t="str">
        <f>data!A98</f>
        <v>comment</v>
      </c>
      <c r="B97" s="92" t="str">
        <f>data!B98</f>
        <v>6001</v>
      </c>
      <c r="C97" s="92" t="str">
        <f>data!C98</f>
        <v>CZCE</v>
      </c>
      <c r="D97" s="92" t="str">
        <f>data!D98</f>
        <v>OI811</v>
      </c>
      <c r="E97" s="92">
        <f>data!E98</f>
        <v>3</v>
      </c>
      <c r="F97" s="92">
        <f>data!F98</f>
        <v>2</v>
      </c>
      <c r="G97" s="92" t="str">
        <f>data!G98</f>
        <v>OI81132</v>
      </c>
      <c r="H97" s="92">
        <f>data!H98</f>
        <v>2.9999999999999997E-4</v>
      </c>
      <c r="I97" s="92">
        <f>data!I98</f>
        <v>3</v>
      </c>
      <c r="J97" s="92">
        <f>data!J98</f>
        <v>3.0000000000000003E-4</v>
      </c>
      <c r="K97" s="92">
        <f>data!K98</f>
        <v>3</v>
      </c>
      <c r="L97" s="92">
        <f>data!L98</f>
        <v>2.0000000000000001E-4</v>
      </c>
      <c r="M97" s="92">
        <f>data!M98</f>
        <v>2</v>
      </c>
    </row>
    <row r="98" spans="1:13" x14ac:dyDescent="0.25">
      <c r="A98" t="str">
        <f>data!A99</f>
        <v>comment</v>
      </c>
      <c r="B98" s="92" t="str">
        <f>data!B99</f>
        <v>6001</v>
      </c>
      <c r="C98" s="92" t="str">
        <f>data!C99</f>
        <v>CZCE</v>
      </c>
      <c r="D98" s="92" t="str">
        <f>data!D99</f>
        <v>OI811</v>
      </c>
      <c r="E98" s="92">
        <f>data!E99</f>
        <v>3</v>
      </c>
      <c r="F98" s="92">
        <f>data!F99</f>
        <v>3</v>
      </c>
      <c r="G98" s="92" t="str">
        <f>data!G99</f>
        <v>OI81133</v>
      </c>
      <c r="H98" s="92">
        <f>data!H99</f>
        <v>2.0000000000000001E-4</v>
      </c>
      <c r="I98" s="92">
        <f>data!I99</f>
        <v>2</v>
      </c>
      <c r="J98" s="92">
        <f>data!J99</f>
        <v>2.0000000000000001E-4</v>
      </c>
      <c r="K98" s="92">
        <f>data!K99</f>
        <v>2</v>
      </c>
      <c r="L98" s="92">
        <f>data!L99</f>
        <v>2.0000000000000001E-4</v>
      </c>
      <c r="M98" s="92">
        <f>data!M99</f>
        <v>2</v>
      </c>
    </row>
    <row r="99" spans="1:13" x14ac:dyDescent="0.25">
      <c r="A99" t="str">
        <f>data!A100</f>
        <v>comment</v>
      </c>
      <c r="B99" s="92" t="str">
        <f>data!B100</f>
        <v>6001</v>
      </c>
      <c r="C99" s="92" t="str">
        <f>data!C100</f>
        <v>CZCE</v>
      </c>
      <c r="D99" s="92" t="str">
        <f>data!D100</f>
        <v>PTA807</v>
      </c>
      <c r="E99" s="92">
        <f>data!E100</f>
        <v>1</v>
      </c>
      <c r="F99" s="92">
        <f>data!F100</f>
        <v>0</v>
      </c>
      <c r="G99" s="92" t="str">
        <f>data!G100</f>
        <v>PTA80710</v>
      </c>
      <c r="H99" s="92">
        <f>data!H100</f>
        <v>5.0000000000000001E-4</v>
      </c>
      <c r="I99" s="92">
        <f>data!I100</f>
        <v>5</v>
      </c>
      <c r="J99" s="92">
        <f>data!J100</f>
        <v>4.0000000000000002E-4</v>
      </c>
      <c r="K99" s="92">
        <f>data!K100</f>
        <v>4</v>
      </c>
      <c r="L99" s="92">
        <f>data!L100</f>
        <v>2.0000000000000001E-4</v>
      </c>
      <c r="M99" s="92">
        <f>data!M100</f>
        <v>2</v>
      </c>
    </row>
    <row r="100" spans="1:13" x14ac:dyDescent="0.25">
      <c r="A100" t="str">
        <f>data!A101</f>
        <v>comment</v>
      </c>
      <c r="B100" s="92" t="str">
        <f>data!B101</f>
        <v>6001</v>
      </c>
      <c r="C100" s="92" t="str">
        <f>data!C101</f>
        <v>CZCE</v>
      </c>
      <c r="D100" s="92" t="str">
        <f>data!D101</f>
        <v>PTA807</v>
      </c>
      <c r="E100" s="92">
        <f>data!E101</f>
        <v>1</v>
      </c>
      <c r="F100" s="92">
        <f>data!F101</f>
        <v>1</v>
      </c>
      <c r="G100" s="92" t="str">
        <f>data!G101</f>
        <v>PTA80711</v>
      </c>
      <c r="H100" s="92">
        <f>data!H101</f>
        <v>4.0000000000000002E-4</v>
      </c>
      <c r="I100" s="92">
        <f>data!I101</f>
        <v>4</v>
      </c>
      <c r="J100" s="92">
        <f>data!J101</f>
        <v>2.9999999999999997E-4</v>
      </c>
      <c r="K100" s="92">
        <f>data!K101</f>
        <v>3</v>
      </c>
      <c r="L100" s="92">
        <f>data!L101</f>
        <v>2.0000000000000001E-4</v>
      </c>
      <c r="M100" s="92">
        <f>data!M101</f>
        <v>2</v>
      </c>
    </row>
    <row r="101" spans="1:13" x14ac:dyDescent="0.25">
      <c r="A101" t="str">
        <f>data!A102</f>
        <v>comment</v>
      </c>
      <c r="B101" s="92" t="str">
        <f>data!B102</f>
        <v>6001</v>
      </c>
      <c r="C101" s="92" t="str">
        <f>data!C102</f>
        <v>CZCE</v>
      </c>
      <c r="D101" s="92" t="str">
        <f>data!D102</f>
        <v>PTA807</v>
      </c>
      <c r="E101" s="92">
        <f>data!E102</f>
        <v>1</v>
      </c>
      <c r="F101" s="92">
        <f>data!F102</f>
        <v>2</v>
      </c>
      <c r="G101" s="92" t="str">
        <f>data!G102</f>
        <v>PTA80712</v>
      </c>
      <c r="H101" s="92">
        <f>data!H102</f>
        <v>2.9999999999999997E-4</v>
      </c>
      <c r="I101" s="92">
        <f>data!I102</f>
        <v>3</v>
      </c>
      <c r="J101" s="92">
        <f>data!J102</f>
        <v>2.0000000000000001E-4</v>
      </c>
      <c r="K101" s="92">
        <f>data!K102</f>
        <v>2</v>
      </c>
      <c r="L101" s="92">
        <f>data!L102</f>
        <v>2.0000000000000001E-4</v>
      </c>
      <c r="M101" s="92">
        <f>data!M102</f>
        <v>2</v>
      </c>
    </row>
    <row r="102" spans="1:13" x14ac:dyDescent="0.25">
      <c r="A102" t="str">
        <f>data!A103</f>
        <v>comment</v>
      </c>
      <c r="B102" s="92" t="str">
        <f>data!B103</f>
        <v>6001</v>
      </c>
      <c r="C102" s="92" t="str">
        <f>data!C103</f>
        <v>CZCE</v>
      </c>
      <c r="D102" s="92" t="str">
        <f>data!D103</f>
        <v>PTA807</v>
      </c>
      <c r="E102" s="92">
        <f>data!E103</f>
        <v>1</v>
      </c>
      <c r="F102" s="92">
        <f>data!F103</f>
        <v>3</v>
      </c>
      <c r="G102" s="92" t="str">
        <f>data!G103</f>
        <v>PTA80713</v>
      </c>
      <c r="H102" s="92">
        <f>data!H103</f>
        <v>2.0000000000000001E-4</v>
      </c>
      <c r="I102" s="92">
        <f>data!I103</f>
        <v>2</v>
      </c>
      <c r="J102" s="92">
        <f>data!J103</f>
        <v>1E-4</v>
      </c>
      <c r="K102" s="92">
        <f>data!K103</f>
        <v>1</v>
      </c>
      <c r="L102" s="92">
        <f>data!L103</f>
        <v>2.0000000000000001E-4</v>
      </c>
      <c r="M102" s="92">
        <f>data!M103</f>
        <v>2</v>
      </c>
    </row>
    <row r="103" spans="1:13" x14ac:dyDescent="0.25">
      <c r="A103" t="str">
        <f>data!A104</f>
        <v>comment</v>
      </c>
      <c r="B103" s="92" t="str">
        <f>data!B104</f>
        <v>6001</v>
      </c>
      <c r="C103" s="92" t="str">
        <f>data!C104</f>
        <v>CZCE</v>
      </c>
      <c r="D103" s="92" t="str">
        <f>data!D104</f>
        <v>PTA807</v>
      </c>
      <c r="E103" s="92">
        <f>data!E104</f>
        <v>3</v>
      </c>
      <c r="F103" s="92">
        <f>data!F104</f>
        <v>0</v>
      </c>
      <c r="G103" s="92" t="str">
        <f>data!G104</f>
        <v>PTA80730</v>
      </c>
      <c r="H103" s="92">
        <f>data!H104</f>
        <v>5.0000000000000001E-4</v>
      </c>
      <c r="I103" s="92">
        <f>data!I104</f>
        <v>5</v>
      </c>
      <c r="J103" s="92">
        <f>data!J104</f>
        <v>5.0000000000000001E-4</v>
      </c>
      <c r="K103" s="92">
        <f>data!K104</f>
        <v>5</v>
      </c>
      <c r="L103" s="92">
        <f>data!L104</f>
        <v>2.0000000000000001E-4</v>
      </c>
      <c r="M103" s="92">
        <f>data!M104</f>
        <v>2</v>
      </c>
    </row>
    <row r="104" spans="1:13" x14ac:dyDescent="0.25">
      <c r="A104" t="str">
        <f>data!A105</f>
        <v>comment</v>
      </c>
      <c r="B104" s="92" t="str">
        <f>data!B105</f>
        <v>6001</v>
      </c>
      <c r="C104" s="92" t="str">
        <f>data!C105</f>
        <v>CZCE</v>
      </c>
      <c r="D104" s="92" t="str">
        <f>data!D105</f>
        <v>PTA807</v>
      </c>
      <c r="E104" s="92">
        <f>data!E105</f>
        <v>3</v>
      </c>
      <c r="F104" s="92">
        <f>data!F105</f>
        <v>1</v>
      </c>
      <c r="G104" s="92" t="str">
        <f>data!G105</f>
        <v>PTA80731</v>
      </c>
      <c r="H104" s="92">
        <f>data!H105</f>
        <v>4.0000000000000002E-4</v>
      </c>
      <c r="I104" s="92">
        <f>data!I105</f>
        <v>4</v>
      </c>
      <c r="J104" s="92">
        <f>data!J105</f>
        <v>3.9999999999999996E-4</v>
      </c>
      <c r="K104" s="92">
        <f>data!K105</f>
        <v>4</v>
      </c>
      <c r="L104" s="92">
        <f>data!L105</f>
        <v>2.0000000000000001E-4</v>
      </c>
      <c r="M104" s="92">
        <f>data!M105</f>
        <v>2</v>
      </c>
    </row>
    <row r="105" spans="1:13" x14ac:dyDescent="0.25">
      <c r="A105" t="str">
        <f>data!A106</f>
        <v>comment</v>
      </c>
      <c r="B105" s="92" t="str">
        <f>data!B106</f>
        <v>6001</v>
      </c>
      <c r="C105" s="92" t="str">
        <f>data!C106</f>
        <v>CZCE</v>
      </c>
      <c r="D105" s="92" t="str">
        <f>data!D106</f>
        <v>PTA807</v>
      </c>
      <c r="E105" s="92">
        <f>data!E106</f>
        <v>3</v>
      </c>
      <c r="F105" s="92">
        <f>data!F106</f>
        <v>2</v>
      </c>
      <c r="G105" s="92" t="str">
        <f>data!G106</f>
        <v>PTA80732</v>
      </c>
      <c r="H105" s="92">
        <f>data!H106</f>
        <v>2.9999999999999997E-4</v>
      </c>
      <c r="I105" s="92">
        <f>data!I106</f>
        <v>3</v>
      </c>
      <c r="J105" s="92">
        <f>data!J106</f>
        <v>3.0000000000000003E-4</v>
      </c>
      <c r="K105" s="92">
        <f>data!K106</f>
        <v>3</v>
      </c>
      <c r="L105" s="92">
        <f>data!L106</f>
        <v>2.0000000000000001E-4</v>
      </c>
      <c r="M105" s="92">
        <f>data!M106</f>
        <v>2</v>
      </c>
    </row>
    <row r="106" spans="1:13" x14ac:dyDescent="0.25">
      <c r="A106" t="str">
        <f>data!A107</f>
        <v>comment</v>
      </c>
      <c r="B106" s="92" t="str">
        <f>data!B107</f>
        <v>6001</v>
      </c>
      <c r="C106" s="92" t="str">
        <f>data!C107</f>
        <v>CZCE</v>
      </c>
      <c r="D106" s="92" t="str">
        <f>data!D107</f>
        <v>PTA807</v>
      </c>
      <c r="E106" s="92">
        <f>data!E107</f>
        <v>3</v>
      </c>
      <c r="F106" s="92">
        <f>data!F107</f>
        <v>3</v>
      </c>
      <c r="G106" s="92" t="str">
        <f>data!G107</f>
        <v>PTA80733</v>
      </c>
      <c r="H106" s="92">
        <f>data!H107</f>
        <v>2.0000000000000001E-4</v>
      </c>
      <c r="I106" s="92">
        <f>data!I107</f>
        <v>2</v>
      </c>
      <c r="J106" s="92">
        <f>data!J107</f>
        <v>2.0000000000000001E-4</v>
      </c>
      <c r="K106" s="92">
        <f>data!K107</f>
        <v>2</v>
      </c>
      <c r="L106" s="92">
        <f>data!L107</f>
        <v>2.0000000000000001E-4</v>
      </c>
      <c r="M106" s="92">
        <f>data!M107</f>
        <v>2</v>
      </c>
    </row>
    <row r="107" spans="1:13" x14ac:dyDescent="0.25">
      <c r="A107" t="str">
        <f>data!A108</f>
        <v>comment</v>
      </c>
      <c r="B107" s="92" t="str">
        <f>data!B108</f>
        <v>6001</v>
      </c>
      <c r="C107" s="92" t="str">
        <f>data!C108</f>
        <v>CZCE</v>
      </c>
      <c r="D107" s="92" t="str">
        <f>data!D108</f>
        <v>PTA809</v>
      </c>
      <c r="E107" s="92">
        <f>data!E108</f>
        <v>1</v>
      </c>
      <c r="F107" s="92">
        <f>data!F108</f>
        <v>0</v>
      </c>
      <c r="G107" s="92" t="str">
        <f>data!G108</f>
        <v>PTA80910</v>
      </c>
      <c r="H107" s="92">
        <f>data!H108</f>
        <v>5.0000000000000001E-4</v>
      </c>
      <c r="I107" s="92">
        <f>data!I108</f>
        <v>5</v>
      </c>
      <c r="J107" s="92">
        <f>data!J108</f>
        <v>4.0000000000000002E-4</v>
      </c>
      <c r="K107" s="92">
        <f>data!K108</f>
        <v>4</v>
      </c>
      <c r="L107" s="92">
        <f>data!L108</f>
        <v>2.0000000000000001E-4</v>
      </c>
      <c r="M107" s="92">
        <f>data!M108</f>
        <v>2</v>
      </c>
    </row>
    <row r="108" spans="1:13" x14ac:dyDescent="0.25">
      <c r="A108" t="str">
        <f>data!A109</f>
        <v>comment</v>
      </c>
      <c r="B108" s="92" t="str">
        <f>data!B109</f>
        <v>6001</v>
      </c>
      <c r="C108" s="92" t="str">
        <f>data!C109</f>
        <v>CZCE</v>
      </c>
      <c r="D108" s="92" t="str">
        <f>data!D109</f>
        <v>PTA809</v>
      </c>
      <c r="E108" s="92">
        <f>data!E109</f>
        <v>1</v>
      </c>
      <c r="F108" s="92">
        <f>data!F109</f>
        <v>1</v>
      </c>
      <c r="G108" s="92" t="str">
        <f>data!G109</f>
        <v>PTA80911</v>
      </c>
      <c r="H108" s="92">
        <f>data!H109</f>
        <v>4.0000000000000002E-4</v>
      </c>
      <c r="I108" s="92">
        <f>data!I109</f>
        <v>4</v>
      </c>
      <c r="J108" s="92">
        <f>data!J109</f>
        <v>2.9999999999999997E-4</v>
      </c>
      <c r="K108" s="92">
        <f>data!K109</f>
        <v>3</v>
      </c>
      <c r="L108" s="92">
        <f>data!L109</f>
        <v>2.0000000000000001E-4</v>
      </c>
      <c r="M108" s="92">
        <f>data!M109</f>
        <v>2</v>
      </c>
    </row>
    <row r="109" spans="1:13" x14ac:dyDescent="0.25">
      <c r="A109" t="str">
        <f>data!A110</f>
        <v>comment</v>
      </c>
      <c r="B109" s="92" t="str">
        <f>data!B110</f>
        <v>6001</v>
      </c>
      <c r="C109" s="92" t="str">
        <f>data!C110</f>
        <v>CZCE</v>
      </c>
      <c r="D109" s="92" t="str">
        <f>data!D110</f>
        <v>PTA809</v>
      </c>
      <c r="E109" s="92">
        <f>data!E110</f>
        <v>1</v>
      </c>
      <c r="F109" s="92">
        <f>data!F110</f>
        <v>2</v>
      </c>
      <c r="G109" s="92" t="str">
        <f>data!G110</f>
        <v>PTA80912</v>
      </c>
      <c r="H109" s="92">
        <f>data!H110</f>
        <v>2.9999999999999997E-4</v>
      </c>
      <c r="I109" s="92">
        <f>data!I110</f>
        <v>3</v>
      </c>
      <c r="J109" s="92">
        <f>data!J110</f>
        <v>2.0000000000000001E-4</v>
      </c>
      <c r="K109" s="92">
        <f>data!K110</f>
        <v>2</v>
      </c>
      <c r="L109" s="92">
        <f>data!L110</f>
        <v>2.0000000000000001E-4</v>
      </c>
      <c r="M109" s="92">
        <f>data!M110</f>
        <v>2</v>
      </c>
    </row>
    <row r="110" spans="1:13" x14ac:dyDescent="0.25">
      <c r="A110" t="str">
        <f>data!A111</f>
        <v>comment</v>
      </c>
      <c r="B110" s="92" t="str">
        <f>data!B111</f>
        <v>6001</v>
      </c>
      <c r="C110" s="92" t="str">
        <f>data!C111</f>
        <v>CZCE</v>
      </c>
      <c r="D110" s="92" t="str">
        <f>data!D111</f>
        <v>PTA809</v>
      </c>
      <c r="E110" s="92">
        <f>data!E111</f>
        <v>1</v>
      </c>
      <c r="F110" s="92">
        <f>data!F111</f>
        <v>3</v>
      </c>
      <c r="G110" s="92" t="str">
        <f>data!G111</f>
        <v>PTA80913</v>
      </c>
      <c r="H110" s="92">
        <f>data!H111</f>
        <v>2.0000000000000001E-4</v>
      </c>
      <c r="I110" s="92">
        <f>data!I111</f>
        <v>2</v>
      </c>
      <c r="J110" s="92">
        <f>data!J111</f>
        <v>1E-4</v>
      </c>
      <c r="K110" s="92">
        <f>data!K111</f>
        <v>1</v>
      </c>
      <c r="L110" s="92">
        <f>data!L111</f>
        <v>2.0000000000000001E-4</v>
      </c>
      <c r="M110" s="92">
        <f>data!M111</f>
        <v>2</v>
      </c>
    </row>
    <row r="111" spans="1:13" x14ac:dyDescent="0.25">
      <c r="A111" t="str">
        <f>data!A112</f>
        <v>comment</v>
      </c>
      <c r="B111" s="92" t="str">
        <f>data!B112</f>
        <v>6001</v>
      </c>
      <c r="C111" s="92" t="str">
        <f>data!C112</f>
        <v>CZCE</v>
      </c>
      <c r="D111" s="92" t="str">
        <f>data!D112</f>
        <v>PTA809</v>
      </c>
      <c r="E111" s="92">
        <f>data!E112</f>
        <v>3</v>
      </c>
      <c r="F111" s="92">
        <f>data!F112</f>
        <v>0</v>
      </c>
      <c r="G111" s="92" t="str">
        <f>data!G112</f>
        <v>PTA80930</v>
      </c>
      <c r="H111" s="92">
        <f>data!H112</f>
        <v>5.0000000000000001E-4</v>
      </c>
      <c r="I111" s="92">
        <f>data!I112</f>
        <v>5</v>
      </c>
      <c r="J111" s="92">
        <f>data!J112</f>
        <v>5.0000000000000001E-4</v>
      </c>
      <c r="K111" s="92">
        <f>data!K112</f>
        <v>5</v>
      </c>
      <c r="L111" s="92">
        <f>data!L112</f>
        <v>2.0000000000000001E-4</v>
      </c>
      <c r="M111" s="92">
        <f>data!M112</f>
        <v>2</v>
      </c>
    </row>
    <row r="112" spans="1:13" x14ac:dyDescent="0.25">
      <c r="A112" t="str">
        <f>data!A113</f>
        <v>comment</v>
      </c>
      <c r="B112" s="92" t="str">
        <f>data!B113</f>
        <v>6001</v>
      </c>
      <c r="C112" s="92" t="str">
        <f>data!C113</f>
        <v>CZCE</v>
      </c>
      <c r="D112" s="92" t="str">
        <f>data!D113</f>
        <v>PTA809</v>
      </c>
      <c r="E112" s="92">
        <f>data!E113</f>
        <v>3</v>
      </c>
      <c r="F112" s="92">
        <f>data!F113</f>
        <v>1</v>
      </c>
      <c r="G112" s="92" t="str">
        <f>data!G113</f>
        <v>PTA80931</v>
      </c>
      <c r="H112" s="92">
        <f>data!H113</f>
        <v>4.0000000000000002E-4</v>
      </c>
      <c r="I112" s="92">
        <f>data!I113</f>
        <v>4</v>
      </c>
      <c r="J112" s="92">
        <f>data!J113</f>
        <v>3.9999999999999996E-4</v>
      </c>
      <c r="K112" s="92">
        <f>data!K113</f>
        <v>4</v>
      </c>
      <c r="L112" s="92">
        <f>data!L113</f>
        <v>2.0000000000000001E-4</v>
      </c>
      <c r="M112" s="92">
        <f>data!M113</f>
        <v>2</v>
      </c>
    </row>
    <row r="113" spans="1:13" x14ac:dyDescent="0.25">
      <c r="A113" t="str">
        <f>data!A114</f>
        <v>comment</v>
      </c>
      <c r="B113" s="92" t="str">
        <f>data!B114</f>
        <v>6001</v>
      </c>
      <c r="C113" s="92" t="str">
        <f>data!C114</f>
        <v>CZCE</v>
      </c>
      <c r="D113" s="92" t="str">
        <f>data!D114</f>
        <v>PTA809</v>
      </c>
      <c r="E113" s="92">
        <f>data!E114</f>
        <v>3</v>
      </c>
      <c r="F113" s="92">
        <f>data!F114</f>
        <v>2</v>
      </c>
      <c r="G113" s="92" t="str">
        <f>data!G114</f>
        <v>PTA80932</v>
      </c>
      <c r="H113" s="92">
        <f>data!H114</f>
        <v>2.9999999999999997E-4</v>
      </c>
      <c r="I113" s="92">
        <f>data!I114</f>
        <v>3</v>
      </c>
      <c r="J113" s="92">
        <f>data!J114</f>
        <v>3.0000000000000003E-4</v>
      </c>
      <c r="K113" s="92">
        <f>data!K114</f>
        <v>3</v>
      </c>
      <c r="L113" s="92">
        <f>data!L114</f>
        <v>2.0000000000000001E-4</v>
      </c>
      <c r="M113" s="92">
        <f>data!M114</f>
        <v>2</v>
      </c>
    </row>
    <row r="114" spans="1:13" x14ac:dyDescent="0.25">
      <c r="A114" t="str">
        <f>data!A115</f>
        <v>comment</v>
      </c>
      <c r="B114" s="92" t="str">
        <f>data!B115</f>
        <v>6001</v>
      </c>
      <c r="C114" s="92" t="str">
        <f>data!C115</f>
        <v>CZCE</v>
      </c>
      <c r="D114" s="92" t="str">
        <f>data!D115</f>
        <v>PTA809</v>
      </c>
      <c r="E114" s="92">
        <f>data!E115</f>
        <v>3</v>
      </c>
      <c r="F114" s="92">
        <f>data!F115</f>
        <v>3</v>
      </c>
      <c r="G114" s="92" t="str">
        <f>data!G115</f>
        <v>PTA80933</v>
      </c>
      <c r="H114" s="92">
        <f>data!H115</f>
        <v>2.0000000000000001E-4</v>
      </c>
      <c r="I114" s="92">
        <f>data!I115</f>
        <v>2</v>
      </c>
      <c r="J114" s="92">
        <f>data!J115</f>
        <v>2.0000000000000001E-4</v>
      </c>
      <c r="K114" s="92">
        <f>data!K115</f>
        <v>2</v>
      </c>
      <c r="L114" s="92">
        <f>data!L115</f>
        <v>2.0000000000000001E-4</v>
      </c>
      <c r="M114" s="92">
        <f>data!M115</f>
        <v>2</v>
      </c>
    </row>
    <row r="115" spans="1:13" x14ac:dyDescent="0.25">
      <c r="A115" t="str">
        <f>data!A116</f>
        <v>comment</v>
      </c>
      <c r="B115" t="str">
        <f>data!B116</f>
        <v>期权：交易所手续费率&amp;投资者手续费率</v>
      </c>
      <c r="F115" t="str">
        <f>data!F116</f>
        <v>4: 执行5：履约</v>
      </c>
    </row>
    <row r="116" spans="1:13" x14ac:dyDescent="0.25">
      <c r="A116" t="str">
        <f>data!A117</f>
        <v>comment</v>
      </c>
      <c r="B116" s="94" t="str">
        <f>data!B117</f>
        <v>投资者代码</v>
      </c>
      <c r="C116" s="94" t="str">
        <f>data!C117</f>
        <v>交易所代码</v>
      </c>
      <c r="D116" s="94" t="str">
        <f>data!D117</f>
        <v>合约代码</v>
      </c>
      <c r="E116" s="94" t="str">
        <f>data!E117</f>
        <v>投机套保标志</v>
      </c>
      <c r="F116" s="94" t="str">
        <f>data!F117</f>
        <v>开平标志</v>
      </c>
      <c r="G116" s="94" t="str">
        <f>data!G117</f>
        <v>辅助列</v>
      </c>
      <c r="H116" s="94" t="str">
        <f>data!H117</f>
        <v>投资者手续费率按金额</v>
      </c>
      <c r="I116" s="94" t="str">
        <f>data!I117</f>
        <v>投资者手续费率按手数</v>
      </c>
      <c r="J116" s="94" t="str">
        <f>data!J117</f>
        <v>交易所手续费率按金额</v>
      </c>
      <c r="K116" s="94" t="str">
        <f>data!K117</f>
        <v>交易所手续费率按手数</v>
      </c>
      <c r="L116" s="94" t="str">
        <f>data!L117</f>
        <v>投资者结算按金额</v>
      </c>
      <c r="M116" s="94" t="str">
        <f>data!M117</f>
        <v>投资者结算按手数</v>
      </c>
    </row>
    <row r="117" spans="1:13" x14ac:dyDescent="0.25">
      <c r="A117" t="str">
        <f>data!A118</f>
        <v>comment</v>
      </c>
      <c r="B117" s="92" t="str">
        <f>data!B118</f>
        <v>6001</v>
      </c>
      <c r="C117" s="92" t="str">
        <f>data!C118</f>
        <v>CZCE</v>
      </c>
      <c r="D117" s="92" t="str">
        <f>data!D118</f>
        <v>SR807C6500</v>
      </c>
      <c r="E117" s="92">
        <f>data!E118</f>
        <v>1</v>
      </c>
      <c r="F117" s="92">
        <f>data!F118</f>
        <v>0</v>
      </c>
      <c r="G117" s="92" t="str">
        <f>data!G118</f>
        <v>SR807C650010</v>
      </c>
      <c r="H117" s="92">
        <f>data!H118</f>
        <v>5.0000000000000001E-4</v>
      </c>
      <c r="I117" s="92">
        <f>data!I118</f>
        <v>5</v>
      </c>
      <c r="J117" s="92">
        <f>data!J118</f>
        <v>4.0000000000000002E-4</v>
      </c>
      <c r="K117" s="92">
        <f>data!K118</f>
        <v>4</v>
      </c>
      <c r="L117" s="6">
        <f>data!L118</f>
        <v>2.0000000000000001E-4</v>
      </c>
      <c r="M117" s="6">
        <f>data!M118</f>
        <v>2</v>
      </c>
    </row>
    <row r="118" spans="1:13" x14ac:dyDescent="0.25">
      <c r="A118" t="str">
        <f>data!A119</f>
        <v>comment</v>
      </c>
      <c r="B118" s="92" t="str">
        <f>data!B119</f>
        <v>6001</v>
      </c>
      <c r="C118" s="92" t="str">
        <f>data!C119</f>
        <v>CZCE</v>
      </c>
      <c r="D118" s="92" t="str">
        <f>data!D119</f>
        <v>SR807C6500</v>
      </c>
      <c r="E118" s="92">
        <f>data!E119</f>
        <v>1</v>
      </c>
      <c r="F118" s="92">
        <f>data!F119</f>
        <v>1</v>
      </c>
      <c r="G118" s="92" t="str">
        <f>data!G119</f>
        <v>SR807C650011</v>
      </c>
      <c r="H118" s="92">
        <f>data!H119</f>
        <v>4.0000000000000002E-4</v>
      </c>
      <c r="I118" s="92">
        <f>data!I119</f>
        <v>4</v>
      </c>
      <c r="J118" s="92">
        <f>data!J119</f>
        <v>2.9999999999999997E-4</v>
      </c>
      <c r="K118" s="92">
        <f>data!K119</f>
        <v>3</v>
      </c>
      <c r="L118" s="6">
        <f>data!L119</f>
        <v>2.0000000000000001E-4</v>
      </c>
      <c r="M118" s="6">
        <f>data!M119</f>
        <v>2</v>
      </c>
    </row>
    <row r="119" spans="1:13" x14ac:dyDescent="0.25">
      <c r="A119" t="str">
        <f>data!A120</f>
        <v>comment</v>
      </c>
      <c r="B119" s="92" t="str">
        <f>data!B120</f>
        <v>6001</v>
      </c>
      <c r="C119" s="92" t="str">
        <f>data!C120</f>
        <v>CZCE</v>
      </c>
      <c r="D119" s="92" t="str">
        <f>data!D120</f>
        <v>SR807C6500</v>
      </c>
      <c r="E119" s="92">
        <f>data!E120</f>
        <v>1</v>
      </c>
      <c r="F119" s="92">
        <f>data!F120</f>
        <v>3</v>
      </c>
      <c r="G119" s="92" t="str">
        <f>data!G120</f>
        <v>SR807C650013</v>
      </c>
      <c r="H119" s="92">
        <f>data!H120</f>
        <v>2.0000000000000001E-4</v>
      </c>
      <c r="I119" s="92">
        <f>data!I120</f>
        <v>2</v>
      </c>
      <c r="J119" s="92">
        <f>data!J120</f>
        <v>1E-4</v>
      </c>
      <c r="K119" s="92">
        <f>data!K120</f>
        <v>1</v>
      </c>
      <c r="L119" s="6">
        <f>data!L120</f>
        <v>2.0000000000000001E-4</v>
      </c>
      <c r="M119" s="6">
        <f>data!M120</f>
        <v>2</v>
      </c>
    </row>
    <row r="120" spans="1:13" x14ac:dyDescent="0.25">
      <c r="A120" t="str">
        <f>data!A121</f>
        <v>comment</v>
      </c>
      <c r="B120" s="92" t="str">
        <f>data!B121</f>
        <v>6001</v>
      </c>
      <c r="C120" s="92" t="str">
        <f>data!C121</f>
        <v>CZCE</v>
      </c>
      <c r="D120" s="92" t="str">
        <f>data!D121</f>
        <v>SR807C6500</v>
      </c>
      <c r="E120" s="92">
        <f>data!E121</f>
        <v>1</v>
      </c>
      <c r="F120" s="92">
        <f>data!F121</f>
        <v>4</v>
      </c>
      <c r="G120" s="92" t="str">
        <f>data!G121</f>
        <v>SR807C650014</v>
      </c>
      <c r="H120" s="92">
        <f>data!H121</f>
        <v>4.2000000000000002E-4</v>
      </c>
      <c r="I120" s="92">
        <f>data!I121</f>
        <v>4.2</v>
      </c>
      <c r="J120" s="92">
        <f>data!J121</f>
        <v>3.2000000000000003E-4</v>
      </c>
      <c r="K120" s="92">
        <f>data!K121</f>
        <v>3.2</v>
      </c>
      <c r="L120" s="6">
        <f>data!L121</f>
        <v>2.0000000000000001E-4</v>
      </c>
      <c r="M120" s="6">
        <f>data!M121</f>
        <v>2</v>
      </c>
    </row>
    <row r="121" spans="1:13" x14ac:dyDescent="0.25">
      <c r="A121" t="str">
        <f>data!A122</f>
        <v>comment</v>
      </c>
      <c r="B121" s="92" t="str">
        <f>data!B122</f>
        <v>6001</v>
      </c>
      <c r="C121" s="92" t="str">
        <f>data!C122</f>
        <v>CZCE</v>
      </c>
      <c r="D121" s="92" t="str">
        <f>data!D122</f>
        <v>SR807C6500</v>
      </c>
      <c r="E121" s="92">
        <f>data!E122</f>
        <v>1</v>
      </c>
      <c r="F121" s="92">
        <f>data!F122</f>
        <v>5</v>
      </c>
      <c r="G121" s="92" t="str">
        <f>data!G122</f>
        <v>SR807C650015</v>
      </c>
      <c r="H121" s="92">
        <f>data!H122</f>
        <v>4.4999999999999999E-4</v>
      </c>
      <c r="I121" s="92">
        <f>data!I122</f>
        <v>4.5</v>
      </c>
      <c r="J121" s="92">
        <f>data!J122</f>
        <v>3.5E-4</v>
      </c>
      <c r="K121" s="92">
        <f>data!K122</f>
        <v>3.5</v>
      </c>
      <c r="L121" s="6">
        <f>data!L122</f>
        <v>2.0000000000000001E-4</v>
      </c>
      <c r="M121" s="6">
        <f>data!M122</f>
        <v>2</v>
      </c>
    </row>
    <row r="122" spans="1:13" x14ac:dyDescent="0.25">
      <c r="A122" t="str">
        <f>data!A123</f>
        <v>comment</v>
      </c>
      <c r="B122" s="92" t="str">
        <f>data!B123</f>
        <v>6001</v>
      </c>
      <c r="C122" s="92" t="str">
        <f>data!C123</f>
        <v>CZCE</v>
      </c>
      <c r="D122" s="92" t="str">
        <f>data!D123</f>
        <v>SR807C6500</v>
      </c>
      <c r="E122" s="92">
        <f>data!E123</f>
        <v>3</v>
      </c>
      <c r="F122" s="92">
        <f>data!F123</f>
        <v>0</v>
      </c>
      <c r="G122" s="92" t="str">
        <f>data!G123</f>
        <v>SR807C650030</v>
      </c>
      <c r="H122" s="92">
        <f>data!H123</f>
        <v>5.0000000000000001E-4</v>
      </c>
      <c r="I122" s="92">
        <f>data!I123</f>
        <v>5</v>
      </c>
      <c r="J122" s="92">
        <f>data!J123</f>
        <v>5.0000000000000001E-4</v>
      </c>
      <c r="K122" s="92">
        <f>data!K123</f>
        <v>5</v>
      </c>
      <c r="L122" s="6">
        <f>data!L123</f>
        <v>2.0000000000000001E-4</v>
      </c>
      <c r="M122" s="6">
        <f>data!M123</f>
        <v>2</v>
      </c>
    </row>
    <row r="123" spans="1:13" x14ac:dyDescent="0.25">
      <c r="A123" t="str">
        <f>data!A124</f>
        <v>comment</v>
      </c>
      <c r="B123" s="92" t="str">
        <f>data!B124</f>
        <v>6001</v>
      </c>
      <c r="C123" s="92" t="str">
        <f>data!C124</f>
        <v>CZCE</v>
      </c>
      <c r="D123" s="92" t="str">
        <f>data!D124</f>
        <v>SR807C6500</v>
      </c>
      <c r="E123" s="92">
        <f>data!E124</f>
        <v>3</v>
      </c>
      <c r="F123" s="92">
        <f>data!F124</f>
        <v>1</v>
      </c>
      <c r="G123" s="92" t="str">
        <f>data!G124</f>
        <v>SR807C650031</v>
      </c>
      <c r="H123" s="92">
        <f>data!H124</f>
        <v>4.0000000000000002E-4</v>
      </c>
      <c r="I123" s="92">
        <f>data!I124</f>
        <v>4</v>
      </c>
      <c r="J123" s="92">
        <f>data!J124</f>
        <v>3.9999999999999996E-4</v>
      </c>
      <c r="K123" s="92">
        <f>data!K124</f>
        <v>4</v>
      </c>
      <c r="L123" s="6">
        <f>data!L124</f>
        <v>2.0000000000000001E-4</v>
      </c>
      <c r="M123" s="6">
        <f>data!M124</f>
        <v>2</v>
      </c>
    </row>
    <row r="124" spans="1:13" x14ac:dyDescent="0.25">
      <c r="A124" t="str">
        <f>data!A125</f>
        <v>comment</v>
      </c>
      <c r="B124" s="92" t="str">
        <f>data!B125</f>
        <v>6001</v>
      </c>
      <c r="C124" s="92" t="str">
        <f>data!C125</f>
        <v>CZCE</v>
      </c>
      <c r="D124" s="92" t="str">
        <f>data!D125</f>
        <v>SR807C6500</v>
      </c>
      <c r="E124" s="92">
        <f>data!E125</f>
        <v>3</v>
      </c>
      <c r="F124" s="92">
        <f>data!F125</f>
        <v>3</v>
      </c>
      <c r="G124" s="92" t="str">
        <f>data!G125</f>
        <v>SR807C650033</v>
      </c>
      <c r="H124" s="92">
        <f>data!H125</f>
        <v>2.0000000000000001E-4</v>
      </c>
      <c r="I124" s="92">
        <f>data!I125</f>
        <v>2</v>
      </c>
      <c r="J124" s="92">
        <f>data!J125</f>
        <v>2.0000000000000001E-4</v>
      </c>
      <c r="K124" s="92">
        <f>data!K125</f>
        <v>2</v>
      </c>
      <c r="L124" s="6">
        <f>data!L125</f>
        <v>2.0000000000000001E-4</v>
      </c>
      <c r="M124" s="6">
        <f>data!M125</f>
        <v>2</v>
      </c>
    </row>
    <row r="125" spans="1:13" x14ac:dyDescent="0.25">
      <c r="A125" t="str">
        <f>data!A126</f>
        <v>comment</v>
      </c>
      <c r="B125" s="92" t="str">
        <f>data!B126</f>
        <v>6001</v>
      </c>
      <c r="C125" s="92" t="str">
        <f>data!C126</f>
        <v>CZCE</v>
      </c>
      <c r="D125" s="92" t="str">
        <f>data!D126</f>
        <v>SR807C6500</v>
      </c>
      <c r="E125" s="92">
        <f>data!E126</f>
        <v>3</v>
      </c>
      <c r="F125" s="92">
        <f>data!F126</f>
        <v>4</v>
      </c>
      <c r="G125" s="92" t="str">
        <f>data!G126</f>
        <v>SR807C650034</v>
      </c>
      <c r="H125" s="92">
        <f>data!H126</f>
        <v>4.2000000000000002E-4</v>
      </c>
      <c r="I125" s="92">
        <f>data!I126</f>
        <v>4.2</v>
      </c>
      <c r="J125" s="92">
        <f>data!J126</f>
        <v>4.2000000000000002E-4</v>
      </c>
      <c r="K125" s="92">
        <f>data!K126</f>
        <v>4.2</v>
      </c>
      <c r="L125" s="6">
        <f>data!L126</f>
        <v>2.0000000000000001E-4</v>
      </c>
      <c r="M125" s="6">
        <f>data!M126</f>
        <v>2</v>
      </c>
    </row>
    <row r="126" spans="1:13" x14ac:dyDescent="0.25">
      <c r="A126" t="str">
        <f>data!A127</f>
        <v>comment</v>
      </c>
      <c r="B126" s="92" t="str">
        <f>data!B127</f>
        <v>6001</v>
      </c>
      <c r="C126" s="92" t="str">
        <f>data!C127</f>
        <v>CZCE</v>
      </c>
      <c r="D126" s="92" t="str">
        <f>data!D127</f>
        <v>SR807C6500</v>
      </c>
      <c r="E126" s="92">
        <f>data!E127</f>
        <v>3</v>
      </c>
      <c r="F126" s="92">
        <f>data!F127</f>
        <v>5</v>
      </c>
      <c r="G126" s="92" t="str">
        <f>data!G127</f>
        <v>SR807C650035</v>
      </c>
      <c r="H126" s="92">
        <f>data!H127</f>
        <v>4.4999999999999999E-4</v>
      </c>
      <c r="I126" s="92">
        <f>data!I127</f>
        <v>4.5</v>
      </c>
      <c r="J126" s="92">
        <f>data!J127</f>
        <v>4.4999999999999999E-4</v>
      </c>
      <c r="K126" s="92">
        <f>data!K127</f>
        <v>4.5</v>
      </c>
      <c r="L126" s="6">
        <f>data!L127</f>
        <v>2.0000000000000001E-4</v>
      </c>
      <c r="M126" s="6">
        <f>data!M127</f>
        <v>2</v>
      </c>
    </row>
    <row r="127" spans="1:13" x14ac:dyDescent="0.25">
      <c r="A127" t="str">
        <f>data!A128</f>
        <v>comment</v>
      </c>
      <c r="B127" s="92" t="str">
        <f>data!B128</f>
        <v>6001</v>
      </c>
      <c r="C127" s="92" t="str">
        <f>data!C128</f>
        <v>CZCE</v>
      </c>
      <c r="D127" s="92" t="str">
        <f>data!D128</f>
        <v>SR807P6500</v>
      </c>
      <c r="E127" s="92">
        <f>data!E128</f>
        <v>1</v>
      </c>
      <c r="F127" s="92">
        <f>data!F128</f>
        <v>0</v>
      </c>
      <c r="G127" s="92" t="str">
        <f>data!G128</f>
        <v>SR807P650010</v>
      </c>
      <c r="H127" s="92">
        <f>data!H128</f>
        <v>5.0000000000000001E-4</v>
      </c>
      <c r="I127" s="92">
        <f>data!I128</f>
        <v>5</v>
      </c>
      <c r="J127" s="92">
        <f>data!J128</f>
        <v>4.0000000000000002E-4</v>
      </c>
      <c r="K127" s="92">
        <f>data!K128</f>
        <v>4</v>
      </c>
      <c r="L127" s="6">
        <f>data!L128</f>
        <v>2.0000000000000001E-4</v>
      </c>
      <c r="M127" s="6">
        <f>data!M128</f>
        <v>2</v>
      </c>
    </row>
    <row r="128" spans="1:13" x14ac:dyDescent="0.25">
      <c r="A128" t="str">
        <f>data!A129</f>
        <v>comment</v>
      </c>
      <c r="B128" s="92" t="str">
        <f>data!B129</f>
        <v>6001</v>
      </c>
      <c r="C128" s="92" t="str">
        <f>data!C129</f>
        <v>CZCE</v>
      </c>
      <c r="D128" s="92" t="str">
        <f>data!D129</f>
        <v>SR807P6500</v>
      </c>
      <c r="E128" s="92">
        <f>data!E129</f>
        <v>1</v>
      </c>
      <c r="F128" s="92">
        <f>data!F129</f>
        <v>1</v>
      </c>
      <c r="G128" s="92" t="str">
        <f>data!G129</f>
        <v>SR807P650011</v>
      </c>
      <c r="H128" s="92">
        <f>data!H129</f>
        <v>4.0000000000000002E-4</v>
      </c>
      <c r="I128" s="92">
        <f>data!I129</f>
        <v>4</v>
      </c>
      <c r="J128" s="92">
        <f>data!J129</f>
        <v>2.9999999999999997E-4</v>
      </c>
      <c r="K128" s="92">
        <f>data!K129</f>
        <v>3</v>
      </c>
      <c r="L128" s="6">
        <f>data!L129</f>
        <v>2.0000000000000001E-4</v>
      </c>
      <c r="M128" s="6">
        <f>data!M129</f>
        <v>2</v>
      </c>
    </row>
    <row r="129" spans="1:13" x14ac:dyDescent="0.25">
      <c r="A129" t="str">
        <f>data!A130</f>
        <v>comment</v>
      </c>
      <c r="B129" s="92" t="str">
        <f>data!B130</f>
        <v>6001</v>
      </c>
      <c r="C129" s="92" t="str">
        <f>data!C130</f>
        <v>CZCE</v>
      </c>
      <c r="D129" s="92" t="str">
        <f>data!D130</f>
        <v>SR807P6500</v>
      </c>
      <c r="E129" s="92">
        <f>data!E130</f>
        <v>1</v>
      </c>
      <c r="F129" s="92">
        <f>data!F130</f>
        <v>3</v>
      </c>
      <c r="G129" s="92" t="str">
        <f>data!G130</f>
        <v>SR807P650013</v>
      </c>
      <c r="H129" s="92">
        <f>data!H130</f>
        <v>2.0000000000000001E-4</v>
      </c>
      <c r="I129" s="92">
        <f>data!I130</f>
        <v>2</v>
      </c>
      <c r="J129" s="92">
        <f>data!J130</f>
        <v>1E-4</v>
      </c>
      <c r="K129" s="92">
        <f>data!K130</f>
        <v>1</v>
      </c>
      <c r="L129" s="6">
        <f>data!L130</f>
        <v>2.0000000000000001E-4</v>
      </c>
      <c r="M129" s="6">
        <f>data!M130</f>
        <v>2</v>
      </c>
    </row>
    <row r="130" spans="1:13" x14ac:dyDescent="0.25">
      <c r="A130" t="str">
        <f>data!A131</f>
        <v>comment</v>
      </c>
      <c r="B130" s="92" t="str">
        <f>data!B131</f>
        <v>6001</v>
      </c>
      <c r="C130" s="92" t="str">
        <f>data!C131</f>
        <v>CZCE</v>
      </c>
      <c r="D130" s="92" t="str">
        <f>data!D131</f>
        <v>SR807P6500</v>
      </c>
      <c r="E130" s="92">
        <f>data!E131</f>
        <v>1</v>
      </c>
      <c r="F130" s="92">
        <f>data!F131</f>
        <v>4</v>
      </c>
      <c r="G130" s="92" t="str">
        <f>data!G131</f>
        <v>SR807P650014</v>
      </c>
      <c r="H130" s="92">
        <f>data!H131</f>
        <v>4.2000000000000002E-4</v>
      </c>
      <c r="I130" s="92">
        <f>data!I131</f>
        <v>4.2</v>
      </c>
      <c r="J130" s="92">
        <f>data!J131</f>
        <v>3.2000000000000003E-4</v>
      </c>
      <c r="K130" s="92">
        <f>data!K131</f>
        <v>3.2</v>
      </c>
      <c r="L130" s="6">
        <f>data!L131</f>
        <v>2.0000000000000001E-4</v>
      </c>
      <c r="M130" s="6">
        <f>data!M131</f>
        <v>2</v>
      </c>
    </row>
    <row r="131" spans="1:13" x14ac:dyDescent="0.25">
      <c r="A131" t="str">
        <f>data!A132</f>
        <v>comment</v>
      </c>
      <c r="B131" s="92" t="str">
        <f>data!B132</f>
        <v>6001</v>
      </c>
      <c r="C131" s="92" t="str">
        <f>data!C132</f>
        <v>CZCE</v>
      </c>
      <c r="D131" s="92" t="str">
        <f>data!D132</f>
        <v>SR807P6500</v>
      </c>
      <c r="E131" s="92">
        <f>data!E132</f>
        <v>1</v>
      </c>
      <c r="F131" s="92">
        <f>data!F132</f>
        <v>5</v>
      </c>
      <c r="G131" s="92" t="str">
        <f>data!G132</f>
        <v>SR807P650015</v>
      </c>
      <c r="H131" s="92">
        <f>data!H132</f>
        <v>4.4999999999999999E-4</v>
      </c>
      <c r="I131" s="92">
        <f>data!I132</f>
        <v>4.5</v>
      </c>
      <c r="J131" s="92">
        <f>data!J132</f>
        <v>3.5E-4</v>
      </c>
      <c r="K131" s="92">
        <f>data!K132</f>
        <v>3.5</v>
      </c>
      <c r="L131" s="6">
        <f>data!L132</f>
        <v>2.0000000000000001E-4</v>
      </c>
      <c r="M131" s="6">
        <f>data!M132</f>
        <v>2</v>
      </c>
    </row>
    <row r="132" spans="1:13" x14ac:dyDescent="0.25">
      <c r="A132" t="str">
        <f>data!A133</f>
        <v>comment</v>
      </c>
      <c r="B132" s="92" t="str">
        <f>data!B133</f>
        <v>6001</v>
      </c>
      <c r="C132" s="92" t="str">
        <f>data!C133</f>
        <v>CZCE</v>
      </c>
      <c r="D132" s="92" t="str">
        <f>data!D133</f>
        <v>SR807P6500</v>
      </c>
      <c r="E132" s="92">
        <f>data!E133</f>
        <v>3</v>
      </c>
      <c r="F132" s="92">
        <f>data!F133</f>
        <v>0</v>
      </c>
      <c r="G132" s="92" t="str">
        <f>data!G133</f>
        <v>SR807P650030</v>
      </c>
      <c r="H132" s="92">
        <f>data!H133</f>
        <v>5.0000000000000001E-4</v>
      </c>
      <c r="I132" s="92">
        <f>data!I133</f>
        <v>5</v>
      </c>
      <c r="J132" s="92">
        <f>data!J133</f>
        <v>5.0000000000000001E-4</v>
      </c>
      <c r="K132" s="92">
        <f>data!K133</f>
        <v>5</v>
      </c>
      <c r="L132" s="6">
        <f>data!L133</f>
        <v>2.0000000000000001E-4</v>
      </c>
      <c r="M132" s="6">
        <f>data!M133</f>
        <v>2</v>
      </c>
    </row>
    <row r="133" spans="1:13" x14ac:dyDescent="0.25">
      <c r="A133" t="str">
        <f>data!A134</f>
        <v>comment</v>
      </c>
      <c r="B133" s="92" t="str">
        <f>data!B134</f>
        <v>6001</v>
      </c>
      <c r="C133" s="92" t="str">
        <f>data!C134</f>
        <v>CZCE</v>
      </c>
      <c r="D133" s="92" t="str">
        <f>data!D134</f>
        <v>SR807P6500</v>
      </c>
      <c r="E133" s="92">
        <f>data!E134</f>
        <v>3</v>
      </c>
      <c r="F133" s="92">
        <f>data!F134</f>
        <v>1</v>
      </c>
      <c r="G133" s="92" t="str">
        <f>data!G134</f>
        <v>SR807P650031</v>
      </c>
      <c r="H133" s="92">
        <f>data!H134</f>
        <v>4.0000000000000002E-4</v>
      </c>
      <c r="I133" s="92">
        <f>data!I134</f>
        <v>4</v>
      </c>
      <c r="J133" s="92">
        <f>data!J134</f>
        <v>3.9999999999999996E-4</v>
      </c>
      <c r="K133" s="92">
        <f>data!K134</f>
        <v>4</v>
      </c>
      <c r="L133" s="6">
        <f>data!L134</f>
        <v>2.0000000000000001E-4</v>
      </c>
      <c r="M133" s="6">
        <f>data!M134</f>
        <v>2</v>
      </c>
    </row>
    <row r="134" spans="1:13" x14ac:dyDescent="0.25">
      <c r="A134" t="str">
        <f>data!A135</f>
        <v>comment</v>
      </c>
      <c r="B134" s="92" t="str">
        <f>data!B135</f>
        <v>6001</v>
      </c>
      <c r="C134" s="92" t="str">
        <f>data!C135</f>
        <v>CZCE</v>
      </c>
      <c r="D134" s="92" t="str">
        <f>data!D135</f>
        <v>SR807P6500</v>
      </c>
      <c r="E134" s="92">
        <f>data!E135</f>
        <v>3</v>
      </c>
      <c r="F134" s="92">
        <f>data!F135</f>
        <v>3</v>
      </c>
      <c r="G134" s="92" t="str">
        <f>data!G135</f>
        <v>SR807P650033</v>
      </c>
      <c r="H134" s="92">
        <f>data!H135</f>
        <v>2.0000000000000001E-4</v>
      </c>
      <c r="I134" s="92">
        <f>data!I135</f>
        <v>2</v>
      </c>
      <c r="J134" s="92">
        <f>data!J135</f>
        <v>2.0000000000000001E-4</v>
      </c>
      <c r="K134" s="92">
        <f>data!K135</f>
        <v>2</v>
      </c>
      <c r="L134" s="6">
        <f>data!L135</f>
        <v>2.0000000000000001E-4</v>
      </c>
      <c r="M134" s="6">
        <f>data!M135</f>
        <v>2</v>
      </c>
    </row>
    <row r="135" spans="1:13" x14ac:dyDescent="0.25">
      <c r="A135" t="str">
        <f>data!A136</f>
        <v>comment</v>
      </c>
      <c r="B135" s="92" t="str">
        <f>data!B136</f>
        <v>6001</v>
      </c>
      <c r="C135" s="92" t="str">
        <f>data!C136</f>
        <v>CZCE</v>
      </c>
      <c r="D135" s="92" t="str">
        <f>data!D136</f>
        <v>SR807P6500</v>
      </c>
      <c r="E135" s="92">
        <f>data!E136</f>
        <v>3</v>
      </c>
      <c r="F135" s="92">
        <f>data!F136</f>
        <v>4</v>
      </c>
      <c r="G135" s="92" t="str">
        <f>data!G136</f>
        <v>SR807P650034</v>
      </c>
      <c r="H135" s="92">
        <f>data!H136</f>
        <v>4.2000000000000002E-4</v>
      </c>
      <c r="I135" s="92">
        <f>data!I136</f>
        <v>4.2</v>
      </c>
      <c r="J135" s="92">
        <f>data!J136</f>
        <v>4.2000000000000002E-4</v>
      </c>
      <c r="K135" s="92">
        <f>data!K136</f>
        <v>4.2</v>
      </c>
      <c r="L135" s="6">
        <f>data!L136</f>
        <v>2.0000000000000001E-4</v>
      </c>
      <c r="M135" s="6">
        <f>data!M136</f>
        <v>2</v>
      </c>
    </row>
    <row r="136" spans="1:13" x14ac:dyDescent="0.25">
      <c r="A136" t="str">
        <f>data!A137</f>
        <v>comment</v>
      </c>
      <c r="B136" s="92" t="str">
        <f>data!B137</f>
        <v>6001</v>
      </c>
      <c r="C136" s="92" t="str">
        <f>data!C137</f>
        <v>CZCE</v>
      </c>
      <c r="D136" s="92" t="str">
        <f>data!D137</f>
        <v>SR807P6500</v>
      </c>
      <c r="E136" s="92">
        <f>data!E137</f>
        <v>3</v>
      </c>
      <c r="F136" s="92">
        <f>data!F137</f>
        <v>5</v>
      </c>
      <c r="G136" s="92" t="str">
        <f>data!G137</f>
        <v>SR807P650035</v>
      </c>
      <c r="H136" s="92">
        <f>data!H137</f>
        <v>4.4999999999999999E-4</v>
      </c>
      <c r="I136" s="92">
        <f>data!I137</f>
        <v>4.5</v>
      </c>
      <c r="J136" s="92">
        <f>data!J137</f>
        <v>4.4999999999999999E-4</v>
      </c>
      <c r="K136" s="92">
        <f>data!K137</f>
        <v>4.5</v>
      </c>
      <c r="L136" s="6">
        <f>data!L137</f>
        <v>2.0000000000000001E-4</v>
      </c>
      <c r="M136" s="6">
        <f>data!M137</f>
        <v>2</v>
      </c>
    </row>
    <row r="137" spans="1:13" x14ac:dyDescent="0.25">
      <c r="A137" t="str">
        <f>data!A138</f>
        <v>comment</v>
      </c>
      <c r="B137" s="92" t="str">
        <f>data!B138</f>
        <v>6001</v>
      </c>
      <c r="C137" s="92" t="str">
        <f>data!C138</f>
        <v>CZCE</v>
      </c>
      <c r="D137" s="92" t="str">
        <f>data!D138</f>
        <v>SR807P6400</v>
      </c>
      <c r="E137" s="92">
        <f>data!E138</f>
        <v>1</v>
      </c>
      <c r="F137" s="92">
        <f>data!F138</f>
        <v>0</v>
      </c>
      <c r="G137" s="92" t="str">
        <f>data!G138</f>
        <v>SR807P640010</v>
      </c>
      <c r="H137" s="92">
        <f>data!H138</f>
        <v>5.0000000000000001E-4</v>
      </c>
      <c r="I137" s="92">
        <f>data!I138</f>
        <v>5</v>
      </c>
      <c r="J137" s="92">
        <f>data!J138</f>
        <v>4.0000000000000002E-4</v>
      </c>
      <c r="K137" s="92">
        <f>data!K138</f>
        <v>4</v>
      </c>
      <c r="L137" s="6">
        <f>data!L138</f>
        <v>2.0000000000000001E-4</v>
      </c>
      <c r="M137" s="6">
        <f>data!M138</f>
        <v>2</v>
      </c>
    </row>
    <row r="138" spans="1:13" x14ac:dyDescent="0.25">
      <c r="A138" t="str">
        <f>data!A139</f>
        <v>comment</v>
      </c>
      <c r="B138" s="92" t="str">
        <f>data!B139</f>
        <v>6001</v>
      </c>
      <c r="C138" s="92" t="str">
        <f>data!C139</f>
        <v>CZCE</v>
      </c>
      <c r="D138" s="92" t="str">
        <f>data!D139</f>
        <v>SR807P6400</v>
      </c>
      <c r="E138" s="92">
        <f>data!E139</f>
        <v>1</v>
      </c>
      <c r="F138" s="92">
        <f>data!F139</f>
        <v>1</v>
      </c>
      <c r="G138" s="92" t="str">
        <f>data!G139</f>
        <v>SR807P640011</v>
      </c>
      <c r="H138" s="92">
        <f>data!H139</f>
        <v>4.0000000000000002E-4</v>
      </c>
      <c r="I138" s="92">
        <f>data!I139</f>
        <v>4</v>
      </c>
      <c r="J138" s="92">
        <f>data!J139</f>
        <v>2.9999999999999997E-4</v>
      </c>
      <c r="K138" s="92">
        <f>data!K139</f>
        <v>3</v>
      </c>
      <c r="L138" s="6">
        <f>data!L139</f>
        <v>2.0000000000000001E-4</v>
      </c>
      <c r="M138" s="6">
        <f>data!M139</f>
        <v>2</v>
      </c>
    </row>
    <row r="139" spans="1:13" x14ac:dyDescent="0.25">
      <c r="A139" t="str">
        <f>data!A140</f>
        <v>comment</v>
      </c>
      <c r="B139" s="92" t="str">
        <f>data!B140</f>
        <v>6001</v>
      </c>
      <c r="C139" s="92" t="str">
        <f>data!C140</f>
        <v>CZCE</v>
      </c>
      <c r="D139" s="92" t="str">
        <f>data!D140</f>
        <v>SR807P6400</v>
      </c>
      <c r="E139" s="92">
        <f>data!E140</f>
        <v>1</v>
      </c>
      <c r="F139" s="92">
        <f>data!F140</f>
        <v>3</v>
      </c>
      <c r="G139" s="92" t="str">
        <f>data!G140</f>
        <v>SR807P640013</v>
      </c>
      <c r="H139" s="92">
        <f>data!H140</f>
        <v>2.0000000000000001E-4</v>
      </c>
      <c r="I139" s="92">
        <f>data!I140</f>
        <v>2</v>
      </c>
      <c r="J139" s="92">
        <f>data!J140</f>
        <v>1E-4</v>
      </c>
      <c r="K139" s="92">
        <f>data!K140</f>
        <v>1</v>
      </c>
      <c r="L139" s="6">
        <f>data!L140</f>
        <v>2.0000000000000001E-4</v>
      </c>
      <c r="M139" s="6">
        <f>data!M140</f>
        <v>2</v>
      </c>
    </row>
    <row r="140" spans="1:13" x14ac:dyDescent="0.25">
      <c r="A140" t="str">
        <f>data!A141</f>
        <v>comment</v>
      </c>
      <c r="B140" s="92" t="str">
        <f>data!B141</f>
        <v>6001</v>
      </c>
      <c r="C140" s="92" t="str">
        <f>data!C141</f>
        <v>CZCE</v>
      </c>
      <c r="D140" s="92" t="str">
        <f>data!D141</f>
        <v>SR807P6400</v>
      </c>
      <c r="E140" s="92">
        <f>data!E141</f>
        <v>1</v>
      </c>
      <c r="F140" s="92">
        <f>data!F141</f>
        <v>4</v>
      </c>
      <c r="G140" s="92" t="str">
        <f>data!G141</f>
        <v>SR807P640014</v>
      </c>
      <c r="H140" s="92">
        <f>data!H141</f>
        <v>4.2000000000000002E-4</v>
      </c>
      <c r="I140" s="92">
        <f>data!I141</f>
        <v>4.2</v>
      </c>
      <c r="J140" s="92">
        <f>data!J141</f>
        <v>3.2000000000000003E-4</v>
      </c>
      <c r="K140" s="92">
        <f>data!K141</f>
        <v>3.2</v>
      </c>
      <c r="L140" s="6">
        <f>data!L141</f>
        <v>2.0000000000000001E-4</v>
      </c>
      <c r="M140" s="6">
        <f>data!M141</f>
        <v>2</v>
      </c>
    </row>
    <row r="141" spans="1:13" x14ac:dyDescent="0.25">
      <c r="A141" t="str">
        <f>data!A142</f>
        <v>comment</v>
      </c>
      <c r="B141" s="92" t="str">
        <f>data!B142</f>
        <v>6001</v>
      </c>
      <c r="C141" s="92" t="str">
        <f>data!C142</f>
        <v>CZCE</v>
      </c>
      <c r="D141" s="92" t="str">
        <f>data!D142</f>
        <v>SR807P6400</v>
      </c>
      <c r="E141" s="92">
        <f>data!E142</f>
        <v>1</v>
      </c>
      <c r="F141" s="92">
        <f>data!F142</f>
        <v>5</v>
      </c>
      <c r="G141" s="92" t="str">
        <f>data!G142</f>
        <v>SR807P640015</v>
      </c>
      <c r="H141" s="92">
        <f>data!H142</f>
        <v>4.4999999999999999E-4</v>
      </c>
      <c r="I141" s="92">
        <f>data!I142</f>
        <v>4.5</v>
      </c>
      <c r="J141" s="92">
        <f>data!J142</f>
        <v>3.5E-4</v>
      </c>
      <c r="K141" s="92">
        <f>data!K142</f>
        <v>3.5</v>
      </c>
      <c r="L141" s="6">
        <f>data!L142</f>
        <v>2.0000000000000001E-4</v>
      </c>
      <c r="M141" s="6">
        <f>data!M142</f>
        <v>2</v>
      </c>
    </row>
    <row r="142" spans="1:13" x14ac:dyDescent="0.25">
      <c r="A142" t="str">
        <f>data!A143</f>
        <v>comment</v>
      </c>
      <c r="B142" s="92" t="str">
        <f>data!B143</f>
        <v>6001</v>
      </c>
      <c r="C142" s="92" t="str">
        <f>data!C143</f>
        <v>CZCE</v>
      </c>
      <c r="D142" s="92" t="str">
        <f>data!D143</f>
        <v>SR807P6400</v>
      </c>
      <c r="E142" s="92">
        <f>data!E143</f>
        <v>3</v>
      </c>
      <c r="F142" s="92">
        <f>data!F143</f>
        <v>0</v>
      </c>
      <c r="G142" s="92" t="str">
        <f>data!G143</f>
        <v>SR807P640030</v>
      </c>
      <c r="H142" s="92">
        <f>data!H143</f>
        <v>5.0000000000000001E-4</v>
      </c>
      <c r="I142" s="92">
        <f>data!I143</f>
        <v>5</v>
      </c>
      <c r="J142" s="92">
        <f>data!J143</f>
        <v>5.0000000000000001E-4</v>
      </c>
      <c r="K142" s="92">
        <f>data!K143</f>
        <v>5</v>
      </c>
      <c r="L142" s="6">
        <f>data!L143</f>
        <v>2.0000000000000001E-4</v>
      </c>
      <c r="M142" s="6">
        <f>data!M143</f>
        <v>2</v>
      </c>
    </row>
    <row r="143" spans="1:13" x14ac:dyDescent="0.25">
      <c r="A143" t="str">
        <f>data!A144</f>
        <v>comment</v>
      </c>
      <c r="B143" s="92" t="str">
        <f>data!B144</f>
        <v>6001</v>
      </c>
      <c r="C143" s="92" t="str">
        <f>data!C144</f>
        <v>CZCE</v>
      </c>
      <c r="D143" s="92" t="str">
        <f>data!D144</f>
        <v>SR807P6400</v>
      </c>
      <c r="E143" s="92">
        <f>data!E144</f>
        <v>3</v>
      </c>
      <c r="F143" s="92">
        <f>data!F144</f>
        <v>1</v>
      </c>
      <c r="G143" s="92" t="str">
        <f>data!G144</f>
        <v>SR807P640031</v>
      </c>
      <c r="H143" s="92">
        <f>data!H144</f>
        <v>4.0000000000000002E-4</v>
      </c>
      <c r="I143" s="92">
        <f>data!I144</f>
        <v>4</v>
      </c>
      <c r="J143" s="92">
        <f>data!J144</f>
        <v>3.9999999999999996E-4</v>
      </c>
      <c r="K143" s="92">
        <f>data!K144</f>
        <v>4</v>
      </c>
      <c r="L143" s="6">
        <f>data!L144</f>
        <v>2.0000000000000001E-4</v>
      </c>
      <c r="M143" s="6">
        <f>data!M144</f>
        <v>2</v>
      </c>
    </row>
    <row r="144" spans="1:13" x14ac:dyDescent="0.25">
      <c r="A144" t="str">
        <f>data!A145</f>
        <v>comment</v>
      </c>
      <c r="B144" s="92" t="str">
        <f>data!B145</f>
        <v>6001</v>
      </c>
      <c r="C144" s="92" t="str">
        <f>data!C145</f>
        <v>CZCE</v>
      </c>
      <c r="D144" s="92" t="str">
        <f>data!D145</f>
        <v>SR807P6400</v>
      </c>
      <c r="E144" s="92">
        <f>data!E145</f>
        <v>3</v>
      </c>
      <c r="F144" s="92">
        <f>data!F145</f>
        <v>3</v>
      </c>
      <c r="G144" s="92" t="str">
        <f>data!G145</f>
        <v>SR807P640033</v>
      </c>
      <c r="H144" s="92">
        <f>data!H145</f>
        <v>2.0000000000000001E-4</v>
      </c>
      <c r="I144" s="92">
        <f>data!I145</f>
        <v>2</v>
      </c>
      <c r="J144" s="92">
        <f>data!J145</f>
        <v>2.0000000000000001E-4</v>
      </c>
      <c r="K144" s="92">
        <f>data!K145</f>
        <v>2</v>
      </c>
      <c r="L144" s="6">
        <f>data!L145</f>
        <v>2.0000000000000001E-4</v>
      </c>
      <c r="M144" s="6">
        <f>data!M145</f>
        <v>2</v>
      </c>
    </row>
    <row r="145" spans="1:13" x14ac:dyDescent="0.25">
      <c r="A145" t="str">
        <f>data!A146</f>
        <v>comment</v>
      </c>
      <c r="B145" s="92" t="str">
        <f>data!B146</f>
        <v>6001</v>
      </c>
      <c r="C145" s="92" t="str">
        <f>data!C146</f>
        <v>CZCE</v>
      </c>
      <c r="D145" s="92" t="str">
        <f>data!D146</f>
        <v>SR807P6400</v>
      </c>
      <c r="E145" s="92">
        <f>data!E146</f>
        <v>3</v>
      </c>
      <c r="F145" s="92">
        <f>data!F146</f>
        <v>4</v>
      </c>
      <c r="G145" s="92" t="str">
        <f>data!G146</f>
        <v>SR807P640034</v>
      </c>
      <c r="H145" s="92">
        <f>data!H146</f>
        <v>4.2000000000000002E-4</v>
      </c>
      <c r="I145" s="92">
        <f>data!I146</f>
        <v>4.2</v>
      </c>
      <c r="J145" s="92">
        <f>data!J146</f>
        <v>4.2000000000000002E-4</v>
      </c>
      <c r="K145" s="92">
        <f>data!K146</f>
        <v>4.2</v>
      </c>
      <c r="L145" s="6">
        <f>data!L146</f>
        <v>2.0000000000000001E-4</v>
      </c>
      <c r="M145" s="6">
        <f>data!M146</f>
        <v>2</v>
      </c>
    </row>
    <row r="146" spans="1:13" x14ac:dyDescent="0.25">
      <c r="A146" t="str">
        <f>data!A147</f>
        <v>comment</v>
      </c>
      <c r="B146" s="95" t="str">
        <f>data!B147</f>
        <v>6001</v>
      </c>
      <c r="C146" s="96" t="str">
        <f>data!C147</f>
        <v>CZCE</v>
      </c>
      <c r="D146" s="96" t="str">
        <f>data!D147</f>
        <v>SR807P6400</v>
      </c>
      <c r="E146" s="96">
        <f>data!E147</f>
        <v>3</v>
      </c>
      <c r="F146" s="96">
        <f>data!F147</f>
        <v>5</v>
      </c>
      <c r="G146" s="96" t="str">
        <f>data!G147</f>
        <v>SR807P640035</v>
      </c>
      <c r="H146" s="96">
        <f>data!H147</f>
        <v>4.4999999999999999E-4</v>
      </c>
      <c r="I146" s="96">
        <f>data!I147</f>
        <v>4.5</v>
      </c>
      <c r="J146" s="96">
        <f>data!J147</f>
        <v>4.4999999999999999E-4</v>
      </c>
      <c r="K146" s="97">
        <f>data!K147</f>
        <v>4.5</v>
      </c>
      <c r="L146" s="6">
        <f>data!L147</f>
        <v>2.0000000000000001E-4</v>
      </c>
      <c r="M146" s="6">
        <f>data!M147</f>
        <v>2</v>
      </c>
    </row>
    <row r="147" spans="1:13" s="508" customFormat="1" x14ac:dyDescent="0.25">
      <c r="A147" s="508" t="str">
        <f>data!A148</f>
        <v>comment</v>
      </c>
      <c r="B147" s="95" t="str">
        <f>data!B148</f>
        <v>6001</v>
      </c>
      <c r="C147" s="96" t="str">
        <f>data!C148</f>
        <v>CZCE</v>
      </c>
      <c r="D147" s="96" t="str">
        <f>data!D148</f>
        <v>SR809C6600</v>
      </c>
      <c r="E147" s="96">
        <f>data!E148</f>
        <v>1</v>
      </c>
      <c r="F147" s="96">
        <f>data!F148</f>
        <v>0</v>
      </c>
      <c r="G147" s="96" t="str">
        <f>data!G148</f>
        <v>SR809C660010</v>
      </c>
      <c r="H147" s="96">
        <f>data!H148</f>
        <v>5.0000000000000001E-4</v>
      </c>
      <c r="I147" s="96">
        <f>data!I148</f>
        <v>5</v>
      </c>
      <c r="J147" s="96">
        <f>data!J148</f>
        <v>4.0000000000000002E-4</v>
      </c>
      <c r="K147" s="97">
        <f>data!K148</f>
        <v>4</v>
      </c>
      <c r="L147" s="6">
        <f>data!L148</f>
        <v>2.0000000000000001E-4</v>
      </c>
      <c r="M147" s="6">
        <f>data!M148</f>
        <v>2</v>
      </c>
    </row>
    <row r="148" spans="1:13" s="508" customFormat="1" x14ac:dyDescent="0.25">
      <c r="A148" s="508" t="str">
        <f>data!A149</f>
        <v>comment</v>
      </c>
      <c r="B148" s="95" t="str">
        <f>data!B149</f>
        <v>6001</v>
      </c>
      <c r="C148" s="96" t="str">
        <f>data!C149</f>
        <v>CZCE</v>
      </c>
      <c r="D148" s="96" t="str">
        <f>data!D149</f>
        <v>SR809C6600</v>
      </c>
      <c r="E148" s="96">
        <f>data!E149</f>
        <v>1</v>
      </c>
      <c r="F148" s="96">
        <f>data!F149</f>
        <v>1</v>
      </c>
      <c r="G148" s="96" t="str">
        <f>data!G149</f>
        <v>SR809C660011</v>
      </c>
      <c r="H148" s="96">
        <f>data!H149</f>
        <v>4.0000000000000002E-4</v>
      </c>
      <c r="I148" s="96">
        <f>data!I149</f>
        <v>4</v>
      </c>
      <c r="J148" s="96">
        <f>data!J149</f>
        <v>2.9999999999999997E-4</v>
      </c>
      <c r="K148" s="97">
        <f>data!K149</f>
        <v>3</v>
      </c>
      <c r="L148" s="6">
        <f>data!L149</f>
        <v>2.0000000000000001E-4</v>
      </c>
      <c r="M148" s="6">
        <f>data!M149</f>
        <v>2</v>
      </c>
    </row>
    <row r="149" spans="1:13" s="508" customFormat="1" x14ac:dyDescent="0.25">
      <c r="A149" s="508" t="str">
        <f>data!A150</f>
        <v>comment</v>
      </c>
      <c r="B149" s="95" t="str">
        <f>data!B150</f>
        <v>6001</v>
      </c>
      <c r="C149" s="96" t="str">
        <f>data!C150</f>
        <v>CZCE</v>
      </c>
      <c r="D149" s="96" t="str">
        <f>data!D150</f>
        <v>SR809C6600</v>
      </c>
      <c r="E149" s="96">
        <f>data!E150</f>
        <v>1</v>
      </c>
      <c r="F149" s="96">
        <f>data!F150</f>
        <v>3</v>
      </c>
      <c r="G149" s="96" t="str">
        <f>data!G150</f>
        <v>SR809C660013</v>
      </c>
      <c r="H149" s="96">
        <f>data!H150</f>
        <v>2.0000000000000001E-4</v>
      </c>
      <c r="I149" s="96">
        <f>data!I150</f>
        <v>2</v>
      </c>
      <c r="J149" s="96">
        <f>data!J150</f>
        <v>1E-4</v>
      </c>
      <c r="K149" s="97">
        <f>data!K150</f>
        <v>1</v>
      </c>
      <c r="L149" s="6">
        <f>data!L150</f>
        <v>2.0000000000000001E-4</v>
      </c>
      <c r="M149" s="6">
        <f>data!M150</f>
        <v>2</v>
      </c>
    </row>
    <row r="150" spans="1:13" s="508" customFormat="1" x14ac:dyDescent="0.25">
      <c r="A150" s="508" t="str">
        <f>data!A151</f>
        <v>comment</v>
      </c>
      <c r="B150" s="95" t="str">
        <f>data!B151</f>
        <v>6001</v>
      </c>
      <c r="C150" s="96" t="str">
        <f>data!C151</f>
        <v>CZCE</v>
      </c>
      <c r="D150" s="96" t="str">
        <f>data!D151</f>
        <v>SR809C6600</v>
      </c>
      <c r="E150" s="96">
        <f>data!E151</f>
        <v>1</v>
      </c>
      <c r="F150" s="96">
        <f>data!F151</f>
        <v>4</v>
      </c>
      <c r="G150" s="96" t="str">
        <f>data!G151</f>
        <v>SR809C660014</v>
      </c>
      <c r="H150" s="96">
        <f>data!H151</f>
        <v>4.2000000000000002E-4</v>
      </c>
      <c r="I150" s="96">
        <f>data!I151</f>
        <v>4.2</v>
      </c>
      <c r="J150" s="96">
        <f>data!J151</f>
        <v>3.2000000000000003E-4</v>
      </c>
      <c r="K150" s="97">
        <f>data!K151</f>
        <v>3.2</v>
      </c>
      <c r="L150" s="6">
        <f>data!L151</f>
        <v>2.0000000000000001E-4</v>
      </c>
      <c r="M150" s="6">
        <f>data!M151</f>
        <v>2</v>
      </c>
    </row>
    <row r="151" spans="1:13" s="508" customFormat="1" x14ac:dyDescent="0.25">
      <c r="A151" s="508" t="str">
        <f>data!A152</f>
        <v>comment</v>
      </c>
      <c r="B151" s="95" t="str">
        <f>data!B152</f>
        <v>6001</v>
      </c>
      <c r="C151" s="96" t="str">
        <f>data!C152</f>
        <v>CZCE</v>
      </c>
      <c r="D151" s="96" t="str">
        <f>data!D152</f>
        <v>SR809C6600</v>
      </c>
      <c r="E151" s="96">
        <f>data!E152</f>
        <v>1</v>
      </c>
      <c r="F151" s="96">
        <f>data!F152</f>
        <v>5</v>
      </c>
      <c r="G151" s="96" t="str">
        <f>data!G152</f>
        <v>SR809C660015</v>
      </c>
      <c r="H151" s="96">
        <f>data!H152</f>
        <v>4.4999999999999999E-4</v>
      </c>
      <c r="I151" s="96">
        <f>data!I152</f>
        <v>4.5</v>
      </c>
      <c r="J151" s="96">
        <f>data!J152</f>
        <v>3.5E-4</v>
      </c>
      <c r="K151" s="97">
        <f>data!K152</f>
        <v>3.5</v>
      </c>
      <c r="L151" s="6">
        <f>data!L152</f>
        <v>2.0000000000000001E-4</v>
      </c>
      <c r="M151" s="6">
        <f>data!M152</f>
        <v>2</v>
      </c>
    </row>
    <row r="152" spans="1:13" s="508" customFormat="1" x14ac:dyDescent="0.25">
      <c r="A152" s="508" t="str">
        <f>data!A153</f>
        <v>comment</v>
      </c>
      <c r="B152" s="95" t="str">
        <f>data!B153</f>
        <v>6001</v>
      </c>
      <c r="C152" s="96" t="str">
        <f>data!C153</f>
        <v>CZCE</v>
      </c>
      <c r="D152" s="96" t="str">
        <f>data!D153</f>
        <v>SR809C6600</v>
      </c>
      <c r="E152" s="96">
        <f>data!E153</f>
        <v>3</v>
      </c>
      <c r="F152" s="96">
        <f>data!F153</f>
        <v>0</v>
      </c>
      <c r="G152" s="96" t="str">
        <f>data!G153</f>
        <v>SR809C660030</v>
      </c>
      <c r="H152" s="96">
        <f>data!H153</f>
        <v>5.0000000000000001E-4</v>
      </c>
      <c r="I152" s="96">
        <f>data!I153</f>
        <v>5</v>
      </c>
      <c r="J152" s="96">
        <f>data!J153</f>
        <v>5.0000000000000001E-4</v>
      </c>
      <c r="K152" s="97">
        <f>data!K153</f>
        <v>5</v>
      </c>
      <c r="L152" s="6">
        <f>data!L153</f>
        <v>2.0000000000000001E-4</v>
      </c>
      <c r="M152" s="6">
        <f>data!M153</f>
        <v>2</v>
      </c>
    </row>
    <row r="153" spans="1:13" s="508" customFormat="1" x14ac:dyDescent="0.25">
      <c r="A153" s="508" t="str">
        <f>data!A154</f>
        <v>comment</v>
      </c>
      <c r="B153" s="95" t="str">
        <f>data!B154</f>
        <v>6001</v>
      </c>
      <c r="C153" s="96" t="str">
        <f>data!C154</f>
        <v>CZCE</v>
      </c>
      <c r="D153" s="96" t="str">
        <f>data!D154</f>
        <v>SR809C6600</v>
      </c>
      <c r="E153" s="96">
        <f>data!E154</f>
        <v>3</v>
      </c>
      <c r="F153" s="96">
        <f>data!F154</f>
        <v>1</v>
      </c>
      <c r="G153" s="96" t="str">
        <f>data!G154</f>
        <v>SR809C660031</v>
      </c>
      <c r="H153" s="96">
        <f>data!H154</f>
        <v>4.0000000000000002E-4</v>
      </c>
      <c r="I153" s="96">
        <f>data!I154</f>
        <v>4</v>
      </c>
      <c r="J153" s="96">
        <f>data!J154</f>
        <v>3.9999999999999996E-4</v>
      </c>
      <c r="K153" s="97">
        <f>data!K154</f>
        <v>4</v>
      </c>
      <c r="L153" s="6">
        <f>data!L154</f>
        <v>2.0000000000000001E-4</v>
      </c>
      <c r="M153" s="6">
        <f>data!M154</f>
        <v>2</v>
      </c>
    </row>
    <row r="154" spans="1:13" s="508" customFormat="1" x14ac:dyDescent="0.25">
      <c r="A154" s="508" t="str">
        <f>data!A155</f>
        <v>comment</v>
      </c>
      <c r="B154" s="95" t="str">
        <f>data!B155</f>
        <v>6001</v>
      </c>
      <c r="C154" s="96" t="str">
        <f>data!C155</f>
        <v>CZCE</v>
      </c>
      <c r="D154" s="96" t="str">
        <f>data!D155</f>
        <v>SR809C6600</v>
      </c>
      <c r="E154" s="96">
        <f>data!E155</f>
        <v>3</v>
      </c>
      <c r="F154" s="96">
        <f>data!F155</f>
        <v>3</v>
      </c>
      <c r="G154" s="96" t="str">
        <f>data!G155</f>
        <v>SR809C660033</v>
      </c>
      <c r="H154" s="96">
        <f>data!H155</f>
        <v>2.0000000000000001E-4</v>
      </c>
      <c r="I154" s="96">
        <f>data!I155</f>
        <v>2</v>
      </c>
      <c r="J154" s="96">
        <f>data!J155</f>
        <v>2.0000000000000001E-4</v>
      </c>
      <c r="K154" s="97">
        <f>data!K155</f>
        <v>2</v>
      </c>
      <c r="L154" s="6">
        <f>data!L155</f>
        <v>2.0000000000000001E-4</v>
      </c>
      <c r="M154" s="6">
        <f>data!M155</f>
        <v>2</v>
      </c>
    </row>
    <row r="155" spans="1:13" s="508" customFormat="1" x14ac:dyDescent="0.25">
      <c r="A155" s="508" t="str">
        <f>data!A156</f>
        <v>comment</v>
      </c>
      <c r="B155" s="95" t="str">
        <f>data!B156</f>
        <v>6001</v>
      </c>
      <c r="C155" s="96" t="str">
        <f>data!C156</f>
        <v>CZCE</v>
      </c>
      <c r="D155" s="96" t="str">
        <f>data!D156</f>
        <v>SR809C6600</v>
      </c>
      <c r="E155" s="96">
        <f>data!E156</f>
        <v>3</v>
      </c>
      <c r="F155" s="96">
        <f>data!F156</f>
        <v>4</v>
      </c>
      <c r="G155" s="96" t="str">
        <f>data!G156</f>
        <v>SR809C660034</v>
      </c>
      <c r="H155" s="96">
        <f>data!H156</f>
        <v>4.2000000000000002E-4</v>
      </c>
      <c r="I155" s="96">
        <f>data!I156</f>
        <v>4.2</v>
      </c>
      <c r="J155" s="96">
        <f>data!J156</f>
        <v>4.2000000000000002E-4</v>
      </c>
      <c r="K155" s="97">
        <f>data!K156</f>
        <v>4.2</v>
      </c>
      <c r="L155" s="6">
        <f>data!L156</f>
        <v>2.0000000000000001E-4</v>
      </c>
      <c r="M155" s="6">
        <f>data!M156</f>
        <v>2</v>
      </c>
    </row>
    <row r="156" spans="1:13" s="508" customFormat="1" x14ac:dyDescent="0.25">
      <c r="A156" s="508" t="str">
        <f>data!A157</f>
        <v>comment</v>
      </c>
      <c r="B156" s="95" t="str">
        <f>data!B157</f>
        <v>6001</v>
      </c>
      <c r="C156" s="96" t="str">
        <f>data!C157</f>
        <v>CZCE</v>
      </c>
      <c r="D156" s="96" t="str">
        <f>data!D157</f>
        <v>SR809C6600</v>
      </c>
      <c r="E156" s="96">
        <f>data!E157</f>
        <v>3</v>
      </c>
      <c r="F156" s="96">
        <f>data!F157</f>
        <v>5</v>
      </c>
      <c r="G156" s="96" t="str">
        <f>data!G157</f>
        <v>SR809C660035</v>
      </c>
      <c r="H156" s="96">
        <f>data!H157</f>
        <v>4.4999999999999999E-4</v>
      </c>
      <c r="I156" s="96">
        <f>data!I157</f>
        <v>4.5</v>
      </c>
      <c r="J156" s="96">
        <f>data!J157</f>
        <v>4.4999999999999999E-4</v>
      </c>
      <c r="K156" s="97">
        <f>data!K157</f>
        <v>4.5</v>
      </c>
      <c r="L156" s="6">
        <f>data!L157</f>
        <v>2.0000000000000001E-4</v>
      </c>
      <c r="M156" s="6">
        <f>data!M157</f>
        <v>2</v>
      </c>
    </row>
    <row r="157" spans="1:13" x14ac:dyDescent="0.25">
      <c r="A157" t="str">
        <f>data!A158</f>
        <v>comment</v>
      </c>
      <c r="B157" s="95" t="str">
        <f>data!B158</f>
        <v>6001</v>
      </c>
      <c r="C157" s="96" t="str">
        <f>data!C158</f>
        <v>CZCE</v>
      </c>
      <c r="D157" s="96" t="str">
        <f>data!D158</f>
        <v>PTA807C6500</v>
      </c>
      <c r="E157" s="96">
        <f>data!E158</f>
        <v>1</v>
      </c>
      <c r="F157" s="96">
        <f>data!F158</f>
        <v>0</v>
      </c>
      <c r="G157" s="96" t="str">
        <f>data!G158</f>
        <v>PTA807C650010</v>
      </c>
      <c r="H157" s="96">
        <f>data!H158</f>
        <v>5.0000000000000001E-4</v>
      </c>
      <c r="I157" s="96">
        <f>data!I158</f>
        <v>5</v>
      </c>
      <c r="J157" s="96">
        <f>data!J158</f>
        <v>4.0000000000000002E-4</v>
      </c>
      <c r="K157" s="97">
        <f>data!K158</f>
        <v>4</v>
      </c>
      <c r="L157" s="6">
        <f>data!L158</f>
        <v>2.0000000000000001E-4</v>
      </c>
      <c r="M157" s="6">
        <f>data!M158</f>
        <v>2</v>
      </c>
    </row>
    <row r="158" spans="1:13" x14ac:dyDescent="0.25">
      <c r="A158" t="str">
        <f>data!A159</f>
        <v>comment</v>
      </c>
      <c r="B158" s="95" t="str">
        <f>data!B159</f>
        <v>6001</v>
      </c>
      <c r="C158" s="96" t="str">
        <f>data!C159</f>
        <v>CZCE</v>
      </c>
      <c r="D158" s="96" t="str">
        <f>data!D159</f>
        <v>PTA807C6500</v>
      </c>
      <c r="E158" s="96">
        <f>data!E159</f>
        <v>1</v>
      </c>
      <c r="F158" s="96">
        <f>data!F159</f>
        <v>1</v>
      </c>
      <c r="G158" s="96" t="str">
        <f>data!G159</f>
        <v>PTA807C650011</v>
      </c>
      <c r="H158" s="96">
        <f>data!H159</f>
        <v>4.0000000000000002E-4</v>
      </c>
      <c r="I158" s="96">
        <f>data!I159</f>
        <v>4</v>
      </c>
      <c r="J158" s="96">
        <f>data!J159</f>
        <v>2.9999999999999997E-4</v>
      </c>
      <c r="K158" s="97">
        <f>data!K159</f>
        <v>3</v>
      </c>
      <c r="L158" s="6">
        <f>data!L159</f>
        <v>2.0000000000000001E-4</v>
      </c>
      <c r="M158" s="6">
        <f>data!M159</f>
        <v>2</v>
      </c>
    </row>
    <row r="159" spans="1:13" x14ac:dyDescent="0.25">
      <c r="A159" t="str">
        <f>data!A160</f>
        <v>comment</v>
      </c>
      <c r="B159" s="95" t="str">
        <f>data!B160</f>
        <v>6001</v>
      </c>
      <c r="C159" s="96" t="str">
        <f>data!C160</f>
        <v>CZCE</v>
      </c>
      <c r="D159" s="96" t="str">
        <f>data!D160</f>
        <v>PTA807C6500</v>
      </c>
      <c r="E159" s="96">
        <f>data!E160</f>
        <v>1</v>
      </c>
      <c r="F159" s="96">
        <f>data!F160</f>
        <v>3</v>
      </c>
      <c r="G159" s="96" t="str">
        <f>data!G160</f>
        <v>PTA807C650013</v>
      </c>
      <c r="H159" s="96">
        <f>data!H160</f>
        <v>2.0000000000000001E-4</v>
      </c>
      <c r="I159" s="96">
        <f>data!I160</f>
        <v>2</v>
      </c>
      <c r="J159" s="96">
        <f>data!J160</f>
        <v>1E-4</v>
      </c>
      <c r="K159" s="97">
        <f>data!K160</f>
        <v>1</v>
      </c>
      <c r="L159" s="6">
        <f>data!L160</f>
        <v>2.0000000000000001E-4</v>
      </c>
      <c r="M159" s="6">
        <f>data!M160</f>
        <v>2</v>
      </c>
    </row>
    <row r="160" spans="1:13" x14ac:dyDescent="0.25">
      <c r="A160" t="str">
        <f>data!A161</f>
        <v>comment</v>
      </c>
      <c r="B160" s="95" t="str">
        <f>data!B161</f>
        <v>6001</v>
      </c>
      <c r="C160" s="96" t="str">
        <f>data!C161</f>
        <v>CZCE</v>
      </c>
      <c r="D160" s="96" t="str">
        <f>data!D161</f>
        <v>PTA807C6500</v>
      </c>
      <c r="E160" s="96">
        <f>data!E161</f>
        <v>1</v>
      </c>
      <c r="F160" s="96">
        <f>data!F161</f>
        <v>4</v>
      </c>
      <c r="G160" s="96" t="str">
        <f>data!G161</f>
        <v>PTA807C650014</v>
      </c>
      <c r="H160" s="96">
        <f>data!H161</f>
        <v>4.2000000000000002E-4</v>
      </c>
      <c r="I160" s="96">
        <f>data!I161</f>
        <v>4.2</v>
      </c>
      <c r="J160" s="96">
        <f>data!J161</f>
        <v>3.2000000000000003E-4</v>
      </c>
      <c r="K160" s="97">
        <f>data!K161</f>
        <v>3.2</v>
      </c>
      <c r="L160" s="6">
        <f>data!L161</f>
        <v>2.0000000000000001E-4</v>
      </c>
      <c r="M160" s="6">
        <f>data!M161</f>
        <v>2</v>
      </c>
    </row>
    <row r="161" spans="1:13" x14ac:dyDescent="0.25">
      <c r="A161" t="str">
        <f>data!A162</f>
        <v>comment</v>
      </c>
      <c r="B161" s="95" t="str">
        <f>data!B162</f>
        <v>6001</v>
      </c>
      <c r="C161" s="96" t="str">
        <f>data!C162</f>
        <v>CZCE</v>
      </c>
      <c r="D161" s="96" t="str">
        <f>data!D162</f>
        <v>PTA807C6500</v>
      </c>
      <c r="E161" s="96">
        <f>data!E162</f>
        <v>1</v>
      </c>
      <c r="F161" s="96">
        <f>data!F162</f>
        <v>5</v>
      </c>
      <c r="G161" s="96" t="str">
        <f>data!G162</f>
        <v>PTA807C650015</v>
      </c>
      <c r="H161" s="96">
        <f>data!H162</f>
        <v>4.4999999999999999E-4</v>
      </c>
      <c r="I161" s="96">
        <f>data!I162</f>
        <v>4.5</v>
      </c>
      <c r="J161" s="96">
        <f>data!J162</f>
        <v>3.5E-4</v>
      </c>
      <c r="K161" s="97">
        <f>data!K162</f>
        <v>3.5</v>
      </c>
      <c r="L161" s="6">
        <f>data!L162</f>
        <v>2.0000000000000001E-4</v>
      </c>
      <c r="M161" s="6">
        <f>data!M162</f>
        <v>2</v>
      </c>
    </row>
    <row r="162" spans="1:13" x14ac:dyDescent="0.25">
      <c r="A162" t="str">
        <f>data!A163</f>
        <v>comment</v>
      </c>
      <c r="B162" s="95" t="str">
        <f>data!B163</f>
        <v>6001</v>
      </c>
      <c r="C162" s="96" t="str">
        <f>data!C163</f>
        <v>CZCE</v>
      </c>
      <c r="D162" s="96" t="str">
        <f>data!D163</f>
        <v>PTA807C6500</v>
      </c>
      <c r="E162" s="96">
        <f>data!E163</f>
        <v>3</v>
      </c>
      <c r="F162" s="96">
        <f>data!F163</f>
        <v>0</v>
      </c>
      <c r="G162" s="96" t="str">
        <f>data!G163</f>
        <v>PTA807C650030</v>
      </c>
      <c r="H162" s="96">
        <f>data!H163</f>
        <v>5.0000000000000001E-4</v>
      </c>
      <c r="I162" s="96">
        <f>data!I163</f>
        <v>5</v>
      </c>
      <c r="J162" s="96">
        <f>data!J163</f>
        <v>5.0000000000000001E-4</v>
      </c>
      <c r="K162" s="97">
        <f>data!K163</f>
        <v>5</v>
      </c>
      <c r="L162" s="6">
        <f>data!L163</f>
        <v>2.0000000000000001E-4</v>
      </c>
      <c r="M162" s="6">
        <f>data!M163</f>
        <v>2</v>
      </c>
    </row>
    <row r="163" spans="1:13" x14ac:dyDescent="0.25">
      <c r="A163" t="str">
        <f>data!A164</f>
        <v>comment</v>
      </c>
      <c r="B163" s="95" t="str">
        <f>data!B164</f>
        <v>6001</v>
      </c>
      <c r="C163" s="96" t="str">
        <f>data!C164</f>
        <v>CZCE</v>
      </c>
      <c r="D163" s="96" t="str">
        <f>data!D164</f>
        <v>PTA807C6500</v>
      </c>
      <c r="E163" s="96">
        <f>data!E164</f>
        <v>3</v>
      </c>
      <c r="F163" s="96">
        <f>data!F164</f>
        <v>1</v>
      </c>
      <c r="G163" s="96" t="str">
        <f>data!G164</f>
        <v>PTA807C650031</v>
      </c>
      <c r="H163" s="96">
        <f>data!H164</f>
        <v>4.0000000000000002E-4</v>
      </c>
      <c r="I163" s="96">
        <f>data!I164</f>
        <v>4</v>
      </c>
      <c r="J163" s="96">
        <f>data!J164</f>
        <v>3.9999999999999996E-4</v>
      </c>
      <c r="K163" s="97">
        <f>data!K164</f>
        <v>4</v>
      </c>
      <c r="L163" s="6">
        <f>data!L164</f>
        <v>2.0000000000000001E-4</v>
      </c>
      <c r="M163" s="6">
        <f>data!M164</f>
        <v>2</v>
      </c>
    </row>
    <row r="164" spans="1:13" x14ac:dyDescent="0.25">
      <c r="A164" t="str">
        <f>data!A165</f>
        <v>comment</v>
      </c>
      <c r="B164" s="95" t="str">
        <f>data!B165</f>
        <v>6001</v>
      </c>
      <c r="C164" s="96" t="str">
        <f>data!C165</f>
        <v>CZCE</v>
      </c>
      <c r="D164" s="96" t="str">
        <f>data!D165</f>
        <v>PTA807C6500</v>
      </c>
      <c r="E164" s="96">
        <f>data!E165</f>
        <v>3</v>
      </c>
      <c r="F164" s="96">
        <f>data!F165</f>
        <v>3</v>
      </c>
      <c r="G164" s="96" t="str">
        <f>data!G165</f>
        <v>PTA807C650033</v>
      </c>
      <c r="H164" s="96">
        <f>data!H165</f>
        <v>2.0000000000000001E-4</v>
      </c>
      <c r="I164" s="96">
        <f>data!I165</f>
        <v>2</v>
      </c>
      <c r="J164" s="96">
        <f>data!J165</f>
        <v>2.0000000000000001E-4</v>
      </c>
      <c r="K164" s="97">
        <f>data!K165</f>
        <v>2</v>
      </c>
      <c r="L164" s="6">
        <f>data!L165</f>
        <v>2.0000000000000001E-4</v>
      </c>
      <c r="M164" s="6">
        <f>data!M165</f>
        <v>2</v>
      </c>
    </row>
    <row r="165" spans="1:13" x14ac:dyDescent="0.25">
      <c r="A165" t="str">
        <f>data!A166</f>
        <v>comment</v>
      </c>
      <c r="B165" s="95" t="str">
        <f>data!B166</f>
        <v>6001</v>
      </c>
      <c r="C165" s="96" t="str">
        <f>data!C166</f>
        <v>CZCE</v>
      </c>
      <c r="D165" s="96" t="str">
        <f>data!D166</f>
        <v>PTA807C6500</v>
      </c>
      <c r="E165" s="96">
        <f>data!E166</f>
        <v>3</v>
      </c>
      <c r="F165" s="96">
        <f>data!F166</f>
        <v>4</v>
      </c>
      <c r="G165" s="96" t="str">
        <f>data!G166</f>
        <v>PTA807C650034</v>
      </c>
      <c r="H165" s="96">
        <f>data!H166</f>
        <v>4.2000000000000002E-4</v>
      </c>
      <c r="I165" s="96">
        <f>data!I166</f>
        <v>4.2</v>
      </c>
      <c r="J165" s="96">
        <f>data!J166</f>
        <v>4.2000000000000002E-4</v>
      </c>
      <c r="K165" s="97">
        <f>data!K166</f>
        <v>4.2</v>
      </c>
      <c r="L165" s="6">
        <f>data!L166</f>
        <v>2.0000000000000001E-4</v>
      </c>
      <c r="M165" s="6">
        <f>data!M166</f>
        <v>2</v>
      </c>
    </row>
    <row r="166" spans="1:13" x14ac:dyDescent="0.25">
      <c r="A166" t="str">
        <f>data!A167</f>
        <v>comment</v>
      </c>
      <c r="B166" s="95" t="str">
        <f>data!B167</f>
        <v>6001</v>
      </c>
      <c r="C166" s="96" t="str">
        <f>data!C167</f>
        <v>CZCE</v>
      </c>
      <c r="D166" s="96" t="str">
        <f>data!D167</f>
        <v>PTA807C6500</v>
      </c>
      <c r="E166" s="96">
        <f>data!E167</f>
        <v>3</v>
      </c>
      <c r="F166" s="96">
        <f>data!F167</f>
        <v>5</v>
      </c>
      <c r="G166" s="96" t="str">
        <f>data!G167</f>
        <v>PTA807C650035</v>
      </c>
      <c r="H166" s="96">
        <f>data!H167</f>
        <v>4.4999999999999999E-4</v>
      </c>
      <c r="I166" s="96">
        <f>data!I167</f>
        <v>4.5</v>
      </c>
      <c r="J166" s="96">
        <f>data!J167</f>
        <v>4.4999999999999999E-4</v>
      </c>
      <c r="K166" s="97">
        <f>data!K167</f>
        <v>4.5</v>
      </c>
      <c r="L166" s="6">
        <f>data!L167</f>
        <v>2.0000000000000001E-4</v>
      </c>
      <c r="M166" s="6">
        <f>data!M167</f>
        <v>2</v>
      </c>
    </row>
    <row r="167" spans="1:13" x14ac:dyDescent="0.25">
      <c r="A167" t="str">
        <f>data!A168</f>
        <v>comment</v>
      </c>
      <c r="B167" s="95" t="str">
        <f>data!B168</f>
        <v>6001</v>
      </c>
      <c r="C167" s="96" t="str">
        <f>data!C168</f>
        <v>CZCE</v>
      </c>
      <c r="D167" s="96" t="str">
        <f>data!D168</f>
        <v>PTA807P6200</v>
      </c>
      <c r="E167" s="96">
        <f>data!E168</f>
        <v>1</v>
      </c>
      <c r="F167" s="96">
        <f>data!F168</f>
        <v>0</v>
      </c>
      <c r="G167" s="96" t="str">
        <f>data!G168</f>
        <v>PTA807P620010</v>
      </c>
      <c r="H167" s="96">
        <f>data!H168</f>
        <v>5.0000000000000001E-4</v>
      </c>
      <c r="I167" s="96">
        <f>data!I168</f>
        <v>5</v>
      </c>
      <c r="J167" s="96">
        <f>data!J168</f>
        <v>4.0000000000000002E-4</v>
      </c>
      <c r="K167" s="97">
        <f>data!K168</f>
        <v>4</v>
      </c>
      <c r="L167" s="6">
        <f>data!L168</f>
        <v>2.0000000000000001E-4</v>
      </c>
      <c r="M167" s="6">
        <f>data!M168</f>
        <v>2</v>
      </c>
    </row>
    <row r="168" spans="1:13" x14ac:dyDescent="0.25">
      <c r="A168" t="str">
        <f>data!A169</f>
        <v>comment</v>
      </c>
      <c r="B168" s="95" t="str">
        <f>data!B169</f>
        <v>6001</v>
      </c>
      <c r="C168" s="96" t="str">
        <f>data!C169</f>
        <v>CZCE</v>
      </c>
      <c r="D168" s="96" t="str">
        <f>data!D169</f>
        <v>PTA807P6200</v>
      </c>
      <c r="E168" s="96">
        <f>data!E169</f>
        <v>1</v>
      </c>
      <c r="F168" s="96">
        <f>data!F169</f>
        <v>1</v>
      </c>
      <c r="G168" s="96" t="str">
        <f>data!G169</f>
        <v>PTA807P620011</v>
      </c>
      <c r="H168" s="96">
        <f>data!H169</f>
        <v>4.0000000000000002E-4</v>
      </c>
      <c r="I168" s="96">
        <f>data!I169</f>
        <v>4</v>
      </c>
      <c r="J168" s="96">
        <f>data!J169</f>
        <v>2.9999999999999997E-4</v>
      </c>
      <c r="K168" s="97">
        <f>data!K169</f>
        <v>3</v>
      </c>
      <c r="L168" s="6">
        <f>data!L169</f>
        <v>2.0000000000000001E-4</v>
      </c>
      <c r="M168" s="6">
        <f>data!M169</f>
        <v>2</v>
      </c>
    </row>
    <row r="169" spans="1:13" x14ac:dyDescent="0.25">
      <c r="A169" t="str">
        <f>data!A170</f>
        <v>comment</v>
      </c>
      <c r="B169" s="95" t="str">
        <f>data!B170</f>
        <v>6001</v>
      </c>
      <c r="C169" s="96" t="str">
        <f>data!C170</f>
        <v>CZCE</v>
      </c>
      <c r="D169" s="96" t="str">
        <f>data!D170</f>
        <v>PTA807P6200</v>
      </c>
      <c r="E169" s="96">
        <f>data!E170</f>
        <v>1</v>
      </c>
      <c r="F169" s="96">
        <f>data!F170</f>
        <v>3</v>
      </c>
      <c r="G169" s="96" t="str">
        <f>data!G170</f>
        <v>PTA807P620013</v>
      </c>
      <c r="H169" s="96">
        <f>data!H170</f>
        <v>2.0000000000000001E-4</v>
      </c>
      <c r="I169" s="96">
        <f>data!I170</f>
        <v>2</v>
      </c>
      <c r="J169" s="96">
        <f>data!J170</f>
        <v>1E-4</v>
      </c>
      <c r="K169" s="97">
        <f>data!K170</f>
        <v>1</v>
      </c>
      <c r="L169" s="6">
        <f>data!L170</f>
        <v>2.0000000000000001E-4</v>
      </c>
      <c r="M169" s="6">
        <f>data!M170</f>
        <v>2</v>
      </c>
    </row>
    <row r="170" spans="1:13" x14ac:dyDescent="0.25">
      <c r="A170" t="str">
        <f>data!A171</f>
        <v>comment</v>
      </c>
      <c r="B170" s="95" t="str">
        <f>data!B171</f>
        <v>6001</v>
      </c>
      <c r="C170" s="96" t="str">
        <f>data!C171</f>
        <v>CZCE</v>
      </c>
      <c r="D170" s="96" t="str">
        <f>data!D171</f>
        <v>PTA807P6200</v>
      </c>
      <c r="E170" s="96">
        <f>data!E171</f>
        <v>1</v>
      </c>
      <c r="F170" s="96">
        <f>data!F171</f>
        <v>4</v>
      </c>
      <c r="G170" s="96" t="str">
        <f>data!G171</f>
        <v>PTA807P620014</v>
      </c>
      <c r="H170" s="96">
        <f>data!H171</f>
        <v>4.2000000000000002E-4</v>
      </c>
      <c r="I170" s="96">
        <f>data!I171</f>
        <v>4.2</v>
      </c>
      <c r="J170" s="96">
        <f>data!J171</f>
        <v>3.2000000000000003E-4</v>
      </c>
      <c r="K170" s="97">
        <f>data!K171</f>
        <v>3.2</v>
      </c>
      <c r="L170" s="6">
        <f>data!L171</f>
        <v>2.0000000000000001E-4</v>
      </c>
      <c r="M170" s="6">
        <f>data!M171</f>
        <v>2</v>
      </c>
    </row>
    <row r="171" spans="1:13" x14ac:dyDescent="0.25">
      <c r="A171" t="str">
        <f>data!A172</f>
        <v>comment</v>
      </c>
      <c r="B171" s="95" t="str">
        <f>data!B172</f>
        <v>6001</v>
      </c>
      <c r="C171" s="96" t="str">
        <f>data!C172</f>
        <v>CZCE</v>
      </c>
      <c r="D171" s="96" t="str">
        <f>data!D172</f>
        <v>PTA807P6200</v>
      </c>
      <c r="E171" s="96">
        <f>data!E172</f>
        <v>1</v>
      </c>
      <c r="F171" s="96">
        <f>data!F172</f>
        <v>5</v>
      </c>
      <c r="G171" s="96" t="str">
        <f>data!G172</f>
        <v>PTA807P620015</v>
      </c>
      <c r="H171" s="96">
        <f>data!H172</f>
        <v>4.4999999999999999E-4</v>
      </c>
      <c r="I171" s="96">
        <f>data!I172</f>
        <v>4.5</v>
      </c>
      <c r="J171" s="96">
        <f>data!J172</f>
        <v>3.5E-4</v>
      </c>
      <c r="K171" s="97">
        <f>data!K172</f>
        <v>3.5</v>
      </c>
      <c r="L171" s="6">
        <f>data!L172</f>
        <v>2.0000000000000001E-4</v>
      </c>
      <c r="M171" s="6">
        <f>data!M172</f>
        <v>2</v>
      </c>
    </row>
    <row r="172" spans="1:13" x14ac:dyDescent="0.25">
      <c r="A172" t="str">
        <f>data!A173</f>
        <v>comment</v>
      </c>
      <c r="B172" s="95" t="str">
        <f>data!B173</f>
        <v>6001</v>
      </c>
      <c r="C172" s="96" t="str">
        <f>data!C173</f>
        <v>CZCE</v>
      </c>
      <c r="D172" s="96" t="str">
        <f>data!D173</f>
        <v>PTA807P6200</v>
      </c>
      <c r="E172" s="96">
        <f>data!E173</f>
        <v>3</v>
      </c>
      <c r="F172" s="96">
        <f>data!F173</f>
        <v>0</v>
      </c>
      <c r="G172" s="96" t="str">
        <f>data!G173</f>
        <v>PTA807P620030</v>
      </c>
      <c r="H172" s="96">
        <f>data!H173</f>
        <v>5.0000000000000001E-4</v>
      </c>
      <c r="I172" s="96">
        <f>data!I173</f>
        <v>5</v>
      </c>
      <c r="J172" s="96">
        <f>data!J173</f>
        <v>5.0000000000000001E-4</v>
      </c>
      <c r="K172" s="97">
        <f>data!K173</f>
        <v>5</v>
      </c>
      <c r="L172" s="6">
        <f>data!L173</f>
        <v>2.0000000000000001E-4</v>
      </c>
      <c r="M172" s="6">
        <f>data!M173</f>
        <v>2</v>
      </c>
    </row>
    <row r="173" spans="1:13" x14ac:dyDescent="0.25">
      <c r="A173" t="str">
        <f>data!A174</f>
        <v>comment</v>
      </c>
      <c r="B173" s="95" t="str">
        <f>data!B174</f>
        <v>6001</v>
      </c>
      <c r="C173" s="96" t="str">
        <f>data!C174</f>
        <v>CZCE</v>
      </c>
      <c r="D173" s="96" t="str">
        <f>data!D174</f>
        <v>PTA807P6200</v>
      </c>
      <c r="E173" s="96">
        <f>data!E174</f>
        <v>3</v>
      </c>
      <c r="F173" s="96">
        <f>data!F174</f>
        <v>1</v>
      </c>
      <c r="G173" s="96" t="str">
        <f>data!G174</f>
        <v>PTA807P620031</v>
      </c>
      <c r="H173" s="96">
        <f>data!H174</f>
        <v>4.0000000000000002E-4</v>
      </c>
      <c r="I173" s="96">
        <f>data!I174</f>
        <v>4</v>
      </c>
      <c r="J173" s="96">
        <f>data!J174</f>
        <v>3.9999999999999996E-4</v>
      </c>
      <c r="K173" s="97">
        <f>data!K174</f>
        <v>4</v>
      </c>
      <c r="L173" s="6">
        <f>data!L174</f>
        <v>2.0000000000000001E-4</v>
      </c>
      <c r="M173" s="6">
        <f>data!M174</f>
        <v>2</v>
      </c>
    </row>
    <row r="174" spans="1:13" x14ac:dyDescent="0.25">
      <c r="A174" t="str">
        <f>data!A175</f>
        <v>comment</v>
      </c>
      <c r="B174" s="95" t="str">
        <f>data!B175</f>
        <v>6001</v>
      </c>
      <c r="C174" s="96" t="str">
        <f>data!C175</f>
        <v>CZCE</v>
      </c>
      <c r="D174" s="96" t="str">
        <f>data!D175</f>
        <v>PTA807P6200</v>
      </c>
      <c r="E174" s="96">
        <f>data!E175</f>
        <v>3</v>
      </c>
      <c r="F174" s="96">
        <f>data!F175</f>
        <v>3</v>
      </c>
      <c r="G174" s="96" t="str">
        <f>data!G175</f>
        <v>PTA807P620033</v>
      </c>
      <c r="H174" s="96">
        <f>data!H175</f>
        <v>2.0000000000000001E-4</v>
      </c>
      <c r="I174" s="96">
        <f>data!I175</f>
        <v>2</v>
      </c>
      <c r="J174" s="96">
        <f>data!J175</f>
        <v>2.0000000000000001E-4</v>
      </c>
      <c r="K174" s="97">
        <f>data!K175</f>
        <v>2</v>
      </c>
      <c r="L174" s="6">
        <f>data!L175</f>
        <v>2.0000000000000001E-4</v>
      </c>
      <c r="M174" s="6">
        <f>data!M175</f>
        <v>2</v>
      </c>
    </row>
    <row r="175" spans="1:13" x14ac:dyDescent="0.25">
      <c r="A175" t="str">
        <f>data!A176</f>
        <v>comment</v>
      </c>
      <c r="B175" s="95" t="str">
        <f>data!B176</f>
        <v>6001</v>
      </c>
      <c r="C175" s="96" t="str">
        <f>data!C176</f>
        <v>CZCE</v>
      </c>
      <c r="D175" s="96" t="str">
        <f>data!D176</f>
        <v>PTA807P6200</v>
      </c>
      <c r="E175" s="96">
        <f>data!E176</f>
        <v>3</v>
      </c>
      <c r="F175" s="96">
        <f>data!F176</f>
        <v>4</v>
      </c>
      <c r="G175" s="96" t="str">
        <f>data!G176</f>
        <v>PTA807P620034</v>
      </c>
      <c r="H175" s="96">
        <f>data!H176</f>
        <v>4.2000000000000002E-4</v>
      </c>
      <c r="I175" s="96">
        <f>data!I176</f>
        <v>4.2</v>
      </c>
      <c r="J175" s="96">
        <f>data!J176</f>
        <v>4.2000000000000002E-4</v>
      </c>
      <c r="K175" s="97">
        <f>data!K176</f>
        <v>4.2</v>
      </c>
      <c r="L175" s="6">
        <f>data!L176</f>
        <v>2.0000000000000001E-4</v>
      </c>
      <c r="M175" s="6">
        <f>data!M176</f>
        <v>2</v>
      </c>
    </row>
    <row r="176" spans="1:13" x14ac:dyDescent="0.25">
      <c r="A176" t="str">
        <f>data!A177</f>
        <v>comment</v>
      </c>
      <c r="B176" s="95" t="str">
        <f>data!B177</f>
        <v>6001</v>
      </c>
      <c r="C176" s="96" t="str">
        <f>data!C177</f>
        <v>CZCE</v>
      </c>
      <c r="D176" s="96" t="str">
        <f>data!D177</f>
        <v>PTA807P6200</v>
      </c>
      <c r="E176" s="96">
        <f>data!E177</f>
        <v>3</v>
      </c>
      <c r="F176" s="96">
        <f>data!F177</f>
        <v>5</v>
      </c>
      <c r="G176" s="96" t="str">
        <f>data!G177</f>
        <v>PTA807P620035</v>
      </c>
      <c r="H176" s="96">
        <f>data!H177</f>
        <v>4.4999999999999999E-4</v>
      </c>
      <c r="I176" s="96">
        <f>data!I177</f>
        <v>4.5</v>
      </c>
      <c r="J176" s="96">
        <f>data!J177</f>
        <v>4.4999999999999999E-4</v>
      </c>
      <c r="K176" s="97">
        <f>data!K177</f>
        <v>4.5</v>
      </c>
      <c r="L176" s="6">
        <f>data!L177</f>
        <v>2.0000000000000001E-4</v>
      </c>
      <c r="M176" s="6">
        <f>data!M177</f>
        <v>2</v>
      </c>
    </row>
    <row r="177" spans="1:13" x14ac:dyDescent="0.25">
      <c r="A177" t="str">
        <f>data!A178</f>
        <v>comment</v>
      </c>
      <c r="B177" s="95" t="str">
        <f>data!B178</f>
        <v>6001</v>
      </c>
      <c r="C177" s="96" t="str">
        <f>data!C178</f>
        <v>CZCE</v>
      </c>
      <c r="D177" s="96" t="str">
        <f>data!D178</f>
        <v>PTA807P6500</v>
      </c>
      <c r="E177" s="96">
        <f>data!E178</f>
        <v>1</v>
      </c>
      <c r="F177" s="96">
        <f>data!F178</f>
        <v>0</v>
      </c>
      <c r="G177" s="96" t="str">
        <f>data!G178</f>
        <v>PTA807P650010</v>
      </c>
      <c r="H177" s="96">
        <f>data!H178</f>
        <v>5.0000000000000001E-4</v>
      </c>
      <c r="I177" s="96">
        <f>data!I178</f>
        <v>5</v>
      </c>
      <c r="J177" s="96">
        <f>data!J178</f>
        <v>4.0000000000000002E-4</v>
      </c>
      <c r="K177" s="97">
        <f>data!K178</f>
        <v>4</v>
      </c>
      <c r="L177" s="6">
        <f>data!L178</f>
        <v>2.0000000000000001E-4</v>
      </c>
      <c r="M177" s="6">
        <f>data!M178</f>
        <v>2</v>
      </c>
    </row>
    <row r="178" spans="1:13" x14ac:dyDescent="0.25">
      <c r="A178" t="str">
        <f>data!A179</f>
        <v>comment</v>
      </c>
      <c r="B178" s="95" t="str">
        <f>data!B179</f>
        <v>6001</v>
      </c>
      <c r="C178" s="96" t="str">
        <f>data!C179</f>
        <v>CZCE</v>
      </c>
      <c r="D178" s="96" t="str">
        <f>data!D179</f>
        <v>PTA807P6500</v>
      </c>
      <c r="E178" s="96">
        <f>data!E179</f>
        <v>1</v>
      </c>
      <c r="F178" s="96">
        <f>data!F179</f>
        <v>1</v>
      </c>
      <c r="G178" s="96" t="str">
        <f>data!G179</f>
        <v>PTA807P650011</v>
      </c>
      <c r="H178" s="96">
        <f>data!H179</f>
        <v>4.0000000000000002E-4</v>
      </c>
      <c r="I178" s="96">
        <f>data!I179</f>
        <v>4</v>
      </c>
      <c r="J178" s="96">
        <f>data!J179</f>
        <v>2.9999999999999997E-4</v>
      </c>
      <c r="K178" s="97">
        <f>data!K179</f>
        <v>3</v>
      </c>
      <c r="L178" s="6">
        <f>data!L179</f>
        <v>2.0000000000000001E-4</v>
      </c>
      <c r="M178" s="6">
        <f>data!M179</f>
        <v>2</v>
      </c>
    </row>
    <row r="179" spans="1:13" x14ac:dyDescent="0.25">
      <c r="A179" t="str">
        <f>data!A180</f>
        <v>comment</v>
      </c>
      <c r="B179" s="95" t="str">
        <f>data!B180</f>
        <v>6001</v>
      </c>
      <c r="C179" s="96" t="str">
        <f>data!C180</f>
        <v>CZCE</v>
      </c>
      <c r="D179" s="96" t="str">
        <f>data!D180</f>
        <v>PTA807P6500</v>
      </c>
      <c r="E179" s="96">
        <f>data!E180</f>
        <v>1</v>
      </c>
      <c r="F179" s="96">
        <f>data!F180</f>
        <v>3</v>
      </c>
      <c r="G179" s="96" t="str">
        <f>data!G180</f>
        <v>PTA807P650013</v>
      </c>
      <c r="H179" s="96">
        <f>data!H180</f>
        <v>2.0000000000000001E-4</v>
      </c>
      <c r="I179" s="96">
        <f>data!I180</f>
        <v>2</v>
      </c>
      <c r="J179" s="96">
        <f>data!J180</f>
        <v>1E-4</v>
      </c>
      <c r="K179" s="97">
        <f>data!K180</f>
        <v>1</v>
      </c>
      <c r="L179" s="6">
        <f>data!L180</f>
        <v>2.0000000000000001E-4</v>
      </c>
      <c r="M179" s="6">
        <f>data!M180</f>
        <v>2</v>
      </c>
    </row>
    <row r="180" spans="1:13" x14ac:dyDescent="0.25">
      <c r="A180" t="str">
        <f>data!A181</f>
        <v>comment</v>
      </c>
      <c r="B180" s="95" t="str">
        <f>data!B181</f>
        <v>6001</v>
      </c>
      <c r="C180" s="96" t="str">
        <f>data!C181</f>
        <v>CZCE</v>
      </c>
      <c r="D180" s="96" t="str">
        <f>data!D181</f>
        <v>PTA807P6500</v>
      </c>
      <c r="E180" s="96">
        <f>data!E181</f>
        <v>1</v>
      </c>
      <c r="F180" s="96">
        <f>data!F181</f>
        <v>4</v>
      </c>
      <c r="G180" s="96" t="str">
        <f>data!G181</f>
        <v>PTA807P650014</v>
      </c>
      <c r="H180" s="96">
        <f>data!H181</f>
        <v>4.2000000000000002E-4</v>
      </c>
      <c r="I180" s="96">
        <f>data!I181</f>
        <v>4.2</v>
      </c>
      <c r="J180" s="96">
        <f>data!J181</f>
        <v>3.2000000000000003E-4</v>
      </c>
      <c r="K180" s="97">
        <f>data!K181</f>
        <v>3.2</v>
      </c>
      <c r="L180" s="6">
        <f>data!L181</f>
        <v>2.0000000000000001E-4</v>
      </c>
      <c r="M180" s="6">
        <f>data!M181</f>
        <v>2</v>
      </c>
    </row>
    <row r="181" spans="1:13" x14ac:dyDescent="0.25">
      <c r="A181" t="str">
        <f>data!A182</f>
        <v>comment</v>
      </c>
      <c r="B181" s="95" t="str">
        <f>data!B182</f>
        <v>6001</v>
      </c>
      <c r="C181" s="96" t="str">
        <f>data!C182</f>
        <v>CZCE</v>
      </c>
      <c r="D181" s="96" t="str">
        <f>data!D182</f>
        <v>PTA807P6500</v>
      </c>
      <c r="E181" s="96">
        <f>data!E182</f>
        <v>3</v>
      </c>
      <c r="F181" s="96">
        <f>data!F182</f>
        <v>5</v>
      </c>
      <c r="G181" s="96" t="str">
        <f>data!G182</f>
        <v>PTA807P650035</v>
      </c>
      <c r="H181" s="96">
        <f>data!H182</f>
        <v>4.4999999999999999E-4</v>
      </c>
      <c r="I181" s="96">
        <f>data!I182</f>
        <v>4.5</v>
      </c>
      <c r="J181" s="96">
        <f>data!J182</f>
        <v>3.5E-4</v>
      </c>
      <c r="K181" s="97">
        <f>data!K182</f>
        <v>3.5</v>
      </c>
      <c r="L181" s="6">
        <f>data!L182</f>
        <v>2.0000000000000001E-4</v>
      </c>
      <c r="M181" s="6">
        <f>data!M182</f>
        <v>2</v>
      </c>
    </row>
    <row r="182" spans="1:13" x14ac:dyDescent="0.25">
      <c r="A182" t="str">
        <f>data!A183</f>
        <v>comment</v>
      </c>
      <c r="B182" s="95" t="str">
        <f>data!B183</f>
        <v>6001</v>
      </c>
      <c r="C182" s="96" t="str">
        <f>data!C183</f>
        <v>CZCE</v>
      </c>
      <c r="D182" s="96" t="str">
        <f>data!D183</f>
        <v>PTA807P6500</v>
      </c>
      <c r="E182" s="96">
        <f>data!E183</f>
        <v>3</v>
      </c>
      <c r="F182" s="96">
        <f>data!F183</f>
        <v>0</v>
      </c>
      <c r="G182" s="96" t="str">
        <f>data!G183</f>
        <v>PTA807P650030</v>
      </c>
      <c r="H182" s="96">
        <f>data!H183</f>
        <v>5.0000000000000001E-4</v>
      </c>
      <c r="I182" s="96">
        <f>data!I183</f>
        <v>5</v>
      </c>
      <c r="J182" s="96">
        <f>data!J183</f>
        <v>5.0000000000000001E-4</v>
      </c>
      <c r="K182" s="97">
        <f>data!K183</f>
        <v>5</v>
      </c>
      <c r="L182" s="6">
        <f>data!L183</f>
        <v>2.0000000000000001E-4</v>
      </c>
      <c r="M182" s="6">
        <f>data!M183</f>
        <v>2</v>
      </c>
    </row>
    <row r="183" spans="1:13" x14ac:dyDescent="0.25">
      <c r="A183" t="str">
        <f>data!A184</f>
        <v>comment</v>
      </c>
      <c r="B183" s="95" t="str">
        <f>data!B184</f>
        <v>6001</v>
      </c>
      <c r="C183" s="96" t="str">
        <f>data!C184</f>
        <v>CZCE</v>
      </c>
      <c r="D183" s="96" t="str">
        <f>data!D184</f>
        <v>PTA807P6500</v>
      </c>
      <c r="E183" s="96">
        <f>data!E184</f>
        <v>3</v>
      </c>
      <c r="F183" s="96">
        <f>data!F184</f>
        <v>1</v>
      </c>
      <c r="G183" s="96" t="str">
        <f>data!G184</f>
        <v>PTA807P650031</v>
      </c>
      <c r="H183" s="96">
        <f>data!H184</f>
        <v>4.0000000000000002E-4</v>
      </c>
      <c r="I183" s="96">
        <f>data!I184</f>
        <v>4</v>
      </c>
      <c r="J183" s="96">
        <f>data!J184</f>
        <v>3.9999999999999996E-4</v>
      </c>
      <c r="K183" s="97">
        <f>data!K184</f>
        <v>4</v>
      </c>
      <c r="L183" s="6">
        <f>data!L184</f>
        <v>2.0000000000000001E-4</v>
      </c>
      <c r="M183" s="6">
        <f>data!M184</f>
        <v>2</v>
      </c>
    </row>
    <row r="184" spans="1:13" x14ac:dyDescent="0.25">
      <c r="A184" t="str">
        <f>data!A185</f>
        <v>comment</v>
      </c>
      <c r="B184" s="95" t="str">
        <f>data!B185</f>
        <v>6001</v>
      </c>
      <c r="C184" s="96" t="str">
        <f>data!C185</f>
        <v>CZCE</v>
      </c>
      <c r="D184" s="96" t="str">
        <f>data!D185</f>
        <v>PTA807P6500</v>
      </c>
      <c r="E184" s="96">
        <f>data!E185</f>
        <v>3</v>
      </c>
      <c r="F184" s="96">
        <f>data!F185</f>
        <v>3</v>
      </c>
      <c r="G184" s="96" t="str">
        <f>data!G185</f>
        <v>PTA807P650033</v>
      </c>
      <c r="H184" s="96">
        <f>data!H185</f>
        <v>2.0000000000000001E-4</v>
      </c>
      <c r="I184" s="96">
        <f>data!I185</f>
        <v>2</v>
      </c>
      <c r="J184" s="96">
        <f>data!J185</f>
        <v>2.0000000000000001E-4</v>
      </c>
      <c r="K184" s="97">
        <f>data!K185</f>
        <v>2</v>
      </c>
      <c r="L184" s="6">
        <f>data!L185</f>
        <v>2.0000000000000001E-4</v>
      </c>
      <c r="M184" s="6">
        <f>data!M185</f>
        <v>2</v>
      </c>
    </row>
    <row r="185" spans="1:13" x14ac:dyDescent="0.25">
      <c r="A185" t="str">
        <f>data!A186</f>
        <v>comment</v>
      </c>
      <c r="B185" s="92" t="str">
        <f>data!B186</f>
        <v>6001</v>
      </c>
      <c r="C185" s="92" t="str">
        <f>data!C186</f>
        <v>CZCE</v>
      </c>
      <c r="D185" s="92" t="str">
        <f>data!D186</f>
        <v>PTA807P6500</v>
      </c>
      <c r="E185" s="92">
        <f>data!E186</f>
        <v>3</v>
      </c>
      <c r="F185" s="92">
        <f>data!F186</f>
        <v>4</v>
      </c>
      <c r="G185" s="92" t="str">
        <f>data!G186</f>
        <v>PTA807P650034</v>
      </c>
      <c r="H185" s="92">
        <f>data!H186</f>
        <v>4.2000000000000002E-4</v>
      </c>
      <c r="I185" s="92">
        <f>data!I186</f>
        <v>4.2</v>
      </c>
      <c r="J185" s="92">
        <f>data!J186</f>
        <v>4.2000000000000002E-4</v>
      </c>
      <c r="K185" s="92">
        <f>data!K186</f>
        <v>4.2</v>
      </c>
      <c r="L185" s="111">
        <f>data!L186</f>
        <v>2.0000000000000001E-4</v>
      </c>
      <c r="M185" s="111">
        <f>data!M186</f>
        <v>2</v>
      </c>
    </row>
    <row r="186" spans="1:13" x14ac:dyDescent="0.25">
      <c r="A186" t="str">
        <f>data!A187</f>
        <v>comment</v>
      </c>
      <c r="B186" s="92" t="str">
        <f>data!B187</f>
        <v>6001</v>
      </c>
      <c r="C186" s="92" t="str">
        <f>data!C187</f>
        <v>CZCE</v>
      </c>
      <c r="D186" s="92" t="str">
        <f>data!D187</f>
        <v>PTA807P6500</v>
      </c>
      <c r="E186" s="92">
        <f>data!E187</f>
        <v>3</v>
      </c>
      <c r="F186" s="92">
        <f>data!F187</f>
        <v>5</v>
      </c>
      <c r="G186" s="92" t="str">
        <f>data!G187</f>
        <v>PTA807P650035</v>
      </c>
      <c r="H186" s="92">
        <f>data!H187</f>
        <v>4.4999999999999999E-4</v>
      </c>
      <c r="I186" s="92">
        <f>data!I187</f>
        <v>4.5</v>
      </c>
      <c r="J186" s="92">
        <f>data!J187</f>
        <v>4.4999999999999999E-4</v>
      </c>
      <c r="K186" s="92">
        <f>data!K187</f>
        <v>4.5</v>
      </c>
      <c r="L186" s="111">
        <f>data!L187</f>
        <v>2.0000000000000001E-4</v>
      </c>
      <c r="M186" s="111">
        <f>data!M187</f>
        <v>2</v>
      </c>
    </row>
    <row r="187" spans="1:13" x14ac:dyDescent="0.25">
      <c r="A187" t="str">
        <f>data!A188</f>
        <v>comment</v>
      </c>
      <c r="B187" t="str">
        <f>data!B188</f>
        <v xml:space="preserve"> 结算参数</v>
      </c>
    </row>
    <row r="188" spans="1:13" x14ac:dyDescent="0.25">
      <c r="A188" t="str">
        <f>data!A189</f>
        <v>comment</v>
      </c>
      <c r="B188" t="str">
        <f>data!B189</f>
        <v>交易所结算参数设置</v>
      </c>
      <c r="C188" t="str">
        <f>data!C189</f>
        <v>0:最后交易日收取</v>
      </c>
      <c r="G188" t="str">
        <f>data!G189</f>
        <v>0：双边1：对锁</v>
      </c>
      <c r="H188" t="str">
        <f>data!H189</f>
        <v>开仓3：开仓&amp;行权</v>
      </c>
    </row>
    <row r="189" spans="1:13" x14ac:dyDescent="0.25">
      <c r="A189" t="str">
        <f>data!A190</f>
        <v>comment</v>
      </c>
      <c r="B189" s="93" t="str">
        <f>data!B190</f>
        <v>交易所</v>
      </c>
      <c r="C189" s="93" t="str">
        <f>data!C190</f>
        <v>投资者交割手续费收取时间</v>
      </c>
      <c r="D189" s="93" t="str">
        <f>data!D190</f>
        <v>交易所交割手续费收取时间</v>
      </c>
      <c r="E189" s="93" t="str">
        <f>data!E190</f>
        <v>虚值期权保证金优惠比率</v>
      </c>
      <c r="F189" s="93" t="str">
        <f>data!F190</f>
        <v>最低保障系数</v>
      </c>
      <c r="G189" s="93" t="str">
        <f>data!G190</f>
        <v xml:space="preserve"> 
郑商所组合持仓保证金收取方式</v>
      </c>
      <c r="H189" s="93" t="str">
        <f>data!H190</f>
        <v>郑商所行权手续费收取方式</v>
      </c>
      <c r="I189" s="93"/>
      <c r="J189" s="93"/>
    </row>
    <row r="190" spans="1:13" x14ac:dyDescent="0.25">
      <c r="A190" t="str">
        <f>data!A191</f>
        <v>comment</v>
      </c>
      <c r="B190" s="92" t="str">
        <f>data!B191</f>
        <v>CZCE</v>
      </c>
      <c r="C190" s="92">
        <f>data!C191</f>
        <v>0</v>
      </c>
      <c r="D190" s="92">
        <f>data!D191</f>
        <v>0</v>
      </c>
      <c r="E190" s="92">
        <f>data!E191</f>
        <v>0.5</v>
      </c>
      <c r="F190" s="92">
        <f>data!F191</f>
        <v>0.5</v>
      </c>
      <c r="G190" s="92">
        <f>data!G191</f>
        <v>1</v>
      </c>
      <c r="H190" s="92">
        <f>data!H191</f>
        <v>3</v>
      </c>
      <c r="I190" s="92"/>
      <c r="J190" s="92"/>
    </row>
    <row r="191" spans="1:13" x14ac:dyDescent="0.25">
      <c r="A191" t="str">
        <f>data!A192</f>
        <v>comment</v>
      </c>
      <c r="B191" t="str">
        <f>data!B192</f>
        <v>投资者结算参数设置</v>
      </c>
    </row>
    <row r="192" spans="1:13" x14ac:dyDescent="0.25">
      <c r="A192" t="str">
        <f>data!A193</f>
        <v>comment</v>
      </c>
      <c r="B192" s="93" t="str">
        <f>data!B193</f>
        <v>投资者代码</v>
      </c>
      <c r="C192" s="93" t="str">
        <f>data!C193</f>
        <v>币种</v>
      </c>
      <c r="D192" s="93" t="str">
        <f>data!D193</f>
        <v>基础保证金</v>
      </c>
      <c r="E192" s="93" t="str">
        <f>data!E193</f>
        <v>最低权益</v>
      </c>
    </row>
    <row r="193" spans="1:5" x14ac:dyDescent="0.25">
      <c r="A193" t="str">
        <f>data!A194</f>
        <v>comment</v>
      </c>
      <c r="B193" s="92" t="str">
        <f>data!B194</f>
        <v>所有</v>
      </c>
      <c r="C193" s="92" t="str">
        <f>data!C194</f>
        <v>CNY</v>
      </c>
      <c r="D193" s="92">
        <f>data!D194</f>
        <v>1000</v>
      </c>
      <c r="E193" s="92">
        <f>data!E194</f>
        <v>2000</v>
      </c>
    </row>
    <row r="194" spans="1:5" x14ac:dyDescent="0.25">
      <c r="A194" t="str">
        <f>data!A195</f>
        <v>comment</v>
      </c>
      <c r="B194" s="92" t="str">
        <f>data!B195</f>
        <v>所有</v>
      </c>
      <c r="C194" s="92" t="str">
        <f>data!C195</f>
        <v>HKD</v>
      </c>
      <c r="D194" s="92">
        <f>data!D195</f>
        <v>0</v>
      </c>
      <c r="E194" s="92">
        <f>data!E195</f>
        <v>0</v>
      </c>
    </row>
    <row r="195" spans="1:5" x14ac:dyDescent="0.25">
      <c r="A195" t="str">
        <f>data!A196</f>
        <v>comment</v>
      </c>
      <c r="B195" s="92" t="str">
        <f>data!B196</f>
        <v>所有</v>
      </c>
      <c r="C195" s="92" t="str">
        <f>data!C196</f>
        <v>USD</v>
      </c>
      <c r="D195" s="92">
        <f>data!D196</f>
        <v>0</v>
      </c>
      <c r="E195" s="92">
        <f>data!E196</f>
        <v>0</v>
      </c>
    </row>
    <row r="196" spans="1:5" x14ac:dyDescent="0.25">
      <c r="A196" t="str">
        <f>data!A197</f>
        <v>comment</v>
      </c>
      <c r="B196" t="str">
        <f>data!B197</f>
        <v>汇率</v>
      </c>
    </row>
    <row r="197" spans="1:5" x14ac:dyDescent="0.25">
      <c r="A197" t="str">
        <f>data!A198</f>
        <v>comment</v>
      </c>
      <c r="B197" s="93" t="str">
        <f>data!B198</f>
        <v>USD-&gt;CNY</v>
      </c>
      <c r="C197" s="93" t="str">
        <f>data!C198</f>
        <v>CNY-&gt;USD</v>
      </c>
    </row>
    <row r="198" spans="1:5" x14ac:dyDescent="0.25">
      <c r="A198" t="str">
        <f>data!A199</f>
        <v>comment</v>
      </c>
      <c r="B198" s="92">
        <f>data!B199</f>
        <v>6.1234000000000002</v>
      </c>
      <c r="C198" s="92">
        <f>data!C199</f>
        <v>0.13450000000000001</v>
      </c>
    </row>
    <row r="199" spans="1:5" x14ac:dyDescent="0.25">
      <c r="A199" t="str">
        <f>data!A200</f>
        <v>comment</v>
      </c>
      <c r="B199" s="93" t="s">
        <v>1903</v>
      </c>
      <c r="C199" s="93" t="s">
        <v>1904</v>
      </c>
    </row>
    <row r="200" spans="1:5" x14ac:dyDescent="0.25">
      <c r="A200" t="str">
        <f>data!A201</f>
        <v>comment</v>
      </c>
      <c r="B200" s="92">
        <f>data!B201</f>
        <v>0.88200000000000001</v>
      </c>
      <c r="C200" s="92">
        <f>data!C201</f>
        <v>1.1337999999999999</v>
      </c>
    </row>
    <row r="201" spans="1:5" x14ac:dyDescent="0.25">
      <c r="A201" t="str">
        <f>data!A202</f>
        <v>comment</v>
      </c>
      <c r="B201" t="str">
        <f>data!B202</f>
        <v>投资者货币质押折扣率</v>
      </c>
    </row>
    <row r="202" spans="1:5" x14ac:dyDescent="0.25">
      <c r="A202" t="str">
        <f>data!A203</f>
        <v>comment</v>
      </c>
      <c r="B202" s="93" t="str">
        <f>data!B203</f>
        <v>USD-&gt;CNY</v>
      </c>
      <c r="C202" s="93" t="str">
        <f>data!C203</f>
        <v>CNY-&gt;USD</v>
      </c>
    </row>
    <row r="203" spans="1:5" x14ac:dyDescent="0.25">
      <c r="A203" t="str">
        <f>data!A204</f>
        <v>comment</v>
      </c>
      <c r="B203" s="92">
        <f>data!B204</f>
        <v>0.9</v>
      </c>
      <c r="C203" s="92">
        <f>data!C204</f>
        <v>0.95</v>
      </c>
    </row>
    <row r="204" spans="1:5" x14ac:dyDescent="0.25">
      <c r="A204" t="str">
        <f>data!A205</f>
        <v>comment</v>
      </c>
      <c r="B204" s="93" t="s">
        <v>1903</v>
      </c>
      <c r="C204" s="93" t="s">
        <v>1904</v>
      </c>
    </row>
    <row r="205" spans="1:5" x14ac:dyDescent="0.25">
      <c r="A205" t="str">
        <f>data!A206</f>
        <v>comment</v>
      </c>
      <c r="B205" s="92">
        <f>data!B206</f>
        <v>0.9</v>
      </c>
      <c r="C205" s="92">
        <f>data!C206</f>
        <v>0.95</v>
      </c>
    </row>
    <row r="206" spans="1:5" x14ac:dyDescent="0.25">
      <c r="A206" t="str">
        <f>data!A207</f>
        <v>comment</v>
      </c>
      <c r="B206" t="str">
        <f>data!B207</f>
        <v>交易所货币质押折扣率</v>
      </c>
    </row>
    <row r="207" spans="1:5" x14ac:dyDescent="0.25">
      <c r="A207" t="str">
        <f>data!A208</f>
        <v>comment</v>
      </c>
      <c r="B207" s="93" t="str">
        <f>data!B208</f>
        <v>USD-&gt;CNY</v>
      </c>
      <c r="C207" s="93" t="str">
        <f>data!C208</f>
        <v>CNY-&gt;USD</v>
      </c>
    </row>
    <row r="208" spans="1:5" x14ac:dyDescent="0.25">
      <c r="A208" t="str">
        <f>data!A209</f>
        <v>comment</v>
      </c>
      <c r="B208" s="92">
        <f>data!B209</f>
        <v>0.8</v>
      </c>
      <c r="C208" s="92">
        <f>data!C209</f>
        <v>0.85</v>
      </c>
    </row>
    <row r="209" spans="1:3" x14ac:dyDescent="0.25">
      <c r="A209" t="str">
        <f>data!A210</f>
        <v>comment</v>
      </c>
      <c r="B209" s="93" t="s">
        <v>1903</v>
      </c>
      <c r="C209" s="93" t="s">
        <v>1904</v>
      </c>
    </row>
    <row r="210" spans="1:3" x14ac:dyDescent="0.25">
      <c r="A210" t="str">
        <f>data!A211</f>
        <v>comment</v>
      </c>
      <c r="B210" s="126">
        <f>data!B211</f>
        <v>0.8</v>
      </c>
      <c r="C210" s="426">
        <f>data!C211</f>
        <v>0.85</v>
      </c>
    </row>
    <row r="211" spans="1:3" s="509" customFormat="1" x14ac:dyDescent="0.25">
      <c r="A211" s="4" t="str">
        <f>data!A209</f>
        <v>comment</v>
      </c>
      <c r="B211" s="197" t="s">
        <v>2023</v>
      </c>
      <c r="C211" s="426"/>
    </row>
    <row r="212" spans="1:3" s="509" customFormat="1" x14ac:dyDescent="0.25">
      <c r="A212" s="348" t="s">
        <v>970</v>
      </c>
      <c r="B212" s="348" t="s">
        <v>1621</v>
      </c>
      <c r="C212" s="426"/>
    </row>
    <row r="213" spans="1:3" s="509" customFormat="1" x14ac:dyDescent="0.25">
      <c r="A213" s="348" t="s">
        <v>1095</v>
      </c>
      <c r="B213" s="360" t="s">
        <v>1622</v>
      </c>
      <c r="C213" s="426"/>
    </row>
    <row r="214" spans="1:3" s="509" customFormat="1" x14ac:dyDescent="0.25">
      <c r="A214" s="348"/>
      <c r="B214" s="520" t="s">
        <v>2026</v>
      </c>
      <c r="C214" s="426"/>
    </row>
    <row r="215" spans="1:3" s="1" customFormat="1" x14ac:dyDescent="0.25">
      <c r="A215" s="224" t="s">
        <v>124</v>
      </c>
      <c r="B215" s="92" t="s">
        <v>1347</v>
      </c>
      <c r="C215" s="92"/>
    </row>
    <row r="216" spans="1:3" s="1" customFormat="1" x14ac:dyDescent="0.25">
      <c r="A216" s="224" t="s">
        <v>306</v>
      </c>
      <c r="B216" s="131" t="s">
        <v>1349</v>
      </c>
      <c r="C216" s="92"/>
    </row>
    <row r="217" spans="1:3" s="1" customFormat="1" ht="75.599999999999994" customHeight="1" x14ac:dyDescent="0.25">
      <c r="A217" s="92"/>
      <c r="B217" s="226" t="s">
        <v>2044</v>
      </c>
      <c r="C217" s="92"/>
    </row>
    <row r="218" spans="1:3" s="1" customFormat="1" x14ac:dyDescent="0.25">
      <c r="A218" s="224" t="s">
        <v>1350</v>
      </c>
      <c r="B218" s="131" t="s">
        <v>1559</v>
      </c>
      <c r="C218" s="131"/>
    </row>
    <row r="219" spans="1:3" s="1" customFormat="1" x14ac:dyDescent="0.25">
      <c r="A219" s="92"/>
      <c r="B219" s="225">
        <v>1</v>
      </c>
      <c r="C219" s="225"/>
    </row>
    <row r="220" spans="1:3" s="1" customFormat="1" x14ac:dyDescent="0.25">
      <c r="A220" s="224" t="s">
        <v>124</v>
      </c>
      <c r="B220" s="92" t="s">
        <v>1347</v>
      </c>
      <c r="C220" s="92"/>
    </row>
    <row r="221" spans="1:3" s="1" customFormat="1" x14ac:dyDescent="0.25">
      <c r="A221" s="224" t="s">
        <v>306</v>
      </c>
      <c r="B221" s="131" t="s">
        <v>1349</v>
      </c>
      <c r="C221" s="92"/>
    </row>
    <row r="222" spans="1:3" s="1" customFormat="1" ht="72.599999999999994" customHeight="1" x14ac:dyDescent="0.25">
      <c r="A222" s="92"/>
      <c r="B222" s="226" t="s">
        <v>2045</v>
      </c>
      <c r="C222" s="92"/>
    </row>
    <row r="223" spans="1:3" s="1" customFormat="1" x14ac:dyDescent="0.25">
      <c r="A223" s="224" t="s">
        <v>1350</v>
      </c>
      <c r="B223" s="131" t="s">
        <v>1559</v>
      </c>
      <c r="C223" s="131"/>
    </row>
    <row r="224" spans="1:3" s="1" customFormat="1" x14ac:dyDescent="0.25">
      <c r="A224" s="92"/>
      <c r="B224" s="225">
        <v>1</v>
      </c>
      <c r="C224" s="225"/>
    </row>
    <row r="225" spans="1:42" x14ac:dyDescent="0.25">
      <c r="A225" t="s">
        <v>173</v>
      </c>
      <c r="B225" s="36" t="s">
        <v>13</v>
      </c>
      <c r="C225" s="2"/>
      <c r="D225" s="2"/>
      <c r="E225" s="2"/>
      <c r="F225" s="2"/>
      <c r="G225" s="2"/>
      <c r="H225" s="2"/>
      <c r="I225" s="137"/>
      <c r="J225" s="2"/>
    </row>
    <row r="226" spans="1:42" x14ac:dyDescent="0.25">
      <c r="A226" s="57" t="s">
        <v>124</v>
      </c>
      <c r="B226" s="9" t="s">
        <v>1557</v>
      </c>
      <c r="C226" s="2"/>
      <c r="D226" s="2"/>
      <c r="E226" s="2"/>
      <c r="F226" s="2"/>
      <c r="G226" s="2"/>
      <c r="H226" s="2"/>
      <c r="I226" s="137"/>
      <c r="J226" s="2"/>
    </row>
    <row r="227" spans="1:42" x14ac:dyDescent="0.25">
      <c r="A227" s="57" t="s">
        <v>306</v>
      </c>
      <c r="B227" s="684" t="s">
        <v>989</v>
      </c>
      <c r="C227" s="721"/>
      <c r="D227" s="721"/>
      <c r="E227" s="721"/>
      <c r="F227" s="721"/>
      <c r="G227" s="721"/>
      <c r="H227" s="721"/>
      <c r="I227" s="721"/>
      <c r="J227" s="721"/>
      <c r="K227" s="721"/>
    </row>
    <row r="228" spans="1:42" x14ac:dyDescent="0.25">
      <c r="A228" t="s">
        <v>1538</v>
      </c>
      <c r="B228" s="93" t="s">
        <v>5</v>
      </c>
      <c r="C228" s="93" t="s">
        <v>52</v>
      </c>
      <c r="D228" s="93" t="s">
        <v>12</v>
      </c>
      <c r="E228" s="93" t="s">
        <v>13</v>
      </c>
      <c r="F228" s="93" t="s">
        <v>987</v>
      </c>
      <c r="G228" s="93" t="s">
        <v>988</v>
      </c>
      <c r="H228" s="93" t="s">
        <v>984</v>
      </c>
      <c r="I228" s="93" t="s">
        <v>985</v>
      </c>
      <c r="J228" s="93" t="s">
        <v>365</v>
      </c>
      <c r="K228" s="93" t="s">
        <v>843</v>
      </c>
    </row>
    <row r="229" spans="1:42" x14ac:dyDescent="0.25">
      <c r="B229" s="93" t="s">
        <v>327</v>
      </c>
      <c r="C229" s="93" t="s">
        <v>328</v>
      </c>
      <c r="D229" s="93" t="s">
        <v>1590</v>
      </c>
      <c r="E229" s="93" t="s">
        <v>1540</v>
      </c>
      <c r="F229" s="93" t="s">
        <v>987</v>
      </c>
      <c r="G229" s="93" t="s">
        <v>988</v>
      </c>
      <c r="H229" s="93" t="s">
        <v>366</v>
      </c>
      <c r="I229" s="93" t="s">
        <v>983</v>
      </c>
      <c r="J229" s="93" t="s">
        <v>325</v>
      </c>
      <c r="K229" s="93" t="s">
        <v>346</v>
      </c>
    </row>
    <row r="230" spans="1:42" x14ac:dyDescent="0.25">
      <c r="B230" s="8" t="str">
        <f t="shared" ref="B230:B242" si="0">$B$190</f>
        <v>CZCE</v>
      </c>
      <c r="C230" s="138" t="str">
        <f t="shared" ref="C230:C242" si="1">C19</f>
        <v>SR807</v>
      </c>
      <c r="D230" s="138">
        <f>'day2'!E230</f>
        <v>6155</v>
      </c>
      <c r="E230" s="138">
        <v>6170</v>
      </c>
      <c r="F230" s="92"/>
      <c r="G230" s="138"/>
      <c r="H230" s="92">
        <v>0</v>
      </c>
      <c r="I230" s="92">
        <v>0</v>
      </c>
      <c r="J230" s="92">
        <f t="shared" ref="J230:J242" si="2">$B$2</f>
        <v>20180328</v>
      </c>
      <c r="K230" s="92" t="str">
        <f>B324</f>
        <v>9999</v>
      </c>
    </row>
    <row r="231" spans="1:42" x14ac:dyDescent="0.25">
      <c r="B231" s="8" t="str">
        <f t="shared" si="0"/>
        <v>CZCE</v>
      </c>
      <c r="C231" s="138" t="str">
        <f t="shared" si="1"/>
        <v>SR809</v>
      </c>
      <c r="D231" s="138">
        <f>'day2'!E231</f>
        <v>6156</v>
      </c>
      <c r="E231" s="138">
        <v>6160</v>
      </c>
      <c r="F231" s="92"/>
      <c r="G231" s="138"/>
      <c r="H231" s="92">
        <v>0</v>
      </c>
      <c r="I231" s="92">
        <v>0</v>
      </c>
      <c r="J231" s="92">
        <f t="shared" si="2"/>
        <v>20180328</v>
      </c>
      <c r="K231" s="92" t="str">
        <f t="shared" ref="K231:K242" si="3">$F$5</f>
        <v>9999</v>
      </c>
    </row>
    <row r="232" spans="1:42" x14ac:dyDescent="0.25">
      <c r="B232" s="8" t="str">
        <f t="shared" si="0"/>
        <v>CZCE</v>
      </c>
      <c r="C232" s="138" t="str">
        <f t="shared" si="1"/>
        <v>OI811</v>
      </c>
      <c r="D232" s="138">
        <f>'day2'!E232</f>
        <v>6165</v>
      </c>
      <c r="E232" s="138">
        <v>6170</v>
      </c>
      <c r="F232" s="92"/>
      <c r="G232" s="138"/>
      <c r="H232" s="92">
        <v>0</v>
      </c>
      <c r="I232" s="92">
        <v>0</v>
      </c>
      <c r="J232" s="92">
        <f t="shared" si="2"/>
        <v>20180328</v>
      </c>
      <c r="K232" s="92" t="str">
        <f t="shared" si="3"/>
        <v>9999</v>
      </c>
    </row>
    <row r="233" spans="1:42" x14ac:dyDescent="0.25">
      <c r="B233" s="8" t="str">
        <f t="shared" si="0"/>
        <v>CZCE</v>
      </c>
      <c r="C233" s="138" t="str">
        <f t="shared" si="1"/>
        <v>PTA807</v>
      </c>
      <c r="D233" s="138">
        <f>'day2'!E233</f>
        <v>6160</v>
      </c>
      <c r="E233" s="138">
        <v>6165</v>
      </c>
      <c r="F233" s="92"/>
      <c r="G233" s="138"/>
      <c r="H233" s="92">
        <v>0</v>
      </c>
      <c r="I233" s="92">
        <v>0</v>
      </c>
      <c r="J233" s="92">
        <f t="shared" si="2"/>
        <v>20180328</v>
      </c>
      <c r="K233" s="92" t="str">
        <f t="shared" si="3"/>
        <v>9999</v>
      </c>
    </row>
    <row r="234" spans="1:42" x14ac:dyDescent="0.25">
      <c r="B234" s="8" t="str">
        <f t="shared" si="0"/>
        <v>CZCE</v>
      </c>
      <c r="C234" s="138" t="str">
        <f t="shared" si="1"/>
        <v>PTA809</v>
      </c>
      <c r="D234" s="138">
        <f>'day2'!E234</f>
        <v>6165</v>
      </c>
      <c r="E234" s="139">
        <v>6168</v>
      </c>
      <c r="F234" s="8"/>
      <c r="G234" s="138"/>
      <c r="H234" s="92">
        <v>0</v>
      </c>
      <c r="I234" s="92">
        <v>0</v>
      </c>
      <c r="J234" s="92">
        <f t="shared" si="2"/>
        <v>20180328</v>
      </c>
      <c r="K234" s="92" t="str">
        <f t="shared" si="3"/>
        <v>9999</v>
      </c>
    </row>
    <row r="235" spans="1:42" x14ac:dyDescent="0.25">
      <c r="B235" s="8" t="str">
        <f t="shared" si="0"/>
        <v>CZCE</v>
      </c>
      <c r="C235" s="138" t="str">
        <f t="shared" si="1"/>
        <v>PTA807C6500</v>
      </c>
      <c r="D235" s="138">
        <f>'day2'!E235</f>
        <v>580</v>
      </c>
      <c r="E235" s="139">
        <f>D235</f>
        <v>580</v>
      </c>
      <c r="F235" s="8">
        <f>E233</f>
        <v>6165</v>
      </c>
      <c r="G235" s="138"/>
      <c r="H235" s="92">
        <v>0</v>
      </c>
      <c r="I235" s="92">
        <v>0</v>
      </c>
      <c r="J235" s="92">
        <f t="shared" si="2"/>
        <v>20180328</v>
      </c>
      <c r="K235" s="92" t="str">
        <f t="shared" si="3"/>
        <v>9999</v>
      </c>
    </row>
    <row r="236" spans="1:42" x14ac:dyDescent="0.25">
      <c r="B236" s="8" t="str">
        <f t="shared" si="0"/>
        <v>CZCE</v>
      </c>
      <c r="C236" s="138" t="str">
        <f t="shared" si="1"/>
        <v>PTA807P6200</v>
      </c>
      <c r="D236" s="138">
        <f>'day2'!E236</f>
        <v>600</v>
      </c>
      <c r="E236" s="139">
        <f t="shared" ref="E236:E237" si="4">D236</f>
        <v>600</v>
      </c>
      <c r="F236" s="8">
        <f>F235</f>
        <v>6165</v>
      </c>
      <c r="G236" s="138"/>
      <c r="H236" s="92">
        <v>0</v>
      </c>
      <c r="I236" s="92">
        <v>0</v>
      </c>
      <c r="J236" s="92">
        <f t="shared" si="2"/>
        <v>20180328</v>
      </c>
      <c r="K236" s="92" t="str">
        <f t="shared" si="3"/>
        <v>9999</v>
      </c>
    </row>
    <row r="237" spans="1:42" x14ac:dyDescent="0.25">
      <c r="B237" s="8" t="str">
        <f t="shared" si="0"/>
        <v>CZCE</v>
      </c>
      <c r="C237" s="138" t="str">
        <f t="shared" si="1"/>
        <v>PTA807P6500</v>
      </c>
      <c r="D237" s="138">
        <f>'day2'!E237</f>
        <v>620</v>
      </c>
      <c r="E237" s="139">
        <f t="shared" si="4"/>
        <v>620</v>
      </c>
      <c r="F237" s="8"/>
      <c r="G237" s="138"/>
      <c r="H237" s="92">
        <v>0</v>
      </c>
      <c r="I237" s="92">
        <v>0</v>
      </c>
      <c r="J237" s="92">
        <f t="shared" si="2"/>
        <v>20180328</v>
      </c>
      <c r="K237" s="92" t="str">
        <f t="shared" si="3"/>
        <v>9999</v>
      </c>
    </row>
    <row r="238" spans="1:42" x14ac:dyDescent="0.25">
      <c r="B238" s="8" t="str">
        <f t="shared" si="0"/>
        <v>CZCE</v>
      </c>
      <c r="C238" s="138" t="str">
        <f t="shared" si="1"/>
        <v>SR807C6500</v>
      </c>
      <c r="D238" s="138">
        <f>'day2'!E238</f>
        <v>610</v>
      </c>
      <c r="E238" s="8">
        <v>610</v>
      </c>
      <c r="F238" s="8">
        <f>VLOOKUP(C238,$C$19:$L$31,8,FALSE)</f>
        <v>6500</v>
      </c>
      <c r="G238" s="138">
        <f>E230</f>
        <v>6170</v>
      </c>
      <c r="H238" s="92">
        <v>0</v>
      </c>
      <c r="I238" s="92">
        <v>0</v>
      </c>
      <c r="J238" s="92">
        <f t="shared" si="2"/>
        <v>20180328</v>
      </c>
      <c r="K238" s="92" t="str">
        <f t="shared" si="3"/>
        <v>9999</v>
      </c>
    </row>
    <row r="239" spans="1:42" x14ac:dyDescent="0.25">
      <c r="B239" s="8" t="str">
        <f t="shared" si="0"/>
        <v>CZCE</v>
      </c>
      <c r="C239" s="138" t="str">
        <f t="shared" si="1"/>
        <v>SR807P6500</v>
      </c>
      <c r="D239" s="138">
        <f>'day2'!E239</f>
        <v>615</v>
      </c>
      <c r="E239" s="8">
        <v>615</v>
      </c>
      <c r="F239" s="8">
        <f>VLOOKUP(C239,$C$19:$L$31,8,FALSE)</f>
        <v>6500</v>
      </c>
      <c r="G239" s="138">
        <f>G238</f>
        <v>6170</v>
      </c>
      <c r="H239" s="92">
        <v>0</v>
      </c>
      <c r="I239" s="92">
        <v>0</v>
      </c>
      <c r="J239" s="92">
        <f t="shared" si="2"/>
        <v>20180328</v>
      </c>
      <c r="K239" s="92" t="str">
        <f t="shared" si="3"/>
        <v>9999</v>
      </c>
    </row>
    <row r="240" spans="1:42" x14ac:dyDescent="0.25">
      <c r="B240" s="8" t="str">
        <f t="shared" si="0"/>
        <v>CZCE</v>
      </c>
      <c r="C240" s="138" t="str">
        <f t="shared" si="1"/>
        <v>SR807P6400</v>
      </c>
      <c r="D240" s="138">
        <f>'day2'!E240</f>
        <v>620</v>
      </c>
      <c r="E240" s="8">
        <v>620</v>
      </c>
      <c r="F240" s="8">
        <f>VLOOKUP(C240,$C$19:$L$31,8,FALSE)</f>
        <v>6400</v>
      </c>
      <c r="G240" s="138">
        <f>G238</f>
        <v>6170</v>
      </c>
      <c r="H240" s="92">
        <v>0</v>
      </c>
      <c r="I240" s="92">
        <v>0</v>
      </c>
      <c r="J240" s="92">
        <f t="shared" si="2"/>
        <v>20180328</v>
      </c>
      <c r="K240" s="92" t="str">
        <f t="shared" si="3"/>
        <v>9999</v>
      </c>
      <c r="W240" s="18"/>
      <c r="X240" s="6"/>
      <c r="Y240" s="6"/>
      <c r="Z240" s="6"/>
      <c r="AA240" s="6"/>
      <c r="AB240" s="6"/>
      <c r="AC240" s="6"/>
      <c r="AD240" s="6"/>
      <c r="AE240" s="6"/>
      <c r="AF240" s="6"/>
      <c r="AG240" s="6"/>
      <c r="AH240" s="6"/>
      <c r="AI240" s="6"/>
      <c r="AJ240" s="6"/>
      <c r="AK240" s="6"/>
      <c r="AL240" s="6"/>
      <c r="AM240" s="6"/>
      <c r="AN240" s="6"/>
      <c r="AO240" s="6"/>
      <c r="AP240" s="6"/>
    </row>
    <row r="241" spans="1:43" s="508" customFormat="1" x14ac:dyDescent="0.25">
      <c r="B241" s="8" t="str">
        <f t="shared" si="0"/>
        <v>CZCE</v>
      </c>
      <c r="C241" s="138" t="str">
        <f t="shared" si="1"/>
        <v>SR809C6600</v>
      </c>
      <c r="D241" s="138">
        <f>'day2'!E241</f>
        <v>640</v>
      </c>
      <c r="E241" s="8">
        <v>625</v>
      </c>
      <c r="F241" s="8">
        <f>VLOOKUP(C241,$C$19:$L$31,8,FALSE)</f>
        <v>6600</v>
      </c>
      <c r="G241" s="138">
        <f>E231</f>
        <v>6160</v>
      </c>
      <c r="H241" s="92">
        <v>0</v>
      </c>
      <c r="I241" s="92">
        <v>0</v>
      </c>
      <c r="J241" s="92">
        <f t="shared" si="2"/>
        <v>20180328</v>
      </c>
      <c r="K241" s="92" t="str">
        <f t="shared" si="3"/>
        <v>9999</v>
      </c>
      <c r="W241" s="18"/>
      <c r="X241" s="6"/>
      <c r="Y241" s="6"/>
      <c r="Z241" s="6"/>
      <c r="AA241" s="6"/>
      <c r="AB241" s="6"/>
      <c r="AC241" s="6"/>
      <c r="AD241" s="6"/>
      <c r="AE241" s="6"/>
      <c r="AF241" s="6"/>
      <c r="AG241" s="6"/>
      <c r="AH241" s="6"/>
      <c r="AI241" s="6"/>
      <c r="AJ241" s="6"/>
      <c r="AK241" s="6"/>
      <c r="AL241" s="6"/>
      <c r="AM241" s="6"/>
      <c r="AN241" s="6"/>
      <c r="AO241" s="6"/>
      <c r="AP241" s="6"/>
    </row>
    <row r="242" spans="1:43" x14ac:dyDescent="0.25">
      <c r="B242" s="8" t="str">
        <f t="shared" si="0"/>
        <v>CZCE</v>
      </c>
      <c r="C242" s="138" t="str">
        <f t="shared" si="1"/>
        <v>SR809C6500</v>
      </c>
      <c r="D242" s="138">
        <f>'day2'!E242</f>
        <v>635</v>
      </c>
      <c r="E242" s="8">
        <v>635</v>
      </c>
      <c r="F242" s="8">
        <f>VLOOKUP(C242,$C$19:$L$31,8,FALSE)</f>
        <v>6500</v>
      </c>
      <c r="G242" s="138">
        <f>E231</f>
        <v>6160</v>
      </c>
      <c r="H242" s="92">
        <v>0</v>
      </c>
      <c r="I242" s="92">
        <v>0</v>
      </c>
      <c r="J242" s="92">
        <f t="shared" si="2"/>
        <v>20180328</v>
      </c>
      <c r="K242" s="92" t="str">
        <f t="shared" si="3"/>
        <v>9999</v>
      </c>
      <c r="W242" s="6"/>
      <c r="X242" s="6"/>
      <c r="Y242" s="6"/>
      <c r="Z242" s="6"/>
      <c r="AA242" s="6"/>
      <c r="AB242" s="6"/>
      <c r="AC242" s="6"/>
      <c r="AD242" s="6"/>
      <c r="AE242" s="6"/>
      <c r="AF242" s="6"/>
      <c r="AG242" s="6"/>
      <c r="AH242" s="6"/>
      <c r="AI242" s="6"/>
      <c r="AJ242" s="6"/>
      <c r="AK242" s="6"/>
      <c r="AL242" s="6"/>
      <c r="AM242" s="6"/>
      <c r="AN242" s="6"/>
      <c r="AO242" s="6"/>
      <c r="AP242" s="6"/>
    </row>
    <row r="243" spans="1:43" x14ac:dyDescent="0.25">
      <c r="B243" s="8"/>
      <c r="C243" s="138"/>
      <c r="D243" s="8"/>
      <c r="E243" s="8"/>
      <c r="F243" s="8"/>
      <c r="G243" s="138"/>
      <c r="H243" s="92"/>
      <c r="I243" s="92"/>
      <c r="J243" s="92"/>
      <c r="K243" s="92"/>
      <c r="W243" s="6"/>
      <c r="X243" s="6"/>
      <c r="Y243" s="6"/>
      <c r="Z243" s="6"/>
      <c r="AA243" s="6"/>
      <c r="AB243" s="6"/>
      <c r="AC243" s="6"/>
      <c r="AD243" s="6"/>
      <c r="AE243" s="6"/>
      <c r="AF243" s="6"/>
      <c r="AG243" s="6"/>
      <c r="AH243" s="6"/>
      <c r="AI243" s="6"/>
      <c r="AJ243" s="6"/>
      <c r="AK243" s="6"/>
      <c r="AL243" s="6"/>
      <c r="AM243" s="6"/>
      <c r="AN243" s="6"/>
      <c r="AO243" s="6"/>
      <c r="AP243" s="6"/>
    </row>
    <row r="244" spans="1:43" x14ac:dyDescent="0.25">
      <c r="A244" s="218" t="s">
        <v>1674</v>
      </c>
      <c r="B244" s="359" t="s">
        <v>1620</v>
      </c>
      <c r="C244" s="213"/>
      <c r="D244" s="213"/>
      <c r="E244" s="214"/>
      <c r="F244" s="210"/>
      <c r="G244" s="209"/>
      <c r="H244" s="209"/>
      <c r="I244" s="209"/>
      <c r="J244" s="209"/>
      <c r="K244" s="209"/>
      <c r="L244" s="209"/>
      <c r="M244" s="212"/>
      <c r="N244" s="211"/>
      <c r="O244" s="211"/>
      <c r="P244" s="211"/>
      <c r="Q244" s="211"/>
      <c r="R244" s="211"/>
      <c r="S244" s="211"/>
      <c r="T244" s="211"/>
      <c r="U244" s="212"/>
      <c r="V244" s="212"/>
      <c r="W244" s="211"/>
      <c r="X244" s="211"/>
      <c r="Y244" s="211"/>
      <c r="Z244" s="211"/>
      <c r="AA244" s="211"/>
      <c r="AB244" s="211"/>
      <c r="AC244" s="188"/>
      <c r="AD244" s="167"/>
      <c r="AE244" s="167"/>
      <c r="AF244" s="167"/>
      <c r="AG244" s="167"/>
      <c r="AH244" s="167"/>
      <c r="AI244" s="167"/>
      <c r="AJ244" s="6"/>
      <c r="AK244" s="6"/>
      <c r="AL244" s="6"/>
      <c r="AM244" s="6"/>
      <c r="AN244" s="6"/>
      <c r="AO244" s="6"/>
    </row>
    <row r="245" spans="1:43" x14ac:dyDescent="0.25">
      <c r="A245" s="348" t="s">
        <v>970</v>
      </c>
      <c r="B245" s="348" t="s">
        <v>1621</v>
      </c>
      <c r="C245" s="213"/>
      <c r="D245" s="213"/>
      <c r="E245" s="214"/>
      <c r="F245" s="210"/>
      <c r="G245" s="209"/>
      <c r="H245" s="209"/>
      <c r="I245" s="209"/>
      <c r="J245" s="209"/>
      <c r="K245" s="209"/>
      <c r="L245" s="209"/>
      <c r="M245" s="212"/>
      <c r="N245" s="211"/>
      <c r="O245" s="211"/>
      <c r="P245" s="211"/>
      <c r="Q245" s="211"/>
      <c r="R245" s="211"/>
      <c r="S245" s="211"/>
      <c r="T245" s="211"/>
      <c r="U245" s="212"/>
      <c r="V245" s="212"/>
      <c r="W245" s="211"/>
      <c r="X245" s="211"/>
      <c r="Y245" s="211"/>
      <c r="Z245" s="211"/>
      <c r="AA245" s="211"/>
      <c r="AB245" s="211"/>
      <c r="AC245" s="188"/>
      <c r="AD245" s="167"/>
      <c r="AE245" s="167"/>
      <c r="AF245" s="167"/>
      <c r="AG245" s="167"/>
      <c r="AH245" s="167"/>
      <c r="AI245" s="167"/>
      <c r="AJ245" s="6"/>
      <c r="AK245" s="6"/>
      <c r="AL245" s="6"/>
      <c r="AM245" s="6"/>
      <c r="AN245" s="6"/>
      <c r="AO245" s="6"/>
    </row>
    <row r="246" spans="1:43" x14ac:dyDescent="0.25">
      <c r="A246" s="348" t="s">
        <v>1095</v>
      </c>
      <c r="B246" s="360" t="s">
        <v>1622</v>
      </c>
      <c r="C246" s="213"/>
      <c r="D246" s="213"/>
      <c r="E246" s="214"/>
      <c r="F246" s="210"/>
      <c r="G246" s="209"/>
      <c r="H246" s="209"/>
      <c r="I246" s="209"/>
      <c r="J246" s="209"/>
      <c r="K246" s="209"/>
      <c r="L246" s="209"/>
      <c r="M246" s="212"/>
      <c r="N246" s="211"/>
      <c r="O246" s="211"/>
      <c r="P246" s="211"/>
      <c r="Q246" s="211"/>
      <c r="R246" s="211"/>
      <c r="S246" s="211"/>
      <c r="T246" s="211"/>
      <c r="U246" s="212"/>
      <c r="V246" s="212"/>
      <c r="W246" s="211"/>
      <c r="X246" s="211"/>
      <c r="Y246" s="211"/>
      <c r="Z246" s="211"/>
      <c r="AA246" s="211"/>
      <c r="AB246" s="211"/>
      <c r="AC246" s="188"/>
      <c r="AD246" s="167"/>
      <c r="AE246" s="167"/>
      <c r="AF246" s="167"/>
      <c r="AG246" s="167"/>
      <c r="AH246" s="167"/>
      <c r="AI246" s="167"/>
      <c r="AJ246" s="6"/>
      <c r="AK246" s="6"/>
      <c r="AL246" s="6"/>
      <c r="AM246" s="6"/>
      <c r="AN246" s="6"/>
      <c r="AO246" s="6"/>
    </row>
    <row r="247" spans="1:43" x14ac:dyDescent="0.25">
      <c r="A247" s="348"/>
      <c r="B247" s="520" t="s">
        <v>1750</v>
      </c>
      <c r="C247" s="213"/>
      <c r="D247" s="213"/>
      <c r="E247" s="214"/>
      <c r="F247" s="210"/>
      <c r="G247" s="209"/>
      <c r="H247" s="209"/>
      <c r="I247" s="209"/>
      <c r="J247" s="209"/>
      <c r="K247" s="209"/>
      <c r="L247" s="209"/>
      <c r="M247" s="212"/>
      <c r="N247" s="211"/>
      <c r="O247" s="211"/>
      <c r="P247" s="211"/>
      <c r="Q247" s="211"/>
      <c r="R247" s="211"/>
      <c r="S247" s="211"/>
      <c r="T247" s="211"/>
      <c r="U247" s="212"/>
      <c r="V247" s="212"/>
      <c r="W247" s="211"/>
      <c r="X247" s="211"/>
      <c r="Y247" s="211"/>
      <c r="Z247" s="211"/>
      <c r="AA247" s="211"/>
      <c r="AB247" s="211"/>
      <c r="AC247" s="188"/>
      <c r="AD247" s="167"/>
      <c r="AE247" s="167"/>
      <c r="AF247" s="167"/>
      <c r="AG247" s="167"/>
      <c r="AH247" s="167"/>
      <c r="AI247" s="167"/>
      <c r="AJ247" s="6"/>
      <c r="AK247" s="6"/>
      <c r="AL247" s="6"/>
      <c r="AM247" s="6"/>
      <c r="AN247" s="6"/>
      <c r="AO247" s="6"/>
    </row>
    <row r="248" spans="1:43" x14ac:dyDescent="0.25">
      <c r="A248" s="115" t="s">
        <v>1608</v>
      </c>
      <c r="B248" s="759" t="s">
        <v>1602</v>
      </c>
      <c r="C248" s="759"/>
      <c r="D248" s="759"/>
      <c r="E248" s="759"/>
      <c r="F248" s="210"/>
      <c r="G248" s="209"/>
      <c r="H248" s="210"/>
      <c r="I248" s="209"/>
      <c r="J248" s="209"/>
      <c r="K248" s="209"/>
      <c r="L248" s="209"/>
      <c r="M248" s="209"/>
      <c r="N248" s="209"/>
      <c r="O248" s="212"/>
      <c r="P248" s="211"/>
      <c r="Q248" s="211"/>
      <c r="R248" s="211"/>
      <c r="S248" s="211"/>
      <c r="T248" s="211"/>
      <c r="U248" s="211"/>
      <c r="V248" s="211"/>
      <c r="W248" s="212"/>
      <c r="X248" s="212"/>
      <c r="Y248" s="211"/>
      <c r="Z248" s="211"/>
      <c r="AA248" s="211"/>
      <c r="AB248" s="211"/>
      <c r="AC248" s="211"/>
      <c r="AD248" s="211"/>
      <c r="AE248" s="188"/>
      <c r="AF248" s="167"/>
      <c r="AG248" s="167"/>
      <c r="AH248" s="167"/>
      <c r="AI248" s="167"/>
      <c r="AJ248" s="167"/>
      <c r="AK248" s="167"/>
      <c r="AL248" s="6"/>
      <c r="AM248" s="6"/>
      <c r="AN248" s="6"/>
      <c r="AO248" s="6"/>
      <c r="AP248" s="6"/>
      <c r="AQ248" s="6"/>
    </row>
    <row r="249" spans="1:43" s="434" customFormat="1" x14ac:dyDescent="0.25">
      <c r="A249" s="92" t="s">
        <v>2137</v>
      </c>
      <c r="B249" s="714" t="s">
        <v>1602</v>
      </c>
      <c r="C249" s="714"/>
      <c r="D249" s="714"/>
      <c r="E249" s="714"/>
      <c r="F249" s="210"/>
      <c r="G249" s="209"/>
      <c r="H249" s="209"/>
      <c r="I249" s="209"/>
      <c r="J249" s="209"/>
      <c r="K249" s="209"/>
      <c r="L249" s="209"/>
      <c r="M249" s="212"/>
      <c r="N249" s="211"/>
      <c r="O249" s="211"/>
      <c r="P249" s="211"/>
      <c r="Q249" s="211"/>
      <c r="R249" s="211"/>
      <c r="S249" s="211"/>
      <c r="T249" s="211"/>
      <c r="U249" s="212"/>
      <c r="V249" s="212"/>
      <c r="W249" s="211"/>
      <c r="X249" s="211"/>
      <c r="Y249" s="211"/>
      <c r="Z249" s="211"/>
      <c r="AA249" s="211"/>
      <c r="AB249" s="211"/>
      <c r="AC249" s="188"/>
      <c r="AD249" s="167"/>
      <c r="AE249" s="167"/>
      <c r="AF249" s="167"/>
      <c r="AG249" s="167"/>
      <c r="AH249" s="167"/>
      <c r="AI249" s="167"/>
      <c r="AJ249" s="6"/>
      <c r="AK249" s="6"/>
      <c r="AL249" s="6"/>
      <c r="AM249" s="6"/>
      <c r="AN249" s="6"/>
      <c r="AO249" s="6"/>
    </row>
    <row r="250" spans="1:43" s="434" customFormat="1" x14ac:dyDescent="0.25">
      <c r="A250" s="170" t="s">
        <v>1502</v>
      </c>
      <c r="B250" s="348" t="s">
        <v>1603</v>
      </c>
      <c r="C250" s="433"/>
      <c r="D250" s="92"/>
      <c r="E250" s="92"/>
      <c r="F250" s="210"/>
      <c r="G250" s="209"/>
      <c r="H250" s="209"/>
      <c r="I250" s="209"/>
      <c r="J250" s="209"/>
      <c r="K250" s="209"/>
      <c r="L250" s="209"/>
      <c r="M250" s="212"/>
      <c r="N250" s="211"/>
      <c r="O250" s="211"/>
      <c r="P250" s="211"/>
      <c r="Q250" s="211"/>
      <c r="R250" s="211"/>
      <c r="S250" s="211"/>
      <c r="T250" s="211"/>
      <c r="U250" s="212"/>
      <c r="V250" s="212"/>
      <c r="W250" s="211"/>
      <c r="X250" s="211"/>
      <c r="Y250" s="211"/>
      <c r="Z250" s="211"/>
      <c r="AA250" s="211"/>
      <c r="AB250" s="211"/>
      <c r="AC250" s="188"/>
      <c r="AD250" s="167"/>
      <c r="AE250" s="167"/>
      <c r="AF250" s="167"/>
      <c r="AG250" s="167"/>
      <c r="AH250" s="167"/>
      <c r="AI250" s="167"/>
      <c r="AJ250" s="6"/>
      <c r="AK250" s="6"/>
      <c r="AL250" s="6"/>
      <c r="AM250" s="6"/>
      <c r="AN250" s="6"/>
      <c r="AO250" s="6"/>
    </row>
    <row r="251" spans="1:43" s="434" customFormat="1" x14ac:dyDescent="0.25">
      <c r="A251" s="170" t="s">
        <v>1503</v>
      </c>
      <c r="B251" s="172" t="s">
        <v>1504</v>
      </c>
      <c r="C251" s="172" t="s">
        <v>1604</v>
      </c>
      <c r="D251" s="172" t="s">
        <v>1605</v>
      </c>
      <c r="E251" s="172" t="s">
        <v>1606</v>
      </c>
      <c r="F251" s="172" t="s">
        <v>1607</v>
      </c>
      <c r="G251" s="209"/>
      <c r="H251" s="209"/>
      <c r="I251" s="209"/>
      <c r="J251" s="209"/>
      <c r="K251" s="209"/>
      <c r="L251" s="209"/>
      <c r="M251" s="212"/>
      <c r="N251" s="211"/>
      <c r="O251" s="211"/>
      <c r="P251" s="211"/>
      <c r="Q251" s="211"/>
      <c r="R251" s="211"/>
      <c r="S251" s="211"/>
      <c r="T251" s="211"/>
      <c r="U251" s="212"/>
      <c r="V251" s="212"/>
      <c r="W251" s="211"/>
      <c r="X251" s="211"/>
      <c r="Y251" s="211"/>
      <c r="Z251" s="211"/>
      <c r="AA251" s="211"/>
      <c r="AB251" s="211"/>
      <c r="AC251" s="188"/>
      <c r="AD251" s="167"/>
      <c r="AE251" s="167"/>
      <c r="AF251" s="167"/>
      <c r="AG251" s="167"/>
      <c r="AH251" s="167"/>
      <c r="AI251" s="167"/>
      <c r="AJ251" s="6"/>
      <c r="AK251" s="6"/>
      <c r="AL251" s="6"/>
      <c r="AM251" s="6"/>
      <c r="AN251" s="6"/>
      <c r="AO251" s="6"/>
    </row>
    <row r="252" spans="1:43" s="434" customFormat="1" x14ac:dyDescent="0.25">
      <c r="A252" s="170"/>
      <c r="B252" s="526" t="s">
        <v>1945</v>
      </c>
      <c r="C252" s="213">
        <f>$B$2</f>
        <v>20180328</v>
      </c>
      <c r="D252" s="213" t="str">
        <f>$F$5</f>
        <v>9999</v>
      </c>
      <c r="E252" s="213" t="str">
        <f>$B$14</f>
        <v>CZCE</v>
      </c>
      <c r="F252" s="350">
        <v>1</v>
      </c>
      <c r="G252" s="209"/>
      <c r="H252" s="209"/>
      <c r="I252" s="209"/>
      <c r="J252" s="209"/>
      <c r="K252" s="209"/>
      <c r="L252" s="209"/>
      <c r="M252" s="212"/>
      <c r="N252" s="211"/>
      <c r="O252" s="211"/>
      <c r="P252" s="211"/>
      <c r="Q252" s="211"/>
      <c r="R252" s="211"/>
      <c r="S252" s="211"/>
      <c r="T252" s="211"/>
      <c r="U252" s="212"/>
      <c r="V252" s="212"/>
      <c r="W252" s="211"/>
      <c r="X252" s="211"/>
      <c r="Y252" s="211"/>
      <c r="Z252" s="211"/>
      <c r="AA252" s="211"/>
      <c r="AB252" s="211"/>
      <c r="AC252" s="188"/>
      <c r="AD252" s="167"/>
      <c r="AE252" s="167"/>
      <c r="AF252" s="167"/>
      <c r="AG252" s="167"/>
      <c r="AH252" s="167"/>
      <c r="AI252" s="167"/>
      <c r="AJ252" s="6"/>
      <c r="AK252" s="6"/>
      <c r="AL252" s="6"/>
      <c r="AM252" s="6"/>
      <c r="AN252" s="6"/>
      <c r="AO252" s="6"/>
    </row>
    <row r="253" spans="1:43" s="664" customFormat="1" x14ac:dyDescent="0.25">
      <c r="A253" s="566" t="s">
        <v>2136</v>
      </c>
      <c r="B253" s="674" t="s">
        <v>2138</v>
      </c>
      <c r="C253" s="213"/>
      <c r="D253" s="213"/>
      <c r="E253" s="214"/>
      <c r="F253" s="210"/>
      <c r="G253" s="209"/>
      <c r="H253" s="209"/>
      <c r="I253" s="209"/>
      <c r="J253" s="209"/>
      <c r="K253" s="209"/>
      <c r="L253" s="209"/>
      <c r="M253" s="212"/>
      <c r="N253" s="211"/>
      <c r="O253" s="211"/>
      <c r="P253" s="211"/>
      <c r="Q253" s="211"/>
      <c r="R253" s="211"/>
      <c r="S253" s="211"/>
      <c r="T253" s="211"/>
      <c r="U253" s="212"/>
      <c r="V253" s="212"/>
      <c r="W253" s="211"/>
      <c r="X253" s="211"/>
      <c r="Y253" s="211"/>
      <c r="Z253" s="211"/>
      <c r="AA253" s="211"/>
      <c r="AB253" s="211"/>
      <c r="AC253" s="188"/>
      <c r="AD253" s="167"/>
      <c r="AE253" s="167"/>
      <c r="AF253" s="167"/>
      <c r="AG253" s="167"/>
      <c r="AH253" s="167"/>
      <c r="AI253" s="167"/>
      <c r="AJ253" s="6"/>
      <c r="AK253" s="6"/>
      <c r="AL253" s="6"/>
      <c r="AM253" s="6"/>
      <c r="AN253" s="6"/>
      <c r="AO253" s="6"/>
    </row>
    <row r="254" spans="1:43" s="342" customFormat="1" x14ac:dyDescent="0.25">
      <c r="A254" s="342" t="s">
        <v>173</v>
      </c>
      <c r="B254" s="343" t="s">
        <v>1216</v>
      </c>
      <c r="C254" s="343"/>
      <c r="D254" s="343"/>
      <c r="E254" s="343"/>
      <c r="F254" s="344"/>
      <c r="G254" s="344"/>
      <c r="H254" s="344"/>
      <c r="I254" s="344"/>
      <c r="J254" s="344"/>
      <c r="K254" s="344"/>
      <c r="L254" s="344"/>
      <c r="M254" s="344"/>
      <c r="N254" s="345"/>
      <c r="O254" s="345"/>
      <c r="P254" s="345"/>
      <c r="Q254" s="345"/>
      <c r="R254" s="345"/>
      <c r="S254" s="345"/>
      <c r="T254" s="345"/>
      <c r="U254" s="345"/>
      <c r="V254" s="346"/>
      <c r="W254" s="345"/>
      <c r="X254" s="345"/>
      <c r="Y254" s="345"/>
      <c r="Z254" s="345"/>
      <c r="AA254" s="345"/>
      <c r="AB254" s="345"/>
      <c r="AC254" s="345"/>
      <c r="AD254" s="345"/>
      <c r="AE254" s="345"/>
      <c r="AF254" s="345"/>
      <c r="AG254" s="345"/>
      <c r="AH254" s="345"/>
      <c r="AI254" s="345"/>
      <c r="AJ254" s="345"/>
    </row>
    <row r="255" spans="1:43" s="664" customFormat="1" x14ac:dyDescent="0.25">
      <c r="A255" s="4" t="s">
        <v>124</v>
      </c>
      <c r="B255" s="203" t="s">
        <v>1251</v>
      </c>
      <c r="C255" s="204"/>
      <c r="D255" s="204"/>
      <c r="E255" s="204"/>
      <c r="F255" s="188"/>
      <c r="G255" s="188"/>
      <c r="H255" s="188"/>
      <c r="I255" s="188"/>
      <c r="J255" s="188"/>
      <c r="K255" s="188"/>
      <c r="L255" s="188"/>
      <c r="M255" s="188"/>
      <c r="N255" s="167"/>
      <c r="O255" s="167"/>
      <c r="P255" s="167"/>
      <c r="Q255" s="167"/>
      <c r="R255" s="167"/>
      <c r="S255" s="167"/>
      <c r="T255" s="167"/>
      <c r="U255" s="167"/>
      <c r="V255" s="182"/>
      <c r="W255" s="167"/>
      <c r="X255" s="167"/>
      <c r="Y255" s="167"/>
      <c r="Z255" s="167"/>
      <c r="AA255" s="167"/>
      <c r="AB255" s="167"/>
      <c r="AC255" s="167"/>
      <c r="AD255" s="167"/>
      <c r="AE255" s="167"/>
      <c r="AF255" s="167"/>
      <c r="AG255" s="167"/>
      <c r="AH255" s="167"/>
      <c r="AI255" s="167"/>
      <c r="AJ255" s="167"/>
      <c r="AK255" s="6"/>
      <c r="AL255" s="6"/>
      <c r="AM255" s="6"/>
      <c r="AN255" s="6"/>
      <c r="AO255" s="6"/>
      <c r="AP255" s="6"/>
    </row>
    <row r="256" spans="1:43" s="664" customFormat="1" x14ac:dyDescent="0.25">
      <c r="A256" s="4" t="s">
        <v>306</v>
      </c>
      <c r="B256" s="756" t="s">
        <v>1584</v>
      </c>
      <c r="C256" s="679"/>
      <c r="D256" s="679"/>
      <c r="E256" s="679"/>
      <c r="F256" s="679"/>
      <c r="G256" s="679"/>
      <c r="H256" s="679"/>
      <c r="I256" s="679"/>
      <c r="J256" s="679"/>
      <c r="K256" s="679"/>
      <c r="L256" s="679"/>
      <c r="M256" s="679"/>
      <c r="N256" s="679"/>
      <c r="O256" s="679"/>
      <c r="P256" s="679"/>
      <c r="Q256" s="679"/>
      <c r="R256" s="679"/>
      <c r="S256" s="712" t="s">
        <v>1126</v>
      </c>
      <c r="T256" s="712" t="s">
        <v>1107</v>
      </c>
      <c r="U256" s="712" t="s">
        <v>1108</v>
      </c>
      <c r="V256" s="167"/>
      <c r="W256" s="182"/>
      <c r="X256" s="167"/>
      <c r="Y256" s="167"/>
      <c r="Z256" s="167"/>
      <c r="AA256" s="167"/>
      <c r="AB256" s="167"/>
      <c r="AC256" s="167"/>
      <c r="AD256" s="167"/>
      <c r="AE256" s="167"/>
      <c r="AF256" s="167"/>
      <c r="AG256" s="167"/>
      <c r="AH256" s="167"/>
      <c r="AI256" s="167"/>
      <c r="AJ256" s="167"/>
      <c r="AK256" s="167"/>
      <c r="AL256" s="6"/>
      <c r="AM256" s="6"/>
      <c r="AN256" s="6"/>
      <c r="AO256" s="6"/>
      <c r="AP256" s="6"/>
      <c r="AQ256" s="6"/>
    </row>
    <row r="257" spans="1:44" s="664" customFormat="1" x14ac:dyDescent="0.25">
      <c r="B257" s="663" t="s">
        <v>1111</v>
      </c>
      <c r="C257" s="663" t="s">
        <v>1217</v>
      </c>
      <c r="D257" s="663" t="s">
        <v>1134</v>
      </c>
      <c r="E257" s="663" t="s">
        <v>1117</v>
      </c>
      <c r="F257" s="189" t="s">
        <v>1218</v>
      </c>
      <c r="G257" s="189" t="s">
        <v>1219</v>
      </c>
      <c r="H257" s="189" t="s">
        <v>1220</v>
      </c>
      <c r="I257" s="189" t="s">
        <v>1221</v>
      </c>
      <c r="J257" s="189" t="s">
        <v>1222</v>
      </c>
      <c r="K257" s="189" t="s">
        <v>1754</v>
      </c>
      <c r="L257" s="189" t="s">
        <v>1223</v>
      </c>
      <c r="M257" s="189" t="s">
        <v>1224</v>
      </c>
      <c r="N257" s="189" t="s">
        <v>1225</v>
      </c>
      <c r="O257" s="189" t="s">
        <v>1226</v>
      </c>
      <c r="P257" s="189" t="s">
        <v>1147</v>
      </c>
      <c r="Q257" s="189" t="s">
        <v>1227</v>
      </c>
      <c r="R257" s="189" t="s">
        <v>1228</v>
      </c>
      <c r="S257" s="713"/>
      <c r="T257" s="713"/>
      <c r="U257" s="713"/>
      <c r="V257" s="167"/>
      <c r="W257" s="182"/>
      <c r="X257" s="167"/>
      <c r="Y257" s="167"/>
      <c r="Z257" s="167"/>
      <c r="AA257" s="167"/>
      <c r="AB257" s="167"/>
      <c r="AC257" s="167"/>
      <c r="AD257" s="167"/>
      <c r="AE257" s="167"/>
      <c r="AF257" s="167"/>
      <c r="AG257" s="167"/>
      <c r="AH257" s="167"/>
      <c r="AI257" s="167"/>
      <c r="AJ257" s="167"/>
      <c r="AK257" s="167"/>
      <c r="AL257" s="6"/>
      <c r="AM257" s="6"/>
      <c r="AN257" s="6"/>
      <c r="AO257" s="6"/>
      <c r="AP257" s="6"/>
      <c r="AQ257" s="6"/>
    </row>
    <row r="258" spans="1:44" s="664" customFormat="1" x14ac:dyDescent="0.25">
      <c r="B258" s="663">
        <f>$B$2</f>
        <v>20180328</v>
      </c>
      <c r="C258" s="663">
        <f>B258</f>
        <v>20180328</v>
      </c>
      <c r="D258" s="663" t="str">
        <f>$F$5</f>
        <v>9999</v>
      </c>
      <c r="E258" s="663" t="str">
        <f>$B$19</f>
        <v>CZCE</v>
      </c>
      <c r="F258" s="189">
        <v>0</v>
      </c>
      <c r="G258" s="189">
        <v>0</v>
      </c>
      <c r="H258" s="189">
        <v>0</v>
      </c>
      <c r="I258" s="189">
        <v>0</v>
      </c>
      <c r="J258" s="189">
        <f>$D$2</f>
        <v>20180327</v>
      </c>
      <c r="K258" s="189">
        <v>7</v>
      </c>
      <c r="L258" s="189">
        <v>2</v>
      </c>
      <c r="M258" s="189">
        <v>2</v>
      </c>
      <c r="N258" s="189">
        <v>2</v>
      </c>
      <c r="O258" s="189">
        <v>1</v>
      </c>
      <c r="P258" s="111" t="s">
        <v>1128</v>
      </c>
      <c r="Q258" s="111" t="e">
        <f>#REF!</f>
        <v>#REF!</v>
      </c>
      <c r="R258" s="205">
        <v>0.53385416666666663</v>
      </c>
      <c r="S258" s="205" t="s">
        <v>1128</v>
      </c>
      <c r="T258" s="111"/>
      <c r="U258" s="111"/>
      <c r="V258" s="167"/>
      <c r="W258" s="182"/>
      <c r="X258" s="167"/>
      <c r="Y258" s="167"/>
      <c r="Z258" s="167"/>
      <c r="AA258" s="167"/>
      <c r="AB258" s="167"/>
      <c r="AC258" s="167"/>
      <c r="AD258" s="167"/>
      <c r="AE258" s="167"/>
      <c r="AF258" s="167"/>
      <c r="AG258" s="167"/>
      <c r="AH258" s="167"/>
      <c r="AI258" s="167"/>
      <c r="AJ258" s="167"/>
      <c r="AK258" s="167"/>
      <c r="AL258" s="6"/>
      <c r="AM258" s="6"/>
      <c r="AN258" s="6"/>
      <c r="AO258" s="6"/>
      <c r="AP258" s="6"/>
      <c r="AQ258" s="6"/>
    </row>
    <row r="259" spans="1:44" s="9" customFormat="1" ht="13.95" customHeight="1" x14ac:dyDescent="0.25">
      <c r="A259" s="361" t="s">
        <v>359</v>
      </c>
      <c r="B259" s="361" t="s">
        <v>1627</v>
      </c>
      <c r="C259" s="361"/>
      <c r="D259" s="361"/>
      <c r="E259" s="361"/>
    </row>
    <row r="260" spans="1:44" s="9" customFormat="1" ht="13.95" customHeight="1" x14ac:dyDescent="0.25">
      <c r="A260" s="369" t="s">
        <v>970</v>
      </c>
      <c r="B260" s="369" t="s">
        <v>1670</v>
      </c>
      <c r="C260" s="369"/>
      <c r="D260" s="361"/>
      <c r="E260" s="361"/>
    </row>
    <row r="261" spans="1:44" s="364" customFormat="1" ht="13.95" customHeight="1" x14ac:dyDescent="0.15">
      <c r="A261" s="361" t="s">
        <v>1628</v>
      </c>
      <c r="B261" s="704" t="s">
        <v>1582</v>
      </c>
      <c r="C261" s="705"/>
      <c r="D261" s="705"/>
      <c r="E261" s="705"/>
      <c r="F261" s="705"/>
      <c r="G261" s="705"/>
      <c r="H261" s="705"/>
      <c r="I261" s="705"/>
      <c r="J261" s="705"/>
      <c r="K261" s="705"/>
      <c r="L261" s="705"/>
      <c r="M261" s="705"/>
      <c r="N261" s="705"/>
      <c r="O261" s="705"/>
      <c r="P261" s="705"/>
      <c r="Q261" s="705"/>
      <c r="R261" s="708"/>
      <c r="S261" s="740" t="s">
        <v>1981</v>
      </c>
      <c r="T261" s="717" t="s">
        <v>1629</v>
      </c>
      <c r="U261" s="717" t="s">
        <v>1630</v>
      </c>
      <c r="V261" s="717" t="s">
        <v>1631</v>
      </c>
      <c r="W261" s="362"/>
      <c r="X261" s="107"/>
      <c r="Y261" s="362"/>
      <c r="Z261" s="362"/>
      <c r="AA261" s="362"/>
      <c r="AB261" s="362"/>
      <c r="AC261" s="362"/>
      <c r="AD261" s="362"/>
      <c r="AE261" s="362"/>
      <c r="AF261" s="362"/>
      <c r="AG261" s="362"/>
      <c r="AH261" s="362"/>
      <c r="AI261" s="362"/>
      <c r="AJ261" s="362"/>
      <c r="AK261" s="362"/>
      <c r="AL261" s="362"/>
      <c r="AM261" s="363"/>
      <c r="AN261" s="363"/>
      <c r="AO261" s="363"/>
      <c r="AP261" s="363"/>
      <c r="AQ261" s="363"/>
      <c r="AR261" s="363"/>
    </row>
    <row r="262" spans="1:44" s="364" customFormat="1" ht="13.95" customHeight="1" x14ac:dyDescent="0.25">
      <c r="B262" s="365" t="s">
        <v>1439</v>
      </c>
      <c r="C262" s="365" t="s">
        <v>1633</v>
      </c>
      <c r="D262" s="365" t="s">
        <v>1634</v>
      </c>
      <c r="E262" s="365" t="s">
        <v>1635</v>
      </c>
      <c r="F262" s="366" t="s">
        <v>1636</v>
      </c>
      <c r="G262" s="366" t="s">
        <v>1637</v>
      </c>
      <c r="H262" s="366" t="s">
        <v>1638</v>
      </c>
      <c r="I262" s="366" t="s">
        <v>1639</v>
      </c>
      <c r="J262" s="366" t="s">
        <v>1640</v>
      </c>
      <c r="K262" s="366" t="s">
        <v>1641</v>
      </c>
      <c r="L262" s="366" t="s">
        <v>1642</v>
      </c>
      <c r="M262" s="366" t="s">
        <v>1643</v>
      </c>
      <c r="N262" s="366" t="s">
        <v>1644</v>
      </c>
      <c r="O262" s="366" t="s">
        <v>1645</v>
      </c>
      <c r="P262" s="366" t="s">
        <v>1646</v>
      </c>
      <c r="Q262" s="366" t="s">
        <v>1647</v>
      </c>
      <c r="R262" s="366" t="s">
        <v>1648</v>
      </c>
      <c r="S262" s="741"/>
      <c r="T262" s="718"/>
      <c r="U262" s="718"/>
      <c r="V262" s="718"/>
      <c r="W262" s="362"/>
      <c r="X262" s="107"/>
      <c r="Y262" s="362"/>
      <c r="Z262" s="362"/>
      <c r="AA262" s="362"/>
      <c r="AB262" s="362"/>
      <c r="AC262" s="362"/>
      <c r="AD262" s="362"/>
      <c r="AE262" s="362"/>
      <c r="AF262" s="362"/>
      <c r="AG262" s="362"/>
      <c r="AH262" s="362"/>
      <c r="AI262" s="362"/>
      <c r="AJ262" s="362"/>
      <c r="AK262" s="362"/>
      <c r="AL262" s="362"/>
      <c r="AM262" s="363"/>
      <c r="AN262" s="363"/>
      <c r="AO262" s="363"/>
      <c r="AP262" s="363"/>
      <c r="AQ262" s="363"/>
      <c r="AR262" s="363"/>
    </row>
    <row r="263" spans="1:44" s="364" customFormat="1" ht="13.95" customHeight="1" x14ac:dyDescent="0.25">
      <c r="B263" s="365">
        <f>$B$2</f>
        <v>20180328</v>
      </c>
      <c r="C263" s="365">
        <f>$B$2</f>
        <v>20180328</v>
      </c>
      <c r="D263" s="365" t="str">
        <f>$F$5</f>
        <v>9999</v>
      </c>
      <c r="E263" s="365" t="str">
        <f>$B$19</f>
        <v>CZCE</v>
      </c>
      <c r="F263" s="366">
        <v>0</v>
      </c>
      <c r="G263" s="366">
        <v>0</v>
      </c>
      <c r="H263" s="366">
        <v>0</v>
      </c>
      <c r="I263" s="366">
        <v>0</v>
      </c>
      <c r="J263" s="366">
        <f>$D$2</f>
        <v>20180327</v>
      </c>
      <c r="K263" s="366">
        <v>7</v>
      </c>
      <c r="L263" s="366">
        <v>2</v>
      </c>
      <c r="M263" s="366">
        <v>2</v>
      </c>
      <c r="N263" s="366">
        <v>2</v>
      </c>
      <c r="O263" s="366">
        <v>1</v>
      </c>
      <c r="P263" s="367" t="s">
        <v>1649</v>
      </c>
      <c r="Q263" s="367">
        <f>$B$2</f>
        <v>20180328</v>
      </c>
      <c r="R263" s="368">
        <v>0.53385416666666663</v>
      </c>
      <c r="S263" s="387">
        <v>1</v>
      </c>
      <c r="T263" s="368" t="s">
        <v>1128</v>
      </c>
      <c r="U263" s="367"/>
      <c r="V263" s="362"/>
      <c r="W263" s="107"/>
      <c r="X263" s="362"/>
      <c r="Y263" s="362"/>
      <c r="Z263" s="362"/>
      <c r="AA263" s="362"/>
      <c r="AB263" s="362"/>
      <c r="AC263" s="362"/>
      <c r="AD263" s="362"/>
      <c r="AE263" s="362"/>
      <c r="AF263" s="362"/>
      <c r="AG263" s="362"/>
      <c r="AH263" s="362"/>
      <c r="AI263" s="362"/>
      <c r="AJ263" s="362"/>
      <c r="AK263" s="362"/>
      <c r="AL263" s="363"/>
      <c r="AM263" s="363"/>
      <c r="AN263" s="363"/>
      <c r="AO263" s="363"/>
      <c r="AP263" s="363"/>
      <c r="AQ263" s="363"/>
    </row>
    <row r="264" spans="1:44" s="9" customFormat="1" ht="13.95" customHeight="1" x14ac:dyDescent="0.25">
      <c r="A264" s="361" t="s">
        <v>359</v>
      </c>
      <c r="B264" s="361" t="s">
        <v>1627</v>
      </c>
    </row>
    <row r="265" spans="1:44" s="9" customFormat="1" ht="13.95" customHeight="1" x14ac:dyDescent="0.25">
      <c r="A265" s="369" t="s">
        <v>970</v>
      </c>
      <c r="B265" s="369" t="s">
        <v>1671</v>
      </c>
      <c r="C265" s="44"/>
    </row>
    <row r="266" spans="1:44" s="364" customFormat="1" x14ac:dyDescent="0.15">
      <c r="A266" s="361" t="s">
        <v>1628</v>
      </c>
      <c r="B266" s="704" t="s">
        <v>1672</v>
      </c>
      <c r="C266" s="705"/>
      <c r="D266" s="705"/>
      <c r="E266" s="705"/>
      <c r="F266" s="705"/>
      <c r="G266" s="705"/>
      <c r="H266" s="705"/>
      <c r="I266" s="705"/>
      <c r="J266" s="705"/>
      <c r="K266" s="705"/>
      <c r="L266" s="705"/>
      <c r="M266" s="705"/>
      <c r="N266" s="705"/>
      <c r="O266" s="705"/>
      <c r="P266" s="705"/>
      <c r="Q266" s="705"/>
      <c r="R266" s="708"/>
      <c r="S266" s="717" t="s">
        <v>1650</v>
      </c>
      <c r="T266" s="717" t="s">
        <v>1494</v>
      </c>
      <c r="U266" s="717" t="s">
        <v>1652</v>
      </c>
      <c r="V266" s="362"/>
      <c r="W266" s="107"/>
      <c r="X266" s="362"/>
      <c r="Y266" s="362"/>
      <c r="Z266" s="362"/>
      <c r="AA266" s="362"/>
      <c r="AB266" s="362"/>
      <c r="AC266" s="362"/>
      <c r="AD266" s="362"/>
      <c r="AE266" s="362"/>
      <c r="AF266" s="362"/>
      <c r="AG266" s="362"/>
      <c r="AH266" s="362"/>
      <c r="AI266" s="362"/>
      <c r="AJ266" s="362"/>
      <c r="AK266" s="362"/>
      <c r="AL266" s="363"/>
      <c r="AM266" s="363"/>
      <c r="AN266" s="363"/>
      <c r="AO266" s="363"/>
      <c r="AP266" s="363"/>
      <c r="AQ266" s="363"/>
    </row>
    <row r="267" spans="1:44" s="364" customFormat="1" ht="12" x14ac:dyDescent="0.25">
      <c r="B267" s="365" t="s">
        <v>1653</v>
      </c>
      <c r="C267" s="365" t="s">
        <v>1654</v>
      </c>
      <c r="D267" s="365" t="s">
        <v>1634</v>
      </c>
      <c r="E267" s="365" t="s">
        <v>1656</v>
      </c>
      <c r="F267" s="366" t="s">
        <v>1657</v>
      </c>
      <c r="G267" s="366" t="s">
        <v>1658</v>
      </c>
      <c r="H267" s="366" t="s">
        <v>1659</v>
      </c>
      <c r="I267" s="366" t="s">
        <v>1660</v>
      </c>
      <c r="J267" s="366" t="s">
        <v>1661</v>
      </c>
      <c r="K267" s="366" t="s">
        <v>1662</v>
      </c>
      <c r="L267" s="366" t="s">
        <v>1663</v>
      </c>
      <c r="M267" s="366" t="s">
        <v>1664</v>
      </c>
      <c r="N267" s="366" t="s">
        <v>1665</v>
      </c>
      <c r="O267" s="366" t="s">
        <v>1666</v>
      </c>
      <c r="P267" s="366" t="s">
        <v>1667</v>
      </c>
      <c r="Q267" s="366" t="s">
        <v>1668</v>
      </c>
      <c r="R267" s="366" t="s">
        <v>1669</v>
      </c>
      <c r="S267" s="718"/>
      <c r="T267" s="718"/>
      <c r="U267" s="718"/>
      <c r="V267" s="362"/>
      <c r="W267" s="107"/>
      <c r="X267" s="362"/>
      <c r="Y267" s="362"/>
      <c r="Z267" s="362"/>
      <c r="AA267" s="362"/>
      <c r="AB267" s="362"/>
      <c r="AC267" s="362"/>
      <c r="AD267" s="362"/>
      <c r="AE267" s="362"/>
      <c r="AF267" s="362"/>
      <c r="AG267" s="362"/>
      <c r="AH267" s="362"/>
      <c r="AI267" s="362"/>
      <c r="AJ267" s="362"/>
      <c r="AK267" s="362"/>
      <c r="AL267" s="363"/>
      <c r="AM267" s="363"/>
      <c r="AN267" s="363"/>
      <c r="AO267" s="363"/>
      <c r="AP267" s="363"/>
      <c r="AQ267" s="363"/>
    </row>
    <row r="268" spans="1:44" s="364" customFormat="1" ht="12" x14ac:dyDescent="0.25">
      <c r="B268" s="365">
        <f>$B$2</f>
        <v>20180328</v>
      </c>
      <c r="C268" s="365">
        <f>$B$2</f>
        <v>20180328</v>
      </c>
      <c r="D268" s="365" t="str">
        <f>$F$5</f>
        <v>9999</v>
      </c>
      <c r="E268" s="365" t="str">
        <f>$B$19</f>
        <v>CZCE</v>
      </c>
      <c r="F268" s="366">
        <v>0</v>
      </c>
      <c r="G268" s="366">
        <v>0</v>
      </c>
      <c r="H268" s="366">
        <v>0</v>
      </c>
      <c r="I268" s="366">
        <v>0</v>
      </c>
      <c r="J268" s="366">
        <f>$D$2</f>
        <v>20180327</v>
      </c>
      <c r="K268" s="366">
        <v>7</v>
      </c>
      <c r="L268" s="366">
        <v>2</v>
      </c>
      <c r="M268" s="366">
        <v>2</v>
      </c>
      <c r="N268" s="366">
        <v>2</v>
      </c>
      <c r="O268" s="366">
        <v>1</v>
      </c>
      <c r="P268" s="367" t="s">
        <v>1128</v>
      </c>
      <c r="Q268" s="367">
        <f>$B$2</f>
        <v>20180328</v>
      </c>
      <c r="R268" s="368">
        <v>0.53385416666666663</v>
      </c>
      <c r="S268" s="368" t="s">
        <v>1128</v>
      </c>
      <c r="T268" s="367"/>
      <c r="U268" s="367"/>
      <c r="V268" s="362"/>
      <c r="W268" s="107"/>
      <c r="X268" s="362"/>
      <c r="Y268" s="362"/>
      <c r="Z268" s="362"/>
      <c r="AA268" s="362"/>
      <c r="AB268" s="362"/>
      <c r="AC268" s="362"/>
      <c r="AD268" s="362"/>
      <c r="AE268" s="362"/>
      <c r="AF268" s="362"/>
      <c r="AG268" s="362"/>
      <c r="AH268" s="362"/>
      <c r="AI268" s="362"/>
      <c r="AJ268" s="362"/>
      <c r="AK268" s="362"/>
      <c r="AL268" s="363"/>
      <c r="AM268" s="363"/>
      <c r="AN268" s="363"/>
      <c r="AO268" s="363"/>
      <c r="AP268" s="363"/>
      <c r="AQ268" s="363"/>
    </row>
    <row r="269" spans="1:44" s="9" customFormat="1" ht="13.95" customHeight="1" x14ac:dyDescent="0.25">
      <c r="A269" s="361" t="s">
        <v>359</v>
      </c>
      <c r="B269" s="361" t="s">
        <v>1627</v>
      </c>
    </row>
    <row r="270" spans="1:44" s="9" customFormat="1" ht="13.95" customHeight="1" x14ac:dyDescent="0.25">
      <c r="A270" s="369" t="s">
        <v>970</v>
      </c>
      <c r="B270" s="369" t="s">
        <v>1949</v>
      </c>
      <c r="C270" s="44"/>
    </row>
    <row r="271" spans="1:44" s="364" customFormat="1" x14ac:dyDescent="0.15">
      <c r="A271" s="361" t="s">
        <v>306</v>
      </c>
      <c r="B271" s="704" t="s">
        <v>1583</v>
      </c>
      <c r="C271" s="705"/>
      <c r="D271" s="705"/>
      <c r="E271" s="705"/>
      <c r="F271" s="705"/>
      <c r="G271" s="705"/>
      <c r="H271" s="705"/>
      <c r="I271" s="705"/>
      <c r="J271" s="705"/>
      <c r="K271" s="705"/>
      <c r="L271" s="705"/>
      <c r="M271" s="705"/>
      <c r="N271" s="705"/>
      <c r="O271" s="705"/>
      <c r="P271" s="705"/>
      <c r="Q271" s="705"/>
      <c r="R271" s="708"/>
      <c r="S271" s="717" t="s">
        <v>1126</v>
      </c>
      <c r="T271" s="717" t="s">
        <v>1950</v>
      </c>
      <c r="U271" s="717" t="s">
        <v>1631</v>
      </c>
      <c r="V271" s="362"/>
      <c r="W271" s="107"/>
      <c r="X271" s="362"/>
      <c r="Y271" s="362"/>
      <c r="Z271" s="362"/>
      <c r="AA271" s="362"/>
      <c r="AB271" s="362"/>
      <c r="AC271" s="362"/>
      <c r="AD271" s="362"/>
      <c r="AE271" s="362"/>
      <c r="AF271" s="362"/>
      <c r="AG271" s="362"/>
      <c r="AH271" s="362"/>
      <c r="AI271" s="362"/>
      <c r="AJ271" s="362"/>
      <c r="AK271" s="362"/>
      <c r="AL271" s="363"/>
      <c r="AM271" s="363"/>
      <c r="AN271" s="363"/>
      <c r="AO271" s="363"/>
      <c r="AP271" s="363"/>
      <c r="AQ271" s="363"/>
    </row>
    <row r="272" spans="1:44" s="364" customFormat="1" ht="12" x14ac:dyDescent="0.25">
      <c r="B272" s="365" t="s">
        <v>1439</v>
      </c>
      <c r="C272" s="365" t="s">
        <v>1633</v>
      </c>
      <c r="D272" s="365" t="s">
        <v>1134</v>
      </c>
      <c r="E272" s="365" t="s">
        <v>1951</v>
      </c>
      <c r="F272" s="366" t="s">
        <v>1218</v>
      </c>
      <c r="G272" s="366" t="s">
        <v>1219</v>
      </c>
      <c r="H272" s="366" t="s">
        <v>1220</v>
      </c>
      <c r="I272" s="366" t="s">
        <v>1221</v>
      </c>
      <c r="J272" s="366" t="s">
        <v>1661</v>
      </c>
      <c r="K272" s="366" t="s">
        <v>1952</v>
      </c>
      <c r="L272" s="366" t="s">
        <v>1223</v>
      </c>
      <c r="M272" s="366" t="s">
        <v>1953</v>
      </c>
      <c r="N272" s="366" t="s">
        <v>1225</v>
      </c>
      <c r="O272" s="366" t="s">
        <v>1954</v>
      </c>
      <c r="P272" s="366" t="s">
        <v>1955</v>
      </c>
      <c r="Q272" s="366" t="s">
        <v>1227</v>
      </c>
      <c r="R272" s="366" t="s">
        <v>1669</v>
      </c>
      <c r="S272" s="718"/>
      <c r="T272" s="718"/>
      <c r="U272" s="718"/>
      <c r="V272" s="362"/>
      <c r="W272" s="107"/>
      <c r="X272" s="362"/>
      <c r="Y272" s="362"/>
      <c r="Z272" s="362"/>
      <c r="AA272" s="362"/>
      <c r="AB272" s="362"/>
      <c r="AC272" s="362"/>
      <c r="AD272" s="362"/>
      <c r="AE272" s="362"/>
      <c r="AF272" s="362"/>
      <c r="AG272" s="362"/>
      <c r="AH272" s="362"/>
      <c r="AI272" s="362"/>
      <c r="AJ272" s="362"/>
      <c r="AK272" s="362"/>
      <c r="AL272" s="363"/>
      <c r="AM272" s="363"/>
      <c r="AN272" s="363"/>
      <c r="AO272" s="363"/>
      <c r="AP272" s="363"/>
      <c r="AQ272" s="363"/>
    </row>
    <row r="273" spans="1:43" s="364" customFormat="1" ht="12" x14ac:dyDescent="0.25">
      <c r="B273" s="365">
        <f>$B$2</f>
        <v>20180328</v>
      </c>
      <c r="C273" s="365">
        <f>$B$2</f>
        <v>20180328</v>
      </c>
      <c r="D273" s="365" t="str">
        <f>$F$5</f>
        <v>9999</v>
      </c>
      <c r="E273" s="365" t="str">
        <f>E268</f>
        <v>CZCE</v>
      </c>
      <c r="F273" s="366">
        <v>2</v>
      </c>
      <c r="G273" s="366">
        <v>0</v>
      </c>
      <c r="H273" s="366">
        <v>0</v>
      </c>
      <c r="I273" s="366">
        <v>0</v>
      </c>
      <c r="J273" s="366">
        <f>$D$2</f>
        <v>20180327</v>
      </c>
      <c r="K273" s="366">
        <v>7</v>
      </c>
      <c r="L273" s="366">
        <v>2</v>
      </c>
      <c r="M273" s="366">
        <v>2</v>
      </c>
      <c r="N273" s="366">
        <v>2</v>
      </c>
      <c r="O273" s="366">
        <v>1</v>
      </c>
      <c r="P273" s="367" t="s">
        <v>1649</v>
      </c>
      <c r="Q273" s="367">
        <f>$B$2</f>
        <v>20180328</v>
      </c>
      <c r="R273" s="368">
        <v>0.53385416666666663</v>
      </c>
      <c r="S273" s="368" t="s">
        <v>1956</v>
      </c>
      <c r="T273" s="367"/>
      <c r="U273" s="367"/>
      <c r="V273" s="362"/>
      <c r="W273" s="107"/>
      <c r="X273" s="362"/>
      <c r="Y273" s="362"/>
      <c r="Z273" s="362"/>
      <c r="AA273" s="362"/>
      <c r="AB273" s="362"/>
      <c r="AC273" s="362"/>
      <c r="AD273" s="362"/>
      <c r="AE273" s="362"/>
      <c r="AF273" s="362"/>
      <c r="AG273" s="362"/>
      <c r="AH273" s="362"/>
      <c r="AI273" s="362"/>
      <c r="AJ273" s="362"/>
      <c r="AK273" s="362"/>
      <c r="AL273" s="363"/>
      <c r="AM273" s="363"/>
      <c r="AN273" s="363"/>
      <c r="AO273" s="363"/>
      <c r="AP273" s="363"/>
      <c r="AQ273" s="363"/>
    </row>
    <row r="274" spans="1:43" s="664" customFormat="1" x14ac:dyDescent="0.25">
      <c r="A274" s="566"/>
      <c r="B274" s="674"/>
      <c r="C274" s="213"/>
      <c r="D274" s="213"/>
      <c r="E274" s="214"/>
      <c r="F274" s="210"/>
      <c r="G274" s="209"/>
      <c r="H274" s="209"/>
      <c r="I274" s="209"/>
      <c r="J274" s="209"/>
      <c r="K274" s="209"/>
      <c r="L274" s="209"/>
      <c r="M274" s="212"/>
      <c r="N274" s="211"/>
      <c r="O274" s="211"/>
      <c r="P274" s="211"/>
      <c r="Q274" s="211"/>
      <c r="R274" s="211"/>
      <c r="S274" s="211"/>
      <c r="T274" s="211"/>
      <c r="U274" s="212"/>
      <c r="V274" s="212"/>
      <c r="W274" s="211"/>
      <c r="X274" s="211"/>
      <c r="Y274" s="211"/>
      <c r="Z274" s="211"/>
      <c r="AA274" s="211"/>
      <c r="AB274" s="211"/>
      <c r="AC274" s="188"/>
      <c r="AD274" s="167"/>
      <c r="AE274" s="167"/>
      <c r="AF274" s="167"/>
      <c r="AG274" s="167"/>
      <c r="AH274" s="167"/>
      <c r="AI274" s="167"/>
      <c r="AJ274" s="6"/>
      <c r="AK274" s="6"/>
      <c r="AL274" s="6"/>
      <c r="AM274" s="6"/>
      <c r="AN274" s="6"/>
      <c r="AO274" s="6"/>
    </row>
    <row r="275" spans="1:43" s="664" customFormat="1" x14ac:dyDescent="0.25">
      <c r="A275" s="614" t="s">
        <v>2132</v>
      </c>
      <c r="B275" s="675" t="s">
        <v>2133</v>
      </c>
      <c r="C275" s="213"/>
      <c r="D275" s="213"/>
      <c r="E275" s="213"/>
      <c r="F275" s="350"/>
      <c r="G275" s="209"/>
      <c r="H275" s="209"/>
      <c r="I275" s="209"/>
      <c r="J275" s="209"/>
      <c r="K275" s="209"/>
      <c r="L275" s="209"/>
      <c r="M275" s="212"/>
      <c r="N275" s="211"/>
      <c r="O275" s="211"/>
      <c r="P275" s="211"/>
      <c r="Q275" s="211"/>
      <c r="R275" s="211"/>
      <c r="S275" s="211"/>
      <c r="T275" s="211"/>
      <c r="U275" s="212"/>
      <c r="V275" s="212"/>
      <c r="W275" s="211"/>
      <c r="X275" s="211"/>
      <c r="Y275" s="211"/>
      <c r="Z275" s="211"/>
      <c r="AA275" s="211"/>
      <c r="AB275" s="211"/>
      <c r="AC275" s="188"/>
      <c r="AD275" s="167"/>
      <c r="AE275" s="167"/>
      <c r="AF275" s="167"/>
      <c r="AG275" s="167"/>
      <c r="AH275" s="167"/>
      <c r="AI275" s="167"/>
      <c r="AJ275" s="6"/>
      <c r="AK275" s="6"/>
      <c r="AL275" s="6"/>
      <c r="AM275" s="6"/>
      <c r="AN275" s="6"/>
      <c r="AO275" s="6"/>
    </row>
    <row r="276" spans="1:43" s="9" customFormat="1" ht="13.8" customHeight="1" x14ac:dyDescent="0.25">
      <c r="A276" s="369" t="s">
        <v>970</v>
      </c>
      <c r="B276" s="369" t="s">
        <v>2134</v>
      </c>
      <c r="C276" s="369"/>
      <c r="D276" s="361"/>
      <c r="E276" s="361"/>
    </row>
    <row r="277" spans="1:43" s="364" customFormat="1" ht="13.95" customHeight="1" x14ac:dyDescent="0.15">
      <c r="A277" s="361" t="s">
        <v>1628</v>
      </c>
      <c r="B277" s="704" t="s">
        <v>1582</v>
      </c>
      <c r="C277" s="705"/>
      <c r="D277" s="705"/>
      <c r="E277" s="705"/>
      <c r="F277" s="705"/>
      <c r="G277" s="705"/>
      <c r="H277" s="705"/>
      <c r="I277" s="705"/>
      <c r="J277" s="705"/>
      <c r="K277" s="705"/>
      <c r="L277" s="705"/>
      <c r="M277" s="705"/>
      <c r="N277" s="705"/>
      <c r="O277" s="705"/>
      <c r="P277" s="705"/>
      <c r="Q277" s="705"/>
      <c r="R277" s="708"/>
      <c r="S277" s="717" t="s">
        <v>1629</v>
      </c>
      <c r="T277" s="717" t="s">
        <v>1630</v>
      </c>
      <c r="U277" s="717" t="s">
        <v>1631</v>
      </c>
      <c r="V277" s="362"/>
      <c r="W277" s="107"/>
      <c r="X277" s="362"/>
      <c r="Y277" s="362"/>
      <c r="Z277" s="362"/>
      <c r="AA277" s="362"/>
      <c r="AB277" s="362"/>
      <c r="AC277" s="362"/>
      <c r="AD277" s="362"/>
      <c r="AE277" s="362"/>
      <c r="AF277" s="362"/>
      <c r="AG277" s="362"/>
      <c r="AH277" s="362"/>
      <c r="AI277" s="362"/>
      <c r="AJ277" s="362"/>
      <c r="AK277" s="362"/>
      <c r="AL277" s="363"/>
      <c r="AM277" s="363"/>
      <c r="AN277" s="363"/>
      <c r="AO277" s="363"/>
      <c r="AP277" s="363"/>
      <c r="AQ277" s="363"/>
    </row>
    <row r="278" spans="1:43" s="364" customFormat="1" ht="13.95" customHeight="1" x14ac:dyDescent="0.25">
      <c r="B278" s="365" t="s">
        <v>1439</v>
      </c>
      <c r="C278" s="365" t="s">
        <v>1633</v>
      </c>
      <c r="D278" s="365" t="s">
        <v>1634</v>
      </c>
      <c r="E278" s="365" t="s">
        <v>1635</v>
      </c>
      <c r="F278" s="366" t="s">
        <v>1636</v>
      </c>
      <c r="G278" s="366" t="s">
        <v>1637</v>
      </c>
      <c r="H278" s="366" t="s">
        <v>1638</v>
      </c>
      <c r="I278" s="366" t="s">
        <v>1639</v>
      </c>
      <c r="J278" s="366" t="s">
        <v>1640</v>
      </c>
      <c r="K278" s="366" t="s">
        <v>1641</v>
      </c>
      <c r="L278" s="366" t="s">
        <v>1642</v>
      </c>
      <c r="M278" s="366" t="s">
        <v>1643</v>
      </c>
      <c r="N278" s="366" t="s">
        <v>1644</v>
      </c>
      <c r="O278" s="366" t="s">
        <v>1645</v>
      </c>
      <c r="P278" s="366" t="s">
        <v>1646</v>
      </c>
      <c r="Q278" s="366" t="s">
        <v>1647</v>
      </c>
      <c r="R278" s="366" t="s">
        <v>1648</v>
      </c>
      <c r="S278" s="718"/>
      <c r="T278" s="718"/>
      <c r="U278" s="718"/>
      <c r="V278" s="362"/>
      <c r="W278" s="107"/>
      <c r="X278" s="362"/>
      <c r="Y278" s="362"/>
      <c r="Z278" s="362"/>
      <c r="AA278" s="362"/>
      <c r="AB278" s="362"/>
      <c r="AC278" s="362"/>
      <c r="AD278" s="362"/>
      <c r="AE278" s="362"/>
      <c r="AF278" s="362"/>
      <c r="AG278" s="362"/>
      <c r="AH278" s="362"/>
      <c r="AI278" s="362"/>
      <c r="AJ278" s="362"/>
      <c r="AK278" s="362"/>
      <c r="AL278" s="363"/>
      <c r="AM278" s="363"/>
      <c r="AN278" s="363"/>
      <c r="AO278" s="363"/>
      <c r="AP278" s="363"/>
      <c r="AQ278" s="363"/>
    </row>
    <row r="279" spans="1:43" s="364" customFormat="1" ht="13.95" customHeight="1" x14ac:dyDescent="0.25">
      <c r="B279" s="365">
        <f>$B$2</f>
        <v>20180328</v>
      </c>
      <c r="C279" s="365">
        <f>$B$2</f>
        <v>20180328</v>
      </c>
      <c r="D279" s="365" t="str">
        <f>$F$5</f>
        <v>9999</v>
      </c>
      <c r="E279" s="365" t="str">
        <f>E273</f>
        <v>CZCE</v>
      </c>
      <c r="F279" s="366">
        <v>2</v>
      </c>
      <c r="G279" s="366">
        <v>0</v>
      </c>
      <c r="H279" s="366">
        <v>0</v>
      </c>
      <c r="I279" s="366">
        <v>0</v>
      </c>
      <c r="J279" s="366">
        <f>$D$2</f>
        <v>20180327</v>
      </c>
      <c r="K279" s="366">
        <v>7</v>
      </c>
      <c r="L279" s="366">
        <v>2</v>
      </c>
      <c r="M279" s="366">
        <v>2</v>
      </c>
      <c r="N279" s="366">
        <v>2</v>
      </c>
      <c r="O279" s="366">
        <v>1</v>
      </c>
      <c r="P279" s="367" t="s">
        <v>1649</v>
      </c>
      <c r="Q279" s="367">
        <f>$B$2</f>
        <v>20180328</v>
      </c>
      <c r="R279" s="368">
        <v>0.53385416666666663</v>
      </c>
      <c r="S279" s="368" t="s">
        <v>1649</v>
      </c>
      <c r="T279" s="367"/>
      <c r="U279" s="367"/>
      <c r="V279" s="362"/>
      <c r="W279" s="107"/>
      <c r="X279" s="362"/>
      <c r="Y279" s="362"/>
      <c r="Z279" s="362"/>
      <c r="AA279" s="362"/>
      <c r="AB279" s="362"/>
      <c r="AC279" s="362"/>
      <c r="AD279" s="362"/>
      <c r="AE279" s="362"/>
      <c r="AF279" s="362"/>
      <c r="AG279" s="362"/>
      <c r="AH279" s="362"/>
      <c r="AI279" s="362"/>
      <c r="AJ279" s="362"/>
      <c r="AK279" s="362"/>
      <c r="AL279" s="363"/>
      <c r="AM279" s="363"/>
      <c r="AN279" s="363"/>
      <c r="AO279" s="363"/>
      <c r="AP279" s="363"/>
      <c r="AQ279" s="363"/>
    </row>
    <row r="280" spans="1:43" s="6" customFormat="1" x14ac:dyDescent="0.25">
      <c r="A280" s="195" t="s">
        <v>173</v>
      </c>
      <c r="B280" s="195" t="s">
        <v>2113</v>
      </c>
      <c r="C280" s="323"/>
      <c r="D280" s="323"/>
      <c r="E280" s="323"/>
      <c r="F280" s="323"/>
      <c r="G280" s="323"/>
      <c r="H280" s="323"/>
      <c r="I280" s="167"/>
      <c r="J280" s="181"/>
      <c r="K280" s="182"/>
      <c r="L280" s="182"/>
      <c r="M280" s="182"/>
      <c r="N280" s="181"/>
      <c r="O280" s="167"/>
      <c r="P280" s="167"/>
      <c r="Q280" s="167"/>
      <c r="R280" s="167"/>
      <c r="S280" s="167"/>
      <c r="T280" s="167"/>
      <c r="U280" s="167"/>
    </row>
    <row r="281" spans="1:43" s="6" customFormat="1" x14ac:dyDescent="0.25">
      <c r="A281" s="323" t="s">
        <v>173</v>
      </c>
      <c r="B281" s="189" t="s">
        <v>2114</v>
      </c>
      <c r="C281" s="253"/>
      <c r="D281" s="253"/>
      <c r="E281" s="253"/>
      <c r="F281" s="189"/>
      <c r="G281" s="253"/>
      <c r="H281" s="253"/>
      <c r="I281" s="253"/>
      <c r="J281" s="253"/>
      <c r="K281" s="253"/>
      <c r="L281" s="253"/>
      <c r="M281" s="253"/>
      <c r="N281" s="253"/>
      <c r="O281" s="253"/>
      <c r="P281" s="253"/>
      <c r="Q281" s="253"/>
      <c r="R281" s="253"/>
      <c r="S281" s="253"/>
      <c r="T281" s="253"/>
      <c r="U281" s="253"/>
      <c r="V281" s="253"/>
      <c r="W281" s="253"/>
      <c r="X281" s="253"/>
    </row>
    <row r="282" spans="1:43" s="6" customFormat="1" x14ac:dyDescent="0.25">
      <c r="A282" s="323" t="s">
        <v>173</v>
      </c>
      <c r="B282" s="189" t="str">
        <f t="shared" ref="B282:Y282" si="5">B790</f>
        <v>#实提记录</v>
      </c>
      <c r="C282" s="189" t="str">
        <f t="shared" si="5"/>
        <v>交割日</v>
      </c>
      <c r="D282" s="189" t="str">
        <f t="shared" si="5"/>
        <v>投资者</v>
      </c>
      <c r="E282" s="189" t="str">
        <f t="shared" si="5"/>
        <v>投资单元</v>
      </c>
      <c r="F282" s="189" t="str">
        <f t="shared" si="5"/>
        <v>资金账号</v>
      </c>
      <c r="G282" s="189" t="str">
        <f t="shared" si="5"/>
        <v>结算日期</v>
      </c>
      <c r="H282" s="189" t="str">
        <f t="shared" si="5"/>
        <v>交易所</v>
      </c>
      <c r="I282" s="189" t="str">
        <f t="shared" si="5"/>
        <v>合约</v>
      </c>
      <c r="J282" s="189" t="str">
        <f t="shared" si="5"/>
        <v>#合约乘数</v>
      </c>
      <c r="K282" s="189" t="str">
        <f t="shared" si="5"/>
        <v>买/卖</v>
      </c>
      <c r="L282" s="189" t="str">
        <f t="shared" si="5"/>
        <v>投机/套保</v>
      </c>
      <c r="M282" s="189" t="str">
        <f t="shared" si="5"/>
        <v>交割数量</v>
      </c>
      <c r="N282" s="189" t="str">
        <f t="shared" si="5"/>
        <v>交割价格</v>
      </c>
      <c r="O282" s="189" t="str">
        <f t="shared" si="5"/>
        <v>交割手续费类型</v>
      </c>
      <c r="P282" s="189" t="str">
        <f t="shared" si="5"/>
        <v>当日收费数量</v>
      </c>
      <c r="Q282" s="189" t="str">
        <f t="shared" si="5"/>
        <v>累计收费数量</v>
      </c>
      <c r="R282" s="189" t="str">
        <f t="shared" si="5"/>
        <v>未收费数量</v>
      </c>
      <c r="S282" s="189" t="str">
        <f t="shared" si="5"/>
        <v>交割手续费率(按金额)</v>
      </c>
      <c r="T282" s="189" t="str">
        <f t="shared" si="5"/>
        <v>交割手续费率(按手数)</v>
      </c>
      <c r="U282" s="189" t="str">
        <f t="shared" si="5"/>
        <v>交割手续费</v>
      </c>
      <c r="V282" s="189" t="str">
        <f t="shared" si="5"/>
        <v>交割类型</v>
      </c>
      <c r="W282" s="189" t="str">
        <f t="shared" si="5"/>
        <v>交割是否完成</v>
      </c>
      <c r="X282" s="189" t="str">
        <f t="shared" si="5"/>
        <v>经纪公司</v>
      </c>
      <c r="Y282" s="189" t="str">
        <f t="shared" si="5"/>
        <v>币种</v>
      </c>
      <c r="Z282" s="189"/>
      <c r="AA282" s="189"/>
      <c r="AB282" s="189"/>
      <c r="AC282" s="189"/>
      <c r="AD282" s="189"/>
      <c r="AE282" s="189"/>
      <c r="AF282" s="189"/>
      <c r="AG282" s="189"/>
    </row>
    <row r="283" spans="1:43" s="6" customFormat="1" x14ac:dyDescent="0.25">
      <c r="A283" s="323" t="s">
        <v>173</v>
      </c>
      <c r="B283" s="189" t="str">
        <f t="shared" ref="B283:Y283" si="6">B791</f>
        <v>#实提记录</v>
      </c>
      <c r="C283" s="189" t="str">
        <f t="shared" si="6"/>
        <v>deliverydate</v>
      </c>
      <c r="D283" s="189" t="str">
        <f t="shared" si="6"/>
        <v>investorid</v>
      </c>
      <c r="E283" s="189" t="str">
        <f t="shared" si="6"/>
        <v>investunitid</v>
      </c>
      <c r="F283" s="189" t="str">
        <f t="shared" si="6"/>
        <v>accountid</v>
      </c>
      <c r="G283" s="189" t="str">
        <f t="shared" si="6"/>
        <v>settlementdate</v>
      </c>
      <c r="H283" s="189" t="str">
        <f t="shared" si="6"/>
        <v>exchangeid</v>
      </c>
      <c r="I283" s="189" t="str">
        <f t="shared" si="6"/>
        <v>instrumentid</v>
      </c>
      <c r="J283" s="189" t="str">
        <f t="shared" si="6"/>
        <v>#volumemultiple</v>
      </c>
      <c r="K283" s="189" t="str">
        <f t="shared" si="6"/>
        <v>posidirection</v>
      </c>
      <c r="L283" s="189" t="str">
        <f t="shared" si="6"/>
        <v>hedgeflag</v>
      </c>
      <c r="M283" s="189" t="str">
        <f t="shared" si="6"/>
        <v>volume</v>
      </c>
      <c r="N283" s="189" t="str">
        <f t="shared" si="6"/>
        <v>deliveryprice</v>
      </c>
      <c r="O283" s="189" t="str">
        <f t="shared" si="6"/>
        <v>delivfeeclass</v>
      </c>
      <c r="P283" s="189" t="str">
        <f t="shared" si="6"/>
        <v>currchargevolume</v>
      </c>
      <c r="Q283" s="189" t="str">
        <f t="shared" si="6"/>
        <v>chargevolume</v>
      </c>
      <c r="R283" s="189" t="str">
        <f t="shared" si="6"/>
        <v>unchargevolume</v>
      </c>
      <c r="S283" s="189" t="str">
        <f t="shared" si="6"/>
        <v>commratiobymoney</v>
      </c>
      <c r="T283" s="189" t="str">
        <f t="shared" si="6"/>
        <v>commratiobyvolume</v>
      </c>
      <c r="U283" s="189" t="str">
        <f t="shared" si="6"/>
        <v>delivfee</v>
      </c>
      <c r="V283" s="189" t="str">
        <f t="shared" si="6"/>
        <v>deliverytype</v>
      </c>
      <c r="W283" s="189" t="str">
        <f t="shared" si="6"/>
        <v>deliveryflag</v>
      </c>
      <c r="X283" s="189" t="str">
        <f t="shared" si="6"/>
        <v>brokerid</v>
      </c>
      <c r="Y283" s="189" t="str">
        <f t="shared" si="6"/>
        <v>currencyid</v>
      </c>
      <c r="Z283" s="189" t="s">
        <v>2125</v>
      </c>
      <c r="AA283" s="189" t="s">
        <v>2128</v>
      </c>
      <c r="AB283" s="189"/>
      <c r="AC283" s="189"/>
      <c r="AD283" s="189"/>
      <c r="AE283" s="189"/>
      <c r="AF283" s="189"/>
      <c r="AG283" s="189"/>
    </row>
    <row r="284" spans="1:43" s="6" customFormat="1" x14ac:dyDescent="0.25">
      <c r="A284" s="323" t="s">
        <v>173</v>
      </c>
      <c r="B284" s="668" t="str">
        <f>B794</f>
        <v>20180326B00102PTA8073214</v>
      </c>
      <c r="C284" s="189">
        <f>VLOOKUP(B284,$B$792:$AD$818,2,FALSE)</f>
        <v>20180326</v>
      </c>
      <c r="D284" s="253" t="str">
        <f>VLOOKUP(B284,$B$792:$AD$818,3,FALSE)</f>
        <v>6001</v>
      </c>
      <c r="E284" s="253" t="str">
        <f>VLOOKUP(B284,$B$792:$AD$818,4,FALSE)</f>
        <v>B00102</v>
      </c>
      <c r="F284" s="253" t="str">
        <f>VLOOKUP(B284,$B$792:$AD$818,5,FALSE)</f>
        <v>6001</v>
      </c>
      <c r="G284" s="189">
        <f>VLOOKUP(B284,$B$792:$AD$818,6,FALSE)</f>
        <v>20180326</v>
      </c>
      <c r="H284" s="253" t="str">
        <f>VLOOKUP(B284,$B$792:$AD$818,7,FALSE)</f>
        <v>CZCE</v>
      </c>
      <c r="I284" s="253" t="str">
        <f>VLOOKUP(B284,$B$792:$AD$818,8,FALSE)</f>
        <v>PTA807</v>
      </c>
      <c r="J284" s="253">
        <f>VLOOKUP(B284,$B$792:$AD$818,9,FALSE)</f>
        <v>5</v>
      </c>
      <c r="K284" s="253">
        <f>VLOOKUP(B284,$B$792:$AD$818,10,FALSE)</f>
        <v>2</v>
      </c>
      <c r="L284" s="253">
        <f>VLOOKUP(B284,$B$792:$AD$818,11,FALSE)</f>
        <v>3</v>
      </c>
      <c r="M284" s="253">
        <f>VLOOKUP(B284,$B$792:$AD$818,12,FALSE)</f>
        <v>4</v>
      </c>
      <c r="N284" s="253">
        <f>VLOOKUP(B284,$B$792:$AD$818,13,FALSE)</f>
        <v>6120</v>
      </c>
      <c r="O284" s="253">
        <f>VLOOKUP(B284,$B$792:$AD$818,14,FALSE)</f>
        <v>1</v>
      </c>
      <c r="P284" s="253">
        <f>VLOOKUP(B284,$B$792:$AD$818,15,FALSE)</f>
        <v>1</v>
      </c>
      <c r="Q284" s="253">
        <f>VLOOKUP(B284,$B$792:$AD$818,16,FALSE)</f>
        <v>4</v>
      </c>
      <c r="R284" s="253">
        <f>VLOOKUP(B284,$B$792:$AD$818,17,FALSE)</f>
        <v>0</v>
      </c>
      <c r="S284" s="253">
        <f>VLOOKUP(B284,$B$792:$AD$818,18,FALSE)</f>
        <v>3.0000000000000003E-4</v>
      </c>
      <c r="T284" s="253">
        <f>VLOOKUP(B284,$B$792:$AD$818,19,FALSE)</f>
        <v>3</v>
      </c>
      <c r="U284" s="253">
        <f>VLOOKUP(B284,$B$792:$AD$818,20,FALSE)</f>
        <v>12.18</v>
      </c>
      <c r="V284" s="253">
        <f>VLOOKUP(B284,$B$792:$AD$818,21,FALSE)</f>
        <v>1</v>
      </c>
      <c r="W284" s="253">
        <f>VLOOKUP(B284,$B$792:$AD$818,22,FALSE)</f>
        <v>2</v>
      </c>
      <c r="X284" s="253" t="str">
        <f>VLOOKUP(B284,$B$792:$AD$818,23,FALSE)</f>
        <v>9999</v>
      </c>
      <c r="Y284" s="253" t="str">
        <f>VLOOKUP(B284,$B$792:$AD$818,24,FALSE)</f>
        <v>CNY</v>
      </c>
    </row>
    <row r="285" spans="1:43" s="6" customFormat="1" x14ac:dyDescent="0.25">
      <c r="A285" s="323" t="s">
        <v>2130</v>
      </c>
      <c r="B285" s="253" t="str">
        <f>B795</f>
        <v>20180327B00101SR8091216</v>
      </c>
      <c r="C285" s="189">
        <f>VLOOKUP(B285,$B$792:$AD$818,2,FALSE)</f>
        <v>20180327</v>
      </c>
      <c r="D285" s="253" t="str">
        <f>VLOOKUP(B285,$B$792:$AD$818,3,FALSE)</f>
        <v>6001</v>
      </c>
      <c r="E285" s="253" t="str">
        <f>VLOOKUP(B285,$B$792:$AD$818,4,FALSE)</f>
        <v>B00101</v>
      </c>
      <c r="F285" s="253" t="str">
        <f>VLOOKUP(B285,$B$792:$AD$818,5,FALSE)</f>
        <v>6001</v>
      </c>
      <c r="G285" s="189">
        <f>VLOOKUP(B285,$B$792:$AD$818,6,FALSE)</f>
        <v>20180327</v>
      </c>
      <c r="H285" s="253" t="str">
        <f>VLOOKUP(B285,$B$792:$AD$818,7,FALSE)</f>
        <v>CZCE</v>
      </c>
      <c r="I285" s="253" t="str">
        <f>VLOOKUP(B285,$B$792:$AD$818,8,FALSE)</f>
        <v>SR809</v>
      </c>
      <c r="J285" s="253">
        <f>VLOOKUP(B285,$B$792:$AD$818,9,FALSE)</f>
        <v>10</v>
      </c>
      <c r="K285" s="253">
        <f>VLOOKUP(B285,$B$792:$AD$818,10,FALSE)</f>
        <v>2</v>
      </c>
      <c r="L285" s="253">
        <f>VLOOKUP(B285,$B$792:$AD$818,11,FALSE)</f>
        <v>1</v>
      </c>
      <c r="M285" s="253">
        <f>VLOOKUP(B285,$B$792:$AD$818,12,FALSE)</f>
        <v>6</v>
      </c>
      <c r="N285" s="253">
        <f>VLOOKUP(B285,$B$792:$AD$818,13,FALSE)</f>
        <v>6135</v>
      </c>
      <c r="O285" s="253">
        <f>VLOOKUP(B285,$B$792:$AD$818,14,FALSE)</f>
        <v>1</v>
      </c>
      <c r="P285" s="253">
        <f>VLOOKUP(B285,$B$792:$AD$818,15,FALSE)</f>
        <v>2</v>
      </c>
      <c r="Q285" s="253">
        <f>VLOOKUP(B285,$B$792:$AD$818,16,FALSE)</f>
        <v>6</v>
      </c>
      <c r="R285" s="253">
        <f>VLOOKUP(B285,$B$792:$AD$818,17,FALSE)</f>
        <v>0</v>
      </c>
      <c r="S285" s="253">
        <f>VLOOKUP(B285,$B$792:$AD$818,18,FALSE)</f>
        <v>2.0000000000000001E-4</v>
      </c>
      <c r="T285" s="253">
        <f>VLOOKUP(B285,$B$792:$AD$818,19,FALSE)</f>
        <v>2</v>
      </c>
      <c r="U285" s="253">
        <f>VLOOKUP(B285,$B$792:$AD$818,20,FALSE)</f>
        <v>28.54</v>
      </c>
      <c r="V285" s="253">
        <f>VLOOKUP(B285,$B$792:$AD$818,21,FALSE)</f>
        <v>1</v>
      </c>
      <c r="W285" s="253">
        <f>VLOOKUP(B285,$B$792:$AD$818,22,FALSE)</f>
        <v>2</v>
      </c>
      <c r="X285" s="253" t="str">
        <f>VLOOKUP(B285,$B$792:$AD$818,23,FALSE)</f>
        <v>9999</v>
      </c>
      <c r="Y285" s="253" t="str">
        <f>VLOOKUP(B285,$B$792:$AD$818,24,FALSE)</f>
        <v>CNY</v>
      </c>
    </row>
    <row r="286" spans="1:43" s="6" customFormat="1" ht="15.6" customHeight="1" x14ac:dyDescent="0.25">
      <c r="A286" s="323" t="s">
        <v>173</v>
      </c>
      <c r="B286" s="668" t="str">
        <f>B801</f>
        <v>20180326B00102PTA8073224</v>
      </c>
      <c r="C286" s="189">
        <f>VLOOKUP(B286,$B$792:$AD$818,2,FALSE)</f>
        <v>20180326</v>
      </c>
      <c r="D286" s="253" t="str">
        <f>VLOOKUP(B286,$B$792:$AD$818,3,FALSE)</f>
        <v>6001</v>
      </c>
      <c r="E286" s="253" t="str">
        <f>VLOOKUP(B286,$B$792:$AD$818,4,FALSE)</f>
        <v>B00102</v>
      </c>
      <c r="F286" s="253" t="str">
        <f>VLOOKUP(B286,$B$792:$AD$818,5,FALSE)</f>
        <v>6001</v>
      </c>
      <c r="G286" s="189">
        <f>VLOOKUP(B286,$B$792:$AD$818,6,FALSE)</f>
        <v>20180326</v>
      </c>
      <c r="H286" s="253" t="str">
        <f>VLOOKUP(B286,$B$792:$AD$818,7,FALSE)</f>
        <v>CZCE</v>
      </c>
      <c r="I286" s="253" t="str">
        <f>VLOOKUP(B286,$B$792:$AD$818,8,FALSE)</f>
        <v>PTA807</v>
      </c>
      <c r="J286" s="253">
        <f>VLOOKUP(B286,$B$792:$AD$818,9,FALSE)</f>
        <v>5</v>
      </c>
      <c r="K286" s="253">
        <f>VLOOKUP(B286,$B$792:$AD$818,10,FALSE)</f>
        <v>2</v>
      </c>
      <c r="L286" s="253">
        <f>VLOOKUP(B286,$B$792:$AD$818,11,FALSE)</f>
        <v>3</v>
      </c>
      <c r="M286" s="253">
        <f>VLOOKUP(B286,$B$792:$AD$818,12,FALSE)</f>
        <v>4</v>
      </c>
      <c r="N286" s="253">
        <f>VLOOKUP(B286,$B$792:$AD$818,13,FALSE)</f>
        <v>6120</v>
      </c>
      <c r="O286" s="253">
        <f>VLOOKUP(B286,$B$792:$AD$818,14,FALSE)</f>
        <v>2</v>
      </c>
      <c r="P286" s="253">
        <f>VLOOKUP(B286,$B$792:$AD$818,15,FALSE)</f>
        <v>1</v>
      </c>
      <c r="Q286" s="253">
        <f>VLOOKUP(B286,$B$792:$AD$818,16,FALSE)</f>
        <v>4</v>
      </c>
      <c r="R286" s="253">
        <f>VLOOKUP(B286,$B$792:$AD$818,17,FALSE)</f>
        <v>0</v>
      </c>
      <c r="S286" s="253">
        <f>VLOOKUP(B286,$B$792:$AD$818,18,FALSE)</f>
        <v>2.9999999999999997E-4</v>
      </c>
      <c r="T286" s="253">
        <f>VLOOKUP(B286,$B$792:$AD$818,19,FALSE)</f>
        <v>3</v>
      </c>
      <c r="U286" s="253">
        <f>VLOOKUP(B286,$B$792:$AD$818,20,FALSE)</f>
        <v>12.18</v>
      </c>
      <c r="V286" s="253">
        <f>VLOOKUP(B286,$B$792:$AD$818,21,FALSE)</f>
        <v>1</v>
      </c>
      <c r="W286" s="253">
        <f>VLOOKUP(B286,$B$792:$AD$818,22,FALSE)</f>
        <v>2</v>
      </c>
      <c r="X286" s="253" t="str">
        <f>VLOOKUP(B286,$B$792:$AD$818,23,FALSE)</f>
        <v>9999</v>
      </c>
      <c r="Y286" s="253" t="str">
        <f>VLOOKUP(B286,$B$792:$AD$818,24,FALSE)</f>
        <v>CNY</v>
      </c>
    </row>
    <row r="287" spans="1:43" s="6" customFormat="1" x14ac:dyDescent="0.25">
      <c r="A287" s="323" t="s">
        <v>2123</v>
      </c>
      <c r="B287" s="672" t="str">
        <f>B803</f>
        <v>20180328B00101SR80712116</v>
      </c>
      <c r="C287" s="189">
        <f>VLOOKUP(B287,$B$792:$AD$818,2,FALSE)</f>
        <v>20180328</v>
      </c>
      <c r="D287" s="253" t="str">
        <f>VLOOKUP(B287,$B$792:$AD$818,3,FALSE)</f>
        <v>6001</v>
      </c>
      <c r="E287" s="253" t="str">
        <f>VLOOKUP(B287,$B$792:$AD$818,4,FALSE)</f>
        <v>B00101</v>
      </c>
      <c r="F287" s="253" t="str">
        <f>VLOOKUP(B287,$B$792:$AD$818,5,FALSE)</f>
        <v>6001</v>
      </c>
      <c r="G287" s="189">
        <f>VLOOKUP(B287,$B$792:$AD$818,6,FALSE)</f>
        <v>20180328</v>
      </c>
      <c r="H287" s="253" t="str">
        <f>VLOOKUP(B287,$B$792:$AD$818,7,FALSE)</f>
        <v>CZCE</v>
      </c>
      <c r="I287" s="253" t="str">
        <f>VLOOKUP(B287,$B$792:$AD$818,8,FALSE)</f>
        <v>SR807</v>
      </c>
      <c r="J287" s="253">
        <f>VLOOKUP(B287,$B$792:$AD$818,9,FALSE)</f>
        <v>10</v>
      </c>
      <c r="K287" s="253">
        <f>VLOOKUP(B287,$B$792:$AD$818,10,FALSE)</f>
        <v>2</v>
      </c>
      <c r="L287" s="253">
        <f>VLOOKUP(B287,$B$792:$AD$818,11,FALSE)</f>
        <v>1</v>
      </c>
      <c r="M287" s="253">
        <f>VLOOKUP(B287,$B$792:$AD$818,12,FALSE)</f>
        <v>16</v>
      </c>
      <c r="N287" s="253">
        <f>VLOOKUP(B287,$B$792:$AD$818,13,FALSE)</f>
        <v>6170</v>
      </c>
      <c r="O287" s="253">
        <f>VLOOKUP(B287,$B$792:$AD$818,14,FALSE)</f>
        <v>1</v>
      </c>
      <c r="P287" s="253">
        <f>VLOOKUP(B287,$B$792:$AD$818,15,FALSE)</f>
        <v>16</v>
      </c>
      <c r="Q287" s="253">
        <f>VLOOKUP(B287,$B$792:$AD$818,16,FALSE)</f>
        <v>16</v>
      </c>
      <c r="R287" s="253">
        <f>VLOOKUP(B287,$B$792:$AD$818,17,FALSE)</f>
        <v>0</v>
      </c>
      <c r="S287" s="253">
        <f>VLOOKUP(B287,$B$792:$AD$818,18,FALSE)</f>
        <v>2.0000000000000001E-4</v>
      </c>
      <c r="T287" s="253">
        <f>VLOOKUP(B287,$B$792:$AD$818,19,FALSE)</f>
        <v>2</v>
      </c>
      <c r="U287" s="253">
        <f>VLOOKUP(B287,$B$792:$AD$818,20,FALSE)</f>
        <v>229.44</v>
      </c>
      <c r="V287" s="253">
        <f>VLOOKUP(B287,$B$792:$AD$818,21,FALSE)</f>
        <v>2</v>
      </c>
      <c r="W287" s="253">
        <f>VLOOKUP(B287,$B$792:$AD$818,22,FALSE)</f>
        <v>2</v>
      </c>
      <c r="X287" s="253" t="str">
        <f>VLOOKUP(B287,$B$792:$AD$818,23,FALSE)</f>
        <v>9999</v>
      </c>
      <c r="Y287" s="253" t="str">
        <f>VLOOKUP(B287,$B$792:$AD$818,24,FALSE)</f>
        <v>CNY</v>
      </c>
    </row>
    <row r="288" spans="1:43" s="6" customFormat="1" x14ac:dyDescent="0.25">
      <c r="A288" s="323" t="s">
        <v>2123</v>
      </c>
      <c r="B288" s="672" t="str">
        <f>B811</f>
        <v>20180328B00101SR80712216</v>
      </c>
      <c r="C288" s="189">
        <f>VLOOKUP(B288,$B$792:$AD$818,2,FALSE)</f>
        <v>20180328</v>
      </c>
      <c r="D288" s="253" t="str">
        <f>VLOOKUP(B288,$B$792:$AD$818,3,FALSE)</f>
        <v>6001</v>
      </c>
      <c r="E288" s="253" t="str">
        <f>VLOOKUP(B288,$B$792:$AD$818,4,FALSE)</f>
        <v>B00101</v>
      </c>
      <c r="F288" s="253" t="str">
        <f>VLOOKUP(B288,$B$792:$AD$818,5,FALSE)</f>
        <v>6001</v>
      </c>
      <c r="G288" s="189">
        <f>VLOOKUP(B288,$B$792:$AD$818,6,FALSE)</f>
        <v>20180328</v>
      </c>
      <c r="H288" s="253" t="str">
        <f>VLOOKUP(B288,$B$792:$AD$818,7,FALSE)</f>
        <v>CZCE</v>
      </c>
      <c r="I288" s="253" t="str">
        <f>VLOOKUP(B288,$B$792:$AD$818,8,FALSE)</f>
        <v>SR807</v>
      </c>
      <c r="J288" s="253">
        <f>VLOOKUP(B288,$B$792:$AD$818,9,FALSE)</f>
        <v>10</v>
      </c>
      <c r="K288" s="253">
        <f>VLOOKUP(B288,$B$792:$AD$818,10,FALSE)</f>
        <v>2</v>
      </c>
      <c r="L288" s="253">
        <f>VLOOKUP(B288,$B$792:$AD$818,11,FALSE)</f>
        <v>1</v>
      </c>
      <c r="M288" s="253">
        <f>VLOOKUP(B288,$B$792:$AD$818,12,FALSE)</f>
        <v>16</v>
      </c>
      <c r="N288" s="253">
        <f>VLOOKUP(B288,$B$792:$AD$818,13,FALSE)</f>
        <v>6170</v>
      </c>
      <c r="O288" s="253">
        <f>VLOOKUP(B288,$B$792:$AD$818,14,FALSE)</f>
        <v>2</v>
      </c>
      <c r="P288" s="253">
        <f>VLOOKUP(B288,$B$792:$AD$818,15,FALSE)</f>
        <v>16</v>
      </c>
      <c r="Q288" s="253">
        <f>VLOOKUP(B288,$B$792:$AD$818,16,FALSE)</f>
        <v>16</v>
      </c>
      <c r="R288" s="253">
        <f>VLOOKUP(B288,$B$792:$AD$818,17,FALSE)</f>
        <v>0</v>
      </c>
      <c r="S288" s="253">
        <f>VLOOKUP(B288,$B$792:$AD$818,18,FALSE)</f>
        <v>2.9999999999999997E-4</v>
      </c>
      <c r="T288" s="253">
        <f>VLOOKUP(B288,$B$792:$AD$818,19,FALSE)</f>
        <v>3</v>
      </c>
      <c r="U288" s="253">
        <f>VLOOKUP(B288,$B$792:$AD$818,20,FALSE)</f>
        <v>344.16</v>
      </c>
      <c r="V288" s="253">
        <f>VLOOKUP(B288,$B$792:$AD$818,21,FALSE)</f>
        <v>2</v>
      </c>
      <c r="W288" s="253">
        <f>VLOOKUP(B288,$B$792:$AD$818,22,FALSE)</f>
        <v>2</v>
      </c>
      <c r="X288" s="253" t="str">
        <f>VLOOKUP(B288,$B$792:$AD$818,23,FALSE)</f>
        <v>9999</v>
      </c>
      <c r="Y288" s="253" t="str">
        <f>VLOOKUP(B288,$B$792:$AD$818,24,FALSE)</f>
        <v>CNY</v>
      </c>
    </row>
    <row r="289" spans="1:40" s="6" customFormat="1" x14ac:dyDescent="0.25">
      <c r="A289" s="323" t="s">
        <v>1346</v>
      </c>
      <c r="B289" s="254" t="s">
        <v>2110</v>
      </c>
      <c r="C289" s="254"/>
      <c r="D289" s="254"/>
      <c r="E289" s="252"/>
      <c r="F289" s="252"/>
      <c r="G289" s="252"/>
      <c r="H289" s="252"/>
      <c r="I289" s="252"/>
      <c r="J289" s="252"/>
      <c r="K289" s="252"/>
      <c r="L289" s="252"/>
      <c r="M289" s="252"/>
      <c r="N289" s="252"/>
      <c r="O289" s="252"/>
      <c r="P289" s="252"/>
      <c r="Q289" s="252"/>
      <c r="R289" s="252"/>
      <c r="S289" s="252"/>
      <c r="T289" s="252"/>
      <c r="U289" s="252"/>
      <c r="V289" s="252"/>
      <c r="W289" s="252"/>
      <c r="X289" s="252"/>
    </row>
    <row r="290" spans="1:40" s="6" customFormat="1" x14ac:dyDescent="0.25">
      <c r="A290" s="323" t="s">
        <v>2112</v>
      </c>
      <c r="B290" s="743" t="s">
        <v>2111</v>
      </c>
      <c r="C290" s="743"/>
      <c r="D290" s="743"/>
      <c r="E290" s="743"/>
      <c r="F290" s="743"/>
      <c r="G290" s="743"/>
      <c r="H290" s="743"/>
      <c r="I290" s="743"/>
      <c r="J290" s="743"/>
      <c r="K290" s="743"/>
      <c r="L290" s="743"/>
      <c r="M290" s="743"/>
      <c r="N290" s="743"/>
      <c r="O290" s="743"/>
      <c r="P290" s="743"/>
      <c r="Q290" s="743"/>
      <c r="R290" s="743"/>
      <c r="S290" s="743"/>
      <c r="T290" s="743"/>
      <c r="U290" s="743"/>
      <c r="V290" s="743"/>
      <c r="W290" s="743"/>
      <c r="X290" s="743"/>
      <c r="Y290" s="743"/>
      <c r="Z290" s="743"/>
      <c r="AA290" s="743"/>
      <c r="AB290" s="743"/>
      <c r="AC290" s="743"/>
      <c r="AD290" s="743"/>
      <c r="AE290" s="743"/>
      <c r="AF290" s="743"/>
      <c r="AG290" s="743"/>
      <c r="AH290" s="743"/>
      <c r="AI290" s="743"/>
      <c r="AJ290" s="744"/>
      <c r="AK290" s="695" t="s">
        <v>1126</v>
      </c>
      <c r="AL290" s="695" t="s">
        <v>1494</v>
      </c>
      <c r="AM290" s="695" t="s">
        <v>1495</v>
      </c>
      <c r="AN290" s="695" t="s">
        <v>1496</v>
      </c>
    </row>
    <row r="291" spans="1:40" s="6" customFormat="1" x14ac:dyDescent="0.25">
      <c r="A291" s="323"/>
      <c r="B291" s="656" t="s">
        <v>1479</v>
      </c>
      <c r="C291" s="656" t="s">
        <v>2079</v>
      </c>
      <c r="D291" s="656" t="s">
        <v>2080</v>
      </c>
      <c r="E291" s="656" t="s">
        <v>2081</v>
      </c>
      <c r="F291" s="656" t="s">
        <v>2082</v>
      </c>
      <c r="G291" s="656" t="s">
        <v>1483</v>
      </c>
      <c r="H291" s="656" t="s">
        <v>2083</v>
      </c>
      <c r="I291" s="656" t="s">
        <v>1480</v>
      </c>
      <c r="J291" s="656" t="s">
        <v>2084</v>
      </c>
      <c r="K291" s="656" t="s">
        <v>2085</v>
      </c>
      <c r="L291" s="656" t="s">
        <v>1486</v>
      </c>
      <c r="M291" s="656" t="s">
        <v>1442</v>
      </c>
      <c r="N291" s="656" t="s">
        <v>2086</v>
      </c>
      <c r="O291" s="656" t="s">
        <v>2087</v>
      </c>
      <c r="P291" s="656" t="s">
        <v>2088</v>
      </c>
      <c r="Q291" s="656" t="s">
        <v>2089</v>
      </c>
      <c r="R291" s="656" t="s">
        <v>2090</v>
      </c>
      <c r="S291" s="656" t="s">
        <v>2091</v>
      </c>
      <c r="T291" s="656" t="s">
        <v>2092</v>
      </c>
      <c r="U291" s="656" t="s">
        <v>2109</v>
      </c>
      <c r="V291" s="656" t="s">
        <v>2093</v>
      </c>
      <c r="W291" s="656" t="s">
        <v>2094</v>
      </c>
      <c r="X291" s="656" t="s">
        <v>2124</v>
      </c>
      <c r="Y291" s="656" t="s">
        <v>2126</v>
      </c>
      <c r="Z291" s="656" t="s">
        <v>2127</v>
      </c>
      <c r="AA291" s="656" t="s">
        <v>2098</v>
      </c>
      <c r="AB291" s="656" t="s">
        <v>2099</v>
      </c>
      <c r="AC291" s="656" t="s">
        <v>2100</v>
      </c>
      <c r="AD291" s="656" t="s">
        <v>2101</v>
      </c>
      <c r="AE291" s="656" t="s">
        <v>2102</v>
      </c>
      <c r="AF291" s="656" t="s">
        <v>2103</v>
      </c>
      <c r="AG291" s="656" t="s">
        <v>2104</v>
      </c>
      <c r="AH291" s="656" t="s">
        <v>2105</v>
      </c>
      <c r="AI291" s="656" t="s">
        <v>2106</v>
      </c>
      <c r="AJ291" s="656" t="s">
        <v>2107</v>
      </c>
      <c r="AK291" s="696"/>
      <c r="AL291" s="696"/>
      <c r="AM291" s="696"/>
      <c r="AN291" s="696"/>
    </row>
    <row r="292" spans="1:40" s="6" customFormat="1" x14ac:dyDescent="0.25">
      <c r="A292" s="323"/>
      <c r="B292" s="253" t="str">
        <f>X285</f>
        <v>9999</v>
      </c>
      <c r="C292" s="189">
        <f>G284</f>
        <v>20180326</v>
      </c>
      <c r="D292" s="189">
        <f>C284</f>
        <v>20180326</v>
      </c>
      <c r="E292" s="253" t="str">
        <f>D284</f>
        <v>6001</v>
      </c>
      <c r="F292" s="253" t="str">
        <f>E284</f>
        <v>B00102</v>
      </c>
      <c r="G292" s="253" t="str">
        <f>F285</f>
        <v>6001</v>
      </c>
      <c r="H292" s="253" t="str">
        <f>Y285</f>
        <v>CNY</v>
      </c>
      <c r="I292" s="248" t="str">
        <f>H285</f>
        <v>CZCE</v>
      </c>
      <c r="J292" s="248" t="str">
        <f>I284</f>
        <v>PTA807</v>
      </c>
      <c r="K292" s="113">
        <f>L284</f>
        <v>3</v>
      </c>
      <c r="L292" s="113">
        <f>K284</f>
        <v>2</v>
      </c>
      <c r="M292" s="182">
        <f>M284</f>
        <v>4</v>
      </c>
      <c r="N292" s="181">
        <f>N284</f>
        <v>6120</v>
      </c>
      <c r="O292" s="181">
        <f>J284</f>
        <v>5</v>
      </c>
      <c r="P292" s="167">
        <f>VLOOKUP(J292,$C$19:$F$31,4,FALSE)</f>
        <v>20180328</v>
      </c>
      <c r="Q292" s="181">
        <f>V284</f>
        <v>1</v>
      </c>
      <c r="R292" s="181"/>
      <c r="S292" s="181">
        <f>P286</f>
        <v>1</v>
      </c>
      <c r="T292" s="181">
        <f>P284</f>
        <v>1</v>
      </c>
      <c r="U292" s="181">
        <v>0</v>
      </c>
      <c r="V292" s="181">
        <v>0</v>
      </c>
      <c r="W292" s="181">
        <f>Q286</f>
        <v>4</v>
      </c>
      <c r="X292" s="181">
        <f>Q284</f>
        <v>4</v>
      </c>
      <c r="Y292" s="181">
        <f>R286</f>
        <v>0</v>
      </c>
      <c r="Z292" s="181">
        <f>R284</f>
        <v>0</v>
      </c>
      <c r="AA292" s="181">
        <f>S286</f>
        <v>2.9999999999999997E-4</v>
      </c>
      <c r="AB292" s="181">
        <f>S284</f>
        <v>3.0000000000000003E-4</v>
      </c>
      <c r="AC292" s="181">
        <f>T286</f>
        <v>3</v>
      </c>
      <c r="AD292" s="229">
        <f>T284</f>
        <v>3</v>
      </c>
      <c r="AE292" s="229">
        <f>U286</f>
        <v>12.18</v>
      </c>
      <c r="AF292" s="229">
        <f>U284</f>
        <v>12.18</v>
      </c>
      <c r="AG292" s="229">
        <f>U286</f>
        <v>12.18</v>
      </c>
      <c r="AH292" s="229">
        <f>U284</f>
        <v>12.18</v>
      </c>
      <c r="AI292" s="229">
        <f>W286</f>
        <v>2</v>
      </c>
      <c r="AJ292" s="229">
        <f>W284</f>
        <v>2</v>
      </c>
      <c r="AK292" s="111" t="s">
        <v>1128</v>
      </c>
      <c r="AL292" s="111"/>
      <c r="AM292" s="111"/>
      <c r="AN292" s="111"/>
    </row>
    <row r="293" spans="1:40" s="6" customFormat="1" x14ac:dyDescent="0.25">
      <c r="A293" s="323" t="s">
        <v>1346</v>
      </c>
      <c r="B293" s="254" t="s">
        <v>2110</v>
      </c>
      <c r="C293" s="254"/>
      <c r="D293" s="254"/>
      <c r="E293" s="252"/>
      <c r="F293" s="252"/>
      <c r="G293" s="252"/>
      <c r="H293" s="252"/>
      <c r="I293" s="252"/>
      <c r="J293" s="252"/>
      <c r="K293" s="252"/>
      <c r="L293" s="252"/>
      <c r="M293" s="252"/>
      <c r="N293" s="252"/>
      <c r="O293" s="252"/>
      <c r="P293" s="252"/>
      <c r="Q293" s="252"/>
      <c r="R293" s="252"/>
      <c r="S293" s="252"/>
      <c r="T293" s="252"/>
      <c r="U293" s="252"/>
      <c r="V293" s="252"/>
      <c r="W293" s="252"/>
      <c r="X293" s="252"/>
    </row>
    <row r="294" spans="1:40" s="6" customFormat="1" x14ac:dyDescent="0.25">
      <c r="A294" s="323" t="s">
        <v>2112</v>
      </c>
      <c r="B294" s="743" t="s">
        <v>2111</v>
      </c>
      <c r="C294" s="743"/>
      <c r="D294" s="743"/>
      <c r="E294" s="743"/>
      <c r="F294" s="743"/>
      <c r="G294" s="743"/>
      <c r="H294" s="743"/>
      <c r="I294" s="743"/>
      <c r="J294" s="743"/>
      <c r="K294" s="743"/>
      <c r="L294" s="743"/>
      <c r="M294" s="743"/>
      <c r="N294" s="743"/>
      <c r="O294" s="743"/>
      <c r="P294" s="743"/>
      <c r="Q294" s="743"/>
      <c r="R294" s="743"/>
      <c r="S294" s="743"/>
      <c r="T294" s="743"/>
      <c r="U294" s="743"/>
      <c r="V294" s="743"/>
      <c r="W294" s="743"/>
      <c r="X294" s="743"/>
      <c r="Y294" s="743"/>
      <c r="Z294" s="743"/>
      <c r="AA294" s="743"/>
      <c r="AB294" s="743"/>
      <c r="AC294" s="743"/>
      <c r="AD294" s="743"/>
      <c r="AE294" s="743"/>
      <c r="AF294" s="743"/>
      <c r="AG294" s="743"/>
      <c r="AH294" s="743"/>
      <c r="AI294" s="743"/>
      <c r="AJ294" s="744"/>
      <c r="AK294" s="695" t="s">
        <v>1126</v>
      </c>
      <c r="AL294" s="695" t="s">
        <v>1494</v>
      </c>
      <c r="AM294" s="695" t="s">
        <v>1495</v>
      </c>
      <c r="AN294" s="695" t="s">
        <v>1496</v>
      </c>
    </row>
    <row r="295" spans="1:40" s="6" customFormat="1" x14ac:dyDescent="0.25">
      <c r="A295" s="323"/>
      <c r="B295" s="656" t="s">
        <v>1479</v>
      </c>
      <c r="C295" s="656" t="s">
        <v>2079</v>
      </c>
      <c r="D295" s="656" t="s">
        <v>2080</v>
      </c>
      <c r="E295" s="656" t="s">
        <v>2081</v>
      </c>
      <c r="F295" s="656" t="s">
        <v>2082</v>
      </c>
      <c r="G295" s="656" t="s">
        <v>1483</v>
      </c>
      <c r="H295" s="656" t="s">
        <v>2083</v>
      </c>
      <c r="I295" s="656" t="s">
        <v>1480</v>
      </c>
      <c r="J295" s="656" t="s">
        <v>2084</v>
      </c>
      <c r="K295" s="656" t="s">
        <v>2085</v>
      </c>
      <c r="L295" s="656" t="s">
        <v>1486</v>
      </c>
      <c r="M295" s="656" t="s">
        <v>1442</v>
      </c>
      <c r="N295" s="656" t="s">
        <v>2086</v>
      </c>
      <c r="O295" s="656" t="s">
        <v>2087</v>
      </c>
      <c r="P295" s="656" t="s">
        <v>2088</v>
      </c>
      <c r="Q295" s="656" t="s">
        <v>2089</v>
      </c>
      <c r="R295" s="656" t="s">
        <v>2090</v>
      </c>
      <c r="S295" s="656" t="s">
        <v>2091</v>
      </c>
      <c r="T295" s="656" t="s">
        <v>2092</v>
      </c>
      <c r="U295" s="656" t="s">
        <v>2109</v>
      </c>
      <c r="V295" s="656" t="s">
        <v>2093</v>
      </c>
      <c r="W295" s="656" t="s">
        <v>2094</v>
      </c>
      <c r="X295" s="656" t="s">
        <v>2124</v>
      </c>
      <c r="Y295" s="656" t="s">
        <v>2126</v>
      </c>
      <c r="Z295" s="656" t="s">
        <v>2127</v>
      </c>
      <c r="AA295" s="656" t="s">
        <v>2098</v>
      </c>
      <c r="AB295" s="656" t="s">
        <v>2099</v>
      </c>
      <c r="AC295" s="656" t="s">
        <v>2100</v>
      </c>
      <c r="AD295" s="656" t="s">
        <v>2101</v>
      </c>
      <c r="AE295" s="656" t="s">
        <v>2102</v>
      </c>
      <c r="AF295" s="656" t="s">
        <v>2103</v>
      </c>
      <c r="AG295" s="656" t="s">
        <v>2104</v>
      </c>
      <c r="AH295" s="656" t="s">
        <v>2105</v>
      </c>
      <c r="AI295" s="656" t="s">
        <v>2106</v>
      </c>
      <c r="AJ295" s="656" t="s">
        <v>2107</v>
      </c>
      <c r="AK295" s="696"/>
      <c r="AL295" s="696"/>
      <c r="AM295" s="696"/>
      <c r="AN295" s="696"/>
    </row>
    <row r="296" spans="1:40" s="6" customFormat="1" x14ac:dyDescent="0.25">
      <c r="A296" s="323"/>
      <c r="B296" s="253" t="str">
        <f t="shared" ref="B296" si="7">X286</f>
        <v>9999</v>
      </c>
      <c r="C296" s="189">
        <f>G285</f>
        <v>20180327</v>
      </c>
      <c r="D296" s="189">
        <f>C285</f>
        <v>20180327</v>
      </c>
      <c r="E296" s="253" t="str">
        <f>D285</f>
        <v>6001</v>
      </c>
      <c r="F296" s="253" t="str">
        <f t="shared" ref="F296:G296" si="8">E285</f>
        <v>B00101</v>
      </c>
      <c r="G296" s="253" t="str">
        <f t="shared" si="8"/>
        <v>6001</v>
      </c>
      <c r="H296" s="252" t="str">
        <f>H292</f>
        <v>CNY</v>
      </c>
      <c r="I296" s="181" t="str">
        <f>I292</f>
        <v>CZCE</v>
      </c>
      <c r="J296" s="181" t="str">
        <f>I285</f>
        <v>SR809</v>
      </c>
      <c r="K296" s="182">
        <f>L285</f>
        <v>1</v>
      </c>
      <c r="L296" s="182">
        <f>K286</f>
        <v>2</v>
      </c>
      <c r="M296" s="182">
        <f>M285</f>
        <v>6</v>
      </c>
      <c r="N296" s="181">
        <f>N285</f>
        <v>6135</v>
      </c>
      <c r="O296" s="181">
        <f>J285</f>
        <v>10</v>
      </c>
      <c r="P296" s="167">
        <f>VLOOKUP(J296,$C$19:$F$31,4,FALSE)</f>
        <v>20180333</v>
      </c>
      <c r="Q296" s="181">
        <f>V285</f>
        <v>1</v>
      </c>
      <c r="R296" s="181"/>
      <c r="S296" s="181">
        <v>0</v>
      </c>
      <c r="T296" s="181">
        <f>P285</f>
        <v>2</v>
      </c>
      <c r="U296" s="181">
        <v>0</v>
      </c>
      <c r="V296" s="181">
        <v>0</v>
      </c>
      <c r="W296" s="181">
        <v>0</v>
      </c>
      <c r="X296" s="669">
        <f>Q285</f>
        <v>6</v>
      </c>
      <c r="Y296" s="181">
        <f>Q285</f>
        <v>6</v>
      </c>
      <c r="Z296" s="670">
        <v>0</v>
      </c>
      <c r="AA296" s="181">
        <f>S286</f>
        <v>2.9999999999999997E-4</v>
      </c>
      <c r="AB296" s="181">
        <f>S285</f>
        <v>2.0000000000000001E-4</v>
      </c>
      <c r="AC296" s="181">
        <f>AC292</f>
        <v>3</v>
      </c>
      <c r="AD296" s="229">
        <f>T285</f>
        <v>2</v>
      </c>
      <c r="AE296" s="229">
        <v>0</v>
      </c>
      <c r="AF296" s="229">
        <f>U285</f>
        <v>28.54</v>
      </c>
      <c r="AG296" s="229">
        <v>0</v>
      </c>
      <c r="AH296" s="229">
        <f>AF296</f>
        <v>28.54</v>
      </c>
      <c r="AI296" s="671">
        <f>1</f>
        <v>1</v>
      </c>
      <c r="AJ296" s="229">
        <f>W285</f>
        <v>2</v>
      </c>
      <c r="AK296" s="167" t="s">
        <v>2129</v>
      </c>
      <c r="AL296" s="167"/>
      <c r="AM296" s="167"/>
      <c r="AN296" s="167"/>
    </row>
    <row r="297" spans="1:40" s="6" customFormat="1" x14ac:dyDescent="0.25">
      <c r="A297" s="323" t="s">
        <v>1346</v>
      </c>
      <c r="B297" s="254" t="s">
        <v>2110</v>
      </c>
      <c r="C297" s="254"/>
      <c r="D297" s="254"/>
      <c r="E297" s="252"/>
      <c r="F297" s="252"/>
      <c r="G297" s="252"/>
      <c r="H297" s="252"/>
      <c r="I297" s="252"/>
      <c r="J297" s="252"/>
      <c r="K297" s="252"/>
      <c r="L297" s="252"/>
      <c r="M297" s="252"/>
      <c r="N297" s="252"/>
      <c r="O297" s="252"/>
      <c r="P297" s="252"/>
      <c r="Q297" s="252"/>
      <c r="R297" s="252"/>
      <c r="S297" s="252"/>
      <c r="T297" s="252"/>
      <c r="U297" s="252"/>
      <c r="V297" s="252"/>
      <c r="W297" s="252"/>
      <c r="X297" s="252"/>
    </row>
    <row r="298" spans="1:40" s="6" customFormat="1" x14ac:dyDescent="0.25">
      <c r="A298" s="323" t="s">
        <v>2112</v>
      </c>
      <c r="B298" s="743" t="s">
        <v>2111</v>
      </c>
      <c r="C298" s="743"/>
      <c r="D298" s="743"/>
      <c r="E298" s="743"/>
      <c r="F298" s="743"/>
      <c r="G298" s="743"/>
      <c r="H298" s="743"/>
      <c r="I298" s="743"/>
      <c r="J298" s="743"/>
      <c r="K298" s="743"/>
      <c r="L298" s="743"/>
      <c r="M298" s="743"/>
      <c r="N298" s="743"/>
      <c r="O298" s="743"/>
      <c r="P298" s="743"/>
      <c r="Q298" s="743"/>
      <c r="R298" s="743"/>
      <c r="S298" s="743"/>
      <c r="T298" s="743"/>
      <c r="U298" s="743"/>
      <c r="V298" s="743"/>
      <c r="W298" s="743"/>
      <c r="X298" s="743"/>
      <c r="Y298" s="743"/>
      <c r="Z298" s="743"/>
      <c r="AA298" s="743"/>
      <c r="AB298" s="743"/>
      <c r="AC298" s="743"/>
      <c r="AD298" s="743"/>
      <c r="AE298" s="743"/>
      <c r="AF298" s="743"/>
      <c r="AG298" s="743"/>
      <c r="AH298" s="743"/>
      <c r="AI298" s="743"/>
      <c r="AJ298" s="744"/>
      <c r="AK298" s="695" t="s">
        <v>1126</v>
      </c>
      <c r="AL298" s="695" t="s">
        <v>1494</v>
      </c>
      <c r="AM298" s="695" t="s">
        <v>1495</v>
      </c>
      <c r="AN298" s="695" t="s">
        <v>1496</v>
      </c>
    </row>
    <row r="299" spans="1:40" s="6" customFormat="1" x14ac:dyDescent="0.25">
      <c r="A299" s="323"/>
      <c r="B299" s="656" t="s">
        <v>1479</v>
      </c>
      <c r="C299" s="656" t="s">
        <v>2079</v>
      </c>
      <c r="D299" s="656" t="s">
        <v>2080</v>
      </c>
      <c r="E299" s="656" t="s">
        <v>2081</v>
      </c>
      <c r="F299" s="656" t="s">
        <v>2082</v>
      </c>
      <c r="G299" s="656" t="s">
        <v>1483</v>
      </c>
      <c r="H299" s="656" t="s">
        <v>2083</v>
      </c>
      <c r="I299" s="656" t="s">
        <v>1480</v>
      </c>
      <c r="J299" s="656" t="s">
        <v>2084</v>
      </c>
      <c r="K299" s="656" t="s">
        <v>2085</v>
      </c>
      <c r="L299" s="656" t="s">
        <v>1486</v>
      </c>
      <c r="M299" s="656" t="s">
        <v>1442</v>
      </c>
      <c r="N299" s="656" t="s">
        <v>2086</v>
      </c>
      <c r="O299" s="656" t="s">
        <v>2087</v>
      </c>
      <c r="P299" s="656" t="s">
        <v>2088</v>
      </c>
      <c r="Q299" s="656" t="s">
        <v>2089</v>
      </c>
      <c r="R299" s="656" t="s">
        <v>2090</v>
      </c>
      <c r="S299" s="656" t="s">
        <v>2091</v>
      </c>
      <c r="T299" s="656" t="s">
        <v>2092</v>
      </c>
      <c r="U299" s="656" t="s">
        <v>2109</v>
      </c>
      <c r="V299" s="656" t="s">
        <v>2093</v>
      </c>
      <c r="W299" s="656" t="s">
        <v>2094</v>
      </c>
      <c r="X299" s="656" t="s">
        <v>2124</v>
      </c>
      <c r="Y299" s="656" t="s">
        <v>2126</v>
      </c>
      <c r="Z299" s="656" t="s">
        <v>2127</v>
      </c>
      <c r="AA299" s="656" t="s">
        <v>2098</v>
      </c>
      <c r="AB299" s="656" t="s">
        <v>2099</v>
      </c>
      <c r="AC299" s="656" t="s">
        <v>2100</v>
      </c>
      <c r="AD299" s="656" t="s">
        <v>2101</v>
      </c>
      <c r="AE299" s="656" t="s">
        <v>2102</v>
      </c>
      <c r="AF299" s="656" t="s">
        <v>2103</v>
      </c>
      <c r="AG299" s="656" t="s">
        <v>2104</v>
      </c>
      <c r="AH299" s="656" t="s">
        <v>2105</v>
      </c>
      <c r="AI299" s="656" t="s">
        <v>2106</v>
      </c>
      <c r="AJ299" s="656" t="s">
        <v>2107</v>
      </c>
      <c r="AK299" s="696"/>
      <c r="AL299" s="696"/>
      <c r="AM299" s="696"/>
      <c r="AN299" s="696"/>
    </row>
    <row r="300" spans="1:40" s="6" customFormat="1" x14ac:dyDescent="0.25">
      <c r="A300" s="323"/>
      <c r="B300" s="253" t="str">
        <f>X287</f>
        <v>9999</v>
      </c>
      <c r="C300" s="189">
        <f>G287</f>
        <v>20180328</v>
      </c>
      <c r="D300" s="189">
        <f>C287</f>
        <v>20180328</v>
      </c>
      <c r="E300" s="253" t="str">
        <f>D287</f>
        <v>6001</v>
      </c>
      <c r="F300" s="253" t="str">
        <f>E287</f>
        <v>B00101</v>
      </c>
      <c r="G300" s="253" t="str">
        <f>F287</f>
        <v>6001</v>
      </c>
      <c r="H300" s="253" t="str">
        <f>H296</f>
        <v>CNY</v>
      </c>
      <c r="I300" s="253" t="str">
        <f>H287</f>
        <v>CZCE</v>
      </c>
      <c r="J300" s="253" t="str">
        <f>I287</f>
        <v>SR807</v>
      </c>
      <c r="K300" s="182">
        <f>L287</f>
        <v>1</v>
      </c>
      <c r="L300" s="182">
        <f>K287</f>
        <v>2</v>
      </c>
      <c r="M300" s="182">
        <f>M287</f>
        <v>16</v>
      </c>
      <c r="N300" s="181">
        <f>N287</f>
        <v>6170</v>
      </c>
      <c r="O300" s="181">
        <f>J287</f>
        <v>10</v>
      </c>
      <c r="P300" s="167">
        <f>VLOOKUP(J300,$C$19:$F$31,4,FALSE)</f>
        <v>20180328</v>
      </c>
      <c r="Q300" s="181">
        <f>V287</f>
        <v>2</v>
      </c>
      <c r="R300" s="181"/>
      <c r="S300" s="181">
        <v>0</v>
      </c>
      <c r="T300" s="181">
        <v>0</v>
      </c>
      <c r="U300" s="181">
        <v>0</v>
      </c>
      <c r="V300" s="181">
        <v>0</v>
      </c>
      <c r="W300" s="181">
        <f>P287</f>
        <v>16</v>
      </c>
      <c r="X300" s="181">
        <f>W300</f>
        <v>16</v>
      </c>
      <c r="Y300" s="181">
        <f>R288</f>
        <v>0</v>
      </c>
      <c r="Z300" s="181">
        <f>R287</f>
        <v>0</v>
      </c>
      <c r="AA300" s="181">
        <f>S288</f>
        <v>2.9999999999999997E-4</v>
      </c>
      <c r="AB300" s="181">
        <f>S287</f>
        <v>2.0000000000000001E-4</v>
      </c>
      <c r="AC300" s="181">
        <f>T288</f>
        <v>3</v>
      </c>
      <c r="AD300" s="229">
        <f>T287</f>
        <v>2</v>
      </c>
      <c r="AE300" s="229">
        <f>U288</f>
        <v>344.16</v>
      </c>
      <c r="AF300" s="229">
        <f>U287</f>
        <v>229.44</v>
      </c>
      <c r="AG300" s="229">
        <f>AE300</f>
        <v>344.16</v>
      </c>
      <c r="AH300" s="229">
        <f>AF300</f>
        <v>229.44</v>
      </c>
      <c r="AI300" s="229">
        <f>W288</f>
        <v>2</v>
      </c>
      <c r="AJ300" s="229">
        <f>W287</f>
        <v>2</v>
      </c>
      <c r="AK300" s="167" t="s">
        <v>2129</v>
      </c>
      <c r="AL300" s="167"/>
      <c r="AM300" s="167"/>
      <c r="AN300" s="167"/>
    </row>
    <row r="301" spans="1:40" s="6" customFormat="1" x14ac:dyDescent="0.25">
      <c r="A301" s="323"/>
      <c r="B301" s="252"/>
      <c r="C301" s="189"/>
      <c r="D301" s="189"/>
      <c r="E301" s="253"/>
      <c r="F301" s="252"/>
      <c r="G301" s="252"/>
      <c r="H301" s="252"/>
      <c r="I301" s="252"/>
      <c r="J301" s="252"/>
      <c r="K301" s="182"/>
      <c r="L301" s="182"/>
      <c r="M301" s="182"/>
      <c r="N301" s="181"/>
      <c r="O301" s="181"/>
      <c r="P301" s="167"/>
      <c r="Q301" s="181"/>
      <c r="R301" s="181"/>
      <c r="S301" s="181"/>
      <c r="T301" s="181"/>
      <c r="U301" s="181"/>
      <c r="V301" s="181"/>
      <c r="W301" s="181"/>
      <c r="X301" s="181"/>
      <c r="Y301" s="181"/>
      <c r="Z301" s="181"/>
      <c r="AA301" s="181"/>
      <c r="AB301" s="181"/>
      <c r="AC301" s="181"/>
      <c r="AD301" s="229"/>
      <c r="AE301" s="229"/>
      <c r="AF301" s="229"/>
      <c r="AG301" s="229"/>
      <c r="AH301" s="229"/>
      <c r="AI301" s="229"/>
      <c r="AJ301" s="229"/>
      <c r="AK301" s="167"/>
      <c r="AL301" s="167"/>
      <c r="AM301" s="167"/>
      <c r="AN301" s="167"/>
    </row>
    <row r="302" spans="1:40" s="6" customFormat="1" x14ac:dyDescent="0.25">
      <c r="A302" s="323" t="s">
        <v>359</v>
      </c>
      <c r="B302" s="673" t="str">
        <f>B822</f>
        <v>#实提记录</v>
      </c>
      <c r="C302" s="673" t="str">
        <f t="shared" ref="C302:M302" si="9">C822</f>
        <v>经纪公司</v>
      </c>
      <c r="D302" s="673" t="str">
        <f t="shared" si="9"/>
        <v>交割日</v>
      </c>
      <c r="E302" s="673" t="str">
        <f t="shared" si="9"/>
        <v>投资者</v>
      </c>
      <c r="F302" s="673" t="str">
        <f t="shared" si="9"/>
        <v>投资单元</v>
      </c>
      <c r="G302" s="673" t="str">
        <f t="shared" si="9"/>
        <v>资金账号</v>
      </c>
      <c r="H302" s="673" t="str">
        <f t="shared" si="9"/>
        <v>币种</v>
      </c>
      <c r="I302" s="673" t="str">
        <f t="shared" si="9"/>
        <v>交易日</v>
      </c>
      <c r="J302" s="673" t="str">
        <f t="shared" si="9"/>
        <v>交易所</v>
      </c>
      <c r="K302" s="673" t="str">
        <f t="shared" si="9"/>
        <v>合约代码</v>
      </c>
      <c r="L302" s="673" t="str">
        <f t="shared" si="9"/>
        <v>合约乘数</v>
      </c>
      <c r="M302" s="673" t="str">
        <f t="shared" si="9"/>
        <v>买/卖</v>
      </c>
      <c r="N302" s="673" t="str">
        <f>N822</f>
        <v>投机/套保</v>
      </c>
      <c r="O302" s="673" t="str">
        <f>O822</f>
        <v>交割数量</v>
      </c>
      <c r="P302" s="673" t="str">
        <f t="shared" ref="P302:T302" si="10">P822</f>
        <v>交割价格</v>
      </c>
      <c r="Q302" s="673" t="str">
        <f t="shared" si="10"/>
        <v>交割类型</v>
      </c>
      <c r="R302" s="673" t="str">
        <f t="shared" si="10"/>
        <v>当日释放量</v>
      </c>
      <c r="S302" s="673" t="str">
        <f t="shared" si="10"/>
        <v>累计释放量</v>
      </c>
      <c r="T302" s="673" t="str">
        <f t="shared" si="10"/>
        <v>冻结量</v>
      </c>
      <c r="U302" s="673" t="str">
        <f>U822</f>
        <v>交割保证金率(按金额交割保证金率(按手数)</v>
      </c>
      <c r="V302" s="673">
        <f t="shared" ref="V302:W302" si="11">V822</f>
        <v>0</v>
      </c>
      <c r="W302" s="673" t="str">
        <f t="shared" si="11"/>
        <v>交易所交割保证金率(按金额)</v>
      </c>
      <c r="X302" s="673" t="str">
        <f>X822</f>
        <v>交易所交割保证金率(按手数)</v>
      </c>
      <c r="Y302" s="673" t="str">
        <f t="shared" ref="Y302" si="12">Y822</f>
        <v>交割保证金(投资者)</v>
      </c>
      <c r="Z302" s="673" t="str">
        <f>Z822</f>
        <v>交割保证金(交易所)</v>
      </c>
      <c r="AA302" s="673" t="str">
        <f t="shared" ref="AA302" si="13">AA822</f>
        <v>交割是否完成</v>
      </c>
      <c r="AB302" s="673" t="str">
        <f t="shared" ref="AB302:AF303" si="14">AB822</f>
        <v>交割保证金收取方式</v>
      </c>
      <c r="AC302" s="673" t="str">
        <f t="shared" si="14"/>
        <v>#买卖</v>
      </c>
      <c r="AD302" s="673" t="str">
        <f t="shared" si="14"/>
        <v>#辅助列合约&amp;投保&amp;买卖</v>
      </c>
      <c r="AE302" s="673">
        <f t="shared" si="14"/>
        <v>0</v>
      </c>
      <c r="AF302" s="673">
        <f t="shared" si="14"/>
        <v>0</v>
      </c>
      <c r="AG302" s="229"/>
      <c r="AH302" s="229"/>
      <c r="AI302" s="229"/>
      <c r="AJ302" s="229"/>
      <c r="AK302" s="167"/>
      <c r="AL302" s="167"/>
      <c r="AM302" s="167"/>
      <c r="AN302" s="167"/>
    </row>
    <row r="303" spans="1:40" s="6" customFormat="1" x14ac:dyDescent="0.25">
      <c r="A303" s="323" t="s">
        <v>359</v>
      </c>
      <c r="B303" s="673" t="str">
        <f>B823</f>
        <v>#实提记录</v>
      </c>
      <c r="C303" s="673" t="str">
        <f t="shared" ref="C303:M303" si="15">C823</f>
        <v>brokerid</v>
      </c>
      <c r="D303" s="673" t="str">
        <f t="shared" si="15"/>
        <v>deliverydate</v>
      </c>
      <c r="E303" s="673" t="str">
        <f t="shared" si="15"/>
        <v>investorid</v>
      </c>
      <c r="F303" s="673" t="str">
        <f t="shared" si="15"/>
        <v>investunitid</v>
      </c>
      <c r="G303" s="673" t="str">
        <f t="shared" si="15"/>
        <v>accountid</v>
      </c>
      <c r="H303" s="673" t="str">
        <f t="shared" si="15"/>
        <v>CURRENCYID</v>
      </c>
      <c r="I303" s="673" t="str">
        <f t="shared" si="15"/>
        <v>settlementdate</v>
      </c>
      <c r="J303" s="673" t="str">
        <f t="shared" si="15"/>
        <v>exchangeid</v>
      </c>
      <c r="K303" s="673" t="str">
        <f t="shared" si="15"/>
        <v>instrumentid</v>
      </c>
      <c r="L303" s="673" t="str">
        <f t="shared" si="15"/>
        <v>#volumemultiple</v>
      </c>
      <c r="M303" s="673" t="str">
        <f t="shared" si="15"/>
        <v>posidirection</v>
      </c>
      <c r="N303" s="673" t="str">
        <f>N823</f>
        <v>hedgeflag</v>
      </c>
      <c r="O303" s="673" t="str">
        <f>O823</f>
        <v>volume</v>
      </c>
      <c r="P303" s="673" t="str">
        <f t="shared" ref="P303:T303" si="16">P823</f>
        <v>deliveryprice</v>
      </c>
      <c r="Q303" s="673" t="str">
        <f t="shared" si="16"/>
        <v>DELIVERYTYPE</v>
      </c>
      <c r="R303" s="673" t="str">
        <f t="shared" si="16"/>
        <v>currreleasevolume</v>
      </c>
      <c r="S303" s="673" t="str">
        <f t="shared" si="16"/>
        <v>releasevolume</v>
      </c>
      <c r="T303" s="673" t="str">
        <f t="shared" si="16"/>
        <v xml:space="preserve">  frozenvolume     </v>
      </c>
      <c r="U303" s="673" t="str">
        <f>U823</f>
        <v>marginratiobymoney</v>
      </c>
      <c r="V303" s="673" t="str">
        <f t="shared" ref="V303:W303" si="17">V823</f>
        <v>marginratiobyvolume</v>
      </c>
      <c r="W303" s="673" t="str">
        <f t="shared" si="17"/>
        <v>exchmarginratiobymoney</v>
      </c>
      <c r="X303" s="673" t="str">
        <f>X823</f>
        <v>exchmarginratiobyvolume</v>
      </c>
      <c r="Y303" s="673" t="str">
        <f t="shared" ref="Y303" si="18">Y823</f>
        <v>margin</v>
      </c>
      <c r="Z303" s="673" t="str">
        <f>Z823</f>
        <v>exchmargin</v>
      </c>
      <c r="AA303" s="673" t="str">
        <f t="shared" ref="AA303" si="19">AA823</f>
        <v>deliveryflag</v>
      </c>
      <c r="AB303" s="673" t="str">
        <f t="shared" si="14"/>
        <v>delivmargstyle</v>
      </c>
      <c r="AC303" s="673" t="str">
        <f t="shared" si="14"/>
        <v>#买卖</v>
      </c>
      <c r="AD303" s="673" t="str">
        <f t="shared" si="14"/>
        <v>#辅助列合约&amp;投保&amp;买卖</v>
      </c>
      <c r="AE303" s="673" t="str">
        <f t="shared" si="14"/>
        <v>#上日累计释放数量</v>
      </c>
      <c r="AF303" s="673">
        <f t="shared" si="14"/>
        <v>0</v>
      </c>
      <c r="AG303" s="229"/>
      <c r="AH303" s="229"/>
      <c r="AI303" s="229"/>
      <c r="AJ303" s="229"/>
      <c r="AK303" s="167"/>
      <c r="AL303" s="167"/>
      <c r="AM303" s="167"/>
      <c r="AN303" s="167"/>
    </row>
    <row r="304" spans="1:40" s="6" customFormat="1" x14ac:dyDescent="0.25">
      <c r="A304" s="323" t="s">
        <v>359</v>
      </c>
      <c r="B304" s="252" t="str">
        <f>B826</f>
        <v>20180327B00101SR80921</v>
      </c>
      <c r="C304" s="189" t="str">
        <f>VLOOKUP(B304,$B$824:$AE$836,2,FALSE)</f>
        <v>9999</v>
      </c>
      <c r="D304" s="189">
        <f>VLOOKUP(B304,$B$824:$AE$836,3,FALSE)</f>
        <v>20180327</v>
      </c>
      <c r="E304" s="253" t="str">
        <f>VLOOKUP(B304,$B$824:$AE$836,4,FALSE)</f>
        <v>6001</v>
      </c>
      <c r="F304" s="252" t="str">
        <f>VLOOKUP(B304,$B$824:$AE$836,5,FALSE)</f>
        <v>B00101</v>
      </c>
      <c r="G304" s="252" t="str">
        <f>VLOOKUP(B304,$B$824:$AE$836,6,FALSE)</f>
        <v>6001</v>
      </c>
      <c r="H304" s="252" t="str">
        <f>VLOOKUP(B304,$B$824:$AE$836,7,FALSE)</f>
        <v>CNY</v>
      </c>
      <c r="I304" s="189">
        <f>VLOOKUP(B304,$B$824:$AE$836,8,FALSE)</f>
        <v>20180327</v>
      </c>
      <c r="J304" s="252" t="str">
        <f>VLOOKUP(B304,$B$824:$AE$836,9,FALSE)</f>
        <v>CZCE</v>
      </c>
      <c r="K304" s="182" t="str">
        <f>VLOOKUP(B304,$B$824:$AE$836,10,FALSE)</f>
        <v>SR809</v>
      </c>
      <c r="L304" s="182">
        <f>VLOOKUP(B304,$B$824:$AE$836,11,FALSE)</f>
        <v>10</v>
      </c>
      <c r="M304" s="182">
        <f>VLOOKUP(B304,$B$824:$AE$836,12,FALSE)</f>
        <v>2</v>
      </c>
      <c r="N304" s="181">
        <f>VLOOKUP(B304,$B$824:$AE$836,13,FALSE)</f>
        <v>1</v>
      </c>
      <c r="O304" s="181">
        <f>VLOOKUP(B304,$B$824:$AE$836,14,FALSE)</f>
        <v>6</v>
      </c>
      <c r="P304" s="167">
        <f>VLOOKUP(B304,$B$824:$AE$836,15,FALSE)</f>
        <v>6135</v>
      </c>
      <c r="Q304" s="181">
        <f>VLOOKUP(B304,$B$824:$AE$836,16,FALSE)</f>
        <v>1</v>
      </c>
      <c r="R304" s="181">
        <f>VLOOKUP(B304,$B$824:$AE$836,17,FALSE)</f>
        <v>2</v>
      </c>
      <c r="S304" s="181">
        <f>VLOOKUP(B304,$B$824:$AE$836,18,FALSE)</f>
        <v>6</v>
      </c>
      <c r="T304" s="181">
        <f>VLOOKUP(B304,$B$824:$AE$836,19,FALSE)</f>
        <v>0</v>
      </c>
      <c r="U304" s="181">
        <f>VLOOKUP(B304,$B$824:$AE$836,20,FALSE)</f>
        <v>0.05</v>
      </c>
      <c r="V304" s="181">
        <f>VLOOKUP(B304,$B$824:$AE$836,21,FALSE)</f>
        <v>5</v>
      </c>
      <c r="W304" s="181">
        <f>VLOOKUP(B304,$B$824:$AE$836,22,FALSE)</f>
        <v>0.04</v>
      </c>
      <c r="X304" s="181">
        <f>VLOOKUP(B304,$B$824:$AE$836,23,FALSE)</f>
        <v>4</v>
      </c>
      <c r="Y304" s="181">
        <f>VLOOKUP(B304,$B$824:$AE$836,24,FALSE)</f>
        <v>0</v>
      </c>
      <c r="Z304" s="181">
        <f>VLOOKUP(B304,$B$824:$AE$836,25,FALSE)</f>
        <v>0</v>
      </c>
      <c r="AA304" s="181">
        <f>VLOOKUP(B304,$B$824:$AE$836,26,FALSE)</f>
        <v>1</v>
      </c>
      <c r="AB304" s="181">
        <f>VLOOKUP(B304,$B$824:$AE$836,27,FALSE)</f>
        <v>1</v>
      </c>
      <c r="AC304" s="181">
        <f>VLOOKUP(B304,$B$824:$AE$836,28,FALSE)</f>
        <v>0</v>
      </c>
      <c r="AD304" s="229"/>
      <c r="AE304" s="229"/>
      <c r="AF304" s="229"/>
      <c r="AG304" s="229"/>
      <c r="AH304" s="229"/>
      <c r="AI304" s="229"/>
      <c r="AJ304" s="229"/>
      <c r="AK304" s="167"/>
      <c r="AL304" s="167"/>
      <c r="AM304" s="167"/>
      <c r="AN304" s="167"/>
    </row>
    <row r="305" spans="1:42" s="6" customFormat="1" x14ac:dyDescent="0.25">
      <c r="A305" s="323" t="s">
        <v>359</v>
      </c>
      <c r="B305" s="252" t="str">
        <f>B829</f>
        <v>20180328B00101SR80721</v>
      </c>
      <c r="C305" s="189" t="str">
        <f>VLOOKUP(B305,$B$824:$AE$836,2,FALSE)</f>
        <v>9999</v>
      </c>
      <c r="D305" s="189">
        <f>VLOOKUP(B305,$B$824:$AE$836,3,FALSE)</f>
        <v>20180328</v>
      </c>
      <c r="E305" s="253" t="str">
        <f>VLOOKUP(B305,$B$824:$AE$836,4,FALSE)</f>
        <v>6001</v>
      </c>
      <c r="F305" s="252" t="str">
        <f>VLOOKUP(B305,$B$824:$AE$836,5,FALSE)</f>
        <v>B00101</v>
      </c>
      <c r="G305" s="252" t="str">
        <f>VLOOKUP(B305,$B$824:$AE$836,6,FALSE)</f>
        <v>6001</v>
      </c>
      <c r="H305" s="252" t="str">
        <f>VLOOKUP(B305,$B$824:$AE$836,7,FALSE)</f>
        <v>CNY</v>
      </c>
      <c r="I305" s="189">
        <f>VLOOKUP(B305,$B$824:$AE$836,8,FALSE)</f>
        <v>20180328</v>
      </c>
      <c r="J305" s="252" t="str">
        <f>VLOOKUP(B305,$B$824:$AE$836,9,FALSE)</f>
        <v>CZCE</v>
      </c>
      <c r="K305" s="182" t="str">
        <f>VLOOKUP(B305,$B$824:$AE$836,10,FALSE)</f>
        <v>SR807</v>
      </c>
      <c r="L305" s="182">
        <f>VLOOKUP(B305,$B$824:$AE$836,11,FALSE)</f>
        <v>10</v>
      </c>
      <c r="M305" s="182">
        <f>VLOOKUP(B305,$B$824:$AE$836,12,FALSE)</f>
        <v>2</v>
      </c>
      <c r="N305" s="181">
        <f>VLOOKUP(B305,$B$824:$AE$836,13,FALSE)</f>
        <v>1</v>
      </c>
      <c r="O305" s="181">
        <f>VLOOKUP(B305,$B$824:$AE$836,14,FALSE)</f>
        <v>16</v>
      </c>
      <c r="P305" s="167">
        <f>VLOOKUP(B305,$B$824:$AE$836,15,FALSE)</f>
        <v>6170</v>
      </c>
      <c r="Q305" s="181">
        <f>VLOOKUP(B305,$B$824:$AE$836,16,FALSE)</f>
        <v>2</v>
      </c>
      <c r="R305" s="181">
        <f>VLOOKUP(B305,$B$824:$AE$836,17,FALSE)</f>
        <v>16</v>
      </c>
      <c r="S305" s="181">
        <f>VLOOKUP(B305,$B$824:$AE$836,18,FALSE)</f>
        <v>16</v>
      </c>
      <c r="T305" s="181">
        <f>VLOOKUP(B305,$B$824:$AE$836,19,FALSE)</f>
        <v>0</v>
      </c>
      <c r="U305" s="181">
        <f>VLOOKUP(B305,$B$824:$AE$836,20,FALSE)</f>
        <v>0.05</v>
      </c>
      <c r="V305" s="181">
        <f>VLOOKUP(B305,$B$824:$AE$836,21,FALSE)</f>
        <v>5</v>
      </c>
      <c r="W305" s="181">
        <f>VLOOKUP(B305,$B$824:$AE$836,22,FALSE)</f>
        <v>0.04</v>
      </c>
      <c r="X305" s="181">
        <f>VLOOKUP(B305,$B$824:$AE$836,23,FALSE)</f>
        <v>4</v>
      </c>
      <c r="Y305" s="181">
        <f>VLOOKUP(B305,$B$824:$AE$836,24,FALSE)</f>
        <v>0</v>
      </c>
      <c r="Z305" s="181">
        <f>VLOOKUP(B305,$B$824:$AE$836,25,FALSE)</f>
        <v>0</v>
      </c>
      <c r="AA305" s="181">
        <f>VLOOKUP(B305,$B$824:$AE$836,26,FALSE)</f>
        <v>2</v>
      </c>
      <c r="AB305" s="181">
        <f>VLOOKUP(B305,$B$824:$AE$836,27,FALSE)</f>
        <v>1</v>
      </c>
      <c r="AC305" s="181">
        <f>VLOOKUP(B305,$B$824:$AE$836,28,FALSE)</f>
        <v>0</v>
      </c>
      <c r="AD305" s="229"/>
      <c r="AE305" s="229"/>
      <c r="AF305" s="229"/>
      <c r="AG305" s="229"/>
      <c r="AH305" s="229"/>
      <c r="AI305" s="229"/>
      <c r="AJ305" s="229"/>
      <c r="AK305" s="167"/>
      <c r="AL305" s="167"/>
      <c r="AM305" s="167"/>
      <c r="AN305" s="167"/>
    </row>
    <row r="306" spans="1:42" s="6" customFormat="1" x14ac:dyDescent="0.25">
      <c r="A306" s="323" t="s">
        <v>359</v>
      </c>
      <c r="B306" s="252" t="str">
        <f>B834</f>
        <v>20180328B00102PTA80731</v>
      </c>
      <c r="C306" s="189" t="str">
        <f>VLOOKUP(B306,$B$824:$AE$836,2,FALSE)</f>
        <v>9999</v>
      </c>
      <c r="D306" s="189">
        <f>VLOOKUP(B306,$B$824:$AE$836,3,FALSE)</f>
        <v>20180328</v>
      </c>
      <c r="E306" s="253" t="str">
        <f>VLOOKUP(B306,$B$824:$AE$836,4,FALSE)</f>
        <v>6001</v>
      </c>
      <c r="F306" s="252" t="str">
        <f>VLOOKUP(B306,$B$824:$AE$836,5,FALSE)</f>
        <v>B00102</v>
      </c>
      <c r="G306" s="252" t="str">
        <f>VLOOKUP(B306,$B$824:$AE$836,6,FALSE)</f>
        <v>6001</v>
      </c>
      <c r="H306" s="252" t="str">
        <f>VLOOKUP(B306,$B$824:$AE$836,7,FALSE)</f>
        <v>CNY</v>
      </c>
      <c r="I306" s="189">
        <f>VLOOKUP(B306,$B$824:$AE$836,8,FALSE)</f>
        <v>20180328</v>
      </c>
      <c r="J306" s="252" t="str">
        <f>VLOOKUP(B306,$B$824:$AE$836,9,FALSE)</f>
        <v>CZCE</v>
      </c>
      <c r="K306" s="182" t="str">
        <f>VLOOKUP(B306,$B$824:$AE$836,10,FALSE)</f>
        <v>PTA807</v>
      </c>
      <c r="L306" s="182">
        <f>VLOOKUP(B306,$B$824:$AE$836,11,FALSE)</f>
        <v>5</v>
      </c>
      <c r="M306" s="182">
        <f>VLOOKUP(B306,$B$824:$AE$836,12,FALSE)</f>
        <v>3</v>
      </c>
      <c r="N306" s="181">
        <f>VLOOKUP(B306,$B$824:$AE$836,13,FALSE)</f>
        <v>1</v>
      </c>
      <c r="O306" s="181">
        <f>VLOOKUP(B306,$B$824:$AE$836,14,FALSE)</f>
        <v>4</v>
      </c>
      <c r="P306" s="167">
        <f>VLOOKUP(B306,$B$824:$AE$836,15,FALSE)</f>
        <v>6165</v>
      </c>
      <c r="Q306" s="181">
        <f>VLOOKUP(B306,$B$824:$AE$836,16,FALSE)</f>
        <v>2</v>
      </c>
      <c r="R306" s="181">
        <f>VLOOKUP(B306,$B$824:$AE$836,17,FALSE)</f>
        <v>3</v>
      </c>
      <c r="S306" s="181">
        <f>VLOOKUP(B306,$B$824:$AE$836,18,FALSE)</f>
        <v>3</v>
      </c>
      <c r="T306" s="181">
        <f>VLOOKUP(B306,$B$824:$AE$836,19,FALSE)</f>
        <v>1</v>
      </c>
      <c r="U306" s="181">
        <f>VLOOKUP(B306,$B$824:$AE$836,20,FALSE)</f>
        <v>0</v>
      </c>
      <c r="V306" s="181">
        <f>VLOOKUP(B306,$B$824:$AE$836,21,FALSE)</f>
        <v>0</v>
      </c>
      <c r="W306" s="181">
        <f>VLOOKUP(B306,$B$824:$AE$836,22,FALSE)</f>
        <v>0</v>
      </c>
      <c r="X306" s="181">
        <f>VLOOKUP(B306,$B$824:$AE$836,23,FALSE)</f>
        <v>0</v>
      </c>
      <c r="Y306" s="181">
        <f>VLOOKUP(B306,$B$824:$AE$836,24,FALSE)</f>
        <v>0</v>
      </c>
      <c r="Z306" s="181">
        <f>VLOOKUP(B306,$B$824:$AE$836,25,FALSE)</f>
        <v>0</v>
      </c>
      <c r="AA306" s="181">
        <f>VLOOKUP(B306,$B$824:$AE$836,26,FALSE)</f>
        <v>1</v>
      </c>
      <c r="AB306" s="181">
        <f>VLOOKUP(B306,$B$824:$AE$836,27,FALSE)</f>
        <v>1</v>
      </c>
      <c r="AC306" s="181">
        <f>VLOOKUP(B306,$B$824:$AE$836,28,FALSE)</f>
        <v>1</v>
      </c>
      <c r="AD306" s="229"/>
      <c r="AE306" s="229"/>
      <c r="AF306" s="229"/>
      <c r="AG306" s="229"/>
      <c r="AH306" s="229"/>
      <c r="AI306" s="229"/>
      <c r="AJ306" s="229"/>
      <c r="AK306" s="167"/>
      <c r="AL306" s="167"/>
      <c r="AM306" s="167"/>
      <c r="AN306" s="167"/>
    </row>
    <row r="307" spans="1:42" s="6" customFormat="1" x14ac:dyDescent="0.25">
      <c r="A307" s="195" t="s">
        <v>1346</v>
      </c>
      <c r="B307" s="254" t="s">
        <v>1428</v>
      </c>
      <c r="C307" s="254"/>
      <c r="D307" s="254"/>
      <c r="E307" s="252"/>
      <c r="F307" s="252"/>
      <c r="G307" s="252"/>
      <c r="H307" s="252"/>
      <c r="I307" s="252"/>
      <c r="J307" s="252"/>
      <c r="K307" s="252"/>
      <c r="L307" s="252"/>
      <c r="M307" s="252"/>
      <c r="N307" s="252"/>
      <c r="O307" s="252"/>
      <c r="P307" s="252"/>
      <c r="Q307" s="252"/>
      <c r="R307" s="252"/>
      <c r="S307" s="252"/>
      <c r="T307" s="252"/>
      <c r="U307" s="252"/>
      <c r="V307" s="252"/>
      <c r="W307" s="252"/>
      <c r="X307" s="252"/>
      <c r="Y307" s="252"/>
      <c r="Z307" s="167"/>
      <c r="AA307" s="167"/>
      <c r="AB307" s="167"/>
      <c r="AC307" s="167"/>
    </row>
    <row r="308" spans="1:42" s="6" customFormat="1" x14ac:dyDescent="0.25">
      <c r="A308" s="323" t="s">
        <v>306</v>
      </c>
      <c r="B308" s="704" t="s">
        <v>1571</v>
      </c>
      <c r="C308" s="705"/>
      <c r="D308" s="705"/>
      <c r="E308" s="705"/>
      <c r="F308" s="705"/>
      <c r="G308" s="705"/>
      <c r="H308" s="705"/>
      <c r="I308" s="705"/>
      <c r="J308" s="705"/>
      <c r="K308" s="705"/>
      <c r="L308" s="705"/>
      <c r="M308" s="705"/>
      <c r="N308" s="705"/>
      <c r="O308" s="705"/>
      <c r="P308" s="705"/>
      <c r="Q308" s="705"/>
      <c r="R308" s="705"/>
      <c r="S308" s="705"/>
      <c r="T308" s="705"/>
      <c r="U308" s="705"/>
      <c r="V308" s="705"/>
      <c r="W308" s="705"/>
      <c r="X308" s="705"/>
      <c r="Y308" s="705"/>
      <c r="Z308" s="705"/>
      <c r="AA308" s="705"/>
      <c r="AB308" s="708"/>
      <c r="AC308" s="679" t="s">
        <v>1126</v>
      </c>
      <c r="AD308" s="679" t="s">
        <v>1107</v>
      </c>
      <c r="AE308" s="679" t="s">
        <v>1108</v>
      </c>
      <c r="AF308" s="679" t="s">
        <v>1127</v>
      </c>
    </row>
    <row r="309" spans="1:42" s="6" customFormat="1" x14ac:dyDescent="0.25">
      <c r="A309" s="323"/>
      <c r="B309" s="92" t="s">
        <v>1438</v>
      </c>
      <c r="C309" s="92" t="s">
        <v>1439</v>
      </c>
      <c r="D309" s="92" t="s">
        <v>1437</v>
      </c>
      <c r="E309" s="92" t="s">
        <v>1436</v>
      </c>
      <c r="F309" s="92" t="s">
        <v>1435</v>
      </c>
      <c r="G309" s="92" t="s">
        <v>1434</v>
      </c>
      <c r="H309" s="92" t="s">
        <v>1433</v>
      </c>
      <c r="I309" s="92" t="s">
        <v>1432</v>
      </c>
      <c r="J309" s="92" t="s">
        <v>1431</v>
      </c>
      <c r="K309" s="92" t="s">
        <v>1440</v>
      </c>
      <c r="L309" s="92" t="s">
        <v>1441</v>
      </c>
      <c r="M309" s="92" t="s">
        <v>1442</v>
      </c>
      <c r="N309" s="92" t="s">
        <v>1443</v>
      </c>
      <c r="O309" s="92" t="s">
        <v>1444</v>
      </c>
      <c r="P309" s="92" t="s">
        <v>1445</v>
      </c>
      <c r="Q309" s="92" t="s">
        <v>1446</v>
      </c>
      <c r="R309" s="92" t="s">
        <v>1447</v>
      </c>
      <c r="S309" s="92" t="s">
        <v>1448</v>
      </c>
      <c r="T309" s="92" t="s">
        <v>1449</v>
      </c>
      <c r="U309" s="92" t="s">
        <v>1450</v>
      </c>
      <c r="V309" s="92" t="s">
        <v>1451</v>
      </c>
      <c r="W309" s="92" t="s">
        <v>1452</v>
      </c>
      <c r="X309" s="92" t="s">
        <v>1453</v>
      </c>
      <c r="Y309" s="92" t="s">
        <v>1454</v>
      </c>
      <c r="Z309" s="92" t="s">
        <v>1455</v>
      </c>
      <c r="AA309" s="92" t="s">
        <v>1456</v>
      </c>
      <c r="AB309" s="92" t="s">
        <v>1457</v>
      </c>
      <c r="AC309" s="679"/>
      <c r="AD309" s="679"/>
      <c r="AE309" s="679"/>
      <c r="AF309" s="679"/>
    </row>
    <row r="310" spans="1:42" s="6" customFormat="1" x14ac:dyDescent="0.25">
      <c r="A310" s="323"/>
      <c r="B310" s="253" t="str">
        <f>C304</f>
        <v>9999</v>
      </c>
      <c r="C310" s="189">
        <f>I304</f>
        <v>20180327</v>
      </c>
      <c r="D310" s="189">
        <f>D304</f>
        <v>20180327</v>
      </c>
      <c r="E310" s="253" t="str">
        <f>E304</f>
        <v>6001</v>
      </c>
      <c r="F310" s="253" t="str">
        <f t="shared" ref="F310:G310" si="20">F304</f>
        <v>B00101</v>
      </c>
      <c r="G310" s="253" t="str">
        <f t="shared" si="20"/>
        <v>6001</v>
      </c>
      <c r="H310" s="253" t="str">
        <f>H304</f>
        <v>CNY</v>
      </c>
      <c r="I310" s="248" t="str">
        <f>J304</f>
        <v>CZCE</v>
      </c>
      <c r="J310" s="248" t="str">
        <f>K304</f>
        <v>SR809</v>
      </c>
      <c r="K310" s="113">
        <f>N304</f>
        <v>1</v>
      </c>
      <c r="L310" s="113">
        <f>M304</f>
        <v>2</v>
      </c>
      <c r="M310" s="113">
        <f>O304</f>
        <v>6</v>
      </c>
      <c r="N310" s="113">
        <v>0</v>
      </c>
      <c r="O310" s="113">
        <f>S304</f>
        <v>6</v>
      </c>
      <c r="P310" s="113">
        <f>T304</f>
        <v>0</v>
      </c>
      <c r="Q310" s="113">
        <f>P304</f>
        <v>6135</v>
      </c>
      <c r="R310" s="113">
        <f>L304</f>
        <v>10</v>
      </c>
      <c r="S310" s="248">
        <f>Y304</f>
        <v>0</v>
      </c>
      <c r="T310" s="248">
        <f>Z304</f>
        <v>0</v>
      </c>
      <c r="U310" s="248">
        <f>U304</f>
        <v>0.05</v>
      </c>
      <c r="V310" s="248">
        <f t="shared" ref="V310:X310" si="21">V304</f>
        <v>5</v>
      </c>
      <c r="W310" s="248">
        <f t="shared" si="21"/>
        <v>0.04</v>
      </c>
      <c r="X310" s="248">
        <f t="shared" si="21"/>
        <v>4</v>
      </c>
      <c r="Y310" s="113">
        <f>VLOOKUP(J310,$C$19:$F$31,4,FALSE)</f>
        <v>20180333</v>
      </c>
      <c r="Z310" s="113">
        <f>Q304</f>
        <v>1</v>
      </c>
      <c r="AA310" s="113">
        <f>AA304</f>
        <v>1</v>
      </c>
      <c r="AB310" s="113">
        <f>AB304</f>
        <v>1</v>
      </c>
      <c r="AC310" s="111" t="s">
        <v>1128</v>
      </c>
      <c r="AD310" s="111"/>
      <c r="AE310" s="111"/>
      <c r="AF310" s="111"/>
    </row>
    <row r="311" spans="1:42" s="6" customFormat="1" x14ac:dyDescent="0.25">
      <c r="A311" s="195" t="s">
        <v>1346</v>
      </c>
      <c r="B311" s="254" t="s">
        <v>1428</v>
      </c>
      <c r="C311" s="254"/>
      <c r="D311" s="254"/>
      <c r="E311" s="252"/>
      <c r="F311" s="252"/>
      <c r="G311" s="252"/>
      <c r="H311" s="252"/>
      <c r="I311" s="252"/>
      <c r="J311" s="252"/>
      <c r="K311" s="252"/>
      <c r="L311" s="252"/>
      <c r="M311" s="252"/>
      <c r="N311" s="252"/>
      <c r="O311" s="252"/>
      <c r="P311" s="252"/>
      <c r="Q311" s="252"/>
      <c r="R311" s="252"/>
      <c r="S311" s="252"/>
      <c r="T311" s="252"/>
      <c r="U311" s="252"/>
      <c r="V311" s="252"/>
      <c r="W311" s="252"/>
      <c r="X311" s="252"/>
      <c r="Y311" s="252"/>
      <c r="Z311" s="167"/>
      <c r="AA311" s="167"/>
      <c r="AB311" s="167"/>
      <c r="AC311" s="167"/>
    </row>
    <row r="312" spans="1:42" s="6" customFormat="1" x14ac:dyDescent="0.25">
      <c r="A312" s="323" t="s">
        <v>306</v>
      </c>
      <c r="B312" s="704" t="s">
        <v>1571</v>
      </c>
      <c r="C312" s="705"/>
      <c r="D312" s="705"/>
      <c r="E312" s="705"/>
      <c r="F312" s="705"/>
      <c r="G312" s="705"/>
      <c r="H312" s="705"/>
      <c r="I312" s="705"/>
      <c r="J312" s="705"/>
      <c r="K312" s="705"/>
      <c r="L312" s="705"/>
      <c r="M312" s="705"/>
      <c r="N312" s="705"/>
      <c r="O312" s="705"/>
      <c r="P312" s="705"/>
      <c r="Q312" s="705"/>
      <c r="R312" s="705"/>
      <c r="S312" s="705"/>
      <c r="T312" s="705"/>
      <c r="U312" s="705"/>
      <c r="V312" s="705"/>
      <c r="W312" s="705"/>
      <c r="X312" s="705"/>
      <c r="Y312" s="705"/>
      <c r="Z312" s="705"/>
      <c r="AA312" s="705"/>
      <c r="AB312" s="708"/>
      <c r="AC312" s="679" t="s">
        <v>1126</v>
      </c>
      <c r="AD312" s="679" t="s">
        <v>1107</v>
      </c>
      <c r="AE312" s="679" t="s">
        <v>1108</v>
      </c>
      <c r="AF312" s="679" t="s">
        <v>1127</v>
      </c>
    </row>
    <row r="313" spans="1:42" s="6" customFormat="1" x14ac:dyDescent="0.25">
      <c r="A313" s="323"/>
      <c r="B313" s="92" t="s">
        <v>1438</v>
      </c>
      <c r="C313" s="92" t="s">
        <v>1439</v>
      </c>
      <c r="D313" s="92" t="s">
        <v>1437</v>
      </c>
      <c r="E313" s="92" t="s">
        <v>1436</v>
      </c>
      <c r="F313" s="92" t="s">
        <v>1435</v>
      </c>
      <c r="G313" s="92" t="s">
        <v>1434</v>
      </c>
      <c r="H313" s="92" t="s">
        <v>1433</v>
      </c>
      <c r="I313" s="92" t="s">
        <v>1432</v>
      </c>
      <c r="J313" s="92" t="s">
        <v>1431</v>
      </c>
      <c r="K313" s="92" t="s">
        <v>1440</v>
      </c>
      <c r="L313" s="92" t="s">
        <v>1441</v>
      </c>
      <c r="M313" s="92" t="s">
        <v>1442</v>
      </c>
      <c r="N313" s="92" t="s">
        <v>1443</v>
      </c>
      <c r="O313" s="92" t="s">
        <v>1444</v>
      </c>
      <c r="P313" s="92" t="s">
        <v>1445</v>
      </c>
      <c r="Q313" s="92" t="s">
        <v>1446</v>
      </c>
      <c r="R313" s="92" t="s">
        <v>1447</v>
      </c>
      <c r="S313" s="92" t="s">
        <v>1448</v>
      </c>
      <c r="T313" s="92" t="s">
        <v>1449</v>
      </c>
      <c r="U313" s="92" t="s">
        <v>1450</v>
      </c>
      <c r="V313" s="92" t="s">
        <v>1451</v>
      </c>
      <c r="W313" s="92" t="s">
        <v>1452</v>
      </c>
      <c r="X313" s="92" t="s">
        <v>1453</v>
      </c>
      <c r="Y313" s="92" t="s">
        <v>1454</v>
      </c>
      <c r="Z313" s="92" t="s">
        <v>1455</v>
      </c>
      <c r="AA313" s="92" t="s">
        <v>1456</v>
      </c>
      <c r="AB313" s="92" t="s">
        <v>1457</v>
      </c>
      <c r="AC313" s="679"/>
      <c r="AD313" s="679"/>
      <c r="AE313" s="679"/>
      <c r="AF313" s="679"/>
    </row>
    <row r="314" spans="1:42" s="6" customFormat="1" x14ac:dyDescent="0.25">
      <c r="A314" s="323"/>
      <c r="B314" s="253" t="str">
        <f t="shared" ref="B314" si="22">C305</f>
        <v>9999</v>
      </c>
      <c r="C314" s="189">
        <f t="shared" ref="C314" si="23">I305</f>
        <v>20180328</v>
      </c>
      <c r="D314" s="189">
        <f t="shared" ref="D314:H314" si="24">D305</f>
        <v>20180328</v>
      </c>
      <c r="E314" s="253" t="str">
        <f t="shared" si="24"/>
        <v>6001</v>
      </c>
      <c r="F314" s="253" t="str">
        <f t="shared" si="24"/>
        <v>B00101</v>
      </c>
      <c r="G314" s="253" t="str">
        <f t="shared" si="24"/>
        <v>6001</v>
      </c>
      <c r="H314" s="253" t="str">
        <f t="shared" si="24"/>
        <v>CNY</v>
      </c>
      <c r="I314" s="248" t="str">
        <f t="shared" ref="I314:J314" si="25">J305</f>
        <v>CZCE</v>
      </c>
      <c r="J314" s="248" t="str">
        <f t="shared" si="25"/>
        <v>SR807</v>
      </c>
      <c r="K314" s="113">
        <f t="shared" ref="K314" si="26">N305</f>
        <v>1</v>
      </c>
      <c r="L314" s="113">
        <f t="shared" ref="L314" si="27">M305</f>
        <v>2</v>
      </c>
      <c r="M314" s="113">
        <f t="shared" ref="M314" si="28">O305</f>
        <v>16</v>
      </c>
      <c r="N314" s="113">
        <v>0</v>
      </c>
      <c r="O314" s="113">
        <f>S305</f>
        <v>16</v>
      </c>
      <c r="P314" s="113">
        <f t="shared" ref="P314" si="29">T305</f>
        <v>0</v>
      </c>
      <c r="Q314" s="113">
        <f t="shared" ref="Q314" si="30">P305</f>
        <v>6170</v>
      </c>
      <c r="R314" s="113">
        <f t="shared" ref="R314" si="31">L305</f>
        <v>10</v>
      </c>
      <c r="S314" s="248">
        <f t="shared" ref="S314:T314" si="32">Y305</f>
        <v>0</v>
      </c>
      <c r="T314" s="248">
        <f t="shared" si="32"/>
        <v>0</v>
      </c>
      <c r="U314" s="248">
        <f t="shared" ref="U314:X314" si="33">U305</f>
        <v>0.05</v>
      </c>
      <c r="V314" s="248">
        <f t="shared" si="33"/>
        <v>5</v>
      </c>
      <c r="W314" s="248">
        <f t="shared" si="33"/>
        <v>0.04</v>
      </c>
      <c r="X314" s="248">
        <f t="shared" si="33"/>
        <v>4</v>
      </c>
      <c r="Y314" s="113">
        <f t="shared" ref="Y314:Y318" si="34">VLOOKUP(J314,$C$19:$F$31,4,FALSE)</f>
        <v>20180328</v>
      </c>
      <c r="Z314" s="113">
        <f t="shared" ref="Z314" si="35">Q305</f>
        <v>2</v>
      </c>
      <c r="AA314" s="113">
        <f t="shared" ref="AA314:AB314" si="36">AA305</f>
        <v>2</v>
      </c>
      <c r="AB314" s="113">
        <f t="shared" si="36"/>
        <v>1</v>
      </c>
      <c r="AC314" s="167" t="s">
        <v>2129</v>
      </c>
      <c r="AD314" s="167"/>
      <c r="AE314" s="167"/>
      <c r="AF314" s="167"/>
    </row>
    <row r="315" spans="1:42" s="6" customFormat="1" x14ac:dyDescent="0.25">
      <c r="A315" s="195" t="s">
        <v>1346</v>
      </c>
      <c r="B315" s="254" t="s">
        <v>1428</v>
      </c>
      <c r="C315" s="254"/>
      <c r="D315" s="254"/>
      <c r="E315" s="252"/>
      <c r="F315" s="252"/>
      <c r="G315" s="252"/>
      <c r="H315" s="252"/>
      <c r="I315" s="252"/>
      <c r="J315" s="252"/>
      <c r="K315" s="252"/>
      <c r="L315" s="252"/>
      <c r="M315" s="252"/>
      <c r="N315" s="252"/>
      <c r="O315" s="252"/>
      <c r="P315" s="252"/>
      <c r="Q315" s="252"/>
      <c r="R315" s="252"/>
      <c r="S315" s="252"/>
      <c r="T315" s="252"/>
      <c r="U315" s="252"/>
      <c r="V315" s="252"/>
      <c r="W315" s="252"/>
      <c r="X315" s="252"/>
      <c r="Y315" s="252"/>
      <c r="Z315" s="167"/>
      <c r="AA315" s="167"/>
      <c r="AB315" s="167"/>
      <c r="AC315" s="167"/>
    </row>
    <row r="316" spans="1:42" s="6" customFormat="1" x14ac:dyDescent="0.25">
      <c r="A316" s="323" t="s">
        <v>306</v>
      </c>
      <c r="B316" s="704" t="s">
        <v>1571</v>
      </c>
      <c r="C316" s="705"/>
      <c r="D316" s="705"/>
      <c r="E316" s="705"/>
      <c r="F316" s="705"/>
      <c r="G316" s="705"/>
      <c r="H316" s="705"/>
      <c r="I316" s="705"/>
      <c r="J316" s="705"/>
      <c r="K316" s="705"/>
      <c r="L316" s="705"/>
      <c r="M316" s="705"/>
      <c r="N316" s="705"/>
      <c r="O316" s="705"/>
      <c r="P316" s="705"/>
      <c r="Q316" s="705"/>
      <c r="R316" s="705"/>
      <c r="S316" s="705"/>
      <c r="T316" s="705"/>
      <c r="U316" s="705"/>
      <c r="V316" s="705"/>
      <c r="W316" s="705"/>
      <c r="X316" s="705"/>
      <c r="Y316" s="705"/>
      <c r="Z316" s="705"/>
      <c r="AA316" s="705"/>
      <c r="AB316" s="708"/>
      <c r="AC316" s="679" t="s">
        <v>1126</v>
      </c>
      <c r="AD316" s="679" t="s">
        <v>1107</v>
      </c>
      <c r="AE316" s="679" t="s">
        <v>1108</v>
      </c>
      <c r="AF316" s="679" t="s">
        <v>1127</v>
      </c>
    </row>
    <row r="317" spans="1:42" s="6" customFormat="1" x14ac:dyDescent="0.25">
      <c r="A317" s="323"/>
      <c r="B317" s="92" t="s">
        <v>1438</v>
      </c>
      <c r="C317" s="92" t="s">
        <v>1439</v>
      </c>
      <c r="D317" s="92" t="s">
        <v>1437</v>
      </c>
      <c r="E317" s="92" t="s">
        <v>1436</v>
      </c>
      <c r="F317" s="92" t="s">
        <v>1435</v>
      </c>
      <c r="G317" s="92" t="s">
        <v>1434</v>
      </c>
      <c r="H317" s="92" t="s">
        <v>1433</v>
      </c>
      <c r="I317" s="92" t="s">
        <v>1432</v>
      </c>
      <c r="J317" s="92" t="s">
        <v>1431</v>
      </c>
      <c r="K317" s="92" t="s">
        <v>1440</v>
      </c>
      <c r="L317" s="92" t="s">
        <v>1441</v>
      </c>
      <c r="M317" s="92" t="s">
        <v>1442</v>
      </c>
      <c r="N317" s="92" t="s">
        <v>1443</v>
      </c>
      <c r="O317" s="92" t="s">
        <v>1444</v>
      </c>
      <c r="P317" s="92" t="s">
        <v>1445</v>
      </c>
      <c r="Q317" s="92" t="s">
        <v>1446</v>
      </c>
      <c r="R317" s="92" t="s">
        <v>1447</v>
      </c>
      <c r="S317" s="92" t="s">
        <v>1448</v>
      </c>
      <c r="T317" s="92" t="s">
        <v>1449</v>
      </c>
      <c r="U317" s="92" t="s">
        <v>1450</v>
      </c>
      <c r="V317" s="92" t="s">
        <v>1451</v>
      </c>
      <c r="W317" s="92" t="s">
        <v>1452</v>
      </c>
      <c r="X317" s="92" t="s">
        <v>1453</v>
      </c>
      <c r="Y317" s="92" t="s">
        <v>1454</v>
      </c>
      <c r="Z317" s="92" t="s">
        <v>1455</v>
      </c>
      <c r="AA317" s="92" t="s">
        <v>1456</v>
      </c>
      <c r="AB317" s="92" t="s">
        <v>1457</v>
      </c>
      <c r="AC317" s="679"/>
      <c r="AD317" s="679"/>
      <c r="AE317" s="679"/>
      <c r="AF317" s="679"/>
    </row>
    <row r="318" spans="1:42" s="6" customFormat="1" x14ac:dyDescent="0.25">
      <c r="A318" s="323"/>
      <c r="B318" s="253" t="str">
        <f>C306</f>
        <v>9999</v>
      </c>
      <c r="C318" s="189">
        <f>I306</f>
        <v>20180328</v>
      </c>
      <c r="D318" s="189">
        <f t="shared" ref="D318:H318" si="37">D306</f>
        <v>20180328</v>
      </c>
      <c r="E318" s="253" t="str">
        <f t="shared" si="37"/>
        <v>6001</v>
      </c>
      <c r="F318" s="253" t="str">
        <f t="shared" si="37"/>
        <v>B00102</v>
      </c>
      <c r="G318" s="253" t="str">
        <f t="shared" si="37"/>
        <v>6001</v>
      </c>
      <c r="H318" s="253" t="str">
        <f t="shared" si="37"/>
        <v>CNY</v>
      </c>
      <c r="I318" s="248" t="str">
        <f t="shared" ref="I318:J318" si="38">J306</f>
        <v>CZCE</v>
      </c>
      <c r="J318" s="248" t="str">
        <f t="shared" si="38"/>
        <v>PTA807</v>
      </c>
      <c r="K318" s="113">
        <f>N306</f>
        <v>1</v>
      </c>
      <c r="L318" s="113">
        <f>M306</f>
        <v>3</v>
      </c>
      <c r="M318" s="113">
        <f>O306</f>
        <v>4</v>
      </c>
      <c r="N318" s="113">
        <v>0</v>
      </c>
      <c r="O318" s="113">
        <f>S306</f>
        <v>3</v>
      </c>
      <c r="P318" s="113">
        <f>T306</f>
        <v>1</v>
      </c>
      <c r="Q318" s="113">
        <f>P306</f>
        <v>6165</v>
      </c>
      <c r="R318" s="113">
        <f>L306</f>
        <v>5</v>
      </c>
      <c r="S318" s="248">
        <f t="shared" ref="S318:T318" si="39">Y306</f>
        <v>0</v>
      </c>
      <c r="T318" s="248">
        <f t="shared" si="39"/>
        <v>0</v>
      </c>
      <c r="U318" s="248">
        <f t="shared" ref="U318:X318" si="40">U306</f>
        <v>0</v>
      </c>
      <c r="V318" s="248">
        <f t="shared" si="40"/>
        <v>0</v>
      </c>
      <c r="W318" s="248">
        <f t="shared" si="40"/>
        <v>0</v>
      </c>
      <c r="X318" s="248">
        <f t="shared" si="40"/>
        <v>0</v>
      </c>
      <c r="Y318" s="113">
        <f t="shared" si="34"/>
        <v>20180328</v>
      </c>
      <c r="Z318" s="113">
        <f>Q306</f>
        <v>2</v>
      </c>
      <c r="AA318" s="113">
        <f t="shared" ref="AA318:AB318" si="41">AA306</f>
        <v>1</v>
      </c>
      <c r="AB318" s="113">
        <f t="shared" si="41"/>
        <v>1</v>
      </c>
      <c r="AC318" s="167" t="s">
        <v>2129</v>
      </c>
      <c r="AD318" s="167"/>
      <c r="AE318" s="167"/>
      <c r="AF318" s="167"/>
    </row>
    <row r="319" spans="1:42" x14ac:dyDescent="0.25">
      <c r="A319" s="4" t="s">
        <v>173</v>
      </c>
      <c r="B319" s="36" t="s">
        <v>1474</v>
      </c>
      <c r="C319" s="138"/>
      <c r="D319" s="8"/>
      <c r="E319" s="8"/>
      <c r="F319" s="8"/>
      <c r="G319" s="138"/>
      <c r="H319" s="92"/>
      <c r="I319" s="92"/>
      <c r="J319" s="92"/>
      <c r="K319" s="92"/>
      <c r="W319" s="6"/>
      <c r="X319" s="6"/>
      <c r="Y319" s="6"/>
      <c r="Z319" s="6"/>
      <c r="AA319" s="6"/>
      <c r="AB319" s="6"/>
      <c r="AC319" s="6"/>
      <c r="AD319" s="6"/>
      <c r="AE319" s="6"/>
      <c r="AF319" s="6"/>
      <c r="AG319" s="6"/>
      <c r="AH319" s="6"/>
      <c r="AI319" s="6"/>
      <c r="AJ319" s="6"/>
      <c r="AK319" s="6"/>
      <c r="AL319" s="6"/>
      <c r="AM319" s="6"/>
      <c r="AN319" s="6"/>
      <c r="AO319" s="6"/>
      <c r="AP319" s="6"/>
    </row>
    <row r="320" spans="1:42" x14ac:dyDescent="0.25">
      <c r="A320" s="57" t="s">
        <v>124</v>
      </c>
      <c r="B320" s="44" t="s">
        <v>1557</v>
      </c>
      <c r="C320" s="138"/>
      <c r="D320" s="8"/>
      <c r="E320" s="8"/>
      <c r="F320" s="8"/>
      <c r="G320" s="138"/>
      <c r="H320" s="92"/>
      <c r="I320" s="92"/>
      <c r="J320" s="92"/>
      <c r="K320" s="92"/>
      <c r="W320" s="6"/>
      <c r="X320" s="6"/>
      <c r="Y320" s="6"/>
      <c r="Z320" s="6"/>
      <c r="AA320" s="6"/>
      <c r="AB320" s="6"/>
      <c r="AC320" s="6"/>
      <c r="AD320" s="6"/>
      <c r="AE320" s="6"/>
      <c r="AF320" s="6"/>
      <c r="AG320" s="6"/>
      <c r="AH320" s="6"/>
      <c r="AI320" s="6"/>
      <c r="AJ320" s="6"/>
      <c r="AK320" s="6"/>
      <c r="AL320" s="6"/>
      <c r="AM320" s="6"/>
      <c r="AN320" s="6"/>
      <c r="AO320" s="6"/>
      <c r="AP320" s="6"/>
    </row>
    <row r="321" spans="1:42" x14ac:dyDescent="0.25">
      <c r="A321" t="s">
        <v>306</v>
      </c>
      <c r="B321" s="757" t="s">
        <v>1928</v>
      </c>
      <c r="C321" s="758"/>
      <c r="D321" s="758"/>
      <c r="E321" s="758"/>
      <c r="F321" s="758"/>
      <c r="G321" s="758"/>
      <c r="H321" s="758"/>
      <c r="I321" s="758"/>
      <c r="J321" s="758"/>
      <c r="K321" s="758"/>
      <c r="L321" s="758"/>
      <c r="W321" s="6"/>
      <c r="X321" s="6"/>
      <c r="Y321" s="6"/>
      <c r="Z321" s="6"/>
      <c r="AA321" s="6"/>
      <c r="AB321" s="6"/>
      <c r="AC321" s="6"/>
      <c r="AD321" s="6"/>
      <c r="AE321" s="6"/>
      <c r="AF321" s="6"/>
      <c r="AG321" s="6"/>
      <c r="AH321" s="6"/>
      <c r="AI321" s="6"/>
      <c r="AJ321" s="6"/>
      <c r="AK321" s="6"/>
      <c r="AL321" s="6"/>
      <c r="AM321" s="6"/>
      <c r="AN321" s="6"/>
      <c r="AO321" s="6"/>
      <c r="AP321" s="6"/>
    </row>
    <row r="322" spans="1:42" x14ac:dyDescent="0.25">
      <c r="A322" t="s">
        <v>173</v>
      </c>
      <c r="B322" s="92" t="s">
        <v>23</v>
      </c>
      <c r="C322" s="92" t="s">
        <v>25</v>
      </c>
      <c r="D322" s="92" t="s">
        <v>1200</v>
      </c>
      <c r="E322" s="92" t="s">
        <v>1201</v>
      </c>
      <c r="F322" s="92" t="s">
        <v>29</v>
      </c>
      <c r="G322" s="92" t="s">
        <v>1202</v>
      </c>
      <c r="H322" s="92" t="s">
        <v>28</v>
      </c>
      <c r="I322" s="92" t="s">
        <v>1203</v>
      </c>
      <c r="J322" s="92" t="s">
        <v>151</v>
      </c>
      <c r="K322" s="92" t="s">
        <v>150</v>
      </c>
      <c r="L322" s="92" t="s">
        <v>176</v>
      </c>
      <c r="W322" s="6"/>
      <c r="X322" s="6"/>
      <c r="Y322" s="6"/>
      <c r="Z322" s="6"/>
      <c r="AA322" s="6"/>
      <c r="AB322" s="6"/>
      <c r="AC322" s="6"/>
      <c r="AD322" s="6"/>
      <c r="AE322" s="6"/>
      <c r="AF322" s="6"/>
      <c r="AG322" s="6"/>
      <c r="AH322" s="6"/>
      <c r="AI322" s="6"/>
      <c r="AJ322" s="6"/>
      <c r="AK322" s="6"/>
      <c r="AL322" s="6"/>
      <c r="AM322" s="6"/>
      <c r="AN322" s="6"/>
      <c r="AO322" s="6"/>
      <c r="AP322" s="6"/>
    </row>
    <row r="323" spans="1:42" x14ac:dyDescent="0.3">
      <c r="B323" s="146" t="s">
        <v>23</v>
      </c>
      <c r="C323" s="146" t="s">
        <v>25</v>
      </c>
      <c r="D323" s="146" t="s">
        <v>1200</v>
      </c>
      <c r="E323" s="146" t="s">
        <v>1201</v>
      </c>
      <c r="F323" s="146" t="s">
        <v>29</v>
      </c>
      <c r="G323" s="146" t="s">
        <v>1202</v>
      </c>
      <c r="H323" s="146" t="s">
        <v>28</v>
      </c>
      <c r="I323" s="146" t="s">
        <v>1203</v>
      </c>
      <c r="J323" s="146" t="s">
        <v>151</v>
      </c>
      <c r="K323" s="146" t="s">
        <v>150</v>
      </c>
      <c r="L323" s="146" t="s">
        <v>176</v>
      </c>
      <c r="W323" s="6"/>
      <c r="X323" s="6"/>
      <c r="Y323" s="6"/>
      <c r="Z323" s="6"/>
      <c r="AA323" s="6"/>
      <c r="AB323" s="6"/>
      <c r="AC323" s="6"/>
      <c r="AD323" s="6"/>
      <c r="AE323" s="6"/>
      <c r="AF323" s="6"/>
      <c r="AG323" s="6"/>
      <c r="AH323" s="6"/>
      <c r="AI323" s="6"/>
      <c r="AJ323" s="6"/>
      <c r="AK323" s="6"/>
      <c r="AL323" s="6"/>
      <c r="AM323" s="6"/>
      <c r="AN323" s="6"/>
      <c r="AO323" s="6"/>
      <c r="AP323" s="6"/>
    </row>
    <row r="324" spans="1:42" x14ac:dyDescent="0.25">
      <c r="B324" s="150" t="str">
        <f>$F$5</f>
        <v>9999</v>
      </c>
      <c r="C324" s="150" t="str">
        <f>B5</f>
        <v>6001</v>
      </c>
      <c r="D324" s="150" t="str">
        <f>D19</f>
        <v>SR</v>
      </c>
      <c r="E324" s="150">
        <f>B2</f>
        <v>20180328</v>
      </c>
      <c r="F324" s="164">
        <v>345</v>
      </c>
      <c r="G324" s="152">
        <v>0.9</v>
      </c>
      <c r="H324" s="290">
        <v>0</v>
      </c>
      <c r="I324" s="199">
        <v>0</v>
      </c>
      <c r="J324" s="150" t="s">
        <v>154</v>
      </c>
      <c r="K324" s="150" t="str">
        <f>C324</f>
        <v>6001</v>
      </c>
      <c r="L324" s="150">
        <v>1</v>
      </c>
      <c r="W324" s="6"/>
      <c r="X324" s="6"/>
      <c r="Y324" s="6"/>
      <c r="Z324" s="6"/>
      <c r="AA324" s="6"/>
      <c r="AB324" s="6"/>
      <c r="AC324" s="6"/>
      <c r="AD324" s="6"/>
      <c r="AE324" s="6"/>
      <c r="AF324" s="6"/>
      <c r="AG324" s="6"/>
      <c r="AH324" s="6"/>
      <c r="AI324" s="6"/>
      <c r="AJ324" s="6"/>
      <c r="AK324" s="6"/>
      <c r="AL324" s="6"/>
      <c r="AM324" s="6"/>
      <c r="AN324" s="6"/>
      <c r="AO324" s="6"/>
      <c r="AP324" s="6"/>
    </row>
    <row r="325" spans="1:42" x14ac:dyDescent="0.25">
      <c r="A325" t="s">
        <v>1929</v>
      </c>
      <c r="B325" s="432" t="s">
        <v>1930</v>
      </c>
      <c r="C325" s="351"/>
      <c r="D325" s="351"/>
      <c r="E325" s="351"/>
      <c r="F325" s="352"/>
      <c r="G325" s="289"/>
      <c r="H325" s="351"/>
      <c r="I325" s="430"/>
      <c r="J325" s="351"/>
      <c r="K325" s="351"/>
      <c r="L325" s="351"/>
      <c r="W325" s="6"/>
      <c r="X325" s="6"/>
      <c r="Y325" s="6"/>
      <c r="Z325" s="6"/>
      <c r="AA325" s="6"/>
      <c r="AB325" s="6"/>
      <c r="AC325" s="6"/>
      <c r="AD325" s="6"/>
      <c r="AE325" s="6"/>
      <c r="AF325" s="6"/>
      <c r="AG325" s="6"/>
      <c r="AH325" s="6"/>
      <c r="AI325" s="6"/>
      <c r="AJ325" s="6"/>
      <c r="AK325" s="6"/>
      <c r="AL325" s="6"/>
      <c r="AM325" s="6"/>
      <c r="AN325" s="6"/>
      <c r="AO325" s="6"/>
      <c r="AP325" s="6"/>
    </row>
    <row r="326" spans="1:42" x14ac:dyDescent="0.25">
      <c r="A326" t="s">
        <v>1931</v>
      </c>
      <c r="B326" s="760" t="s">
        <v>1932</v>
      </c>
      <c r="C326" s="760"/>
      <c r="D326" s="760"/>
      <c r="E326" s="760"/>
      <c r="F326" s="760"/>
      <c r="G326" s="760"/>
      <c r="H326" s="760"/>
      <c r="I326" s="760"/>
      <c r="J326" s="760"/>
      <c r="K326" s="760"/>
      <c r="L326" s="760"/>
      <c r="M326" s="761" t="s">
        <v>1933</v>
      </c>
      <c r="N326" s="761" t="s">
        <v>1934</v>
      </c>
      <c r="W326" s="6"/>
      <c r="X326" s="6"/>
      <c r="Y326" s="6"/>
      <c r="Z326" s="6"/>
      <c r="AA326" s="6"/>
      <c r="AB326" s="6"/>
      <c r="AC326" s="6"/>
      <c r="AD326" s="6"/>
      <c r="AE326" s="6"/>
      <c r="AF326" s="6"/>
      <c r="AG326" s="6"/>
      <c r="AH326" s="6"/>
      <c r="AI326" s="6"/>
      <c r="AJ326" s="6"/>
      <c r="AK326" s="6"/>
      <c r="AL326" s="6"/>
      <c r="AM326" s="6"/>
      <c r="AN326" s="6"/>
      <c r="AO326" s="6"/>
      <c r="AP326" s="6"/>
    </row>
    <row r="327" spans="1:42" x14ac:dyDescent="0.25">
      <c r="B327" s="351" t="s">
        <v>1109</v>
      </c>
      <c r="C327" s="351" t="s">
        <v>1481</v>
      </c>
      <c r="D327" s="351" t="s">
        <v>1935</v>
      </c>
      <c r="E327" s="351" t="s">
        <v>1936</v>
      </c>
      <c r="F327" s="352" t="s">
        <v>1937</v>
      </c>
      <c r="G327" s="289" t="s">
        <v>1938</v>
      </c>
      <c r="H327" s="351" t="s">
        <v>1939</v>
      </c>
      <c r="I327" s="430" t="s">
        <v>1940</v>
      </c>
      <c r="J327" s="351" t="s">
        <v>1484</v>
      </c>
      <c r="K327" s="351" t="s">
        <v>1941</v>
      </c>
      <c r="L327" s="351" t="s">
        <v>1942</v>
      </c>
      <c r="M327" s="761"/>
      <c r="N327" s="761"/>
      <c r="W327" s="6"/>
      <c r="X327" s="6"/>
      <c r="Y327" s="6"/>
      <c r="Z327" s="6"/>
      <c r="AA327" s="6"/>
      <c r="AB327" s="6"/>
      <c r="AC327" s="6"/>
      <c r="AD327" s="6"/>
      <c r="AE327" s="6"/>
      <c r="AF327" s="6"/>
      <c r="AG327" s="6"/>
      <c r="AH327" s="6"/>
      <c r="AI327" s="6"/>
      <c r="AJ327" s="6"/>
      <c r="AK327" s="6"/>
      <c r="AL327" s="6"/>
      <c r="AM327" s="6"/>
      <c r="AN327" s="6"/>
      <c r="AO327" s="6"/>
      <c r="AP327" s="6"/>
    </row>
    <row r="328" spans="1:42" x14ac:dyDescent="0.25">
      <c r="B328" s="380" t="str">
        <f>$F$5</f>
        <v>9999</v>
      </c>
      <c r="C328" s="380" t="str">
        <f>B5</f>
        <v>6001</v>
      </c>
      <c r="D328" s="351" t="str">
        <f>D19</f>
        <v>SR</v>
      </c>
      <c r="E328" s="380">
        <f>'day1'!E260</f>
        <v>20180326</v>
      </c>
      <c r="F328" s="352">
        <f>'day1'!F260</f>
        <v>345</v>
      </c>
      <c r="G328" s="289">
        <f>'day1'!G260</f>
        <v>0.9</v>
      </c>
      <c r="H328" s="351">
        <v>0</v>
      </c>
      <c r="I328" s="430">
        <v>0</v>
      </c>
      <c r="J328" s="351" t="str">
        <f>'day1'!J260</f>
        <v>CNY</v>
      </c>
      <c r="K328" s="351" t="str">
        <f>'day1'!K260</f>
        <v>6001</v>
      </c>
      <c r="L328" s="351">
        <f>'day1'!L260</f>
        <v>1</v>
      </c>
      <c r="M328" t="s">
        <v>1943</v>
      </c>
      <c r="N328">
        <v>0</v>
      </c>
      <c r="W328" s="6"/>
      <c r="X328" s="6"/>
      <c r="Y328" s="6"/>
      <c r="Z328" s="6"/>
      <c r="AA328" s="6"/>
      <c r="AB328" s="6"/>
      <c r="AC328" s="6"/>
      <c r="AD328" s="6"/>
      <c r="AE328" s="6"/>
      <c r="AF328" s="6"/>
      <c r="AG328" s="6"/>
      <c r="AH328" s="6"/>
      <c r="AI328" s="6"/>
      <c r="AJ328" s="6"/>
      <c r="AK328" s="6"/>
      <c r="AL328" s="6"/>
      <c r="AM328" s="6"/>
      <c r="AN328" s="6"/>
      <c r="AO328" s="6"/>
      <c r="AP328" s="6"/>
    </row>
    <row r="329" spans="1:42" x14ac:dyDescent="0.25">
      <c r="B329" s="351"/>
      <c r="C329" s="351"/>
      <c r="D329" s="351"/>
      <c r="E329" s="351"/>
      <c r="F329" s="352"/>
      <c r="G329" s="289"/>
      <c r="H329" s="431"/>
      <c r="I329" s="430"/>
      <c r="J329" s="351"/>
      <c r="K329" s="351"/>
      <c r="L329" s="351"/>
      <c r="W329" s="6"/>
      <c r="X329" s="6"/>
      <c r="Y329" s="6"/>
      <c r="Z329" s="6"/>
      <c r="AA329" s="6"/>
      <c r="AB329" s="6"/>
      <c r="AC329" s="6"/>
      <c r="AD329" s="6"/>
      <c r="AE329" s="6"/>
      <c r="AF329" s="6"/>
      <c r="AG329" s="6"/>
      <c r="AH329" s="6"/>
      <c r="AI329" s="6"/>
      <c r="AJ329" s="6"/>
      <c r="AK329" s="6"/>
      <c r="AL329" s="6"/>
      <c r="AM329" s="6"/>
      <c r="AN329" s="6"/>
      <c r="AO329" s="6"/>
      <c r="AP329" s="6"/>
    </row>
    <row r="330" spans="1:42" hidden="1" x14ac:dyDescent="0.25">
      <c r="A330" t="s">
        <v>173</v>
      </c>
      <c r="B330" s="8" t="s">
        <v>15</v>
      </c>
      <c r="C330" s="138"/>
      <c r="D330" s="8"/>
      <c r="E330" s="8"/>
      <c r="F330" s="8"/>
      <c r="G330" s="138"/>
      <c r="H330" s="92"/>
      <c r="I330" s="92"/>
      <c r="J330" s="92"/>
      <c r="K330" s="92"/>
      <c r="W330" s="6"/>
      <c r="X330" s="6"/>
      <c r="Y330" s="6"/>
      <c r="Z330" s="6"/>
      <c r="AA330" s="6"/>
      <c r="AB330" s="6"/>
      <c r="AC330" s="6"/>
      <c r="AD330" s="6"/>
      <c r="AE330" s="6"/>
      <c r="AF330" s="6"/>
      <c r="AG330" s="6"/>
      <c r="AH330" s="6"/>
      <c r="AI330" s="6"/>
      <c r="AJ330" s="6"/>
      <c r="AK330" s="6"/>
      <c r="AL330" s="6"/>
      <c r="AM330" s="6"/>
      <c r="AN330" s="6"/>
      <c r="AO330" s="6"/>
      <c r="AP330" s="6"/>
    </row>
    <row r="331" spans="1:42" hidden="1" x14ac:dyDescent="0.25">
      <c r="A331" t="s">
        <v>173</v>
      </c>
      <c r="B331" s="7" t="s">
        <v>407</v>
      </c>
      <c r="C331" s="7" t="s">
        <v>19</v>
      </c>
      <c r="D331" s="7" t="s">
        <v>287</v>
      </c>
      <c r="E331" s="7" t="s">
        <v>118</v>
      </c>
      <c r="F331" s="7" t="s">
        <v>365</v>
      </c>
      <c r="G331" s="7" t="s">
        <v>5</v>
      </c>
      <c r="H331" s="7" t="s">
        <v>52</v>
      </c>
      <c r="I331" s="7" t="s">
        <v>403</v>
      </c>
      <c r="J331" s="7" t="s">
        <v>294</v>
      </c>
      <c r="K331" s="7" t="s">
        <v>9</v>
      </c>
      <c r="L331" s="7" t="s">
        <v>18</v>
      </c>
      <c r="M331" s="7" t="s">
        <v>385</v>
      </c>
      <c r="N331" s="7" t="s">
        <v>386</v>
      </c>
      <c r="O331" s="121" t="s">
        <v>297</v>
      </c>
      <c r="P331" s="7" t="s">
        <v>298</v>
      </c>
      <c r="Q331" s="12" t="s">
        <v>191</v>
      </c>
      <c r="R331" s="7" t="s">
        <v>226</v>
      </c>
      <c r="W331" s="6"/>
      <c r="X331" s="6"/>
      <c r="Y331" s="6"/>
      <c r="Z331" s="6"/>
      <c r="AA331" s="6"/>
      <c r="AB331" s="6"/>
      <c r="AC331" s="6"/>
      <c r="AD331" s="6"/>
      <c r="AE331" s="6"/>
      <c r="AF331" s="6"/>
      <c r="AG331" s="6"/>
      <c r="AH331" s="6"/>
      <c r="AI331" s="6"/>
      <c r="AJ331" s="6"/>
      <c r="AK331" s="6"/>
      <c r="AL331" s="6"/>
      <c r="AM331" s="6"/>
      <c r="AN331" s="6"/>
      <c r="AO331" s="6"/>
      <c r="AP331" s="6"/>
    </row>
    <row r="332" spans="1:42" hidden="1" x14ac:dyDescent="0.25">
      <c r="A332" t="s">
        <v>173</v>
      </c>
      <c r="B332" s="7" t="s">
        <v>400</v>
      </c>
      <c r="C332" s="7" t="s">
        <v>321</v>
      </c>
      <c r="D332" s="7" t="s">
        <v>322</v>
      </c>
      <c r="E332" s="7" t="s">
        <v>322</v>
      </c>
      <c r="F332" s="7" t="s">
        <v>399</v>
      </c>
      <c r="G332" s="7" t="s">
        <v>327</v>
      </c>
      <c r="H332" s="7" t="s">
        <v>328</v>
      </c>
      <c r="I332" s="7" t="s">
        <v>405</v>
      </c>
      <c r="J332" s="7" t="s">
        <v>331</v>
      </c>
      <c r="K332" s="7" t="s">
        <v>332</v>
      </c>
      <c r="L332" s="7" t="s">
        <v>395</v>
      </c>
      <c r="M332" s="7" t="s">
        <v>394</v>
      </c>
      <c r="N332" s="7" t="s">
        <v>393</v>
      </c>
      <c r="O332" s="121" t="s">
        <v>337</v>
      </c>
      <c r="P332" s="92" t="s">
        <v>338</v>
      </c>
      <c r="Q332" s="7" t="s">
        <v>346</v>
      </c>
      <c r="R332" s="7" t="s">
        <v>362</v>
      </c>
      <c r="W332" s="6"/>
      <c r="X332" s="6"/>
      <c r="Y332" s="6"/>
      <c r="Z332" s="6"/>
      <c r="AA332" s="6"/>
      <c r="AB332" s="6"/>
      <c r="AC332" s="6"/>
      <c r="AD332" s="6"/>
      <c r="AE332" s="6"/>
      <c r="AF332" s="6"/>
      <c r="AG332" s="6"/>
      <c r="AH332" s="6"/>
      <c r="AI332" s="6"/>
      <c r="AJ332" s="6"/>
      <c r="AK332" s="6"/>
      <c r="AL332" s="6"/>
      <c r="AM332" s="6"/>
      <c r="AN332" s="6"/>
      <c r="AO332" s="6"/>
      <c r="AP332" s="6"/>
    </row>
    <row r="333" spans="1:42" hidden="1" x14ac:dyDescent="0.25">
      <c r="A333" t="s">
        <v>173</v>
      </c>
      <c r="B333" s="92">
        <f>$B$2</f>
        <v>20180328</v>
      </c>
      <c r="C333" s="34" t="str">
        <f t="shared" ref="C333:E335" si="42">D737</f>
        <v>6001</v>
      </c>
      <c r="D333" s="34" t="str">
        <f t="shared" si="42"/>
        <v>B00101</v>
      </c>
      <c r="E333" s="34" t="str">
        <f t="shared" si="42"/>
        <v>6001</v>
      </c>
      <c r="F333" s="101">
        <f>$B$2</f>
        <v>20180328</v>
      </c>
      <c r="G333" s="101" t="str">
        <f>$B$19</f>
        <v>CZCE</v>
      </c>
      <c r="H333" s="12" t="str">
        <f xml:space="preserve"> $C$19</f>
        <v>SR807</v>
      </c>
      <c r="I333" s="101">
        <f>VLOOKUP(H333,$C$19:$E$29,3,FALSE)</f>
        <v>10</v>
      </c>
      <c r="J333" s="101">
        <v>3</v>
      </c>
      <c r="K333" s="101">
        <v>1</v>
      </c>
      <c r="L333" s="101">
        <v>2</v>
      </c>
      <c r="M333" s="121">
        <v>6130</v>
      </c>
      <c r="N333" s="121">
        <v>1</v>
      </c>
      <c r="O333" s="121">
        <v>0</v>
      </c>
      <c r="P333" s="121">
        <v>0</v>
      </c>
      <c r="Q333" s="92" t="str">
        <f>$F$5</f>
        <v>9999</v>
      </c>
      <c r="R333" s="92" t="str">
        <f>$D$9</f>
        <v>CNY</v>
      </c>
      <c r="W333" s="6"/>
      <c r="X333" s="6"/>
      <c r="Y333" s="6"/>
      <c r="Z333" s="6"/>
      <c r="AA333" s="6"/>
      <c r="AB333" s="6"/>
      <c r="AC333" s="6"/>
      <c r="AD333" s="6"/>
      <c r="AE333" s="6"/>
      <c r="AF333" s="6"/>
      <c r="AG333" s="6"/>
      <c r="AH333" s="6"/>
      <c r="AI333" s="6"/>
      <c r="AJ333" s="6"/>
      <c r="AK333" s="6"/>
      <c r="AL333" s="6"/>
      <c r="AM333" s="6"/>
      <c r="AN333" s="6"/>
      <c r="AO333" s="6"/>
      <c r="AP333" s="6"/>
    </row>
    <row r="334" spans="1:42" hidden="1" x14ac:dyDescent="0.25">
      <c r="A334" t="s">
        <v>173</v>
      </c>
      <c r="B334" s="92">
        <f>$B$2</f>
        <v>20180328</v>
      </c>
      <c r="C334" s="34" t="str">
        <f t="shared" si="42"/>
        <v>6001</v>
      </c>
      <c r="D334" s="34" t="str">
        <f t="shared" si="42"/>
        <v>B00102</v>
      </c>
      <c r="E334" s="34" t="str">
        <f t="shared" si="42"/>
        <v>6001</v>
      </c>
      <c r="F334" s="101">
        <f>$B$2</f>
        <v>20180328</v>
      </c>
      <c r="G334" s="101" t="str">
        <f>$B$19</f>
        <v>CZCE</v>
      </c>
      <c r="H334" s="12" t="str">
        <f xml:space="preserve"> $C$22</f>
        <v>PTA807</v>
      </c>
      <c r="I334" s="101">
        <f>VLOOKUP(H334,$C$19:$E$29,3,FALSE)</f>
        <v>5</v>
      </c>
      <c r="J334" s="101">
        <v>2</v>
      </c>
      <c r="K334" s="101">
        <v>1</v>
      </c>
      <c r="L334" s="101">
        <v>5</v>
      </c>
      <c r="M334" s="121">
        <v>6120</v>
      </c>
      <c r="N334" s="121">
        <v>1</v>
      </c>
      <c r="O334" s="121">
        <v>0</v>
      </c>
      <c r="P334" s="121">
        <v>0</v>
      </c>
      <c r="Q334" s="92" t="str">
        <f>$F$5</f>
        <v>9999</v>
      </c>
      <c r="R334" s="92" t="str">
        <f>$D$9</f>
        <v>CNY</v>
      </c>
      <c r="W334" s="6"/>
      <c r="X334" s="6"/>
      <c r="Y334" s="6"/>
      <c r="Z334" s="6"/>
      <c r="AA334" s="6"/>
      <c r="AB334" s="6"/>
      <c r="AC334" s="6"/>
      <c r="AD334" s="6"/>
      <c r="AE334" s="6"/>
      <c r="AF334" s="6"/>
      <c r="AG334" s="6"/>
      <c r="AH334" s="6"/>
      <c r="AI334" s="6"/>
      <c r="AJ334" s="6"/>
      <c r="AK334" s="6"/>
      <c r="AL334" s="6"/>
      <c r="AM334" s="6"/>
      <c r="AN334" s="6"/>
      <c r="AO334" s="6"/>
      <c r="AP334" s="6"/>
    </row>
    <row r="335" spans="1:42" hidden="1" x14ac:dyDescent="0.25">
      <c r="A335" t="s">
        <v>173</v>
      </c>
      <c r="B335" s="92">
        <f>$B$2</f>
        <v>20180328</v>
      </c>
      <c r="C335" s="34" t="str">
        <f t="shared" si="42"/>
        <v>6001</v>
      </c>
      <c r="D335" s="34" t="str">
        <f t="shared" si="42"/>
        <v>B00102</v>
      </c>
      <c r="E335" s="34" t="str">
        <f t="shared" si="42"/>
        <v>6001</v>
      </c>
      <c r="F335" s="101">
        <f>$B$2</f>
        <v>20180328</v>
      </c>
      <c r="G335" s="101" t="str">
        <f>$B$19</f>
        <v>CZCE</v>
      </c>
      <c r="H335" s="12" t="str">
        <f xml:space="preserve"> $C$22</f>
        <v>PTA807</v>
      </c>
      <c r="I335" s="101">
        <f>VLOOKUP(H335,$C$19:$E$29,3,FALSE)</f>
        <v>5</v>
      </c>
      <c r="J335" s="101">
        <v>2</v>
      </c>
      <c r="K335" s="101">
        <v>3</v>
      </c>
      <c r="L335" s="101">
        <v>4</v>
      </c>
      <c r="M335" s="125">
        <v>6120</v>
      </c>
      <c r="N335" s="121">
        <v>1</v>
      </c>
      <c r="O335" s="121">
        <v>0</v>
      </c>
      <c r="P335" s="121">
        <v>0</v>
      </c>
      <c r="Q335" s="92" t="str">
        <f>$F$5</f>
        <v>9999</v>
      </c>
      <c r="R335" s="92" t="str">
        <f>$D$9</f>
        <v>CNY</v>
      </c>
      <c r="W335" s="6"/>
      <c r="X335" s="6"/>
      <c r="Y335" s="6"/>
      <c r="Z335" s="6"/>
      <c r="AA335" s="6"/>
      <c r="AB335" s="6"/>
      <c r="AC335" s="6"/>
      <c r="AD335" s="6"/>
      <c r="AE335" s="6"/>
      <c r="AF335" s="6"/>
      <c r="AG335" s="6"/>
      <c r="AH335" s="6"/>
      <c r="AI335" s="6"/>
      <c r="AJ335" s="6"/>
      <c r="AK335" s="6"/>
      <c r="AL335" s="6"/>
      <c r="AM335" s="6"/>
      <c r="AN335" s="6"/>
      <c r="AO335" s="6"/>
      <c r="AP335" s="6"/>
    </row>
    <row r="336" spans="1:42" hidden="1" x14ac:dyDescent="0.25">
      <c r="A336" t="s">
        <v>173</v>
      </c>
      <c r="B336" s="92"/>
      <c r="C336" s="34"/>
      <c r="D336" s="34"/>
      <c r="E336" s="34"/>
      <c r="F336" s="101"/>
      <c r="G336" s="107"/>
      <c r="H336" s="3"/>
      <c r="I336" s="107"/>
      <c r="J336" s="107"/>
      <c r="K336" s="107"/>
      <c r="L336" s="107"/>
      <c r="M336" s="122"/>
      <c r="N336" s="128"/>
      <c r="O336" s="128"/>
      <c r="P336" s="128"/>
      <c r="Q336" s="126"/>
      <c r="R336" s="126"/>
      <c r="W336" s="6"/>
      <c r="X336" s="6"/>
      <c r="Y336" s="6"/>
      <c r="Z336" s="6"/>
      <c r="AA336" s="6"/>
      <c r="AB336" s="6"/>
      <c r="AC336" s="6"/>
      <c r="AD336" s="6"/>
      <c r="AE336" s="6"/>
      <c r="AF336" s="6"/>
      <c r="AG336" s="6"/>
      <c r="AH336" s="6"/>
      <c r="AI336" s="6"/>
      <c r="AJ336" s="6"/>
      <c r="AK336" s="6"/>
      <c r="AL336" s="6"/>
      <c r="AM336" s="6"/>
      <c r="AN336" s="6"/>
      <c r="AO336" s="6"/>
      <c r="AP336" s="6"/>
    </row>
    <row r="337" spans="1:42" hidden="1" x14ac:dyDescent="0.25">
      <c r="A337" t="s">
        <v>173</v>
      </c>
      <c r="B337" s="183" t="s">
        <v>970</v>
      </c>
      <c r="C337" s="184" t="s">
        <v>1110</v>
      </c>
      <c r="D337" s="184"/>
      <c r="E337" s="184"/>
      <c r="F337" s="171"/>
      <c r="G337" s="137"/>
      <c r="H337" s="126"/>
      <c r="I337" s="126"/>
      <c r="J337" s="126"/>
      <c r="K337" s="126"/>
      <c r="W337" s="6"/>
      <c r="X337" s="6"/>
      <c r="Y337" s="6"/>
      <c r="Z337" s="6"/>
      <c r="AA337" s="6"/>
      <c r="AB337" s="6"/>
      <c r="AC337" s="6"/>
      <c r="AD337" s="6"/>
      <c r="AE337" s="6"/>
      <c r="AF337" s="6"/>
      <c r="AG337" s="6"/>
      <c r="AH337" s="6"/>
      <c r="AI337" s="6"/>
      <c r="AJ337" s="6"/>
      <c r="AK337" s="6"/>
      <c r="AL337" s="6"/>
      <c r="AM337" s="6"/>
      <c r="AN337" s="6"/>
      <c r="AO337" s="6"/>
      <c r="AP337" s="6"/>
    </row>
    <row r="338" spans="1:42" hidden="1" x14ac:dyDescent="0.25">
      <c r="A338" t="s">
        <v>173</v>
      </c>
      <c r="B338" s="170" t="s">
        <v>1095</v>
      </c>
      <c r="C338" s="704" t="s">
        <v>1573</v>
      </c>
      <c r="D338" s="705"/>
      <c r="E338" s="706"/>
      <c r="F338" s="706"/>
      <c r="G338" s="706"/>
      <c r="H338" s="706"/>
      <c r="I338" s="706"/>
      <c r="J338" s="706"/>
      <c r="K338" s="706"/>
      <c r="L338" s="706"/>
      <c r="M338" s="706"/>
      <c r="N338" s="706"/>
      <c r="O338" s="706"/>
      <c r="P338" s="706"/>
      <c r="Q338" s="706"/>
      <c r="R338" s="707"/>
      <c r="S338" s="695" t="s">
        <v>1126</v>
      </c>
      <c r="T338" s="695" t="s">
        <v>1107</v>
      </c>
      <c r="U338" s="695" t="s">
        <v>1108</v>
      </c>
      <c r="V338" s="695" t="s">
        <v>1127</v>
      </c>
      <c r="W338" s="6"/>
      <c r="X338" s="6"/>
      <c r="Y338" s="6"/>
      <c r="Z338" s="6"/>
      <c r="AA338" s="6"/>
      <c r="AB338" s="6"/>
      <c r="AC338" s="6"/>
      <c r="AD338" s="6"/>
      <c r="AE338" s="6"/>
      <c r="AF338" s="6"/>
      <c r="AG338" s="6"/>
      <c r="AH338" s="6"/>
      <c r="AI338" s="6"/>
      <c r="AJ338" s="6"/>
      <c r="AK338" s="6"/>
      <c r="AL338" s="6"/>
      <c r="AM338" s="6"/>
      <c r="AN338" s="6"/>
      <c r="AO338" s="6"/>
      <c r="AP338" s="6"/>
    </row>
    <row r="339" spans="1:42" hidden="1" x14ac:dyDescent="0.25">
      <c r="A339" t="s">
        <v>173</v>
      </c>
      <c r="B339" s="170"/>
      <c r="C339" s="172" t="s">
        <v>1109</v>
      </c>
      <c r="D339" s="172" t="s">
        <v>1111</v>
      </c>
      <c r="E339" s="172" t="s">
        <v>1113</v>
      </c>
      <c r="F339" s="173" t="s">
        <v>1112</v>
      </c>
      <c r="G339" s="138" t="s">
        <v>1114</v>
      </c>
      <c r="H339" s="172" t="s">
        <v>1115</v>
      </c>
      <c r="I339" s="172" t="s">
        <v>1116</v>
      </c>
      <c r="J339" s="172" t="s">
        <v>1117</v>
      </c>
      <c r="K339" s="172" t="s">
        <v>1118</v>
      </c>
      <c r="L339" s="172" t="s">
        <v>1119</v>
      </c>
      <c r="M339" s="172" t="s">
        <v>1120</v>
      </c>
      <c r="N339" s="172" t="s">
        <v>1121</v>
      </c>
      <c r="O339" s="172" t="s">
        <v>1122</v>
      </c>
      <c r="P339" s="172" t="s">
        <v>1123</v>
      </c>
      <c r="Q339" s="172" t="s">
        <v>1124</v>
      </c>
      <c r="R339" s="172" t="s">
        <v>1125</v>
      </c>
      <c r="S339" s="696"/>
      <c r="T339" s="696"/>
      <c r="U339" s="696"/>
      <c r="V339" s="696"/>
      <c r="W339" s="6"/>
      <c r="X339" s="6"/>
      <c r="Y339" s="6"/>
      <c r="Z339" s="6"/>
      <c r="AA339" s="6"/>
      <c r="AB339" s="6"/>
      <c r="AC339" s="6"/>
      <c r="AD339" s="6"/>
      <c r="AE339" s="6"/>
      <c r="AF339" s="6"/>
      <c r="AG339" s="6"/>
      <c r="AH339" s="6"/>
      <c r="AI339" s="6"/>
      <c r="AJ339" s="6"/>
      <c r="AK339" s="6"/>
      <c r="AL339" s="6"/>
      <c r="AM339" s="6"/>
      <c r="AN339" s="6"/>
      <c r="AO339" s="6"/>
      <c r="AP339" s="6"/>
    </row>
    <row r="340" spans="1:42" hidden="1" x14ac:dyDescent="0.25">
      <c r="A340" t="s">
        <v>173</v>
      </c>
      <c r="B340" s="170"/>
      <c r="C340" s="173" t="str">
        <f>Q333</f>
        <v>9999</v>
      </c>
      <c r="D340" s="173">
        <f>B333</f>
        <v>20180328</v>
      </c>
      <c r="E340" s="173"/>
      <c r="F340" s="175" t="str">
        <f>C333</f>
        <v>6001</v>
      </c>
      <c r="G340" s="175" t="str">
        <f>D333</f>
        <v>B00101</v>
      </c>
      <c r="H340" s="175" t="str">
        <f>E333</f>
        <v>6001</v>
      </c>
      <c r="I340" s="176" t="str">
        <f>R333</f>
        <v>CNY</v>
      </c>
      <c r="J340" s="176" t="str">
        <f>$B$19</f>
        <v>CZCE</v>
      </c>
      <c r="K340" s="177" t="str">
        <f>H333</f>
        <v>SR807</v>
      </c>
      <c r="L340" s="178">
        <f>K333</f>
        <v>1</v>
      </c>
      <c r="M340" s="178">
        <f>J333</f>
        <v>3</v>
      </c>
      <c r="N340" s="178">
        <f>L333</f>
        <v>2</v>
      </c>
      <c r="O340" s="177">
        <f>M333</f>
        <v>6130</v>
      </c>
      <c r="P340" s="176">
        <v>1</v>
      </c>
      <c r="Q340" s="176"/>
      <c r="R340" s="176"/>
      <c r="S340" s="176" t="s">
        <v>1128</v>
      </c>
      <c r="T340" s="176"/>
      <c r="U340" s="176"/>
      <c r="V340" s="176">
        <v>0</v>
      </c>
      <c r="W340" s="6"/>
      <c r="X340" s="6"/>
      <c r="Y340" s="6"/>
      <c r="Z340" s="6"/>
      <c r="AA340" s="6"/>
      <c r="AB340" s="6"/>
      <c r="AC340" s="6"/>
      <c r="AD340" s="6"/>
      <c r="AE340" s="6"/>
      <c r="AF340" s="6"/>
      <c r="AG340" s="6"/>
      <c r="AH340" s="6"/>
      <c r="AI340" s="6"/>
      <c r="AJ340" s="6"/>
      <c r="AK340" s="6"/>
      <c r="AL340" s="6"/>
      <c r="AM340" s="6"/>
      <c r="AN340" s="6"/>
      <c r="AO340" s="6"/>
      <c r="AP340" s="6"/>
    </row>
    <row r="341" spans="1:42" s="6" customFormat="1" hidden="1" x14ac:dyDescent="0.25">
      <c r="A341" t="s">
        <v>173</v>
      </c>
      <c r="C341" s="259"/>
      <c r="D341" s="259"/>
      <c r="E341" s="259"/>
      <c r="F341" s="259"/>
      <c r="G341" s="180"/>
      <c r="H341" s="180"/>
      <c r="I341" s="180"/>
      <c r="J341" s="167"/>
      <c r="K341" s="167"/>
      <c r="L341" s="181"/>
      <c r="M341" s="182"/>
      <c r="N341" s="182"/>
      <c r="O341" s="182"/>
      <c r="P341" s="181"/>
      <c r="Q341" s="167"/>
      <c r="R341" s="167"/>
      <c r="S341" s="167"/>
      <c r="T341" s="167"/>
      <c r="U341" s="167"/>
      <c r="V341" s="167"/>
      <c r="W341" s="167"/>
    </row>
    <row r="342" spans="1:42" s="6" customFormat="1" hidden="1" x14ac:dyDescent="0.25">
      <c r="A342" t="s">
        <v>173</v>
      </c>
      <c r="B342" s="183" t="s">
        <v>970</v>
      </c>
      <c r="C342" s="184" t="s">
        <v>1110</v>
      </c>
      <c r="D342" s="184"/>
      <c r="E342" s="184"/>
      <c r="F342" s="171"/>
      <c r="G342" s="137"/>
      <c r="H342" s="126"/>
      <c r="I342" s="126"/>
      <c r="J342" s="126"/>
      <c r="K342" s="126"/>
      <c r="L342"/>
      <c r="M342"/>
      <c r="N342"/>
      <c r="O342"/>
      <c r="P342"/>
      <c r="Q342"/>
      <c r="R342"/>
      <c r="S342"/>
      <c r="T342"/>
      <c r="U342"/>
      <c r="V342"/>
    </row>
    <row r="343" spans="1:42" s="6" customFormat="1" hidden="1" x14ac:dyDescent="0.25">
      <c r="A343" t="s">
        <v>173</v>
      </c>
      <c r="B343" s="170" t="s">
        <v>1095</v>
      </c>
      <c r="C343" s="704" t="s">
        <v>1573</v>
      </c>
      <c r="D343" s="705"/>
      <c r="E343" s="706"/>
      <c r="F343" s="706"/>
      <c r="G343" s="706"/>
      <c r="H343" s="706"/>
      <c r="I343" s="706"/>
      <c r="J343" s="706"/>
      <c r="K343" s="706"/>
      <c r="L343" s="706"/>
      <c r="M343" s="706"/>
      <c r="N343" s="706"/>
      <c r="O343" s="706"/>
      <c r="P343" s="706"/>
      <c r="Q343" s="706"/>
      <c r="R343" s="707"/>
      <c r="S343" s="695" t="s">
        <v>1126</v>
      </c>
      <c r="T343" s="695" t="s">
        <v>1107</v>
      </c>
      <c r="U343" s="695" t="s">
        <v>1108</v>
      </c>
      <c r="V343" s="695" t="s">
        <v>1127</v>
      </c>
    </row>
    <row r="344" spans="1:42" s="6" customFormat="1" hidden="1" x14ac:dyDescent="0.25">
      <c r="A344" t="s">
        <v>173</v>
      </c>
      <c r="B344" s="170"/>
      <c r="C344" s="172" t="s">
        <v>1109</v>
      </c>
      <c r="D344" s="172" t="s">
        <v>1111</v>
      </c>
      <c r="E344" s="172" t="s">
        <v>1113</v>
      </c>
      <c r="F344" s="173" t="s">
        <v>1112</v>
      </c>
      <c r="G344" s="138" t="s">
        <v>1114</v>
      </c>
      <c r="H344" s="172" t="s">
        <v>1115</v>
      </c>
      <c r="I344" s="172" t="s">
        <v>1116</v>
      </c>
      <c r="J344" s="172" t="s">
        <v>1117</v>
      </c>
      <c r="K344" s="172" t="s">
        <v>1118</v>
      </c>
      <c r="L344" s="172" t="s">
        <v>1119</v>
      </c>
      <c r="M344" s="172" t="s">
        <v>1120</v>
      </c>
      <c r="N344" s="172" t="s">
        <v>1121</v>
      </c>
      <c r="O344" s="172" t="s">
        <v>1122</v>
      </c>
      <c r="P344" s="172" t="s">
        <v>1123</v>
      </c>
      <c r="Q344" s="172" t="s">
        <v>1124</v>
      </c>
      <c r="R344" s="172" t="s">
        <v>1125</v>
      </c>
      <c r="S344" s="696"/>
      <c r="T344" s="696"/>
      <c r="U344" s="696"/>
      <c r="V344" s="696"/>
    </row>
    <row r="345" spans="1:42" s="6" customFormat="1" hidden="1" x14ac:dyDescent="0.25">
      <c r="A345" t="s">
        <v>173</v>
      </c>
      <c r="B345" s="170"/>
      <c r="C345" s="173" t="str">
        <f t="shared" ref="C345:I345" si="43">C340</f>
        <v>9999</v>
      </c>
      <c r="D345" s="173">
        <f t="shared" si="43"/>
        <v>20180328</v>
      </c>
      <c r="E345" s="173">
        <f t="shared" si="43"/>
        <v>0</v>
      </c>
      <c r="F345" s="173" t="str">
        <f t="shared" si="43"/>
        <v>6001</v>
      </c>
      <c r="G345" s="173" t="str">
        <f t="shared" si="43"/>
        <v>B00101</v>
      </c>
      <c r="H345" s="173" t="str">
        <f t="shared" si="43"/>
        <v>6001</v>
      </c>
      <c r="I345" s="173" t="str">
        <f t="shared" si="43"/>
        <v>CNY</v>
      </c>
      <c r="J345" s="176" t="str">
        <f>$B$19</f>
        <v>CZCE</v>
      </c>
      <c r="K345" s="177" t="str">
        <f>H334</f>
        <v>PTA807</v>
      </c>
      <c r="L345" s="178">
        <f>K334</f>
        <v>1</v>
      </c>
      <c r="M345" s="178">
        <f>J334</f>
        <v>2</v>
      </c>
      <c r="N345" s="178">
        <f>L334</f>
        <v>5</v>
      </c>
      <c r="O345" s="177">
        <f>M334</f>
        <v>6120</v>
      </c>
      <c r="P345" s="176">
        <v>1</v>
      </c>
      <c r="Q345" s="176"/>
      <c r="R345" s="176"/>
      <c r="S345" s="176" t="s">
        <v>1128</v>
      </c>
      <c r="T345" s="176"/>
      <c r="U345" s="176"/>
      <c r="V345" s="176">
        <v>0</v>
      </c>
    </row>
    <row r="346" spans="1:42" s="6" customFormat="1" hidden="1" x14ac:dyDescent="0.25">
      <c r="A346" t="s">
        <v>173</v>
      </c>
      <c r="C346" s="259"/>
      <c r="D346" s="259"/>
      <c r="E346" s="259"/>
      <c r="F346" s="259"/>
      <c r="G346" s="180"/>
      <c r="H346" s="180"/>
      <c r="I346" s="180"/>
      <c r="J346" s="167"/>
      <c r="K346" s="167"/>
      <c r="L346" s="181"/>
      <c r="M346" s="182"/>
      <c r="N346" s="182"/>
      <c r="O346" s="182"/>
      <c r="P346" s="181"/>
      <c r="Q346" s="167"/>
      <c r="R346" s="167"/>
      <c r="S346" s="167"/>
      <c r="T346" s="167"/>
      <c r="U346" s="167"/>
      <c r="V346" s="167"/>
      <c r="W346" s="167"/>
    </row>
    <row r="347" spans="1:42" s="6" customFormat="1" hidden="1" x14ac:dyDescent="0.25">
      <c r="A347" t="s">
        <v>173</v>
      </c>
      <c r="B347" s="183" t="s">
        <v>124</v>
      </c>
      <c r="C347" s="184" t="s">
        <v>1110</v>
      </c>
      <c r="D347" s="184"/>
      <c r="E347" s="184"/>
      <c r="F347" s="171"/>
      <c r="G347" s="137"/>
      <c r="H347" s="126"/>
      <c r="I347" s="126"/>
      <c r="J347" s="126"/>
      <c r="K347" s="126"/>
      <c r="L347"/>
      <c r="M347"/>
      <c r="N347"/>
      <c r="O347"/>
      <c r="P347"/>
      <c r="Q347"/>
      <c r="R347"/>
      <c r="S347" s="167"/>
      <c r="T347" s="167"/>
      <c r="U347" s="167"/>
      <c r="V347" s="167"/>
    </row>
    <row r="348" spans="1:42" s="6" customFormat="1" hidden="1" x14ac:dyDescent="0.25">
      <c r="A348" t="s">
        <v>173</v>
      </c>
      <c r="B348" s="170" t="s">
        <v>306</v>
      </c>
      <c r="C348" s="704" t="s">
        <v>1573</v>
      </c>
      <c r="D348" s="705"/>
      <c r="E348" s="706"/>
      <c r="F348" s="706"/>
      <c r="G348" s="706"/>
      <c r="H348" s="706"/>
      <c r="I348" s="706"/>
      <c r="J348" s="706"/>
      <c r="K348" s="706"/>
      <c r="L348" s="706"/>
      <c r="M348" s="706"/>
      <c r="N348" s="706"/>
      <c r="O348" s="706"/>
      <c r="P348" s="706"/>
      <c r="Q348" s="706"/>
      <c r="R348" s="707"/>
      <c r="S348" s="695" t="s">
        <v>1126</v>
      </c>
      <c r="T348" s="695" t="s">
        <v>1107</v>
      </c>
      <c r="U348" s="695" t="s">
        <v>1108</v>
      </c>
      <c r="V348" s="695" t="s">
        <v>1127</v>
      </c>
    </row>
    <row r="349" spans="1:42" hidden="1" x14ac:dyDescent="0.25">
      <c r="A349" t="s">
        <v>173</v>
      </c>
      <c r="B349" s="170"/>
      <c r="C349" s="172" t="s">
        <v>1109</v>
      </c>
      <c r="D349" s="172" t="s">
        <v>1111</v>
      </c>
      <c r="E349" s="172" t="s">
        <v>1113</v>
      </c>
      <c r="F349" s="173" t="s">
        <v>1112</v>
      </c>
      <c r="G349" s="138" t="s">
        <v>1114</v>
      </c>
      <c r="H349" s="172" t="s">
        <v>1115</v>
      </c>
      <c r="I349" s="172" t="s">
        <v>1116</v>
      </c>
      <c r="J349" s="172" t="s">
        <v>1117</v>
      </c>
      <c r="K349" s="172" t="s">
        <v>1118</v>
      </c>
      <c r="L349" s="172" t="s">
        <v>1119</v>
      </c>
      <c r="M349" s="172" t="s">
        <v>1120</v>
      </c>
      <c r="N349" s="172" t="s">
        <v>1121</v>
      </c>
      <c r="O349" s="172" t="s">
        <v>1122</v>
      </c>
      <c r="P349" s="172" t="s">
        <v>1123</v>
      </c>
      <c r="Q349" s="172" t="s">
        <v>1124</v>
      </c>
      <c r="R349" s="172" t="s">
        <v>1125</v>
      </c>
      <c r="S349" s="696"/>
      <c r="T349" s="696"/>
      <c r="U349" s="696"/>
      <c r="V349" s="696"/>
      <c r="W349" s="6"/>
      <c r="X349" s="6"/>
      <c r="Y349" s="6"/>
      <c r="Z349" s="6"/>
      <c r="AA349" s="6"/>
      <c r="AB349" s="6"/>
      <c r="AC349" s="6"/>
      <c r="AD349" s="6"/>
      <c r="AE349" s="6"/>
      <c r="AF349" s="6"/>
      <c r="AG349" s="6"/>
      <c r="AH349" s="6"/>
      <c r="AI349" s="6"/>
      <c r="AJ349" s="6"/>
      <c r="AK349" s="6"/>
      <c r="AL349" s="6"/>
      <c r="AM349" s="6"/>
      <c r="AN349" s="6"/>
      <c r="AO349" s="6"/>
      <c r="AP349" s="6"/>
    </row>
    <row r="350" spans="1:42" hidden="1" x14ac:dyDescent="0.25">
      <c r="A350" t="s">
        <v>173</v>
      </c>
      <c r="B350" s="170"/>
      <c r="C350" s="173" t="str">
        <f t="shared" ref="C350:I350" si="44">C345</f>
        <v>9999</v>
      </c>
      <c r="D350" s="173">
        <f t="shared" si="44"/>
        <v>20180328</v>
      </c>
      <c r="E350" s="173">
        <f t="shared" si="44"/>
        <v>0</v>
      </c>
      <c r="F350" s="173" t="str">
        <f t="shared" si="44"/>
        <v>6001</v>
      </c>
      <c r="G350" s="173" t="str">
        <f t="shared" si="44"/>
        <v>B00101</v>
      </c>
      <c r="H350" s="173" t="str">
        <f t="shared" si="44"/>
        <v>6001</v>
      </c>
      <c r="I350" s="173" t="str">
        <f t="shared" si="44"/>
        <v>CNY</v>
      </c>
      <c r="J350" s="176" t="str">
        <f>$B$19</f>
        <v>CZCE</v>
      </c>
      <c r="K350" s="177" t="str">
        <f>H335</f>
        <v>PTA807</v>
      </c>
      <c r="L350" s="178">
        <f>K335</f>
        <v>3</v>
      </c>
      <c r="M350" s="178">
        <f>J335</f>
        <v>2</v>
      </c>
      <c r="N350" s="178">
        <f>K335</f>
        <v>3</v>
      </c>
      <c r="O350" s="177">
        <f>M335</f>
        <v>6120</v>
      </c>
      <c r="P350" s="176">
        <v>1</v>
      </c>
      <c r="Q350" s="176"/>
      <c r="R350" s="176"/>
      <c r="S350" s="176" t="s">
        <v>1128</v>
      </c>
      <c r="T350" s="176"/>
      <c r="U350" s="176"/>
      <c r="V350" s="176">
        <v>0</v>
      </c>
      <c r="W350" s="6"/>
      <c r="X350" s="6"/>
      <c r="Y350" s="6"/>
      <c r="Z350" s="6"/>
      <c r="AA350" s="6"/>
      <c r="AB350" s="6"/>
      <c r="AC350" s="6"/>
      <c r="AD350" s="6"/>
      <c r="AE350" s="6"/>
      <c r="AF350" s="6"/>
      <c r="AG350" s="6"/>
      <c r="AH350" s="6"/>
      <c r="AI350" s="6"/>
      <c r="AJ350" s="6"/>
      <c r="AK350" s="6"/>
      <c r="AL350" s="6"/>
      <c r="AM350" s="6"/>
      <c r="AN350" s="6"/>
      <c r="AO350" s="6"/>
      <c r="AP350" s="6"/>
    </row>
    <row r="351" spans="1:42" s="6" customFormat="1" hidden="1" x14ac:dyDescent="0.25">
      <c r="A351" s="195" t="s">
        <v>173</v>
      </c>
      <c r="B351" s="195" t="s">
        <v>1425</v>
      </c>
      <c r="C351" s="259"/>
      <c r="D351" s="259"/>
      <c r="E351" s="259"/>
      <c r="F351" s="259"/>
      <c r="G351" s="259"/>
      <c r="H351" s="259"/>
      <c r="I351" s="167"/>
      <c r="J351" s="181"/>
      <c r="K351" s="182"/>
      <c r="L351" s="182"/>
      <c r="M351" s="182"/>
      <c r="N351" s="181"/>
      <c r="O351" s="167"/>
      <c r="P351" s="167"/>
      <c r="Q351" s="167"/>
      <c r="R351" s="167"/>
      <c r="S351" s="167"/>
      <c r="T351" s="167"/>
      <c r="U351" s="167"/>
    </row>
    <row r="352" spans="1:42" s="6" customFormat="1" hidden="1" x14ac:dyDescent="0.25">
      <c r="A352" s="259" t="s">
        <v>173</v>
      </c>
      <c r="B352" s="253" t="str">
        <f t="shared" ref="B352:X352" si="45">C790</f>
        <v>交割日</v>
      </c>
      <c r="C352" s="253" t="str">
        <f t="shared" si="45"/>
        <v>投资者</v>
      </c>
      <c r="D352" s="253" t="str">
        <f t="shared" si="45"/>
        <v>投资单元</v>
      </c>
      <c r="E352" s="253" t="str">
        <f t="shared" si="45"/>
        <v>资金账号</v>
      </c>
      <c r="F352" s="253" t="str">
        <f t="shared" si="45"/>
        <v>结算日期</v>
      </c>
      <c r="G352" s="253" t="str">
        <f t="shared" si="45"/>
        <v>交易所</v>
      </c>
      <c r="H352" s="253" t="str">
        <f t="shared" si="45"/>
        <v>合约</v>
      </c>
      <c r="I352" s="253" t="str">
        <f t="shared" si="45"/>
        <v>#合约乘数</v>
      </c>
      <c r="J352" s="253" t="str">
        <f t="shared" si="45"/>
        <v>买/卖</v>
      </c>
      <c r="K352" s="253" t="str">
        <f t="shared" si="45"/>
        <v>投机/套保</v>
      </c>
      <c r="L352" s="253" t="str">
        <f t="shared" si="45"/>
        <v>交割数量</v>
      </c>
      <c r="M352" s="253" t="str">
        <f t="shared" si="45"/>
        <v>交割价格</v>
      </c>
      <c r="N352" s="253" t="str">
        <f t="shared" si="45"/>
        <v>交割手续费类型</v>
      </c>
      <c r="O352" s="253" t="str">
        <f t="shared" si="45"/>
        <v>当日收费数量</v>
      </c>
      <c r="P352" s="253" t="str">
        <f t="shared" si="45"/>
        <v>累计收费数量</v>
      </c>
      <c r="Q352" s="253" t="str">
        <f t="shared" si="45"/>
        <v>未收费数量</v>
      </c>
      <c r="R352" s="253" t="str">
        <f t="shared" si="45"/>
        <v>交割手续费率(按金额)</v>
      </c>
      <c r="S352" s="253" t="str">
        <f t="shared" si="45"/>
        <v>交割手续费率(按手数)</v>
      </c>
      <c r="T352" s="253" t="str">
        <f t="shared" si="45"/>
        <v>交割手续费</v>
      </c>
      <c r="U352" s="253" t="str">
        <f t="shared" si="45"/>
        <v>交割类型</v>
      </c>
      <c r="V352" s="253" t="str">
        <f t="shared" si="45"/>
        <v>交割是否完成</v>
      </c>
      <c r="W352" s="253" t="str">
        <f t="shared" si="45"/>
        <v>经纪公司</v>
      </c>
      <c r="X352" s="253" t="str">
        <f t="shared" si="45"/>
        <v>币种</v>
      </c>
      <c r="Y352" s="252"/>
      <c r="Z352" s="252"/>
      <c r="AA352" s="252"/>
      <c r="AB352" s="252"/>
    </row>
    <row r="353" spans="1:30" s="6" customFormat="1" hidden="1" x14ac:dyDescent="0.25">
      <c r="A353" s="259" t="s">
        <v>173</v>
      </c>
      <c r="B353" s="253" t="str">
        <f t="shared" ref="B353:X353" si="46">C791</f>
        <v>deliverydate</v>
      </c>
      <c r="C353" s="253" t="str">
        <f t="shared" si="46"/>
        <v>investorid</v>
      </c>
      <c r="D353" s="253" t="str">
        <f t="shared" si="46"/>
        <v>investunitid</v>
      </c>
      <c r="E353" s="253" t="str">
        <f t="shared" si="46"/>
        <v>accountid</v>
      </c>
      <c r="F353" s="253" t="str">
        <f t="shared" si="46"/>
        <v>settlementdate</v>
      </c>
      <c r="G353" s="253" t="str">
        <f t="shared" si="46"/>
        <v>exchangeid</v>
      </c>
      <c r="H353" s="253" t="str">
        <f t="shared" si="46"/>
        <v>instrumentid</v>
      </c>
      <c r="I353" s="253" t="str">
        <f t="shared" si="46"/>
        <v>#volumemultiple</v>
      </c>
      <c r="J353" s="253" t="str">
        <f t="shared" si="46"/>
        <v>posidirection</v>
      </c>
      <c r="K353" s="253" t="str">
        <f t="shared" si="46"/>
        <v>hedgeflag</v>
      </c>
      <c r="L353" s="253" t="str">
        <f t="shared" si="46"/>
        <v>volume</v>
      </c>
      <c r="M353" s="253" t="str">
        <f t="shared" si="46"/>
        <v>deliveryprice</v>
      </c>
      <c r="N353" s="253" t="str">
        <f t="shared" si="46"/>
        <v>delivfeeclass</v>
      </c>
      <c r="O353" s="253" t="str">
        <f t="shared" si="46"/>
        <v>currchargevolume</v>
      </c>
      <c r="P353" s="253" t="str">
        <f t="shared" si="46"/>
        <v>chargevolume</v>
      </c>
      <c r="Q353" s="253" t="str">
        <f t="shared" si="46"/>
        <v>unchargevolume</v>
      </c>
      <c r="R353" s="253" t="str">
        <f t="shared" si="46"/>
        <v>commratiobymoney</v>
      </c>
      <c r="S353" s="253" t="str">
        <f t="shared" si="46"/>
        <v>commratiobyvolume</v>
      </c>
      <c r="T353" s="253" t="str">
        <f t="shared" si="46"/>
        <v>delivfee</v>
      </c>
      <c r="U353" s="253" t="str">
        <f t="shared" si="46"/>
        <v>deliverytype</v>
      </c>
      <c r="V353" s="253" t="str">
        <f t="shared" si="46"/>
        <v>deliveryflag</v>
      </c>
      <c r="W353" s="253" t="str">
        <f t="shared" si="46"/>
        <v>brokerid</v>
      </c>
      <c r="X353" s="253" t="str">
        <f t="shared" si="46"/>
        <v>currencyid</v>
      </c>
    </row>
    <row r="354" spans="1:30" s="6" customFormat="1" hidden="1" x14ac:dyDescent="0.25">
      <c r="A354" s="259" t="s">
        <v>173</v>
      </c>
      <c r="B354" s="189">
        <f t="shared" ref="B354:X354" si="47">C792</f>
        <v>20180326</v>
      </c>
      <c r="C354" s="253" t="str">
        <f t="shared" si="47"/>
        <v>6001</v>
      </c>
      <c r="D354" s="253" t="str">
        <f t="shared" si="47"/>
        <v>B00101</v>
      </c>
      <c r="E354" s="253" t="str">
        <f t="shared" si="47"/>
        <v>6001</v>
      </c>
      <c r="F354" s="189">
        <f t="shared" si="47"/>
        <v>20180326</v>
      </c>
      <c r="G354" s="253" t="str">
        <f t="shared" si="47"/>
        <v>CZCE</v>
      </c>
      <c r="H354" s="253" t="str">
        <f t="shared" si="47"/>
        <v>SR807</v>
      </c>
      <c r="I354" s="253">
        <f t="shared" si="47"/>
        <v>10</v>
      </c>
      <c r="J354" s="253">
        <f t="shared" si="47"/>
        <v>3</v>
      </c>
      <c r="K354" s="253">
        <f t="shared" si="47"/>
        <v>1</v>
      </c>
      <c r="L354" s="253">
        <f t="shared" si="47"/>
        <v>2</v>
      </c>
      <c r="M354" s="253">
        <f t="shared" si="47"/>
        <v>6130</v>
      </c>
      <c r="N354" s="253">
        <f t="shared" si="47"/>
        <v>1</v>
      </c>
      <c r="O354" s="253">
        <f t="shared" si="47"/>
        <v>0</v>
      </c>
      <c r="P354" s="253">
        <f t="shared" si="47"/>
        <v>2</v>
      </c>
      <c r="Q354" s="253">
        <f t="shared" si="47"/>
        <v>0</v>
      </c>
      <c r="R354" s="253">
        <f t="shared" si="47"/>
        <v>2.0000000000000001E-4</v>
      </c>
      <c r="S354" s="253">
        <f t="shared" si="47"/>
        <v>2</v>
      </c>
      <c r="T354" s="253">
        <f t="shared" si="47"/>
        <v>0</v>
      </c>
      <c r="U354" s="253">
        <f t="shared" si="47"/>
        <v>1</v>
      </c>
      <c r="V354" s="253">
        <f t="shared" si="47"/>
        <v>2</v>
      </c>
      <c r="W354" s="253" t="str">
        <f t="shared" si="47"/>
        <v>9999</v>
      </c>
      <c r="X354" s="253" t="str">
        <f t="shared" si="47"/>
        <v>CNY</v>
      </c>
    </row>
    <row r="355" spans="1:30" s="6" customFormat="1" hidden="1" x14ac:dyDescent="0.25">
      <c r="A355" s="259" t="s">
        <v>173</v>
      </c>
      <c r="B355" s="189">
        <f t="shared" ref="B355:X355" si="48">C793</f>
        <v>20180326</v>
      </c>
      <c r="C355" s="253" t="str">
        <f t="shared" si="48"/>
        <v>6001</v>
      </c>
      <c r="D355" s="253" t="str">
        <f t="shared" si="48"/>
        <v>B00102</v>
      </c>
      <c r="E355" s="253" t="str">
        <f t="shared" si="48"/>
        <v>6001</v>
      </c>
      <c r="F355" s="189">
        <f t="shared" si="48"/>
        <v>20180326</v>
      </c>
      <c r="G355" s="253" t="str">
        <f t="shared" si="48"/>
        <v>CZCE</v>
      </c>
      <c r="H355" s="253" t="str">
        <f t="shared" si="48"/>
        <v>PTA807</v>
      </c>
      <c r="I355" s="253">
        <f t="shared" si="48"/>
        <v>5</v>
      </c>
      <c r="J355" s="253">
        <f t="shared" si="48"/>
        <v>2</v>
      </c>
      <c r="K355" s="253">
        <f t="shared" si="48"/>
        <v>1</v>
      </c>
      <c r="L355" s="253">
        <f t="shared" si="48"/>
        <v>5</v>
      </c>
      <c r="M355" s="253">
        <f t="shared" si="48"/>
        <v>6120</v>
      </c>
      <c r="N355" s="253">
        <f t="shared" si="48"/>
        <v>1</v>
      </c>
      <c r="O355" s="253">
        <f t="shared" si="48"/>
        <v>0</v>
      </c>
      <c r="P355" s="253">
        <f t="shared" si="48"/>
        <v>0</v>
      </c>
      <c r="Q355" s="253">
        <f t="shared" si="48"/>
        <v>5</v>
      </c>
      <c r="R355" s="253">
        <f t="shared" si="48"/>
        <v>2.0000000000000001E-4</v>
      </c>
      <c r="S355" s="253">
        <f t="shared" si="48"/>
        <v>2</v>
      </c>
      <c r="T355" s="253">
        <f t="shared" si="48"/>
        <v>0</v>
      </c>
      <c r="U355" s="253">
        <f t="shared" si="48"/>
        <v>1</v>
      </c>
      <c r="V355" s="253">
        <f t="shared" si="48"/>
        <v>1</v>
      </c>
      <c r="W355" s="253" t="str">
        <f t="shared" si="48"/>
        <v>9999</v>
      </c>
      <c r="X355" s="253" t="str">
        <f t="shared" si="48"/>
        <v>CNY</v>
      </c>
    </row>
    <row r="356" spans="1:30" s="6" customFormat="1" hidden="1" x14ac:dyDescent="0.25">
      <c r="A356" s="259" t="s">
        <v>173</v>
      </c>
      <c r="B356" s="189">
        <f t="shared" ref="B356:X356" si="49">C794</f>
        <v>20180326</v>
      </c>
      <c r="C356" s="253" t="str">
        <f t="shared" si="49"/>
        <v>6001</v>
      </c>
      <c r="D356" s="253" t="str">
        <f t="shared" si="49"/>
        <v>B00102</v>
      </c>
      <c r="E356" s="253" t="str">
        <f t="shared" si="49"/>
        <v>6001</v>
      </c>
      <c r="F356" s="189">
        <f t="shared" si="49"/>
        <v>20180326</v>
      </c>
      <c r="G356" s="253" t="str">
        <f t="shared" si="49"/>
        <v>CZCE</v>
      </c>
      <c r="H356" s="253" t="str">
        <f t="shared" si="49"/>
        <v>PTA807</v>
      </c>
      <c r="I356" s="253">
        <f t="shared" si="49"/>
        <v>5</v>
      </c>
      <c r="J356" s="253">
        <f t="shared" si="49"/>
        <v>2</v>
      </c>
      <c r="K356" s="253">
        <f t="shared" si="49"/>
        <v>3</v>
      </c>
      <c r="L356" s="253">
        <f t="shared" si="49"/>
        <v>4</v>
      </c>
      <c r="M356" s="253">
        <f t="shared" si="49"/>
        <v>6120</v>
      </c>
      <c r="N356" s="253">
        <f t="shared" si="49"/>
        <v>1</v>
      </c>
      <c r="O356" s="253">
        <f t="shared" si="49"/>
        <v>1</v>
      </c>
      <c r="P356" s="253">
        <f t="shared" si="49"/>
        <v>4</v>
      </c>
      <c r="Q356" s="253">
        <f t="shared" si="49"/>
        <v>0</v>
      </c>
      <c r="R356" s="253">
        <f t="shared" si="49"/>
        <v>3.0000000000000003E-4</v>
      </c>
      <c r="S356" s="253">
        <f t="shared" si="49"/>
        <v>3</v>
      </c>
      <c r="T356" s="253">
        <f t="shared" si="49"/>
        <v>12.18</v>
      </c>
      <c r="U356" s="253">
        <f t="shared" si="49"/>
        <v>1</v>
      </c>
      <c r="V356" s="253">
        <f t="shared" si="49"/>
        <v>2</v>
      </c>
      <c r="W356" s="253" t="str">
        <f t="shared" si="49"/>
        <v>9999</v>
      </c>
      <c r="X356" s="253" t="str">
        <f t="shared" si="49"/>
        <v>CNY</v>
      </c>
    </row>
    <row r="357" spans="1:30" s="6" customFormat="1" hidden="1" x14ac:dyDescent="0.25">
      <c r="A357" s="259" t="s">
        <v>173</v>
      </c>
      <c r="B357" s="189">
        <f t="shared" ref="B357:X357" si="50">C795</f>
        <v>20180327</v>
      </c>
      <c r="C357" s="253" t="str">
        <f t="shared" si="50"/>
        <v>6001</v>
      </c>
      <c r="D357" s="253" t="str">
        <f t="shared" si="50"/>
        <v>B00101</v>
      </c>
      <c r="E357" s="253" t="str">
        <f t="shared" si="50"/>
        <v>6001</v>
      </c>
      <c r="F357" s="189">
        <f t="shared" si="50"/>
        <v>20180327</v>
      </c>
      <c r="G357" s="253" t="str">
        <f t="shared" si="50"/>
        <v>CZCE</v>
      </c>
      <c r="H357" s="253" t="str">
        <f t="shared" si="50"/>
        <v>SR809</v>
      </c>
      <c r="I357" s="253">
        <f t="shared" si="50"/>
        <v>10</v>
      </c>
      <c r="J357" s="253">
        <f t="shared" si="50"/>
        <v>2</v>
      </c>
      <c r="K357" s="253">
        <f t="shared" si="50"/>
        <v>1</v>
      </c>
      <c r="L357" s="253">
        <f t="shared" si="50"/>
        <v>6</v>
      </c>
      <c r="M357" s="253">
        <f t="shared" si="50"/>
        <v>6135</v>
      </c>
      <c r="N357" s="253">
        <f t="shared" si="50"/>
        <v>1</v>
      </c>
      <c r="O357" s="253">
        <f t="shared" si="50"/>
        <v>2</v>
      </c>
      <c r="P357" s="253">
        <f t="shared" si="50"/>
        <v>6</v>
      </c>
      <c r="Q357" s="253">
        <f t="shared" si="50"/>
        <v>0</v>
      </c>
      <c r="R357" s="253">
        <f t="shared" si="50"/>
        <v>2.0000000000000001E-4</v>
      </c>
      <c r="S357" s="253">
        <f t="shared" si="50"/>
        <v>2</v>
      </c>
      <c r="T357" s="253">
        <f t="shared" si="50"/>
        <v>28.54</v>
      </c>
      <c r="U357" s="253">
        <f t="shared" si="50"/>
        <v>1</v>
      </c>
      <c r="V357" s="253">
        <f t="shared" si="50"/>
        <v>2</v>
      </c>
      <c r="W357" s="253" t="str">
        <f t="shared" si="50"/>
        <v>9999</v>
      </c>
      <c r="X357" s="253" t="str">
        <f t="shared" si="50"/>
        <v>CNY</v>
      </c>
    </row>
    <row r="358" spans="1:30" s="6" customFormat="1" hidden="1" x14ac:dyDescent="0.25">
      <c r="A358" s="259" t="s">
        <v>173</v>
      </c>
      <c r="B358" s="189">
        <f t="shared" ref="B358:X358" si="51">C796</f>
        <v>20180327</v>
      </c>
      <c r="C358" s="253" t="str">
        <f t="shared" si="51"/>
        <v>6001</v>
      </c>
      <c r="D358" s="253" t="str">
        <f t="shared" si="51"/>
        <v>B00101</v>
      </c>
      <c r="E358" s="253" t="str">
        <f t="shared" si="51"/>
        <v>6001</v>
      </c>
      <c r="F358" s="189">
        <f t="shared" si="51"/>
        <v>20180327</v>
      </c>
      <c r="G358" s="253" t="str">
        <f t="shared" si="51"/>
        <v>CZCE</v>
      </c>
      <c r="H358" s="253" t="str">
        <f t="shared" si="51"/>
        <v>SR809</v>
      </c>
      <c r="I358" s="253">
        <f t="shared" si="51"/>
        <v>10</v>
      </c>
      <c r="J358" s="253">
        <f t="shared" si="51"/>
        <v>2</v>
      </c>
      <c r="K358" s="253">
        <f t="shared" si="51"/>
        <v>1</v>
      </c>
      <c r="L358" s="253">
        <f t="shared" si="51"/>
        <v>6</v>
      </c>
      <c r="M358" s="253">
        <f t="shared" si="51"/>
        <v>6135</v>
      </c>
      <c r="N358" s="253">
        <f t="shared" si="51"/>
        <v>2</v>
      </c>
      <c r="O358" s="253">
        <f t="shared" si="51"/>
        <v>0</v>
      </c>
      <c r="P358" s="253">
        <f t="shared" si="51"/>
        <v>0</v>
      </c>
      <c r="Q358" s="253">
        <f t="shared" si="51"/>
        <v>6</v>
      </c>
      <c r="R358" s="253">
        <f t="shared" si="51"/>
        <v>2.9999999999999997E-4</v>
      </c>
      <c r="S358" s="253">
        <f t="shared" si="51"/>
        <v>3</v>
      </c>
      <c r="T358" s="253">
        <f t="shared" si="51"/>
        <v>0</v>
      </c>
      <c r="U358" s="253">
        <f t="shared" si="51"/>
        <v>1</v>
      </c>
      <c r="V358" s="253">
        <f t="shared" si="51"/>
        <v>1</v>
      </c>
      <c r="W358" s="253" t="str">
        <f t="shared" si="51"/>
        <v>9999</v>
      </c>
      <c r="X358" s="253" t="str">
        <f t="shared" si="51"/>
        <v>CNY</v>
      </c>
    </row>
    <row r="359" spans="1:30" s="6" customFormat="1" hidden="1" x14ac:dyDescent="0.25">
      <c r="A359" s="259" t="s">
        <v>173</v>
      </c>
      <c r="B359" s="189">
        <f t="shared" ref="B359:X359" si="52">C797</f>
        <v>20180327</v>
      </c>
      <c r="C359" s="253" t="str">
        <f t="shared" si="52"/>
        <v>6001</v>
      </c>
      <c r="D359" s="253" t="str">
        <f t="shared" si="52"/>
        <v>B00102</v>
      </c>
      <c r="E359" s="253" t="str">
        <f t="shared" si="52"/>
        <v>6001</v>
      </c>
      <c r="F359" s="189">
        <f t="shared" si="52"/>
        <v>20180327</v>
      </c>
      <c r="G359" s="253" t="str">
        <f t="shared" si="52"/>
        <v>CZCE</v>
      </c>
      <c r="H359" s="253" t="str">
        <f t="shared" si="52"/>
        <v>PTA809</v>
      </c>
      <c r="I359" s="253">
        <f t="shared" si="52"/>
        <v>5</v>
      </c>
      <c r="J359" s="253">
        <f t="shared" si="52"/>
        <v>3</v>
      </c>
      <c r="K359" s="253">
        <f t="shared" si="52"/>
        <v>1</v>
      </c>
      <c r="L359" s="253">
        <f t="shared" si="52"/>
        <v>4</v>
      </c>
      <c r="M359" s="253">
        <f t="shared" si="52"/>
        <v>6225</v>
      </c>
      <c r="N359" s="253">
        <f t="shared" si="52"/>
        <v>1</v>
      </c>
      <c r="O359" s="253">
        <f t="shared" si="52"/>
        <v>0</v>
      </c>
      <c r="P359" s="253">
        <f t="shared" si="52"/>
        <v>0</v>
      </c>
      <c r="Q359" s="253">
        <f t="shared" si="52"/>
        <v>4</v>
      </c>
      <c r="R359" s="253">
        <f t="shared" si="52"/>
        <v>2.0000000000000001E-4</v>
      </c>
      <c r="S359" s="253">
        <f t="shared" si="52"/>
        <v>2</v>
      </c>
      <c r="T359" s="253">
        <f t="shared" si="52"/>
        <v>0</v>
      </c>
      <c r="U359" s="253">
        <f t="shared" si="52"/>
        <v>1</v>
      </c>
      <c r="V359" s="253">
        <f t="shared" si="52"/>
        <v>1</v>
      </c>
      <c r="W359" s="253" t="str">
        <f t="shared" si="52"/>
        <v>9999</v>
      </c>
      <c r="X359" s="253" t="str">
        <f t="shared" si="52"/>
        <v>CNY</v>
      </c>
    </row>
    <row r="360" spans="1:30" s="6" customFormat="1" hidden="1" x14ac:dyDescent="0.25">
      <c r="A360" s="259" t="s">
        <v>173</v>
      </c>
      <c r="B360" s="259" t="s">
        <v>124</v>
      </c>
      <c r="C360" s="254" t="s">
        <v>1420</v>
      </c>
      <c r="D360" s="254"/>
      <c r="E360" s="254"/>
      <c r="F360" s="252"/>
      <c r="G360" s="252"/>
      <c r="H360" s="252"/>
      <c r="I360" s="252"/>
      <c r="J360" s="252"/>
      <c r="K360" s="252"/>
      <c r="L360" s="252"/>
      <c r="M360" s="252"/>
      <c r="N360" s="252"/>
      <c r="O360" s="252"/>
      <c r="P360" s="252"/>
      <c r="Q360" s="252"/>
      <c r="R360" s="252"/>
      <c r="S360" s="252"/>
      <c r="T360" s="252"/>
      <c r="U360" s="252"/>
      <c r="V360" s="252"/>
      <c r="W360" s="252"/>
      <c r="X360" s="252"/>
      <c r="Y360" s="252"/>
    </row>
    <row r="361" spans="1:30" s="6" customFormat="1" hidden="1" x14ac:dyDescent="0.25">
      <c r="A361" s="259" t="s">
        <v>173</v>
      </c>
      <c r="B361" s="259" t="s">
        <v>306</v>
      </c>
      <c r="C361" s="704" t="s">
        <v>1572</v>
      </c>
      <c r="D361" s="705"/>
      <c r="E361" s="706"/>
      <c r="F361" s="706"/>
      <c r="G361" s="706"/>
      <c r="H361" s="706"/>
      <c r="I361" s="706"/>
      <c r="J361" s="706"/>
      <c r="K361" s="706"/>
      <c r="L361" s="706"/>
      <c r="M361" s="706"/>
      <c r="N361" s="706"/>
      <c r="O361" s="706"/>
      <c r="P361" s="706"/>
      <c r="Q361" s="706"/>
      <c r="R361" s="706"/>
      <c r="S361" s="721"/>
      <c r="T361" s="721"/>
      <c r="U361" s="721"/>
      <c r="V361" s="721"/>
      <c r="W361" s="721"/>
      <c r="X361" s="721"/>
      <c r="Y361" s="721"/>
      <c r="Z361" s="734"/>
      <c r="AA361" s="679" t="s">
        <v>1126</v>
      </c>
      <c r="AB361" s="679" t="s">
        <v>1107</v>
      </c>
      <c r="AC361" s="679" t="s">
        <v>1108</v>
      </c>
      <c r="AD361" s="679" t="s">
        <v>1127</v>
      </c>
    </row>
    <row r="362" spans="1:30" s="6" customFormat="1" hidden="1" x14ac:dyDescent="0.25">
      <c r="A362" s="259" t="s">
        <v>173</v>
      </c>
      <c r="B362" s="259"/>
      <c r="C362" s="92" t="s">
        <v>1394</v>
      </c>
      <c r="D362" s="92" t="s">
        <v>1395</v>
      </c>
      <c r="E362" s="92" t="s">
        <v>1396</v>
      </c>
      <c r="F362" s="92" t="s">
        <v>1397</v>
      </c>
      <c r="G362" s="92" t="s">
        <v>1398</v>
      </c>
      <c r="H362" s="92" t="s">
        <v>1399</v>
      </c>
      <c r="I362" s="92" t="s">
        <v>1400</v>
      </c>
      <c r="J362" s="92" t="s">
        <v>1401</v>
      </c>
      <c r="K362" s="92" t="s">
        <v>1402</v>
      </c>
      <c r="L362" s="92" t="s">
        <v>1403</v>
      </c>
      <c r="M362" s="92" t="s">
        <v>1404</v>
      </c>
      <c r="N362" s="92" t="s">
        <v>1405</v>
      </c>
      <c r="O362" s="92" t="s">
        <v>1406</v>
      </c>
      <c r="P362" s="92" t="s">
        <v>1407</v>
      </c>
      <c r="Q362" s="92" t="s">
        <v>1408</v>
      </c>
      <c r="R362" s="92" t="s">
        <v>1409</v>
      </c>
      <c r="S362" s="92" t="s">
        <v>1410</v>
      </c>
      <c r="T362" s="92" t="s">
        <v>1411</v>
      </c>
      <c r="U362" s="92" t="s">
        <v>1412</v>
      </c>
      <c r="V362" s="92" t="s">
        <v>1413</v>
      </c>
      <c r="W362" s="92" t="s">
        <v>1414</v>
      </c>
      <c r="X362" s="92" t="s">
        <v>1415</v>
      </c>
      <c r="Y362" s="92" t="s">
        <v>1416</v>
      </c>
      <c r="Z362" s="92" t="s">
        <v>1417</v>
      </c>
      <c r="AA362" s="679"/>
      <c r="AB362" s="679"/>
      <c r="AC362" s="679"/>
      <c r="AD362" s="679"/>
    </row>
    <row r="363" spans="1:30" s="6" customFormat="1" hidden="1" x14ac:dyDescent="0.25">
      <c r="A363" s="259" t="s">
        <v>173</v>
      </c>
      <c r="B363" s="259"/>
      <c r="C363" s="253" t="str">
        <f>W354</f>
        <v>9999</v>
      </c>
      <c r="D363" s="189">
        <f>F354</f>
        <v>20180326</v>
      </c>
      <c r="E363" s="189">
        <f>B354</f>
        <v>20180326</v>
      </c>
      <c r="F363" s="253" t="str">
        <f>C354</f>
        <v>6001</v>
      </c>
      <c r="G363" s="253" t="str">
        <f>D354</f>
        <v>B00101</v>
      </c>
      <c r="H363" s="253" t="str">
        <f>E354</f>
        <v>6001</v>
      </c>
      <c r="I363" s="253" t="str">
        <f>X354</f>
        <v>CNY</v>
      </c>
      <c r="J363" s="248" t="str">
        <f>G354</f>
        <v>CZCE</v>
      </c>
      <c r="K363" s="248" t="str">
        <f>H354</f>
        <v>SR807</v>
      </c>
      <c r="L363" s="113">
        <f>K354</f>
        <v>1</v>
      </c>
      <c r="M363" s="113">
        <f>J354</f>
        <v>3</v>
      </c>
      <c r="N363" s="113">
        <f>N354</f>
        <v>1</v>
      </c>
      <c r="O363" s="248">
        <v>2</v>
      </c>
      <c r="P363" s="111">
        <v>0</v>
      </c>
      <c r="Q363" s="111">
        <v>2</v>
      </c>
      <c r="R363" s="111">
        <v>0</v>
      </c>
      <c r="S363" s="248">
        <f>M354</f>
        <v>6130</v>
      </c>
      <c r="T363" s="248">
        <f>I354</f>
        <v>10</v>
      </c>
      <c r="U363" s="248">
        <f>R354</f>
        <v>2.0000000000000001E-4</v>
      </c>
      <c r="V363" s="248">
        <f>S354</f>
        <v>2</v>
      </c>
      <c r="W363" s="248">
        <f>T354</f>
        <v>0</v>
      </c>
      <c r="X363" s="111">
        <f xml:space="preserve"> $B$2+1</f>
        <v>20180329</v>
      </c>
      <c r="Y363" s="248">
        <f>U354</f>
        <v>1</v>
      </c>
      <c r="Z363" s="111">
        <v>2</v>
      </c>
      <c r="AA363" s="111" t="s">
        <v>1128</v>
      </c>
      <c r="AB363" s="111"/>
      <c r="AC363" s="111"/>
      <c r="AD363" s="111"/>
    </row>
    <row r="364" spans="1:30" s="6" customFormat="1" hidden="1" x14ac:dyDescent="0.25">
      <c r="A364" s="259" t="s">
        <v>173</v>
      </c>
      <c r="B364" s="259" t="s">
        <v>124</v>
      </c>
      <c r="C364" s="254" t="s">
        <v>1420</v>
      </c>
      <c r="D364" s="254"/>
      <c r="E364" s="254"/>
      <c r="F364" s="252"/>
      <c r="G364" s="252"/>
      <c r="H364" s="252"/>
      <c r="I364" s="252"/>
      <c r="J364" s="252"/>
      <c r="K364" s="252"/>
      <c r="L364" s="252"/>
      <c r="M364" s="252"/>
      <c r="N364" s="252"/>
      <c r="O364" s="252"/>
      <c r="P364" s="252"/>
      <c r="Q364" s="252"/>
      <c r="R364" s="252"/>
      <c r="S364" s="252"/>
      <c r="T364" s="252"/>
      <c r="U364" s="252"/>
      <c r="V364" s="252"/>
      <c r="W364" s="252"/>
      <c r="X364" s="252"/>
      <c r="Y364" s="252"/>
    </row>
    <row r="365" spans="1:30" s="6" customFormat="1" hidden="1" x14ac:dyDescent="0.25">
      <c r="A365" s="259" t="s">
        <v>173</v>
      </c>
      <c r="B365" s="259" t="s">
        <v>306</v>
      </c>
      <c r="C365" s="704" t="s">
        <v>1572</v>
      </c>
      <c r="D365" s="705"/>
      <c r="E365" s="706"/>
      <c r="F365" s="706"/>
      <c r="G365" s="706"/>
      <c r="H365" s="706"/>
      <c r="I365" s="706"/>
      <c r="J365" s="706"/>
      <c r="K365" s="706"/>
      <c r="L365" s="706"/>
      <c r="M365" s="706"/>
      <c r="N365" s="706"/>
      <c r="O365" s="706"/>
      <c r="P365" s="706"/>
      <c r="Q365" s="706"/>
      <c r="R365" s="706"/>
      <c r="S365" s="721"/>
      <c r="T365" s="721"/>
      <c r="U365" s="721"/>
      <c r="V365" s="721"/>
      <c r="W365" s="721"/>
      <c r="X365" s="721"/>
      <c r="Y365" s="721"/>
      <c r="Z365" s="734"/>
      <c r="AA365" s="679" t="s">
        <v>1126</v>
      </c>
      <c r="AB365" s="679" t="s">
        <v>1107</v>
      </c>
      <c r="AC365" s="679" t="s">
        <v>1108</v>
      </c>
      <c r="AD365" s="679" t="s">
        <v>1127</v>
      </c>
    </row>
    <row r="366" spans="1:30" s="6" customFormat="1" hidden="1" x14ac:dyDescent="0.25">
      <c r="A366" s="259" t="s">
        <v>173</v>
      </c>
      <c r="B366" s="259"/>
      <c r="C366" s="92" t="s">
        <v>1394</v>
      </c>
      <c r="D366" s="92" t="s">
        <v>1395</v>
      </c>
      <c r="E366" s="92" t="s">
        <v>1396</v>
      </c>
      <c r="F366" s="92" t="s">
        <v>1397</v>
      </c>
      <c r="G366" s="92" t="s">
        <v>1398</v>
      </c>
      <c r="H366" s="92" t="s">
        <v>1399</v>
      </c>
      <c r="I366" s="92" t="s">
        <v>1400</v>
      </c>
      <c r="J366" s="92" t="s">
        <v>1401</v>
      </c>
      <c r="K366" s="92" t="s">
        <v>1402</v>
      </c>
      <c r="L366" s="92" t="s">
        <v>1403</v>
      </c>
      <c r="M366" s="92" t="s">
        <v>1404</v>
      </c>
      <c r="N366" s="92" t="s">
        <v>1405</v>
      </c>
      <c r="O366" s="92" t="s">
        <v>1406</v>
      </c>
      <c r="P366" s="92" t="s">
        <v>1407</v>
      </c>
      <c r="Q366" s="92" t="s">
        <v>1408</v>
      </c>
      <c r="R366" s="92" t="s">
        <v>1409</v>
      </c>
      <c r="S366" s="92" t="s">
        <v>1410</v>
      </c>
      <c r="T366" s="92" t="s">
        <v>1411</v>
      </c>
      <c r="U366" s="92" t="s">
        <v>1412</v>
      </c>
      <c r="V366" s="92" t="s">
        <v>1413</v>
      </c>
      <c r="W366" s="92" t="s">
        <v>1414</v>
      </c>
      <c r="X366" s="92" t="s">
        <v>1415</v>
      </c>
      <c r="Y366" s="92" t="s">
        <v>1416</v>
      </c>
      <c r="Z366" s="92" t="s">
        <v>1417</v>
      </c>
      <c r="AA366" s="679"/>
      <c r="AB366" s="679"/>
      <c r="AC366" s="679"/>
      <c r="AD366" s="679"/>
    </row>
    <row r="367" spans="1:30" s="6" customFormat="1" hidden="1" x14ac:dyDescent="0.25">
      <c r="A367" s="259" t="s">
        <v>173</v>
      </c>
      <c r="B367" s="259"/>
      <c r="C367" s="253" t="str">
        <f>W358</f>
        <v>9999</v>
      </c>
      <c r="D367" s="189">
        <f>F358</f>
        <v>20180327</v>
      </c>
      <c r="E367" s="189">
        <f>B358</f>
        <v>20180327</v>
      </c>
      <c r="F367" s="253" t="str">
        <f>C358</f>
        <v>6001</v>
      </c>
      <c r="G367" s="253" t="str">
        <f>D358</f>
        <v>B00101</v>
      </c>
      <c r="H367" s="253" t="str">
        <f>E358</f>
        <v>6001</v>
      </c>
      <c r="I367" s="253" t="str">
        <f>X358</f>
        <v>CNY</v>
      </c>
      <c r="J367" s="248" t="str">
        <f>G358</f>
        <v>CZCE</v>
      </c>
      <c r="K367" s="248" t="str">
        <f>K363</f>
        <v>SR807</v>
      </c>
      <c r="L367" s="113">
        <f>K358</f>
        <v>1</v>
      </c>
      <c r="M367" s="113">
        <f>J357</f>
        <v>2</v>
      </c>
      <c r="N367" s="113">
        <f>N357</f>
        <v>1</v>
      </c>
      <c r="O367" s="248">
        <v>2</v>
      </c>
      <c r="P367" s="111">
        <v>0</v>
      </c>
      <c r="Q367" s="111">
        <v>2</v>
      </c>
      <c r="R367" s="111">
        <v>0</v>
      </c>
      <c r="S367" s="248">
        <f>S363</f>
        <v>6130</v>
      </c>
      <c r="T367" s="248">
        <f>T363</f>
        <v>10</v>
      </c>
      <c r="U367" s="248">
        <f>R357</f>
        <v>2.0000000000000001E-4</v>
      </c>
      <c r="V367" s="248">
        <f>S357</f>
        <v>2</v>
      </c>
      <c r="W367" s="248">
        <f>T357</f>
        <v>28.54</v>
      </c>
      <c r="X367" s="111">
        <f>B2+1</f>
        <v>20180329</v>
      </c>
      <c r="Y367" s="248">
        <f>U357</f>
        <v>1</v>
      </c>
      <c r="Z367" s="111">
        <v>2</v>
      </c>
      <c r="AA367" s="111" t="s">
        <v>1128</v>
      </c>
      <c r="AB367" s="111"/>
      <c r="AC367" s="111"/>
      <c r="AD367" s="111"/>
    </row>
    <row r="368" spans="1:30" s="6" customFormat="1" hidden="1" x14ac:dyDescent="0.25">
      <c r="A368" s="259" t="s">
        <v>173</v>
      </c>
      <c r="B368" s="259" t="s">
        <v>124</v>
      </c>
      <c r="C368" s="254" t="s">
        <v>1420</v>
      </c>
      <c r="D368" s="254"/>
      <c r="E368" s="254"/>
      <c r="F368" s="252"/>
      <c r="G368" s="252"/>
      <c r="H368" s="252"/>
      <c r="I368" s="252"/>
      <c r="J368" s="252"/>
      <c r="K368" s="252"/>
      <c r="L368" s="252"/>
      <c r="M368" s="252"/>
      <c r="N368" s="252"/>
      <c r="O368" s="252"/>
      <c r="P368" s="252"/>
      <c r="Q368" s="252"/>
      <c r="R368" s="252"/>
      <c r="S368" s="252"/>
      <c r="T368" s="252"/>
      <c r="U368" s="252"/>
      <c r="V368" s="252"/>
      <c r="W368" s="252"/>
      <c r="X368" s="252"/>
      <c r="Y368" s="252"/>
    </row>
    <row r="369" spans="1:33" s="6" customFormat="1" hidden="1" x14ac:dyDescent="0.25">
      <c r="A369" s="259" t="s">
        <v>173</v>
      </c>
      <c r="B369" s="259" t="s">
        <v>306</v>
      </c>
      <c r="C369" s="704" t="s">
        <v>1572</v>
      </c>
      <c r="D369" s="705"/>
      <c r="E369" s="706"/>
      <c r="F369" s="706"/>
      <c r="G369" s="706"/>
      <c r="H369" s="706"/>
      <c r="I369" s="706"/>
      <c r="J369" s="706"/>
      <c r="K369" s="706"/>
      <c r="L369" s="706"/>
      <c r="M369" s="706"/>
      <c r="N369" s="706"/>
      <c r="O369" s="706"/>
      <c r="P369" s="706"/>
      <c r="Q369" s="706"/>
      <c r="R369" s="706"/>
      <c r="S369" s="721"/>
      <c r="T369" s="721"/>
      <c r="U369" s="721"/>
      <c r="V369" s="721"/>
      <c r="W369" s="721"/>
      <c r="X369" s="721"/>
      <c r="Y369" s="721"/>
      <c r="Z369" s="734"/>
      <c r="AA369" s="679" t="s">
        <v>1126</v>
      </c>
      <c r="AB369" s="679" t="s">
        <v>1107</v>
      </c>
      <c r="AC369" s="679" t="s">
        <v>1108</v>
      </c>
      <c r="AD369" s="679" t="s">
        <v>1127</v>
      </c>
    </row>
    <row r="370" spans="1:33" s="6" customFormat="1" hidden="1" x14ac:dyDescent="0.25">
      <c r="A370" s="259" t="s">
        <v>173</v>
      </c>
      <c r="B370" s="259"/>
      <c r="C370" s="92" t="s">
        <v>1394</v>
      </c>
      <c r="D370" s="92" t="s">
        <v>1395</v>
      </c>
      <c r="E370" s="92" t="s">
        <v>1396</v>
      </c>
      <c r="F370" s="92" t="s">
        <v>1397</v>
      </c>
      <c r="G370" s="92" t="s">
        <v>1398</v>
      </c>
      <c r="H370" s="92" t="s">
        <v>1399</v>
      </c>
      <c r="I370" s="92" t="s">
        <v>1400</v>
      </c>
      <c r="J370" s="92" t="s">
        <v>1401</v>
      </c>
      <c r="K370" s="92" t="s">
        <v>1402</v>
      </c>
      <c r="L370" s="92" t="s">
        <v>1403</v>
      </c>
      <c r="M370" s="92" t="s">
        <v>1404</v>
      </c>
      <c r="N370" s="92" t="s">
        <v>1405</v>
      </c>
      <c r="O370" s="92" t="s">
        <v>1406</v>
      </c>
      <c r="P370" s="92" t="s">
        <v>1407</v>
      </c>
      <c r="Q370" s="92" t="s">
        <v>1408</v>
      </c>
      <c r="R370" s="92" t="s">
        <v>1409</v>
      </c>
      <c r="S370" s="92" t="s">
        <v>1410</v>
      </c>
      <c r="T370" s="92" t="s">
        <v>1411</v>
      </c>
      <c r="U370" s="92" t="s">
        <v>1412</v>
      </c>
      <c r="V370" s="92" t="s">
        <v>1413</v>
      </c>
      <c r="W370" s="92" t="s">
        <v>1414</v>
      </c>
      <c r="X370" s="92" t="s">
        <v>1415</v>
      </c>
      <c r="Y370" s="92" t="s">
        <v>1416</v>
      </c>
      <c r="Z370" s="92" t="s">
        <v>1417</v>
      </c>
      <c r="AA370" s="679"/>
      <c r="AB370" s="679"/>
      <c r="AC370" s="679"/>
      <c r="AD370" s="679"/>
    </row>
    <row r="371" spans="1:33" s="6" customFormat="1" hidden="1" x14ac:dyDescent="0.25">
      <c r="A371" s="259" t="s">
        <v>173</v>
      </c>
      <c r="B371" s="259"/>
      <c r="C371" s="253" t="str">
        <f>C363</f>
        <v>9999</v>
      </c>
      <c r="D371" s="189">
        <f t="shared" ref="D371:J371" si="53">D363</f>
        <v>20180326</v>
      </c>
      <c r="E371" s="189">
        <f t="shared" si="53"/>
        <v>20180326</v>
      </c>
      <c r="F371" s="253" t="str">
        <f t="shared" si="53"/>
        <v>6001</v>
      </c>
      <c r="G371" s="253" t="str">
        <f t="shared" si="53"/>
        <v>B00101</v>
      </c>
      <c r="H371" s="253" t="str">
        <f t="shared" si="53"/>
        <v>6001</v>
      </c>
      <c r="I371" s="253" t="str">
        <f t="shared" si="53"/>
        <v>CNY</v>
      </c>
      <c r="J371" s="253" t="str">
        <f t="shared" si="53"/>
        <v>CZCE</v>
      </c>
      <c r="K371" s="248" t="str">
        <f>H356</f>
        <v>PTA807</v>
      </c>
      <c r="L371" s="113">
        <f>K356</f>
        <v>3</v>
      </c>
      <c r="M371" s="113">
        <f>J356</f>
        <v>2</v>
      </c>
      <c r="N371" s="113">
        <f>N356</f>
        <v>1</v>
      </c>
      <c r="O371" s="248">
        <f>L356</f>
        <v>4</v>
      </c>
      <c r="P371" s="111">
        <v>0</v>
      </c>
      <c r="Q371" s="248">
        <f>P356</f>
        <v>4</v>
      </c>
      <c r="R371" s="111">
        <v>0</v>
      </c>
      <c r="S371" s="248">
        <f>M356</f>
        <v>6120</v>
      </c>
      <c r="T371" s="248">
        <f>I356</f>
        <v>5</v>
      </c>
      <c r="U371" s="248">
        <f>R356</f>
        <v>3.0000000000000003E-4</v>
      </c>
      <c r="V371" s="248">
        <f>S356</f>
        <v>3</v>
      </c>
      <c r="W371" s="248">
        <f>T356</f>
        <v>12.18</v>
      </c>
      <c r="X371" s="111">
        <f xml:space="preserve"> $B$2+1</f>
        <v>20180329</v>
      </c>
      <c r="Y371" s="248">
        <f>U356</f>
        <v>1</v>
      </c>
      <c r="Z371" s="111">
        <v>1</v>
      </c>
      <c r="AA371" s="111" t="s">
        <v>1128</v>
      </c>
      <c r="AB371" s="111"/>
      <c r="AC371" s="111"/>
      <c r="AD371" s="111"/>
    </row>
    <row r="372" spans="1:33" s="6" customFormat="1" hidden="1" x14ac:dyDescent="0.25">
      <c r="A372" s="259" t="s">
        <v>173</v>
      </c>
      <c r="B372" s="259" t="s">
        <v>124</v>
      </c>
      <c r="C372" s="254" t="s">
        <v>1420</v>
      </c>
      <c r="D372" s="254"/>
      <c r="E372" s="254"/>
      <c r="F372" s="252"/>
      <c r="G372" s="252"/>
      <c r="H372" s="252"/>
      <c r="I372" s="252"/>
      <c r="J372" s="252"/>
      <c r="K372" s="252"/>
      <c r="L372" s="252"/>
      <c r="M372" s="252"/>
      <c r="N372" s="252"/>
      <c r="O372" s="252"/>
      <c r="P372" s="252"/>
      <c r="Q372" s="252"/>
      <c r="R372" s="252"/>
      <c r="S372" s="252"/>
      <c r="T372" s="252"/>
      <c r="U372" s="252"/>
      <c r="V372" s="252"/>
      <c r="W372" s="252"/>
      <c r="X372" s="252"/>
      <c r="Y372" s="252"/>
    </row>
    <row r="373" spans="1:33" s="6" customFormat="1" hidden="1" x14ac:dyDescent="0.25">
      <c r="A373" s="259" t="s">
        <v>173</v>
      </c>
      <c r="B373" s="259" t="s">
        <v>306</v>
      </c>
      <c r="C373" s="704" t="s">
        <v>1572</v>
      </c>
      <c r="D373" s="705"/>
      <c r="E373" s="706"/>
      <c r="F373" s="706"/>
      <c r="G373" s="706"/>
      <c r="H373" s="706"/>
      <c r="I373" s="706"/>
      <c r="J373" s="706"/>
      <c r="K373" s="706"/>
      <c r="L373" s="706"/>
      <c r="M373" s="706"/>
      <c r="N373" s="706"/>
      <c r="O373" s="706"/>
      <c r="P373" s="706"/>
      <c r="Q373" s="706"/>
      <c r="R373" s="706"/>
      <c r="S373" s="721"/>
      <c r="T373" s="721"/>
      <c r="U373" s="721"/>
      <c r="V373" s="721"/>
      <c r="W373" s="721"/>
      <c r="X373" s="721"/>
      <c r="Y373" s="721"/>
      <c r="Z373" s="734"/>
      <c r="AA373" s="679" t="s">
        <v>1126</v>
      </c>
      <c r="AB373" s="679" t="s">
        <v>1107</v>
      </c>
      <c r="AC373" s="679" t="s">
        <v>1108</v>
      </c>
      <c r="AD373" s="679" t="s">
        <v>1127</v>
      </c>
    </row>
    <row r="374" spans="1:33" s="6" customFormat="1" hidden="1" x14ac:dyDescent="0.25">
      <c r="A374" s="259" t="s">
        <v>173</v>
      </c>
      <c r="B374" s="259"/>
      <c r="C374" s="92" t="s">
        <v>1394</v>
      </c>
      <c r="D374" s="92" t="s">
        <v>1395</v>
      </c>
      <c r="E374" s="92" t="s">
        <v>1396</v>
      </c>
      <c r="F374" s="92" t="s">
        <v>1397</v>
      </c>
      <c r="G374" s="92" t="s">
        <v>1398</v>
      </c>
      <c r="H374" s="92" t="s">
        <v>1399</v>
      </c>
      <c r="I374" s="92" t="s">
        <v>1400</v>
      </c>
      <c r="J374" s="92" t="s">
        <v>1401</v>
      </c>
      <c r="K374" s="92" t="s">
        <v>1402</v>
      </c>
      <c r="L374" s="92" t="s">
        <v>1403</v>
      </c>
      <c r="M374" s="92" t="s">
        <v>1404</v>
      </c>
      <c r="N374" s="92" t="s">
        <v>1405</v>
      </c>
      <c r="O374" s="92" t="s">
        <v>1406</v>
      </c>
      <c r="P374" s="92" t="s">
        <v>1407</v>
      </c>
      <c r="Q374" s="92" t="s">
        <v>1408</v>
      </c>
      <c r="R374" s="92" t="s">
        <v>1409</v>
      </c>
      <c r="S374" s="92" t="s">
        <v>1410</v>
      </c>
      <c r="T374" s="92" t="s">
        <v>1411</v>
      </c>
      <c r="U374" s="92" t="s">
        <v>1412</v>
      </c>
      <c r="V374" s="92" t="s">
        <v>1413</v>
      </c>
      <c r="W374" s="92" t="s">
        <v>1414</v>
      </c>
      <c r="X374" s="92" t="s">
        <v>1415</v>
      </c>
      <c r="Y374" s="92" t="s">
        <v>1416</v>
      </c>
      <c r="Z374" s="92" t="s">
        <v>1417</v>
      </c>
      <c r="AA374" s="679"/>
      <c r="AB374" s="679"/>
      <c r="AC374" s="679"/>
      <c r="AD374" s="679"/>
    </row>
    <row r="375" spans="1:33" s="6" customFormat="1" hidden="1" x14ac:dyDescent="0.25">
      <c r="A375" s="259" t="s">
        <v>173</v>
      </c>
      <c r="B375" s="259"/>
      <c r="C375" s="253" t="str">
        <f>C371</f>
        <v>9999</v>
      </c>
      <c r="D375" s="189">
        <f>D371</f>
        <v>20180326</v>
      </c>
      <c r="E375" s="189">
        <f>E371</f>
        <v>20180326</v>
      </c>
      <c r="F375" s="253" t="str">
        <f>C359</f>
        <v>6001</v>
      </c>
      <c r="G375" s="253" t="str">
        <f>D359</f>
        <v>B00102</v>
      </c>
      <c r="H375" s="253" t="str">
        <f>E359</f>
        <v>6001</v>
      </c>
      <c r="I375" s="253" t="str">
        <f>I363</f>
        <v>CNY</v>
      </c>
      <c r="J375" s="248" t="str">
        <f>G359</f>
        <v>CZCE</v>
      </c>
      <c r="K375" s="248" t="str">
        <f>K371</f>
        <v>PTA807</v>
      </c>
      <c r="L375" s="113">
        <f>K359</f>
        <v>1</v>
      </c>
      <c r="M375" s="113">
        <f>J359</f>
        <v>3</v>
      </c>
      <c r="N375" s="113">
        <f>N359</f>
        <v>1</v>
      </c>
      <c r="O375" s="248">
        <f>L359</f>
        <v>4</v>
      </c>
      <c r="P375" s="111">
        <v>0</v>
      </c>
      <c r="Q375" s="248">
        <f>P359</f>
        <v>0</v>
      </c>
      <c r="R375" s="111">
        <v>0</v>
      </c>
      <c r="S375" s="248">
        <f>M359</f>
        <v>6225</v>
      </c>
      <c r="T375" s="248">
        <f>T371</f>
        <v>5</v>
      </c>
      <c r="U375" s="248">
        <f>R359</f>
        <v>2.0000000000000001E-4</v>
      </c>
      <c r="V375" s="248">
        <f>S359</f>
        <v>2</v>
      </c>
      <c r="W375" s="248">
        <f>T359</f>
        <v>0</v>
      </c>
      <c r="X375" s="111">
        <f xml:space="preserve"> $B$2+1</f>
        <v>20180329</v>
      </c>
      <c r="Y375" s="248">
        <f>U359</f>
        <v>1</v>
      </c>
      <c r="Z375" s="111">
        <v>1</v>
      </c>
      <c r="AA375" s="111" t="s">
        <v>1128</v>
      </c>
      <c r="AB375" s="111"/>
      <c r="AC375" s="111"/>
      <c r="AD375" s="111"/>
    </row>
    <row r="376" spans="1:33" s="6" customFormat="1" hidden="1" x14ac:dyDescent="0.25">
      <c r="A376" s="195" t="s">
        <v>173</v>
      </c>
      <c r="B376" s="195" t="s">
        <v>1426</v>
      </c>
      <c r="C376" s="188"/>
      <c r="D376" s="188"/>
      <c r="E376" s="252"/>
      <c r="F376" s="252"/>
      <c r="G376" s="252"/>
      <c r="H376" s="252"/>
      <c r="I376" s="181"/>
      <c r="J376" s="181"/>
      <c r="K376" s="182"/>
      <c r="L376" s="182"/>
      <c r="M376" s="182"/>
      <c r="N376" s="181"/>
      <c r="O376" s="167"/>
      <c r="P376" s="181"/>
      <c r="Q376" s="167"/>
      <c r="R376" s="181"/>
      <c r="S376" s="181"/>
      <c r="T376" s="181"/>
      <c r="U376" s="181"/>
      <c r="V376" s="181"/>
      <c r="W376" s="167"/>
      <c r="X376" s="181"/>
      <c r="Y376" s="167"/>
      <c r="Z376" s="167"/>
      <c r="AA376" s="167"/>
      <c r="AB376" s="167"/>
      <c r="AC376" s="167"/>
    </row>
    <row r="377" spans="1:33" s="6" customFormat="1" hidden="1" x14ac:dyDescent="0.25">
      <c r="A377" s="259" t="s">
        <v>173</v>
      </c>
      <c r="B377" s="253" t="str">
        <f t="shared" ref="B377:AB377" si="54">C822</f>
        <v>经纪公司</v>
      </c>
      <c r="C377" s="253" t="str">
        <f t="shared" si="54"/>
        <v>交割日</v>
      </c>
      <c r="D377" s="253" t="str">
        <f t="shared" si="54"/>
        <v>投资者</v>
      </c>
      <c r="E377" s="253" t="str">
        <f t="shared" si="54"/>
        <v>投资单元</v>
      </c>
      <c r="F377" s="253" t="str">
        <f t="shared" si="54"/>
        <v>资金账号</v>
      </c>
      <c r="G377" s="253" t="str">
        <f t="shared" si="54"/>
        <v>币种</v>
      </c>
      <c r="H377" s="253" t="str">
        <f t="shared" si="54"/>
        <v>交易日</v>
      </c>
      <c r="I377" s="253" t="str">
        <f t="shared" si="54"/>
        <v>交易所</v>
      </c>
      <c r="J377" s="253" t="str">
        <f t="shared" si="54"/>
        <v>合约代码</v>
      </c>
      <c r="K377" s="253" t="str">
        <f t="shared" si="54"/>
        <v>合约乘数</v>
      </c>
      <c r="L377" s="253" t="str">
        <f t="shared" si="54"/>
        <v>买/卖</v>
      </c>
      <c r="M377" s="253" t="str">
        <f t="shared" si="54"/>
        <v>投机/套保</v>
      </c>
      <c r="N377" s="253" t="str">
        <f t="shared" si="54"/>
        <v>交割数量</v>
      </c>
      <c r="O377" s="253" t="str">
        <f t="shared" si="54"/>
        <v>交割价格</v>
      </c>
      <c r="P377" s="253" t="str">
        <f t="shared" si="54"/>
        <v>交割类型</v>
      </c>
      <c r="Q377" s="253" t="str">
        <f t="shared" si="54"/>
        <v>当日释放量</v>
      </c>
      <c r="R377" s="253" t="str">
        <f t="shared" si="54"/>
        <v>累计释放量</v>
      </c>
      <c r="S377" s="253" t="str">
        <f t="shared" si="54"/>
        <v>冻结量</v>
      </c>
      <c r="T377" s="253" t="str">
        <f t="shared" si="54"/>
        <v>交割保证金率(按金额交割保证金率(按手数)</v>
      </c>
      <c r="U377" s="253">
        <f t="shared" si="54"/>
        <v>0</v>
      </c>
      <c r="V377" s="253" t="str">
        <f t="shared" si="54"/>
        <v>交易所交割保证金率(按金额)</v>
      </c>
      <c r="W377" s="253" t="str">
        <f t="shared" si="54"/>
        <v>交易所交割保证金率(按手数)</v>
      </c>
      <c r="X377" s="253" t="str">
        <f t="shared" si="54"/>
        <v>交割保证金(投资者)</v>
      </c>
      <c r="Y377" s="253" t="str">
        <f t="shared" si="54"/>
        <v>交割保证金(交易所)</v>
      </c>
      <c r="Z377" s="253" t="str">
        <f t="shared" si="54"/>
        <v>交割是否完成</v>
      </c>
      <c r="AA377" s="253" t="str">
        <f t="shared" si="54"/>
        <v>交割保证金收取方式</v>
      </c>
      <c r="AB377" s="253" t="str">
        <f t="shared" si="54"/>
        <v>#买卖</v>
      </c>
      <c r="AC377" s="167"/>
    </row>
    <row r="378" spans="1:33" s="6" customFormat="1" hidden="1" x14ac:dyDescent="0.25">
      <c r="A378" s="259" t="s">
        <v>173</v>
      </c>
      <c r="B378" s="253" t="str">
        <f t="shared" ref="B378:AB378" si="55">C823</f>
        <v>brokerid</v>
      </c>
      <c r="C378" s="253" t="str">
        <f t="shared" si="55"/>
        <v>deliverydate</v>
      </c>
      <c r="D378" s="253" t="str">
        <f t="shared" si="55"/>
        <v>investorid</v>
      </c>
      <c r="E378" s="253" t="str">
        <f t="shared" si="55"/>
        <v>investunitid</v>
      </c>
      <c r="F378" s="253" t="str">
        <f t="shared" si="55"/>
        <v>accountid</v>
      </c>
      <c r="G378" s="253" t="str">
        <f t="shared" si="55"/>
        <v>CURRENCYID</v>
      </c>
      <c r="H378" s="253" t="str">
        <f t="shared" si="55"/>
        <v>settlementdate</v>
      </c>
      <c r="I378" s="253" t="str">
        <f t="shared" si="55"/>
        <v>exchangeid</v>
      </c>
      <c r="J378" s="253" t="str">
        <f t="shared" si="55"/>
        <v>instrumentid</v>
      </c>
      <c r="K378" s="253" t="str">
        <f t="shared" si="55"/>
        <v>#volumemultiple</v>
      </c>
      <c r="L378" s="253" t="str">
        <f t="shared" si="55"/>
        <v>posidirection</v>
      </c>
      <c r="M378" s="253" t="str">
        <f t="shared" si="55"/>
        <v>hedgeflag</v>
      </c>
      <c r="N378" s="253" t="str">
        <f t="shared" si="55"/>
        <v>volume</v>
      </c>
      <c r="O378" s="253" t="str">
        <f t="shared" si="55"/>
        <v>deliveryprice</v>
      </c>
      <c r="P378" s="253" t="str">
        <f t="shared" si="55"/>
        <v>DELIVERYTYPE</v>
      </c>
      <c r="Q378" s="253" t="str">
        <f t="shared" si="55"/>
        <v>currreleasevolume</v>
      </c>
      <c r="R378" s="253" t="str">
        <f t="shared" si="55"/>
        <v>releasevolume</v>
      </c>
      <c r="S378" s="253" t="str">
        <f t="shared" si="55"/>
        <v xml:space="preserve">  frozenvolume     </v>
      </c>
      <c r="T378" s="253" t="str">
        <f t="shared" si="55"/>
        <v>marginratiobymoney</v>
      </c>
      <c r="U378" s="253" t="str">
        <f t="shared" si="55"/>
        <v>marginratiobyvolume</v>
      </c>
      <c r="V378" s="253" t="str">
        <f t="shared" si="55"/>
        <v>exchmarginratiobymoney</v>
      </c>
      <c r="W378" s="253" t="str">
        <f t="shared" si="55"/>
        <v>exchmarginratiobyvolume</v>
      </c>
      <c r="X378" s="253" t="str">
        <f t="shared" si="55"/>
        <v>margin</v>
      </c>
      <c r="Y378" s="253" t="str">
        <f t="shared" si="55"/>
        <v>exchmargin</v>
      </c>
      <c r="Z378" s="253" t="str">
        <f t="shared" si="55"/>
        <v>deliveryflag</v>
      </c>
      <c r="AA378" s="253" t="str">
        <f t="shared" si="55"/>
        <v>delivmargstyle</v>
      </c>
      <c r="AB378" s="253" t="str">
        <f t="shared" si="55"/>
        <v>#买卖</v>
      </c>
      <c r="AC378" s="167"/>
    </row>
    <row r="379" spans="1:33" s="6" customFormat="1" hidden="1" x14ac:dyDescent="0.25">
      <c r="A379" s="259" t="s">
        <v>173</v>
      </c>
      <c r="B379" s="253" t="str">
        <f t="shared" ref="B379:AB379" si="56">C824</f>
        <v>9999</v>
      </c>
      <c r="C379" s="189">
        <f t="shared" si="56"/>
        <v>20180326</v>
      </c>
      <c r="D379" s="189" t="str">
        <f t="shared" si="56"/>
        <v>6001</v>
      </c>
      <c r="E379" s="189" t="str">
        <f t="shared" si="56"/>
        <v>B00101</v>
      </c>
      <c r="F379" s="189" t="str">
        <f t="shared" si="56"/>
        <v>6001</v>
      </c>
      <c r="G379" s="189" t="str">
        <f t="shared" si="56"/>
        <v>CNY</v>
      </c>
      <c r="H379" s="189">
        <f t="shared" si="56"/>
        <v>20180326</v>
      </c>
      <c r="I379" s="253" t="str">
        <f t="shared" si="56"/>
        <v>CZCE</v>
      </c>
      <c r="J379" s="253" t="str">
        <f t="shared" si="56"/>
        <v>SR807</v>
      </c>
      <c r="K379" s="253">
        <f t="shared" si="56"/>
        <v>10</v>
      </c>
      <c r="L379" s="253">
        <f t="shared" si="56"/>
        <v>3</v>
      </c>
      <c r="M379" s="253">
        <f t="shared" si="56"/>
        <v>1</v>
      </c>
      <c r="N379" s="253">
        <f t="shared" si="56"/>
        <v>2</v>
      </c>
      <c r="O379" s="253">
        <f t="shared" si="56"/>
        <v>6130</v>
      </c>
      <c r="P379" s="253">
        <f t="shared" si="56"/>
        <v>1</v>
      </c>
      <c r="Q379" s="253">
        <f t="shared" si="56"/>
        <v>0</v>
      </c>
      <c r="R379" s="253">
        <f t="shared" si="56"/>
        <v>2</v>
      </c>
      <c r="S379" s="253">
        <f t="shared" si="56"/>
        <v>0</v>
      </c>
      <c r="T379" s="253">
        <f t="shared" si="56"/>
        <v>0</v>
      </c>
      <c r="U379" s="253">
        <f t="shared" si="56"/>
        <v>0</v>
      </c>
      <c r="V379" s="253">
        <f t="shared" si="56"/>
        <v>0</v>
      </c>
      <c r="W379" s="253">
        <f t="shared" si="56"/>
        <v>0</v>
      </c>
      <c r="X379" s="253">
        <f t="shared" si="56"/>
        <v>0</v>
      </c>
      <c r="Y379" s="253">
        <f t="shared" si="56"/>
        <v>0</v>
      </c>
      <c r="Z379" s="253">
        <f t="shared" si="56"/>
        <v>2</v>
      </c>
      <c r="AA379" s="253">
        <f t="shared" si="56"/>
        <v>1</v>
      </c>
      <c r="AB379" s="253">
        <f t="shared" si="56"/>
        <v>1</v>
      </c>
      <c r="AC379" s="167"/>
    </row>
    <row r="380" spans="1:33" s="6" customFormat="1" hidden="1" x14ac:dyDescent="0.25">
      <c r="A380" s="259" t="s">
        <v>173</v>
      </c>
      <c r="B380" s="253" t="str">
        <f t="shared" ref="B380:AB380" si="57">C825</f>
        <v>9999</v>
      </c>
      <c r="C380" s="189">
        <f t="shared" si="57"/>
        <v>20180326</v>
      </c>
      <c r="D380" s="189" t="str">
        <f t="shared" si="57"/>
        <v>6001</v>
      </c>
      <c r="E380" s="189" t="str">
        <f t="shared" si="57"/>
        <v>B00102</v>
      </c>
      <c r="F380" s="189" t="str">
        <f t="shared" si="57"/>
        <v>6001</v>
      </c>
      <c r="G380" s="189" t="str">
        <f t="shared" si="57"/>
        <v>CNY</v>
      </c>
      <c r="H380" s="189">
        <f t="shared" si="57"/>
        <v>20180326</v>
      </c>
      <c r="I380" s="253" t="str">
        <f t="shared" si="57"/>
        <v>CZCE</v>
      </c>
      <c r="J380" s="253" t="str">
        <f t="shared" si="57"/>
        <v>PTA807</v>
      </c>
      <c r="K380" s="253">
        <f t="shared" si="57"/>
        <v>5</v>
      </c>
      <c r="L380" s="253">
        <f t="shared" si="57"/>
        <v>2</v>
      </c>
      <c r="M380" s="253">
        <f t="shared" si="57"/>
        <v>1</v>
      </c>
      <c r="N380" s="253">
        <f t="shared" si="57"/>
        <v>5</v>
      </c>
      <c r="O380" s="253">
        <f t="shared" si="57"/>
        <v>6120</v>
      </c>
      <c r="P380" s="253">
        <f t="shared" si="57"/>
        <v>1</v>
      </c>
      <c r="Q380" s="253">
        <f t="shared" si="57"/>
        <v>0</v>
      </c>
      <c r="R380" s="253">
        <f t="shared" si="57"/>
        <v>0</v>
      </c>
      <c r="S380" s="253">
        <f t="shared" si="57"/>
        <v>5</v>
      </c>
      <c r="T380" s="253">
        <f t="shared" si="57"/>
        <v>0.05</v>
      </c>
      <c r="U380" s="253">
        <f t="shared" si="57"/>
        <v>5</v>
      </c>
      <c r="V380" s="253">
        <f t="shared" si="57"/>
        <v>0.04</v>
      </c>
      <c r="W380" s="253">
        <f t="shared" si="57"/>
        <v>4</v>
      </c>
      <c r="X380" s="253">
        <f t="shared" si="57"/>
        <v>7675</v>
      </c>
      <c r="Y380" s="253">
        <f t="shared" si="57"/>
        <v>6140</v>
      </c>
      <c r="Z380" s="253">
        <f t="shared" si="57"/>
        <v>1</v>
      </c>
      <c r="AA380" s="253">
        <f t="shared" si="57"/>
        <v>1</v>
      </c>
      <c r="AB380" s="253">
        <f t="shared" si="57"/>
        <v>0</v>
      </c>
      <c r="AC380" s="167"/>
    </row>
    <row r="381" spans="1:33" s="6" customFormat="1" hidden="1" x14ac:dyDescent="0.25">
      <c r="A381" s="259" t="s">
        <v>173</v>
      </c>
      <c r="B381" s="253" t="str">
        <f t="shared" ref="B381:AB381" si="58">C826</f>
        <v>9999</v>
      </c>
      <c r="C381" s="189">
        <f t="shared" si="58"/>
        <v>20180327</v>
      </c>
      <c r="D381" s="189" t="str">
        <f t="shared" si="58"/>
        <v>6001</v>
      </c>
      <c r="E381" s="189" t="str">
        <f t="shared" si="58"/>
        <v>B00101</v>
      </c>
      <c r="F381" s="189" t="str">
        <f t="shared" si="58"/>
        <v>6001</v>
      </c>
      <c r="G381" s="189" t="str">
        <f t="shared" si="58"/>
        <v>CNY</v>
      </c>
      <c r="H381" s="189">
        <f t="shared" si="58"/>
        <v>20180327</v>
      </c>
      <c r="I381" s="253" t="str">
        <f t="shared" si="58"/>
        <v>CZCE</v>
      </c>
      <c r="J381" s="253" t="str">
        <f t="shared" si="58"/>
        <v>SR809</v>
      </c>
      <c r="K381" s="253">
        <f t="shared" si="58"/>
        <v>10</v>
      </c>
      <c r="L381" s="253">
        <f t="shared" si="58"/>
        <v>2</v>
      </c>
      <c r="M381" s="253">
        <f t="shared" si="58"/>
        <v>1</v>
      </c>
      <c r="N381" s="253">
        <f t="shared" si="58"/>
        <v>6</v>
      </c>
      <c r="O381" s="253">
        <f t="shared" si="58"/>
        <v>6135</v>
      </c>
      <c r="P381" s="253">
        <f t="shared" si="58"/>
        <v>1</v>
      </c>
      <c r="Q381" s="253">
        <f t="shared" si="58"/>
        <v>2</v>
      </c>
      <c r="R381" s="253">
        <f t="shared" si="58"/>
        <v>6</v>
      </c>
      <c r="S381" s="253">
        <f t="shared" si="58"/>
        <v>0</v>
      </c>
      <c r="T381" s="253">
        <f t="shared" si="58"/>
        <v>0.05</v>
      </c>
      <c r="U381" s="253">
        <f t="shared" si="58"/>
        <v>5</v>
      </c>
      <c r="V381" s="253">
        <f t="shared" si="58"/>
        <v>0.04</v>
      </c>
      <c r="W381" s="253">
        <f t="shared" si="58"/>
        <v>4</v>
      </c>
      <c r="X381" s="253">
        <f t="shared" si="58"/>
        <v>0</v>
      </c>
      <c r="Y381" s="253">
        <f t="shared" si="58"/>
        <v>0</v>
      </c>
      <c r="Z381" s="253">
        <f t="shared" si="58"/>
        <v>1</v>
      </c>
      <c r="AA381" s="253">
        <f t="shared" si="58"/>
        <v>1</v>
      </c>
      <c r="AB381" s="253">
        <f t="shared" si="58"/>
        <v>0</v>
      </c>
      <c r="AC381" s="167"/>
    </row>
    <row r="382" spans="1:33" s="6" customFormat="1" hidden="1" x14ac:dyDescent="0.25">
      <c r="A382" s="259" t="s">
        <v>173</v>
      </c>
      <c r="B382" s="252" t="s">
        <v>1460</v>
      </c>
      <c r="C382" s="188"/>
      <c r="D382" s="188"/>
      <c r="E382" s="188"/>
      <c r="F382" s="188"/>
      <c r="G382" s="188"/>
      <c r="H382" s="188"/>
      <c r="I382" s="252"/>
      <c r="J382" s="252"/>
      <c r="K382" s="252"/>
      <c r="L382" s="252"/>
      <c r="M382" s="252"/>
      <c r="N382" s="252"/>
      <c r="O382" s="252"/>
      <c r="P382" s="252"/>
      <c r="Q382" s="252"/>
      <c r="R382" s="252"/>
      <c r="S382" s="252"/>
      <c r="T382" s="252"/>
      <c r="U382" s="252"/>
      <c r="V382" s="252"/>
      <c r="W382" s="252"/>
      <c r="X382" s="252"/>
      <c r="Y382" s="252"/>
      <c r="Z382" s="252"/>
      <c r="AA382" s="252"/>
      <c r="AB382" s="252"/>
      <c r="AC382" s="167"/>
    </row>
    <row r="383" spans="1:33" s="6" customFormat="1" hidden="1" x14ac:dyDescent="0.25">
      <c r="A383" s="259" t="s">
        <v>173</v>
      </c>
      <c r="B383" s="195" t="s">
        <v>124</v>
      </c>
      <c r="C383" s="254" t="s">
        <v>1428</v>
      </c>
      <c r="D383" s="254"/>
      <c r="E383" s="254"/>
      <c r="F383" s="252"/>
      <c r="G383" s="252"/>
      <c r="H383" s="252"/>
      <c r="I383" s="252"/>
      <c r="J383" s="252"/>
      <c r="K383" s="252"/>
      <c r="L383" s="252"/>
      <c r="M383" s="252"/>
      <c r="N383" s="252"/>
      <c r="O383" s="252"/>
      <c r="P383" s="252"/>
      <c r="Q383" s="252"/>
      <c r="R383" s="252"/>
      <c r="S383" s="252"/>
      <c r="T383" s="252"/>
      <c r="U383" s="252"/>
      <c r="V383" s="252"/>
      <c r="W383" s="252"/>
      <c r="X383" s="252"/>
      <c r="Y383" s="252"/>
      <c r="Z383" s="252"/>
      <c r="AA383" s="167"/>
      <c r="AB383" s="167"/>
      <c r="AC383" s="167"/>
      <c r="AD383" s="167"/>
    </row>
    <row r="384" spans="1:33" s="6" customFormat="1" hidden="1" x14ac:dyDescent="0.25">
      <c r="A384" s="259" t="s">
        <v>173</v>
      </c>
      <c r="B384" s="259" t="s">
        <v>306</v>
      </c>
      <c r="C384" s="704" t="s">
        <v>1571</v>
      </c>
      <c r="D384" s="705"/>
      <c r="E384" s="706"/>
      <c r="F384" s="706"/>
      <c r="G384" s="706"/>
      <c r="H384" s="706"/>
      <c r="I384" s="706"/>
      <c r="J384" s="706"/>
      <c r="K384" s="706"/>
      <c r="L384" s="706"/>
      <c r="M384" s="706"/>
      <c r="N384" s="706"/>
      <c r="O384" s="706"/>
      <c r="P384" s="706"/>
      <c r="Q384" s="706"/>
      <c r="R384" s="706"/>
      <c r="S384" s="721"/>
      <c r="T384" s="721"/>
      <c r="U384" s="721"/>
      <c r="V384" s="721"/>
      <c r="W384" s="721"/>
      <c r="X384" s="721"/>
      <c r="Y384" s="721"/>
      <c r="Z384" s="721"/>
      <c r="AA384" s="721"/>
      <c r="AB384" s="721"/>
      <c r="AC384" s="734"/>
      <c r="AD384" s="679" t="s">
        <v>1126</v>
      </c>
      <c r="AE384" s="679" t="s">
        <v>1107</v>
      </c>
      <c r="AF384" s="679" t="s">
        <v>1108</v>
      </c>
      <c r="AG384" s="679" t="s">
        <v>1127</v>
      </c>
    </row>
    <row r="385" spans="1:42" s="6" customFormat="1" hidden="1" x14ac:dyDescent="0.25">
      <c r="A385" s="259" t="s">
        <v>173</v>
      </c>
      <c r="B385" s="259"/>
      <c r="C385" s="92" t="s">
        <v>1438</v>
      </c>
      <c r="D385" s="92" t="s">
        <v>1111</v>
      </c>
      <c r="E385" s="92" t="s">
        <v>1113</v>
      </c>
      <c r="F385" s="92" t="s">
        <v>1436</v>
      </c>
      <c r="G385" s="92" t="s">
        <v>1435</v>
      </c>
      <c r="H385" s="92" t="s">
        <v>1434</v>
      </c>
      <c r="I385" s="92" t="s">
        <v>1433</v>
      </c>
      <c r="J385" s="92" t="s">
        <v>1432</v>
      </c>
      <c r="K385" s="92" t="s">
        <v>1431</v>
      </c>
      <c r="L385" s="92" t="s">
        <v>1440</v>
      </c>
      <c r="M385" s="92" t="s">
        <v>1441</v>
      </c>
      <c r="N385" s="92" t="s">
        <v>1442</v>
      </c>
      <c r="O385" s="92" t="s">
        <v>1443</v>
      </c>
      <c r="P385" s="92" t="s">
        <v>1444</v>
      </c>
      <c r="Q385" s="92" t="s">
        <v>1445</v>
      </c>
      <c r="R385" s="92" t="s">
        <v>1446</v>
      </c>
      <c r="S385" s="92" t="s">
        <v>1447</v>
      </c>
      <c r="T385" s="92" t="s">
        <v>1448</v>
      </c>
      <c r="U385" s="92" t="s">
        <v>1449</v>
      </c>
      <c r="V385" s="92" t="s">
        <v>1450</v>
      </c>
      <c r="W385" s="92" t="s">
        <v>1451</v>
      </c>
      <c r="X385" s="92" t="s">
        <v>1452</v>
      </c>
      <c r="Y385" s="92" t="s">
        <v>1453</v>
      </c>
      <c r="Z385" s="92" t="s">
        <v>1454</v>
      </c>
      <c r="AA385" s="92" t="s">
        <v>1455</v>
      </c>
      <c r="AB385" s="92" t="s">
        <v>1456</v>
      </c>
      <c r="AC385" s="92" t="s">
        <v>1457</v>
      </c>
      <c r="AD385" s="679"/>
      <c r="AE385" s="679"/>
      <c r="AF385" s="679"/>
      <c r="AG385" s="679"/>
    </row>
    <row r="386" spans="1:42" s="6" customFormat="1" hidden="1" x14ac:dyDescent="0.25">
      <c r="A386" s="259" t="s">
        <v>173</v>
      </c>
      <c r="B386" s="259"/>
      <c r="C386" s="253" t="str">
        <f>B379</f>
        <v>9999</v>
      </c>
      <c r="D386" s="253">
        <f>C379</f>
        <v>20180326</v>
      </c>
      <c r="E386" s="253">
        <f>C379</f>
        <v>20180326</v>
      </c>
      <c r="F386" s="253" t="str">
        <f>D379</f>
        <v>6001</v>
      </c>
      <c r="G386" s="253" t="str">
        <f>E379</f>
        <v>B00101</v>
      </c>
      <c r="H386" s="253" t="str">
        <f>F379</f>
        <v>6001</v>
      </c>
      <c r="I386" s="253" t="str">
        <f>G379</f>
        <v>CNY</v>
      </c>
      <c r="J386" s="248" t="str">
        <f>I379</f>
        <v>CZCE</v>
      </c>
      <c r="K386" s="248" t="str">
        <f>J379</f>
        <v>SR807</v>
      </c>
      <c r="L386" s="113">
        <f>M379</f>
        <v>1</v>
      </c>
      <c r="M386" s="113">
        <f>L379</f>
        <v>3</v>
      </c>
      <c r="N386" s="113">
        <f>N379</f>
        <v>2</v>
      </c>
      <c r="O386" s="113">
        <v>0</v>
      </c>
      <c r="P386" s="113">
        <f>Q379</f>
        <v>0</v>
      </c>
      <c r="Q386" s="113">
        <f>S379</f>
        <v>0</v>
      </c>
      <c r="R386" s="113">
        <f>O379</f>
        <v>6130</v>
      </c>
      <c r="S386" s="113">
        <f>K379</f>
        <v>10</v>
      </c>
      <c r="T386" s="248">
        <f>X379</f>
        <v>0</v>
      </c>
      <c r="U386" s="248">
        <f>Y379</f>
        <v>0</v>
      </c>
      <c r="V386" s="248">
        <f>T379</f>
        <v>0</v>
      </c>
      <c r="W386" s="248">
        <f>U379</f>
        <v>0</v>
      </c>
      <c r="X386" s="248">
        <f>V379</f>
        <v>0</v>
      </c>
      <c r="Y386" s="248">
        <f>W379</f>
        <v>0</v>
      </c>
      <c r="Z386" s="113">
        <f xml:space="preserve"> $B$2+1</f>
        <v>20180329</v>
      </c>
      <c r="AA386" s="113">
        <f>P379</f>
        <v>1</v>
      </c>
      <c r="AB386" s="113">
        <f>Z379</f>
        <v>2</v>
      </c>
      <c r="AC386" s="113">
        <f>AA379</f>
        <v>1</v>
      </c>
      <c r="AD386" s="111" t="s">
        <v>1128</v>
      </c>
      <c r="AE386" s="111"/>
      <c r="AF386" s="111"/>
      <c r="AG386" s="111"/>
    </row>
    <row r="387" spans="1:42" s="6" customFormat="1" hidden="1" x14ac:dyDescent="0.25">
      <c r="A387" s="259" t="s">
        <v>173</v>
      </c>
      <c r="B387" s="252" t="s">
        <v>1461</v>
      </c>
      <c r="C387" s="188"/>
      <c r="D387" s="188"/>
      <c r="E387" s="252"/>
      <c r="F387" s="252"/>
      <c r="G387" s="252"/>
      <c r="H387" s="252"/>
      <c r="I387" s="181"/>
      <c r="J387" s="181"/>
      <c r="K387" s="182"/>
      <c r="L387" s="182"/>
      <c r="M387" s="182"/>
      <c r="N387" s="181"/>
      <c r="O387" s="167"/>
      <c r="P387" s="181"/>
      <c r="Q387" s="167"/>
      <c r="R387" s="181"/>
      <c r="S387" s="181"/>
      <c r="T387" s="181"/>
      <c r="U387" s="181"/>
      <c r="V387" s="181"/>
      <c r="W387" s="167"/>
      <c r="X387" s="181"/>
      <c r="Y387" s="167"/>
      <c r="Z387" s="167"/>
      <c r="AA387" s="167"/>
      <c r="AB387" s="167"/>
      <c r="AC387" s="167"/>
    </row>
    <row r="388" spans="1:42" s="6" customFormat="1" hidden="1" x14ac:dyDescent="0.25">
      <c r="A388" s="259" t="s">
        <v>173</v>
      </c>
      <c r="B388" s="195" t="s">
        <v>124</v>
      </c>
      <c r="C388" s="254" t="s">
        <v>1428</v>
      </c>
      <c r="D388" s="254"/>
      <c r="E388" s="254"/>
      <c r="F388" s="252"/>
      <c r="G388" s="252"/>
      <c r="H388" s="252"/>
      <c r="I388" s="252"/>
      <c r="J388" s="252"/>
      <c r="K388" s="252"/>
      <c r="L388" s="252"/>
      <c r="M388" s="252"/>
      <c r="N388" s="252"/>
      <c r="O388" s="252"/>
      <c r="P388" s="252"/>
      <c r="Q388" s="252"/>
      <c r="R388" s="252"/>
      <c r="S388" s="252"/>
      <c r="T388" s="252"/>
      <c r="U388" s="252"/>
      <c r="V388" s="252"/>
      <c r="W388" s="252"/>
      <c r="X388" s="252"/>
      <c r="Y388" s="252"/>
      <c r="Z388" s="252"/>
      <c r="AA388" s="167"/>
      <c r="AB388" s="167"/>
      <c r="AC388" s="167"/>
      <c r="AD388" s="167"/>
    </row>
    <row r="389" spans="1:42" s="6" customFormat="1" hidden="1" x14ac:dyDescent="0.25">
      <c r="A389" s="259" t="s">
        <v>173</v>
      </c>
      <c r="B389" s="259" t="s">
        <v>306</v>
      </c>
      <c r="C389" s="704" t="s">
        <v>1571</v>
      </c>
      <c r="D389" s="705"/>
      <c r="E389" s="706"/>
      <c r="F389" s="706"/>
      <c r="G389" s="706"/>
      <c r="H389" s="706"/>
      <c r="I389" s="706"/>
      <c r="J389" s="706"/>
      <c r="K389" s="706"/>
      <c r="L389" s="706"/>
      <c r="M389" s="706"/>
      <c r="N389" s="706"/>
      <c r="O389" s="706"/>
      <c r="P389" s="706"/>
      <c r="Q389" s="706"/>
      <c r="R389" s="706"/>
      <c r="S389" s="721"/>
      <c r="T389" s="721"/>
      <c r="U389" s="721"/>
      <c r="V389" s="721"/>
      <c r="W389" s="721"/>
      <c r="X389" s="721"/>
      <c r="Y389" s="721"/>
      <c r="Z389" s="721"/>
      <c r="AA389" s="721"/>
      <c r="AB389" s="721"/>
      <c r="AC389" s="734"/>
      <c r="AD389" s="679" t="s">
        <v>1126</v>
      </c>
      <c r="AE389" s="679" t="s">
        <v>1107</v>
      </c>
      <c r="AF389" s="679" t="s">
        <v>1108</v>
      </c>
      <c r="AG389" s="679" t="s">
        <v>1127</v>
      </c>
    </row>
    <row r="390" spans="1:42" s="6" customFormat="1" hidden="1" x14ac:dyDescent="0.25">
      <c r="A390" s="259" t="s">
        <v>173</v>
      </c>
      <c r="B390" s="259"/>
      <c r="C390" s="92" t="s">
        <v>1438</v>
      </c>
      <c r="D390" s="92" t="s">
        <v>1111</v>
      </c>
      <c r="E390" s="92" t="s">
        <v>1113</v>
      </c>
      <c r="F390" s="92" t="s">
        <v>1436</v>
      </c>
      <c r="G390" s="92" t="s">
        <v>1435</v>
      </c>
      <c r="H390" s="92" t="s">
        <v>1434</v>
      </c>
      <c r="I390" s="92" t="s">
        <v>1433</v>
      </c>
      <c r="J390" s="92" t="s">
        <v>1432</v>
      </c>
      <c r="K390" s="92" t="s">
        <v>1431</v>
      </c>
      <c r="L390" s="92" t="s">
        <v>1440</v>
      </c>
      <c r="M390" s="92" t="s">
        <v>1441</v>
      </c>
      <c r="N390" s="92" t="s">
        <v>1442</v>
      </c>
      <c r="O390" s="92" t="s">
        <v>1443</v>
      </c>
      <c r="P390" s="92" t="s">
        <v>1444</v>
      </c>
      <c r="Q390" s="92" t="s">
        <v>1445</v>
      </c>
      <c r="R390" s="92" t="s">
        <v>1446</v>
      </c>
      <c r="S390" s="92" t="s">
        <v>1447</v>
      </c>
      <c r="T390" s="92" t="s">
        <v>1448</v>
      </c>
      <c r="U390" s="92" t="s">
        <v>1449</v>
      </c>
      <c r="V390" s="92" t="s">
        <v>1450</v>
      </c>
      <c r="W390" s="92" t="s">
        <v>1451</v>
      </c>
      <c r="X390" s="92" t="s">
        <v>1452</v>
      </c>
      <c r="Y390" s="92" t="s">
        <v>1453</v>
      </c>
      <c r="Z390" s="92" t="s">
        <v>1454</v>
      </c>
      <c r="AA390" s="92" t="s">
        <v>1455</v>
      </c>
      <c r="AB390" s="92" t="s">
        <v>1456</v>
      </c>
      <c r="AC390" s="92" t="s">
        <v>1457</v>
      </c>
      <c r="AD390" s="679"/>
      <c r="AE390" s="679"/>
      <c r="AF390" s="679"/>
      <c r="AG390" s="679"/>
    </row>
    <row r="391" spans="1:42" s="6" customFormat="1" hidden="1" x14ac:dyDescent="0.25">
      <c r="A391" s="259" t="s">
        <v>173</v>
      </c>
      <c r="B391" s="259"/>
      <c r="C391" s="253" t="str">
        <f t="shared" ref="C391:J391" si="59">C386</f>
        <v>9999</v>
      </c>
      <c r="D391" s="253">
        <f t="shared" si="59"/>
        <v>20180326</v>
      </c>
      <c r="E391" s="253">
        <f t="shared" si="59"/>
        <v>20180326</v>
      </c>
      <c r="F391" s="253" t="str">
        <f t="shared" si="59"/>
        <v>6001</v>
      </c>
      <c r="G391" s="253" t="str">
        <f t="shared" si="59"/>
        <v>B00101</v>
      </c>
      <c r="H391" s="253" t="str">
        <f t="shared" si="59"/>
        <v>6001</v>
      </c>
      <c r="I391" s="253" t="str">
        <f t="shared" si="59"/>
        <v>CNY</v>
      </c>
      <c r="J391" s="253" t="str">
        <f t="shared" si="59"/>
        <v>CZCE</v>
      </c>
      <c r="K391" s="248" t="str">
        <f>J381</f>
        <v>SR809</v>
      </c>
      <c r="L391" s="113">
        <f>M381</f>
        <v>1</v>
      </c>
      <c r="M391" s="113">
        <f>L381</f>
        <v>2</v>
      </c>
      <c r="N391" s="113">
        <f>N381</f>
        <v>6</v>
      </c>
      <c r="O391" s="113">
        <v>0</v>
      </c>
      <c r="P391" s="113">
        <f>Q381</f>
        <v>2</v>
      </c>
      <c r="Q391" s="113">
        <f>S381</f>
        <v>0</v>
      </c>
      <c r="R391" s="113">
        <f>O381</f>
        <v>6135</v>
      </c>
      <c r="S391" s="113">
        <f>K381</f>
        <v>10</v>
      </c>
      <c r="T391" s="248">
        <f>X381</f>
        <v>0</v>
      </c>
      <c r="U391" s="248">
        <f>Y381</f>
        <v>0</v>
      </c>
      <c r="V391" s="248">
        <f>T381</f>
        <v>0.05</v>
      </c>
      <c r="W391" s="248">
        <f>U381</f>
        <v>5</v>
      </c>
      <c r="X391" s="248">
        <f>V381</f>
        <v>0.04</v>
      </c>
      <c r="Y391" s="248">
        <f>W381</f>
        <v>4</v>
      </c>
      <c r="Z391" s="113">
        <f xml:space="preserve"> $B$2+1</f>
        <v>20180329</v>
      </c>
      <c r="AA391" s="113">
        <f>Z381</f>
        <v>1</v>
      </c>
      <c r="AB391" s="113">
        <v>1</v>
      </c>
      <c r="AC391" s="113">
        <f>AA381</f>
        <v>1</v>
      </c>
      <c r="AD391" s="111" t="s">
        <v>1128</v>
      </c>
      <c r="AE391" s="111"/>
      <c r="AF391" s="111"/>
      <c r="AG391" s="111"/>
    </row>
    <row r="392" spans="1:42" hidden="1" x14ac:dyDescent="0.25">
      <c r="A392" t="s">
        <v>173</v>
      </c>
      <c r="B392" s="36" t="s">
        <v>1475</v>
      </c>
      <c r="C392" s="137"/>
      <c r="D392" s="2"/>
      <c r="E392" s="2"/>
      <c r="F392" s="2"/>
      <c r="G392" s="137"/>
      <c r="H392" s="126"/>
      <c r="I392" s="126"/>
      <c r="J392" s="126"/>
      <c r="K392" s="126"/>
      <c r="W392" s="6"/>
      <c r="X392" s="6"/>
      <c r="Y392" s="6"/>
      <c r="Z392" s="6"/>
      <c r="AA392" s="6"/>
      <c r="AB392" s="6"/>
      <c r="AC392" s="6"/>
      <c r="AD392" s="6"/>
      <c r="AE392" s="6"/>
      <c r="AF392" s="6"/>
      <c r="AG392" s="6"/>
      <c r="AH392" s="6"/>
      <c r="AI392" s="6"/>
      <c r="AJ392" s="6"/>
      <c r="AK392" s="6"/>
      <c r="AL392" s="6"/>
      <c r="AM392" s="6"/>
      <c r="AN392" s="6"/>
      <c r="AO392" s="6"/>
      <c r="AP392" s="6"/>
    </row>
    <row r="393" spans="1:42" hidden="1" x14ac:dyDescent="0.25">
      <c r="A393" t="s">
        <v>173</v>
      </c>
      <c r="B393" s="144" t="s">
        <v>365</v>
      </c>
      <c r="C393" s="7" t="s">
        <v>191</v>
      </c>
      <c r="D393" s="7" t="s">
        <v>5</v>
      </c>
      <c r="E393" s="7" t="s">
        <v>286</v>
      </c>
      <c r="F393" s="7" t="s">
        <v>287</v>
      </c>
      <c r="G393" s="7" t="s">
        <v>120</v>
      </c>
      <c r="H393" s="144" t="s">
        <v>591</v>
      </c>
      <c r="I393" s="144" t="s">
        <v>52</v>
      </c>
      <c r="J393" s="144" t="s">
        <v>294</v>
      </c>
      <c r="K393" s="144" t="s">
        <v>9</v>
      </c>
      <c r="L393" s="144" t="s">
        <v>592</v>
      </c>
      <c r="W393" s="6"/>
      <c r="X393" s="6"/>
      <c r="Y393" s="6"/>
      <c r="Z393" s="6"/>
      <c r="AA393" s="6"/>
      <c r="AB393" s="6"/>
      <c r="AC393" s="6"/>
      <c r="AD393" s="6"/>
      <c r="AE393" s="6"/>
      <c r="AF393" s="6"/>
      <c r="AG393" s="6"/>
      <c r="AH393" s="6"/>
      <c r="AI393" s="6"/>
      <c r="AJ393" s="6"/>
      <c r="AK393" s="6"/>
      <c r="AL393" s="6"/>
      <c r="AM393" s="6"/>
      <c r="AN393" s="6"/>
      <c r="AO393" s="6"/>
      <c r="AP393" s="6"/>
    </row>
    <row r="394" spans="1:42" ht="24" hidden="1" x14ac:dyDescent="0.25">
      <c r="A394" t="s">
        <v>173</v>
      </c>
      <c r="B394" s="144" t="s">
        <v>325</v>
      </c>
      <c r="C394" s="7" t="s">
        <v>346</v>
      </c>
      <c r="D394" s="7" t="s">
        <v>327</v>
      </c>
      <c r="E394" s="7" t="s">
        <v>321</v>
      </c>
      <c r="F394" s="144" t="s">
        <v>322</v>
      </c>
      <c r="G394" s="7" t="s">
        <v>323</v>
      </c>
      <c r="H394" s="37" t="s">
        <v>1010</v>
      </c>
      <c r="I394" s="144" t="s">
        <v>328</v>
      </c>
      <c r="J394" s="144" t="s">
        <v>331</v>
      </c>
      <c r="K394" s="144" t="s">
        <v>332</v>
      </c>
      <c r="L394" s="144" t="s">
        <v>333</v>
      </c>
      <c r="W394" s="6"/>
      <c r="X394" s="6"/>
      <c r="Y394" s="6"/>
      <c r="Z394" s="6"/>
      <c r="AA394" s="6"/>
      <c r="AB394" s="6"/>
      <c r="AC394" s="6"/>
      <c r="AD394" s="6"/>
      <c r="AE394" s="6"/>
      <c r="AF394" s="6"/>
      <c r="AG394" s="6"/>
      <c r="AH394" s="6"/>
      <c r="AI394" s="6"/>
      <c r="AJ394" s="6"/>
      <c r="AK394" s="6"/>
      <c r="AL394" s="6"/>
      <c r="AM394" s="6"/>
      <c r="AN394" s="6"/>
      <c r="AO394" s="6"/>
      <c r="AP394" s="6"/>
    </row>
    <row r="395" spans="1:42" hidden="1" x14ac:dyDescent="0.25">
      <c r="A395" t="s">
        <v>173</v>
      </c>
      <c r="B395" s="145">
        <f>$B$2</f>
        <v>20180328</v>
      </c>
      <c r="C395" s="12" t="str">
        <f>$F$5</f>
        <v>9999</v>
      </c>
      <c r="D395" s="12" t="str">
        <f>$B$19</f>
        <v>CZCE</v>
      </c>
      <c r="E395" s="12" t="str">
        <f t="shared" ref="E395:K396" si="60">F1016</f>
        <v>6001</v>
      </c>
      <c r="F395" s="12" t="str">
        <f t="shared" si="60"/>
        <v>B00101</v>
      </c>
      <c r="G395" s="12" t="str">
        <f t="shared" si="60"/>
        <v>6001</v>
      </c>
      <c r="H395" s="12" t="str">
        <f t="shared" si="60"/>
        <v>CNY</v>
      </c>
      <c r="I395" s="12" t="str">
        <f t="shared" si="60"/>
        <v>SR807</v>
      </c>
      <c r="J395" s="12">
        <f t="shared" si="60"/>
        <v>3</v>
      </c>
      <c r="K395" s="12">
        <f t="shared" si="60"/>
        <v>1</v>
      </c>
      <c r="L395" s="12">
        <f>'day2'!L437</f>
        <v>2</v>
      </c>
      <c r="W395" s="6"/>
      <c r="X395" s="6"/>
      <c r="Y395" s="6"/>
      <c r="Z395" s="6"/>
      <c r="AA395" s="6"/>
      <c r="AB395" s="6"/>
      <c r="AC395" s="6"/>
      <c r="AD395" s="6"/>
      <c r="AE395" s="6"/>
      <c r="AF395" s="6"/>
      <c r="AG395" s="6"/>
      <c r="AH395" s="6"/>
      <c r="AI395" s="6"/>
      <c r="AJ395" s="6"/>
      <c r="AK395" s="6"/>
      <c r="AL395" s="6"/>
      <c r="AM395" s="6"/>
      <c r="AN395" s="6"/>
      <c r="AO395" s="6"/>
      <c r="AP395" s="6"/>
    </row>
    <row r="396" spans="1:42" hidden="1" x14ac:dyDescent="0.25">
      <c r="A396" t="s">
        <v>173</v>
      </c>
      <c r="B396" s="145">
        <f>$B$2</f>
        <v>20180328</v>
      </c>
      <c r="C396" s="12" t="str">
        <f>$F$5</f>
        <v>9999</v>
      </c>
      <c r="D396" s="12" t="str">
        <f>$B$19</f>
        <v>CZCE</v>
      </c>
      <c r="E396" s="12" t="str">
        <f t="shared" si="60"/>
        <v>6001</v>
      </c>
      <c r="F396" s="12" t="str">
        <f t="shared" si="60"/>
        <v>B00101</v>
      </c>
      <c r="G396" s="12" t="str">
        <f t="shared" si="60"/>
        <v>6001</v>
      </c>
      <c r="H396" s="12" t="str">
        <f t="shared" si="60"/>
        <v>CNY</v>
      </c>
      <c r="I396" s="12" t="str">
        <f t="shared" si="60"/>
        <v>SR807</v>
      </c>
      <c r="J396" s="12">
        <f t="shared" si="60"/>
        <v>3</v>
      </c>
      <c r="K396" s="12">
        <f t="shared" si="60"/>
        <v>3</v>
      </c>
      <c r="L396" s="12">
        <f>'day2'!L438</f>
        <v>3</v>
      </c>
      <c r="W396" s="6"/>
      <c r="X396" s="6"/>
      <c r="Y396" s="6"/>
      <c r="Z396" s="6"/>
      <c r="AA396" s="6"/>
      <c r="AB396" s="6"/>
      <c r="AC396" s="6"/>
      <c r="AD396" s="6"/>
      <c r="AE396" s="6"/>
      <c r="AF396" s="6"/>
      <c r="AG396" s="6"/>
      <c r="AH396" s="6"/>
      <c r="AI396" s="6"/>
      <c r="AJ396" s="6"/>
      <c r="AK396" s="6"/>
      <c r="AL396" s="6"/>
      <c r="AM396" s="6"/>
      <c r="AN396" s="6"/>
      <c r="AO396" s="6"/>
      <c r="AP396" s="6"/>
    </row>
    <row r="397" spans="1:42" hidden="1" x14ac:dyDescent="0.25">
      <c r="A397" t="s">
        <v>173</v>
      </c>
      <c r="B397" s="161"/>
      <c r="C397" s="3"/>
      <c r="D397" s="3"/>
      <c r="E397" s="3"/>
      <c r="F397" s="3"/>
      <c r="G397" s="3"/>
      <c r="H397" s="3"/>
      <c r="I397" s="3"/>
      <c r="J397" s="3"/>
      <c r="K397" s="3"/>
      <c r="L397" s="3"/>
      <c r="W397" s="6"/>
      <c r="X397" s="6"/>
      <c r="Y397" s="6"/>
      <c r="Z397" s="6"/>
      <c r="AA397" s="6"/>
      <c r="AB397" s="6"/>
      <c r="AC397" s="6"/>
      <c r="AD397" s="6"/>
      <c r="AE397" s="6"/>
      <c r="AF397" s="6"/>
      <c r="AG397" s="6"/>
      <c r="AH397" s="6"/>
      <c r="AI397" s="6"/>
      <c r="AJ397" s="6"/>
      <c r="AK397" s="6"/>
      <c r="AL397" s="6"/>
      <c r="AM397" s="6"/>
      <c r="AN397" s="6"/>
      <c r="AO397" s="6"/>
      <c r="AP397" s="6"/>
    </row>
    <row r="398" spans="1:42" hidden="1" x14ac:dyDescent="0.25">
      <c r="A398" t="s">
        <v>173</v>
      </c>
      <c r="B398" s="183" t="s">
        <v>124</v>
      </c>
      <c r="C398" s="184" t="s">
        <v>1135</v>
      </c>
      <c r="D398" s="184"/>
      <c r="E398" s="184"/>
      <c r="F398" s="171"/>
      <c r="G398" s="137"/>
      <c r="H398" s="126"/>
      <c r="I398" s="126"/>
      <c r="J398" s="126"/>
      <c r="K398" s="126"/>
      <c r="W398" s="6"/>
      <c r="X398" s="6"/>
      <c r="Y398" s="6"/>
      <c r="Z398" s="6"/>
      <c r="AA398" s="6"/>
      <c r="AB398" s="6"/>
      <c r="AC398" s="6"/>
      <c r="AD398" s="6"/>
      <c r="AE398" s="6"/>
      <c r="AF398" s="6"/>
      <c r="AG398" s="6"/>
      <c r="AH398" s="6"/>
      <c r="AI398" s="6"/>
      <c r="AJ398" s="6"/>
      <c r="AK398" s="6"/>
      <c r="AL398" s="6"/>
      <c r="AM398" s="6"/>
      <c r="AN398" s="6"/>
      <c r="AO398" s="6"/>
      <c r="AP398" s="6"/>
    </row>
    <row r="399" spans="1:42" hidden="1" x14ac:dyDescent="0.25">
      <c r="A399" t="s">
        <v>173</v>
      </c>
      <c r="B399" s="170" t="s">
        <v>1491</v>
      </c>
      <c r="C399" s="704" t="s">
        <v>1569</v>
      </c>
      <c r="D399" s="706"/>
      <c r="E399" s="706"/>
      <c r="F399" s="706"/>
      <c r="G399" s="706"/>
      <c r="H399" s="706"/>
      <c r="I399" s="706"/>
      <c r="J399" s="706"/>
      <c r="K399" s="706"/>
      <c r="L399" s="706"/>
      <c r="M399" s="707"/>
      <c r="N399" s="695" t="s">
        <v>1126</v>
      </c>
      <c r="O399" s="695" t="s">
        <v>1107</v>
      </c>
      <c r="P399" s="695" t="s">
        <v>1108</v>
      </c>
      <c r="Q399" s="695" t="s">
        <v>1127</v>
      </c>
      <c r="R399" s="258"/>
      <c r="W399" s="6"/>
      <c r="X399" s="6"/>
      <c r="Y399" s="6"/>
      <c r="Z399" s="6"/>
      <c r="AA399" s="6"/>
      <c r="AB399" s="6"/>
      <c r="AC399" s="6"/>
      <c r="AD399" s="6"/>
      <c r="AE399" s="6"/>
      <c r="AF399" s="6"/>
      <c r="AG399" s="6"/>
      <c r="AH399" s="6"/>
      <c r="AI399" s="6"/>
      <c r="AJ399" s="6"/>
      <c r="AK399" s="6"/>
      <c r="AL399" s="6"/>
      <c r="AM399" s="6"/>
      <c r="AN399" s="6"/>
      <c r="AO399" s="6"/>
      <c r="AP399" s="6"/>
    </row>
    <row r="400" spans="1:42" hidden="1" x14ac:dyDescent="0.25">
      <c r="A400" t="s">
        <v>173</v>
      </c>
      <c r="B400" s="170"/>
      <c r="C400" s="172" t="s">
        <v>1133</v>
      </c>
      <c r="D400" s="172" t="s">
        <v>1134</v>
      </c>
      <c r="E400" s="172" t="s">
        <v>1117</v>
      </c>
      <c r="F400" s="173" t="s">
        <v>1112</v>
      </c>
      <c r="G400" s="138" t="s">
        <v>1114</v>
      </c>
      <c r="H400" s="172" t="s">
        <v>1115</v>
      </c>
      <c r="I400" s="172" t="s">
        <v>1116</v>
      </c>
      <c r="J400" s="172" t="s">
        <v>1118</v>
      </c>
      <c r="K400" s="172" t="s">
        <v>1120</v>
      </c>
      <c r="L400" s="172" t="s">
        <v>1119</v>
      </c>
      <c r="M400" s="172" t="s">
        <v>1136</v>
      </c>
      <c r="N400" s="696"/>
      <c r="O400" s="696"/>
      <c r="P400" s="696"/>
      <c r="Q400" s="696"/>
      <c r="R400" s="187"/>
      <c r="W400" s="6"/>
      <c r="X400" s="6"/>
      <c r="Y400" s="6"/>
      <c r="Z400" s="6"/>
      <c r="AA400" s="6"/>
      <c r="AB400" s="6"/>
      <c r="AC400" s="6"/>
      <c r="AD400" s="6"/>
      <c r="AE400" s="6"/>
      <c r="AF400" s="6"/>
      <c r="AG400" s="6"/>
      <c r="AH400" s="6"/>
      <c r="AI400" s="6"/>
      <c r="AJ400" s="6"/>
      <c r="AK400" s="6"/>
      <c r="AL400" s="6"/>
      <c r="AM400" s="6"/>
      <c r="AN400" s="6"/>
      <c r="AO400" s="6"/>
      <c r="AP400" s="6"/>
    </row>
    <row r="401" spans="1:42" hidden="1" x14ac:dyDescent="0.25">
      <c r="A401" t="s">
        <v>173</v>
      </c>
      <c r="B401" s="170"/>
      <c r="C401" s="186">
        <f t="shared" ref="C401:M401" si="61">B395</f>
        <v>20180328</v>
      </c>
      <c r="D401" s="186" t="str">
        <f t="shared" si="61"/>
        <v>9999</v>
      </c>
      <c r="E401" s="186" t="str">
        <f t="shared" si="61"/>
        <v>CZCE</v>
      </c>
      <c r="F401" s="186" t="str">
        <f t="shared" si="61"/>
        <v>6001</v>
      </c>
      <c r="G401" s="186" t="str">
        <f t="shared" si="61"/>
        <v>B00101</v>
      </c>
      <c r="H401" s="186" t="str">
        <f t="shared" si="61"/>
        <v>6001</v>
      </c>
      <c r="I401" s="186" t="str">
        <f t="shared" si="61"/>
        <v>CNY</v>
      </c>
      <c r="J401" s="186" t="str">
        <f t="shared" si="61"/>
        <v>SR807</v>
      </c>
      <c r="K401" s="186">
        <f t="shared" si="61"/>
        <v>3</v>
      </c>
      <c r="L401" s="186">
        <f t="shared" si="61"/>
        <v>1</v>
      </c>
      <c r="M401" s="186">
        <f t="shared" si="61"/>
        <v>2</v>
      </c>
      <c r="N401" s="176" t="s">
        <v>1128</v>
      </c>
      <c r="O401" s="176"/>
      <c r="P401" s="176"/>
      <c r="Q401" s="176">
        <v>0</v>
      </c>
      <c r="R401" s="111"/>
      <c r="W401" s="6"/>
      <c r="X401" s="6"/>
      <c r="Y401" s="6"/>
      <c r="Z401" s="6"/>
      <c r="AA401" s="6"/>
      <c r="AB401" s="6"/>
      <c r="AC401" s="6"/>
      <c r="AD401" s="6"/>
      <c r="AE401" s="6"/>
      <c r="AF401" s="6"/>
      <c r="AG401" s="6"/>
      <c r="AH401" s="6"/>
      <c r="AI401" s="6"/>
      <c r="AJ401" s="6"/>
      <c r="AK401" s="6"/>
      <c r="AL401" s="6"/>
      <c r="AM401" s="6"/>
      <c r="AN401" s="6"/>
      <c r="AO401" s="6"/>
      <c r="AP401" s="6"/>
    </row>
    <row r="402" spans="1:42" hidden="1" x14ac:dyDescent="0.25">
      <c r="A402" t="s">
        <v>173</v>
      </c>
      <c r="B402" s="2"/>
      <c r="C402" s="137"/>
      <c r="D402" s="2"/>
      <c r="E402" s="2"/>
      <c r="F402" s="2"/>
      <c r="G402" s="137"/>
      <c r="H402" s="126"/>
      <c r="I402" s="126"/>
      <c r="J402" s="126"/>
      <c r="K402" s="126"/>
      <c r="W402" s="6"/>
      <c r="X402" s="6"/>
      <c r="Y402" s="6"/>
      <c r="Z402" s="6"/>
      <c r="AA402" s="6"/>
      <c r="AB402" s="6"/>
      <c r="AC402" s="6"/>
      <c r="AD402" s="6"/>
      <c r="AE402" s="6"/>
      <c r="AF402" s="6"/>
      <c r="AG402" s="6"/>
      <c r="AH402" s="6"/>
      <c r="AI402" s="6"/>
      <c r="AJ402" s="6"/>
      <c r="AK402" s="6"/>
      <c r="AL402" s="6"/>
      <c r="AM402" s="6"/>
      <c r="AN402" s="6"/>
      <c r="AO402" s="6"/>
      <c r="AP402" s="6"/>
    </row>
    <row r="403" spans="1:42" hidden="1" x14ac:dyDescent="0.25">
      <c r="A403" t="s">
        <v>173</v>
      </c>
      <c r="B403" s="183" t="s">
        <v>124</v>
      </c>
      <c r="C403" s="184" t="s">
        <v>1135</v>
      </c>
      <c r="D403" s="184"/>
      <c r="E403" s="184"/>
      <c r="F403" s="171"/>
      <c r="G403" s="137"/>
      <c r="H403" s="126"/>
      <c r="I403" s="126"/>
      <c r="J403" s="126"/>
      <c r="K403" s="126"/>
      <c r="W403" s="6"/>
      <c r="X403" s="6"/>
      <c r="Y403" s="6"/>
      <c r="Z403" s="6"/>
      <c r="AA403" s="6"/>
      <c r="AB403" s="6"/>
      <c r="AC403" s="6"/>
      <c r="AD403" s="6"/>
      <c r="AE403" s="6"/>
      <c r="AF403" s="6"/>
      <c r="AG403" s="6"/>
      <c r="AH403" s="6"/>
      <c r="AI403" s="6"/>
      <c r="AJ403" s="6"/>
      <c r="AK403" s="6"/>
      <c r="AL403" s="6"/>
      <c r="AM403" s="6"/>
      <c r="AN403" s="6"/>
      <c r="AO403" s="6"/>
      <c r="AP403" s="6"/>
    </row>
    <row r="404" spans="1:42" hidden="1" x14ac:dyDescent="0.25">
      <c r="A404" t="s">
        <v>173</v>
      </c>
      <c r="B404" s="170" t="s">
        <v>306</v>
      </c>
      <c r="C404" s="704" t="s">
        <v>1569</v>
      </c>
      <c r="D404" s="706"/>
      <c r="E404" s="706"/>
      <c r="F404" s="706"/>
      <c r="G404" s="706"/>
      <c r="H404" s="706"/>
      <c r="I404" s="706"/>
      <c r="J404" s="706"/>
      <c r="K404" s="706"/>
      <c r="L404" s="706"/>
      <c r="M404" s="707"/>
      <c r="N404" s="695" t="s">
        <v>1126</v>
      </c>
      <c r="O404" s="695" t="s">
        <v>1107</v>
      </c>
      <c r="P404" s="695" t="s">
        <v>1108</v>
      </c>
      <c r="Q404" s="695" t="s">
        <v>1127</v>
      </c>
      <c r="W404" s="6"/>
      <c r="X404" s="6"/>
      <c r="Y404" s="6"/>
      <c r="Z404" s="6"/>
      <c r="AA404" s="6"/>
      <c r="AB404" s="6"/>
      <c r="AC404" s="6"/>
      <c r="AD404" s="6"/>
      <c r="AE404" s="6"/>
      <c r="AF404" s="6"/>
      <c r="AG404" s="6"/>
      <c r="AH404" s="6"/>
      <c r="AI404" s="6"/>
      <c r="AJ404" s="6"/>
      <c r="AK404" s="6"/>
      <c r="AL404" s="6"/>
      <c r="AM404" s="6"/>
      <c r="AN404" s="6"/>
      <c r="AO404" s="6"/>
      <c r="AP404" s="6"/>
    </row>
    <row r="405" spans="1:42" hidden="1" x14ac:dyDescent="0.25">
      <c r="A405" t="s">
        <v>173</v>
      </c>
      <c r="B405" s="170"/>
      <c r="C405" s="172" t="s">
        <v>1133</v>
      </c>
      <c r="D405" s="172" t="s">
        <v>1134</v>
      </c>
      <c r="E405" s="172" t="s">
        <v>1117</v>
      </c>
      <c r="F405" s="173" t="s">
        <v>1112</v>
      </c>
      <c r="G405" s="138" t="s">
        <v>1114</v>
      </c>
      <c r="H405" s="172" t="s">
        <v>1115</v>
      </c>
      <c r="I405" s="172" t="s">
        <v>1116</v>
      </c>
      <c r="J405" s="172" t="s">
        <v>1118</v>
      </c>
      <c r="K405" s="172" t="s">
        <v>1120</v>
      </c>
      <c r="L405" s="172" t="s">
        <v>1119</v>
      </c>
      <c r="M405" s="172" t="s">
        <v>1136</v>
      </c>
      <c r="N405" s="696"/>
      <c r="O405" s="696"/>
      <c r="P405" s="696"/>
      <c r="Q405" s="696"/>
      <c r="W405" s="6"/>
      <c r="X405" s="6"/>
      <c r="Y405" s="6"/>
      <c r="Z405" s="6"/>
      <c r="AA405" s="6"/>
      <c r="AB405" s="6"/>
      <c r="AC405" s="6"/>
      <c r="AD405" s="6"/>
      <c r="AE405" s="6"/>
      <c r="AF405" s="6"/>
      <c r="AG405" s="6"/>
      <c r="AH405" s="6"/>
      <c r="AI405" s="6"/>
      <c r="AJ405" s="6"/>
      <c r="AK405" s="6"/>
      <c r="AL405" s="6"/>
      <c r="AM405" s="6"/>
      <c r="AN405" s="6"/>
      <c r="AO405" s="6"/>
      <c r="AP405" s="6"/>
    </row>
    <row r="406" spans="1:42" hidden="1" x14ac:dyDescent="0.25">
      <c r="A406" t="s">
        <v>173</v>
      </c>
      <c r="B406" s="170"/>
      <c r="C406" s="186">
        <f t="shared" ref="C406:M406" si="62">B396</f>
        <v>20180328</v>
      </c>
      <c r="D406" s="186" t="str">
        <f t="shared" si="62"/>
        <v>9999</v>
      </c>
      <c r="E406" s="186" t="str">
        <f t="shared" si="62"/>
        <v>CZCE</v>
      </c>
      <c r="F406" s="186" t="str">
        <f t="shared" si="62"/>
        <v>6001</v>
      </c>
      <c r="G406" s="186" t="str">
        <f t="shared" si="62"/>
        <v>B00101</v>
      </c>
      <c r="H406" s="186" t="str">
        <f t="shared" si="62"/>
        <v>6001</v>
      </c>
      <c r="I406" s="186" t="str">
        <f t="shared" si="62"/>
        <v>CNY</v>
      </c>
      <c r="J406" s="186" t="str">
        <f t="shared" si="62"/>
        <v>SR807</v>
      </c>
      <c r="K406" s="186">
        <f t="shared" si="62"/>
        <v>3</v>
      </c>
      <c r="L406" s="186">
        <f t="shared" si="62"/>
        <v>3</v>
      </c>
      <c r="M406" s="186">
        <f t="shared" si="62"/>
        <v>3</v>
      </c>
      <c r="N406" s="176" t="s">
        <v>1128</v>
      </c>
      <c r="O406" s="176"/>
      <c r="P406" s="176"/>
      <c r="Q406" s="176">
        <v>0</v>
      </c>
      <c r="W406" s="6"/>
      <c r="X406" s="6"/>
      <c r="Y406" s="6"/>
      <c r="Z406" s="6"/>
      <c r="AA406" s="6"/>
      <c r="AB406" s="6"/>
      <c r="AC406" s="6"/>
      <c r="AD406" s="6"/>
      <c r="AE406" s="6"/>
      <c r="AF406" s="6"/>
      <c r="AG406" s="6"/>
      <c r="AH406" s="6"/>
      <c r="AI406" s="6"/>
      <c r="AJ406" s="6"/>
      <c r="AK406" s="6"/>
      <c r="AL406" s="6"/>
      <c r="AM406" s="6"/>
      <c r="AN406" s="6"/>
      <c r="AO406" s="6"/>
      <c r="AP406" s="6"/>
    </row>
    <row r="407" spans="1:42" s="6" customFormat="1" x14ac:dyDescent="0.25">
      <c r="A407" s="6" t="s">
        <v>2074</v>
      </c>
      <c r="B407" t="s">
        <v>173</v>
      </c>
      <c r="C407" s="264" t="s">
        <v>2077</v>
      </c>
      <c r="D407" s="188"/>
      <c r="E407" s="188"/>
      <c r="F407" s="188"/>
      <c r="G407" s="188"/>
      <c r="H407" s="188"/>
      <c r="I407" s="188"/>
      <c r="J407" s="188"/>
      <c r="K407" s="188"/>
      <c r="L407" s="188"/>
      <c r="M407" s="188"/>
      <c r="N407" s="188"/>
      <c r="O407" s="167"/>
      <c r="P407" s="167"/>
      <c r="Q407" s="167"/>
      <c r="R407" s="167"/>
    </row>
    <row r="408" spans="1:42" s="6" customFormat="1" x14ac:dyDescent="0.25">
      <c r="A408" s="6" t="s">
        <v>2074</v>
      </c>
      <c r="B408" s="4" t="s">
        <v>1489</v>
      </c>
      <c r="C408" s="195" t="s">
        <v>1490</v>
      </c>
      <c r="D408" s="196"/>
      <c r="E408" s="196"/>
      <c r="F408" s="188"/>
      <c r="G408" s="188"/>
      <c r="H408" s="188"/>
      <c r="I408" s="188"/>
      <c r="J408" s="188"/>
      <c r="K408" s="188"/>
      <c r="L408" s="188"/>
      <c r="M408" s="188"/>
      <c r="N408" s="188"/>
      <c r="O408" s="167"/>
      <c r="P408" s="167"/>
      <c r="Q408" s="167"/>
      <c r="R408" s="167"/>
    </row>
    <row r="409" spans="1:42" s="6" customFormat="1" x14ac:dyDescent="0.25">
      <c r="A409" s="6" t="s">
        <v>2074</v>
      </c>
      <c r="B409" s="167" t="s">
        <v>1492</v>
      </c>
      <c r="C409" s="704" t="s">
        <v>1570</v>
      </c>
      <c r="D409" s="706"/>
      <c r="E409" s="706"/>
      <c r="F409" s="706"/>
      <c r="G409" s="706"/>
      <c r="H409" s="706"/>
      <c r="I409" s="706"/>
      <c r="J409" s="706"/>
      <c r="K409" s="706"/>
      <c r="L409" s="706"/>
      <c r="M409" s="707"/>
      <c r="N409" s="695" t="s">
        <v>1493</v>
      </c>
      <c r="O409" s="695" t="s">
        <v>1494</v>
      </c>
      <c r="P409" s="695" t="s">
        <v>1495</v>
      </c>
      <c r="Q409" s="695" t="s">
        <v>1496</v>
      </c>
      <c r="R409" s="167"/>
    </row>
    <row r="410" spans="1:42" s="6" customFormat="1" x14ac:dyDescent="0.25">
      <c r="A410" s="6" t="s">
        <v>2074</v>
      </c>
      <c r="C410" s="111" t="s">
        <v>1478</v>
      </c>
      <c r="D410" s="111" t="s">
        <v>1479</v>
      </c>
      <c r="E410" s="111" t="s">
        <v>1480</v>
      </c>
      <c r="F410" s="111" t="s">
        <v>1481</v>
      </c>
      <c r="G410" s="111" t="s">
        <v>1482</v>
      </c>
      <c r="H410" s="111" t="s">
        <v>1483</v>
      </c>
      <c r="I410" s="111" t="s">
        <v>1484</v>
      </c>
      <c r="J410" s="111" t="s">
        <v>1485</v>
      </c>
      <c r="K410" s="111" t="s">
        <v>1486</v>
      </c>
      <c r="L410" s="111" t="s">
        <v>1487</v>
      </c>
      <c r="M410" s="111" t="s">
        <v>1488</v>
      </c>
      <c r="N410" s="696"/>
      <c r="O410" s="696"/>
      <c r="P410" s="696"/>
      <c r="Q410" s="696"/>
      <c r="R410" s="167"/>
    </row>
    <row r="411" spans="1:42" s="6" customFormat="1" x14ac:dyDescent="0.25">
      <c r="A411" s="6" t="s">
        <v>2074</v>
      </c>
      <c r="C411" s="265">
        <f>$B$2</f>
        <v>20180328</v>
      </c>
      <c r="D411" s="189" t="str">
        <f t="shared" ref="D411:M411" si="63">C395</f>
        <v>9999</v>
      </c>
      <c r="E411" s="189" t="str">
        <f t="shared" si="63"/>
        <v>CZCE</v>
      </c>
      <c r="F411" s="189" t="str">
        <f t="shared" si="63"/>
        <v>6001</v>
      </c>
      <c r="G411" s="189" t="str">
        <f t="shared" si="63"/>
        <v>B00101</v>
      </c>
      <c r="H411" s="189" t="str">
        <f t="shared" si="63"/>
        <v>6001</v>
      </c>
      <c r="I411" s="189" t="str">
        <f t="shared" si="63"/>
        <v>CNY</v>
      </c>
      <c r="J411" s="189" t="str">
        <f t="shared" si="63"/>
        <v>SR807</v>
      </c>
      <c r="K411" s="189">
        <f t="shared" si="63"/>
        <v>3</v>
      </c>
      <c r="L411" s="189">
        <f t="shared" si="63"/>
        <v>1</v>
      </c>
      <c r="M411" s="189">
        <f t="shared" si="63"/>
        <v>2</v>
      </c>
      <c r="N411" s="176" t="s">
        <v>1128</v>
      </c>
      <c r="O411" s="176"/>
      <c r="P411" s="176"/>
      <c r="Q411" s="176">
        <v>0</v>
      </c>
      <c r="R411" s="167"/>
    </row>
    <row r="412" spans="1:42" s="6" customFormat="1" x14ac:dyDescent="0.25">
      <c r="A412" s="6" t="s">
        <v>2074</v>
      </c>
      <c r="C412" s="264"/>
      <c r="D412" s="188"/>
      <c r="E412" s="188"/>
      <c r="F412" s="188"/>
      <c r="G412" s="188"/>
      <c r="H412" s="188"/>
      <c r="I412" s="188"/>
      <c r="J412" s="188"/>
      <c r="K412" s="188"/>
      <c r="L412" s="188"/>
      <c r="M412" s="188"/>
      <c r="N412" s="188"/>
      <c r="O412" s="167"/>
      <c r="P412" s="167"/>
      <c r="Q412" s="167"/>
      <c r="R412" s="167"/>
    </row>
    <row r="413" spans="1:42" s="6" customFormat="1" x14ac:dyDescent="0.25">
      <c r="A413" s="6" t="s">
        <v>2074</v>
      </c>
      <c r="B413" s="4" t="s">
        <v>1489</v>
      </c>
      <c r="C413" s="195" t="s">
        <v>1490</v>
      </c>
      <c r="D413" s="196"/>
      <c r="E413" s="196"/>
      <c r="F413" s="188"/>
      <c r="G413" s="188"/>
      <c r="H413" s="188"/>
      <c r="I413" s="188"/>
      <c r="J413" s="188"/>
      <c r="K413" s="188"/>
      <c r="L413" s="188"/>
      <c r="M413" s="188"/>
      <c r="N413" s="188"/>
      <c r="O413" s="167"/>
      <c r="P413" s="167"/>
      <c r="Q413" s="167"/>
      <c r="R413" s="167"/>
    </row>
    <row r="414" spans="1:42" s="6" customFormat="1" x14ac:dyDescent="0.25">
      <c r="A414" s="6" t="s">
        <v>2074</v>
      </c>
      <c r="B414" s="167" t="s">
        <v>1492</v>
      </c>
      <c r="C414" s="704" t="s">
        <v>1570</v>
      </c>
      <c r="D414" s="706"/>
      <c r="E414" s="706"/>
      <c r="F414" s="706"/>
      <c r="G414" s="706"/>
      <c r="H414" s="706"/>
      <c r="I414" s="706"/>
      <c r="J414" s="706"/>
      <c r="K414" s="706"/>
      <c r="L414" s="706"/>
      <c r="M414" s="707"/>
      <c r="N414" s="695" t="s">
        <v>1126</v>
      </c>
      <c r="O414" s="695" t="s">
        <v>1107</v>
      </c>
      <c r="P414" s="695" t="s">
        <v>1108</v>
      </c>
      <c r="Q414" s="695" t="s">
        <v>1127</v>
      </c>
      <c r="R414" s="167"/>
    </row>
    <row r="415" spans="1:42" s="6" customFormat="1" x14ac:dyDescent="0.25">
      <c r="A415" s="6" t="s">
        <v>2074</v>
      </c>
      <c r="C415" s="111" t="s">
        <v>1478</v>
      </c>
      <c r="D415" s="111" t="s">
        <v>1479</v>
      </c>
      <c r="E415" s="111" t="s">
        <v>1480</v>
      </c>
      <c r="F415" s="111" t="s">
        <v>1481</v>
      </c>
      <c r="G415" s="111" t="s">
        <v>1482</v>
      </c>
      <c r="H415" s="111" t="s">
        <v>1483</v>
      </c>
      <c r="I415" s="111" t="s">
        <v>1484</v>
      </c>
      <c r="J415" s="111" t="s">
        <v>1485</v>
      </c>
      <c r="K415" s="111" t="s">
        <v>1486</v>
      </c>
      <c r="L415" s="111" t="s">
        <v>1487</v>
      </c>
      <c r="M415" s="111" t="s">
        <v>1488</v>
      </c>
      <c r="N415" s="696"/>
      <c r="O415" s="696"/>
      <c r="P415" s="696"/>
      <c r="Q415" s="696"/>
      <c r="R415" s="167"/>
    </row>
    <row r="416" spans="1:42" s="6" customFormat="1" x14ac:dyDescent="0.25">
      <c r="A416" s="6" t="s">
        <v>2074</v>
      </c>
      <c r="C416" s="265">
        <f>$B$2</f>
        <v>20180328</v>
      </c>
      <c r="D416" s="189" t="str">
        <f t="shared" ref="D416:M416" si="64">C396</f>
        <v>9999</v>
      </c>
      <c r="E416" s="189" t="str">
        <f t="shared" si="64"/>
        <v>CZCE</v>
      </c>
      <c r="F416" s="189" t="str">
        <f t="shared" si="64"/>
        <v>6001</v>
      </c>
      <c r="G416" s="189" t="str">
        <f t="shared" si="64"/>
        <v>B00101</v>
      </c>
      <c r="H416" s="189" t="str">
        <f t="shared" si="64"/>
        <v>6001</v>
      </c>
      <c r="I416" s="189" t="str">
        <f t="shared" si="64"/>
        <v>CNY</v>
      </c>
      <c r="J416" s="189" t="str">
        <f t="shared" si="64"/>
        <v>SR807</v>
      </c>
      <c r="K416" s="189">
        <f t="shared" si="64"/>
        <v>3</v>
      </c>
      <c r="L416" s="189">
        <f t="shared" si="64"/>
        <v>3</v>
      </c>
      <c r="M416" s="189">
        <f t="shared" si="64"/>
        <v>3</v>
      </c>
      <c r="N416" s="176" t="s">
        <v>1128</v>
      </c>
      <c r="O416" s="176"/>
      <c r="P416" s="176"/>
      <c r="Q416" s="176">
        <v>0</v>
      </c>
      <c r="R416" s="167"/>
    </row>
    <row r="417" spans="1:36" s="6" customFormat="1" hidden="1" x14ac:dyDescent="0.25">
      <c r="A417" t="s">
        <v>173</v>
      </c>
      <c r="B417" s="259" t="s">
        <v>1141</v>
      </c>
      <c r="C417" s="188"/>
      <c r="D417" s="188"/>
      <c r="E417" s="188"/>
      <c r="F417" s="188"/>
      <c r="G417" s="188"/>
      <c r="H417" s="188"/>
      <c r="I417" s="188"/>
      <c r="J417" s="188"/>
      <c r="K417" s="188"/>
      <c r="L417" s="188"/>
      <c r="M417" s="188"/>
      <c r="N417" s="167"/>
      <c r="O417" s="167"/>
      <c r="P417" s="167"/>
      <c r="Q417" s="167"/>
    </row>
    <row r="418" spans="1:36" s="6" customFormat="1" hidden="1" x14ac:dyDescent="0.25">
      <c r="A418" t="s">
        <v>173</v>
      </c>
      <c r="B418" s="255" t="s">
        <v>19</v>
      </c>
      <c r="C418" s="189" t="s">
        <v>1138</v>
      </c>
      <c r="D418" s="189" t="s">
        <v>226</v>
      </c>
      <c r="E418" s="189" t="s">
        <v>1140</v>
      </c>
      <c r="F418" s="189" t="s">
        <v>1463</v>
      </c>
      <c r="G418" s="189" t="s">
        <v>191</v>
      </c>
      <c r="H418" s="188"/>
      <c r="I418" s="188"/>
      <c r="J418" s="188"/>
      <c r="K418" s="188"/>
      <c r="L418" s="188"/>
      <c r="M418" s="188"/>
      <c r="N418" s="167"/>
      <c r="O418" s="167"/>
      <c r="P418" s="167"/>
      <c r="Q418" s="167"/>
    </row>
    <row r="419" spans="1:36" s="6" customFormat="1" hidden="1" x14ac:dyDescent="0.25">
      <c r="A419" t="s">
        <v>173</v>
      </c>
      <c r="B419" s="255" t="str">
        <f t="shared" ref="B419:D421" si="65">B9</f>
        <v>6001</v>
      </c>
      <c r="C419" s="255" t="str">
        <f t="shared" si="65"/>
        <v>6001</v>
      </c>
      <c r="D419" s="255" t="str">
        <f t="shared" si="65"/>
        <v>CNY</v>
      </c>
      <c r="E419" s="236">
        <v>0</v>
      </c>
      <c r="F419" s="189">
        <v>0</v>
      </c>
      <c r="G419" s="189" t="str">
        <f t="shared" ref="G419:G424" si="66">$F$5</f>
        <v>9999</v>
      </c>
      <c r="H419" s="188"/>
      <c r="I419" s="188"/>
      <c r="J419" s="188"/>
      <c r="K419" s="188"/>
      <c r="L419" s="188"/>
      <c r="M419" s="188"/>
      <c r="N419" s="167"/>
      <c r="O419" s="167"/>
      <c r="P419" s="167"/>
      <c r="Q419" s="167"/>
    </row>
    <row r="420" spans="1:36" s="6" customFormat="1" hidden="1" x14ac:dyDescent="0.25">
      <c r="A420" t="s">
        <v>173</v>
      </c>
      <c r="B420" s="425" t="str">
        <f t="shared" si="65"/>
        <v>6001</v>
      </c>
      <c r="C420" s="425" t="str">
        <f t="shared" si="65"/>
        <v>6001</v>
      </c>
      <c r="D420" s="425" t="str">
        <f t="shared" si="65"/>
        <v>HKD</v>
      </c>
      <c r="E420" s="236">
        <v>0</v>
      </c>
      <c r="F420" s="189">
        <v>0</v>
      </c>
      <c r="G420" s="189" t="str">
        <f t="shared" si="66"/>
        <v>9999</v>
      </c>
      <c r="H420" s="188"/>
      <c r="I420" s="188"/>
      <c r="J420" s="188"/>
      <c r="K420" s="188"/>
      <c r="L420" s="188"/>
      <c r="M420" s="188"/>
      <c r="N420" s="167"/>
      <c r="O420" s="167"/>
      <c r="P420" s="167"/>
      <c r="Q420" s="167"/>
    </row>
    <row r="421" spans="1:36" s="6" customFormat="1" hidden="1" x14ac:dyDescent="0.25">
      <c r="A421" t="s">
        <v>173</v>
      </c>
      <c r="B421" s="255" t="str">
        <f t="shared" si="65"/>
        <v>6001</v>
      </c>
      <c r="C421" s="255" t="str">
        <f t="shared" si="65"/>
        <v>6001</v>
      </c>
      <c r="D421" s="255" t="str">
        <f t="shared" si="65"/>
        <v>USD</v>
      </c>
      <c r="E421" s="236">
        <v>0</v>
      </c>
      <c r="F421" s="189">
        <v>0</v>
      </c>
      <c r="G421" s="189" t="str">
        <f t="shared" si="66"/>
        <v>9999</v>
      </c>
      <c r="H421" s="188"/>
      <c r="I421" s="188"/>
      <c r="J421" s="188"/>
      <c r="K421" s="188"/>
      <c r="L421" s="188"/>
      <c r="M421" s="188"/>
      <c r="N421" s="167"/>
      <c r="O421" s="167"/>
      <c r="P421" s="167"/>
      <c r="Q421" s="167"/>
    </row>
    <row r="422" spans="1:36" s="6" customFormat="1" hidden="1" x14ac:dyDescent="0.25">
      <c r="A422" t="s">
        <v>173</v>
      </c>
      <c r="B422" s="255" t="str">
        <f t="shared" ref="B422:D423" si="67">B419</f>
        <v>6001</v>
      </c>
      <c r="C422" s="255" t="str">
        <f t="shared" si="67"/>
        <v>6001</v>
      </c>
      <c r="D422" s="255" t="str">
        <f t="shared" si="67"/>
        <v>CNY</v>
      </c>
      <c r="E422" s="236">
        <v>0</v>
      </c>
      <c r="F422" s="189">
        <v>1</v>
      </c>
      <c r="G422" s="189" t="str">
        <f t="shared" si="66"/>
        <v>9999</v>
      </c>
      <c r="H422" s="188"/>
      <c r="I422" s="188"/>
      <c r="J422" s="188"/>
      <c r="K422" s="188"/>
      <c r="L422" s="188"/>
      <c r="M422" s="188"/>
      <c r="N422" s="167"/>
      <c r="O422" s="167"/>
      <c r="P422" s="167"/>
      <c r="Q422" s="167"/>
    </row>
    <row r="423" spans="1:36" s="6" customFormat="1" hidden="1" x14ac:dyDescent="0.25">
      <c r="A423" t="s">
        <v>173</v>
      </c>
      <c r="B423" s="425" t="str">
        <f t="shared" si="67"/>
        <v>6001</v>
      </c>
      <c r="C423" s="425" t="str">
        <f t="shared" si="67"/>
        <v>6001</v>
      </c>
      <c r="D423" s="425" t="str">
        <f t="shared" si="67"/>
        <v>HKD</v>
      </c>
      <c r="E423" s="236">
        <v>0</v>
      </c>
      <c r="F423" s="189">
        <v>1</v>
      </c>
      <c r="G423" s="189" t="str">
        <f t="shared" si="66"/>
        <v>9999</v>
      </c>
      <c r="H423" s="188"/>
      <c r="I423" s="188"/>
      <c r="J423" s="188"/>
      <c r="K423" s="188"/>
      <c r="L423" s="188"/>
      <c r="M423" s="188"/>
      <c r="N423" s="167"/>
      <c r="O423" s="167"/>
      <c r="P423" s="167"/>
      <c r="Q423" s="167"/>
    </row>
    <row r="424" spans="1:36" s="6" customFormat="1" hidden="1" x14ac:dyDescent="0.25">
      <c r="A424" t="s">
        <v>173</v>
      </c>
      <c r="B424" s="255" t="str">
        <f>B421</f>
        <v>6001</v>
      </c>
      <c r="C424" s="255" t="str">
        <f t="shared" ref="C424:D424" si="68">C421</f>
        <v>6001</v>
      </c>
      <c r="D424" s="255" t="str">
        <f t="shared" si="68"/>
        <v>USD</v>
      </c>
      <c r="E424" s="236">
        <v>0</v>
      </c>
      <c r="F424" s="189">
        <v>1</v>
      </c>
      <c r="G424" s="189" t="str">
        <f t="shared" si="66"/>
        <v>9999</v>
      </c>
      <c r="H424" s="188"/>
      <c r="I424" s="188"/>
      <c r="J424" s="188"/>
      <c r="K424" s="188"/>
      <c r="L424" s="188"/>
      <c r="M424" s="188"/>
      <c r="N424" s="167"/>
      <c r="O424" s="167"/>
      <c r="P424" s="167"/>
      <c r="Q424" s="167"/>
    </row>
    <row r="425" spans="1:36" s="6" customFormat="1" hidden="1" x14ac:dyDescent="0.25">
      <c r="A425" t="s">
        <v>173</v>
      </c>
      <c r="B425" s="259" t="s">
        <v>1182</v>
      </c>
      <c r="C425" s="259"/>
      <c r="D425" s="259"/>
      <c r="E425" s="259"/>
      <c r="F425" s="188"/>
      <c r="G425" s="188"/>
      <c r="H425" s="188"/>
      <c r="I425" s="188"/>
      <c r="J425" s="188"/>
      <c r="K425" s="188"/>
      <c r="L425" s="188"/>
      <c r="M425" s="188"/>
      <c r="N425" s="167"/>
      <c r="O425" s="167"/>
      <c r="P425" s="167"/>
      <c r="Q425" s="167"/>
    </row>
    <row r="426" spans="1:36" s="6" customFormat="1" hidden="1" x14ac:dyDescent="0.25">
      <c r="A426" t="s">
        <v>173</v>
      </c>
      <c r="B426" s="183" t="s">
        <v>124</v>
      </c>
      <c r="C426" s="204" t="s">
        <v>1142</v>
      </c>
      <c r="D426" s="204"/>
      <c r="E426" s="204"/>
      <c r="F426" s="235"/>
      <c r="G426" s="188"/>
      <c r="H426" s="188"/>
      <c r="I426" s="188"/>
      <c r="J426" s="188"/>
      <c r="K426" s="188"/>
      <c r="L426" s="188"/>
      <c r="M426" s="188"/>
      <c r="N426" s="167"/>
      <c r="O426" s="167"/>
      <c r="P426" s="167"/>
      <c r="Q426" s="167"/>
    </row>
    <row r="427" spans="1:36" s="6" customFormat="1" hidden="1" x14ac:dyDescent="0.25">
      <c r="A427" t="s">
        <v>173</v>
      </c>
      <c r="B427" s="259" t="s">
        <v>306</v>
      </c>
      <c r="C427" s="704" t="s">
        <v>1566</v>
      </c>
      <c r="D427" s="706"/>
      <c r="E427" s="706"/>
      <c r="F427" s="706"/>
      <c r="G427" s="706"/>
      <c r="H427" s="706"/>
      <c r="I427" s="706"/>
      <c r="J427" s="706"/>
      <c r="K427" s="706"/>
      <c r="L427" s="706"/>
      <c r="M427" s="706"/>
      <c r="N427" s="721"/>
      <c r="O427" s="721"/>
      <c r="P427" s="721"/>
      <c r="Q427" s="721"/>
      <c r="R427" s="721"/>
      <c r="S427" s="721"/>
      <c r="T427" s="721"/>
      <c r="U427" s="721"/>
      <c r="V427" s="721"/>
      <c r="W427" s="721"/>
      <c r="X427" s="721"/>
      <c r="Y427" s="721"/>
      <c r="Z427" s="721"/>
      <c r="AA427" s="721"/>
      <c r="AB427" s="721"/>
      <c r="AC427" s="721"/>
      <c r="AD427" s="721"/>
      <c r="AE427" s="721"/>
      <c r="AF427" s="734"/>
      <c r="AG427" s="695" t="s">
        <v>1126</v>
      </c>
      <c r="AH427" s="695" t="s">
        <v>1107</v>
      </c>
      <c r="AI427" s="695" t="s">
        <v>1108</v>
      </c>
      <c r="AJ427" s="695" t="s">
        <v>1127</v>
      </c>
    </row>
    <row r="428" spans="1:36" s="6" customFormat="1" hidden="1" x14ac:dyDescent="0.25">
      <c r="A428" t="s">
        <v>173</v>
      </c>
      <c r="B428" s="255"/>
      <c r="C428" s="255" t="s">
        <v>1145</v>
      </c>
      <c r="D428" s="255" t="s">
        <v>1146</v>
      </c>
      <c r="E428" s="255" t="s">
        <v>1147</v>
      </c>
      <c r="F428" s="189" t="s">
        <v>1148</v>
      </c>
      <c r="G428" s="189" t="s">
        <v>1149</v>
      </c>
      <c r="H428" s="189" t="s">
        <v>1150</v>
      </c>
      <c r="I428" s="189" t="s">
        <v>1151</v>
      </c>
      <c r="J428" s="189" t="s">
        <v>1152</v>
      </c>
      <c r="K428" s="189" t="s">
        <v>1153</v>
      </c>
      <c r="L428" s="189" t="s">
        <v>1154</v>
      </c>
      <c r="M428" s="189" t="s">
        <v>1134</v>
      </c>
      <c r="N428" s="189" t="s">
        <v>1155</v>
      </c>
      <c r="O428" s="189" t="s">
        <v>1112</v>
      </c>
      <c r="P428" s="189" t="s">
        <v>1115</v>
      </c>
      <c r="Q428" s="189" t="s">
        <v>1156</v>
      </c>
      <c r="R428" s="189" t="s">
        <v>1157</v>
      </c>
      <c r="S428" s="189" t="s">
        <v>1158</v>
      </c>
      <c r="T428" s="189" t="s">
        <v>1159</v>
      </c>
      <c r="U428" s="189" t="s">
        <v>1160</v>
      </c>
      <c r="V428" s="189" t="s">
        <v>1161</v>
      </c>
      <c r="W428" s="189" t="s">
        <v>1162</v>
      </c>
      <c r="X428" s="189" t="s">
        <v>1164</v>
      </c>
      <c r="Y428" s="189" t="s">
        <v>1165</v>
      </c>
      <c r="Z428" s="189" t="s">
        <v>1166</v>
      </c>
      <c r="AA428" s="189" t="s">
        <v>1117</v>
      </c>
      <c r="AB428" s="189" t="s">
        <v>1116</v>
      </c>
      <c r="AC428" s="189" t="s">
        <v>1167</v>
      </c>
      <c r="AD428" s="189" t="s">
        <v>1168</v>
      </c>
      <c r="AE428" s="189" t="s">
        <v>1169</v>
      </c>
      <c r="AF428" s="189" t="s">
        <v>1170</v>
      </c>
      <c r="AG428" s="696"/>
      <c r="AH428" s="696"/>
      <c r="AI428" s="696"/>
      <c r="AJ428" s="696"/>
    </row>
    <row r="429" spans="1:36" s="6" customFormat="1" hidden="1" x14ac:dyDescent="0.25">
      <c r="A429" t="s">
        <v>173</v>
      </c>
      <c r="B429" s="255"/>
      <c r="C429" s="255"/>
      <c r="D429" s="255"/>
      <c r="E429" s="255"/>
      <c r="F429" s="189"/>
      <c r="G429" s="189"/>
      <c r="H429" s="189"/>
      <c r="I429" s="189"/>
      <c r="J429" s="189"/>
      <c r="K429" s="189"/>
      <c r="L429" s="189"/>
      <c r="M429" s="189" t="str">
        <f>G419</f>
        <v>9999</v>
      </c>
      <c r="N429" s="111"/>
      <c r="O429" s="111" t="str">
        <f>B419</f>
        <v>6001</v>
      </c>
      <c r="P429" s="111" t="str">
        <f>C419</f>
        <v>6001</v>
      </c>
      <c r="Q429" s="111"/>
      <c r="R429" s="111"/>
      <c r="S429" s="111">
        <v>1</v>
      </c>
      <c r="T429" s="111">
        <v>1</v>
      </c>
      <c r="U429" s="111">
        <v>1</v>
      </c>
      <c r="V429" s="113">
        <f>E419</f>
        <v>0</v>
      </c>
      <c r="W429" s="111" t="s">
        <v>1163</v>
      </c>
      <c r="X429" s="111"/>
      <c r="Y429" s="111"/>
      <c r="Z429" s="111"/>
      <c r="AA429" s="111"/>
      <c r="AB429" s="111" t="str">
        <f>D419</f>
        <v>CNY</v>
      </c>
      <c r="AC429" s="111"/>
      <c r="AD429" s="111"/>
      <c r="AE429" s="111"/>
      <c r="AF429" s="111">
        <v>1</v>
      </c>
      <c r="AG429" s="176" t="s">
        <v>1128</v>
      </c>
      <c r="AH429" s="176"/>
      <c r="AI429" s="176"/>
      <c r="AJ429" s="176">
        <v>0</v>
      </c>
    </row>
    <row r="430" spans="1:36" s="6" customFormat="1" hidden="1" x14ac:dyDescent="0.25">
      <c r="A430" t="s">
        <v>173</v>
      </c>
      <c r="B430" t="s">
        <v>173</v>
      </c>
      <c r="C430" s="259" t="s">
        <v>1183</v>
      </c>
      <c r="D430" s="259"/>
      <c r="E430" s="259"/>
      <c r="F430" s="188"/>
      <c r="G430" s="188"/>
      <c r="H430" s="188"/>
      <c r="I430" s="188"/>
      <c r="J430" s="188"/>
      <c r="K430" s="188"/>
      <c r="L430" s="188"/>
      <c r="M430" s="188"/>
      <c r="N430" s="188"/>
      <c r="O430" s="167"/>
      <c r="P430" s="167"/>
      <c r="Q430" s="167"/>
      <c r="R430" s="167"/>
    </row>
    <row r="431" spans="1:36" s="6" customFormat="1" hidden="1" x14ac:dyDescent="0.25">
      <c r="A431" t="s">
        <v>173</v>
      </c>
      <c r="B431" s="183" t="s">
        <v>124</v>
      </c>
      <c r="C431" s="184" t="s">
        <v>1172</v>
      </c>
      <c r="D431" s="184"/>
      <c r="E431" s="184"/>
      <c r="F431" s="171"/>
      <c r="G431" s="188"/>
      <c r="H431" s="188"/>
      <c r="I431" s="188"/>
      <c r="J431" s="188"/>
      <c r="K431" s="188"/>
      <c r="L431" s="188"/>
      <c r="M431" s="188"/>
      <c r="N431" s="167"/>
      <c r="O431" s="167"/>
      <c r="P431" s="167"/>
      <c r="Q431" s="167"/>
    </row>
    <row r="432" spans="1:36" s="6" customFormat="1" hidden="1" x14ac:dyDescent="0.25">
      <c r="A432" t="s">
        <v>173</v>
      </c>
      <c r="B432" s="259" t="s">
        <v>306</v>
      </c>
      <c r="C432" s="704" t="s">
        <v>1566</v>
      </c>
      <c r="D432" s="706"/>
      <c r="E432" s="706"/>
      <c r="F432" s="706"/>
      <c r="G432" s="706"/>
      <c r="H432" s="706"/>
      <c r="I432" s="706"/>
      <c r="J432" s="706"/>
      <c r="K432" s="706"/>
      <c r="L432" s="706"/>
      <c r="M432" s="706"/>
      <c r="N432" s="721"/>
      <c r="O432" s="721"/>
      <c r="P432" s="721"/>
      <c r="Q432" s="721"/>
      <c r="R432" s="721"/>
      <c r="S432" s="721"/>
      <c r="T432" s="721"/>
      <c r="U432" s="721"/>
      <c r="V432" s="721"/>
      <c r="W432" s="721"/>
      <c r="X432" s="721"/>
      <c r="Y432" s="721"/>
      <c r="Z432" s="721"/>
      <c r="AA432" s="721"/>
      <c r="AB432" s="721"/>
      <c r="AC432" s="721"/>
      <c r="AD432" s="721"/>
      <c r="AE432" s="721"/>
      <c r="AF432" s="734"/>
      <c r="AG432" s="695" t="s">
        <v>1126</v>
      </c>
      <c r="AH432" s="695" t="s">
        <v>1107</v>
      </c>
      <c r="AI432" s="695" t="s">
        <v>1108</v>
      </c>
      <c r="AJ432" s="695" t="s">
        <v>1127</v>
      </c>
    </row>
    <row r="433" spans="1:43" s="6" customFormat="1" hidden="1" x14ac:dyDescent="0.25">
      <c r="A433" t="s">
        <v>173</v>
      </c>
      <c r="B433" s="255"/>
      <c r="C433" s="190" t="s">
        <v>1145</v>
      </c>
      <c r="D433" s="255" t="s">
        <v>1146</v>
      </c>
      <c r="E433" s="255" t="s">
        <v>1147</v>
      </c>
      <c r="F433" s="189" t="s">
        <v>1148</v>
      </c>
      <c r="G433" s="189" t="s">
        <v>1149</v>
      </c>
      <c r="H433" s="189" t="s">
        <v>1150</v>
      </c>
      <c r="I433" s="189" t="s">
        <v>1151</v>
      </c>
      <c r="J433" s="189" t="s">
        <v>1152</v>
      </c>
      <c r="K433" s="189" t="s">
        <v>1153</v>
      </c>
      <c r="L433" s="189" t="s">
        <v>1154</v>
      </c>
      <c r="M433" s="189" t="s">
        <v>1134</v>
      </c>
      <c r="N433" s="189" t="s">
        <v>1155</v>
      </c>
      <c r="O433" s="189" t="s">
        <v>1112</v>
      </c>
      <c r="P433" s="189" t="s">
        <v>1115</v>
      </c>
      <c r="Q433" s="189" t="s">
        <v>1156</v>
      </c>
      <c r="R433" s="189" t="s">
        <v>1157</v>
      </c>
      <c r="S433" s="189" t="s">
        <v>1158</v>
      </c>
      <c r="T433" s="189" t="s">
        <v>1159</v>
      </c>
      <c r="U433" s="189" t="s">
        <v>1160</v>
      </c>
      <c r="V433" s="189" t="s">
        <v>1161</v>
      </c>
      <c r="W433" s="189" t="s">
        <v>1162</v>
      </c>
      <c r="X433" s="189" t="s">
        <v>1164</v>
      </c>
      <c r="Y433" s="189" t="s">
        <v>1165</v>
      </c>
      <c r="Z433" s="189" t="s">
        <v>1166</v>
      </c>
      <c r="AA433" s="189" t="s">
        <v>1117</v>
      </c>
      <c r="AB433" s="189" t="s">
        <v>1116</v>
      </c>
      <c r="AC433" s="189" t="s">
        <v>1167</v>
      </c>
      <c r="AD433" s="189" t="s">
        <v>1168</v>
      </c>
      <c r="AE433" s="189" t="s">
        <v>1169</v>
      </c>
      <c r="AF433" s="189" t="s">
        <v>1170</v>
      </c>
      <c r="AG433" s="696"/>
      <c r="AH433" s="696"/>
      <c r="AI433" s="696"/>
      <c r="AJ433" s="696"/>
    </row>
    <row r="434" spans="1:43" hidden="1" x14ac:dyDescent="0.25">
      <c r="A434" t="s">
        <v>173</v>
      </c>
      <c r="B434" s="255"/>
      <c r="C434" s="190">
        <f>F2</f>
        <v>2</v>
      </c>
      <c r="D434" s="255">
        <v>1</v>
      </c>
      <c r="E434" s="255" t="s">
        <v>1173</v>
      </c>
      <c r="F434" s="189">
        <v>20190328</v>
      </c>
      <c r="G434" s="191">
        <v>0.57240740740740736</v>
      </c>
      <c r="H434" s="189"/>
      <c r="I434" s="189"/>
      <c r="J434" s="189"/>
      <c r="K434" s="189" t="s">
        <v>1179</v>
      </c>
      <c r="L434" s="189">
        <v>1</v>
      </c>
      <c r="M434" s="189" t="str">
        <f>G419</f>
        <v>9999</v>
      </c>
      <c r="N434" s="111"/>
      <c r="O434" s="111" t="str">
        <f>B419</f>
        <v>6001</v>
      </c>
      <c r="P434" s="111" t="str">
        <f>C419</f>
        <v>6001</v>
      </c>
      <c r="Q434" s="111"/>
      <c r="R434" s="111">
        <v>1</v>
      </c>
      <c r="S434" s="111">
        <v>1</v>
      </c>
      <c r="T434" s="111">
        <v>1</v>
      </c>
      <c r="U434" s="111">
        <v>1</v>
      </c>
      <c r="V434" s="113">
        <f>V429</f>
        <v>0</v>
      </c>
      <c r="W434" s="111" t="s">
        <v>1163</v>
      </c>
      <c r="X434" s="111">
        <v>1</v>
      </c>
      <c r="Y434" s="111"/>
      <c r="Z434" s="111"/>
      <c r="AA434" s="111"/>
      <c r="AB434" s="111" t="str">
        <f>AB429</f>
        <v>CNY</v>
      </c>
      <c r="AC434" s="111">
        <v>1</v>
      </c>
      <c r="AD434" s="111">
        <v>1</v>
      </c>
      <c r="AE434" s="111"/>
      <c r="AF434" s="111">
        <v>1</v>
      </c>
      <c r="AG434" s="111" t="s">
        <v>1128</v>
      </c>
      <c r="AH434" s="111"/>
      <c r="AI434" s="111"/>
      <c r="AJ434" s="111">
        <v>0</v>
      </c>
      <c r="AK434" s="6"/>
      <c r="AL434" s="6"/>
      <c r="AM434" s="6"/>
      <c r="AN434" s="6"/>
      <c r="AO434" s="6"/>
      <c r="AP434" s="6"/>
    </row>
    <row r="435" spans="1:43" s="6" customFormat="1" hidden="1" x14ac:dyDescent="0.25">
      <c r="A435" t="s">
        <v>173</v>
      </c>
      <c r="B435" s="323" t="s">
        <v>1905</v>
      </c>
      <c r="C435" s="323"/>
      <c r="D435" s="323"/>
      <c r="E435" s="323"/>
      <c r="F435" s="188"/>
      <c r="G435" s="188"/>
      <c r="H435" s="188"/>
      <c r="I435" s="188"/>
      <c r="J435" s="188"/>
      <c r="K435" s="188"/>
      <c r="L435" s="188"/>
      <c r="M435" s="188"/>
      <c r="N435" s="167"/>
      <c r="O435" s="167"/>
      <c r="P435" s="167"/>
      <c r="Q435" s="167"/>
    </row>
    <row r="436" spans="1:43" s="6" customFormat="1" hidden="1" x14ac:dyDescent="0.25">
      <c r="A436" t="s">
        <v>173</v>
      </c>
      <c r="B436" s="183" t="s">
        <v>124</v>
      </c>
      <c r="C436" s="204" t="s">
        <v>1142</v>
      </c>
      <c r="D436" s="204"/>
      <c r="E436" s="204"/>
      <c r="F436" s="235"/>
      <c r="G436" s="188"/>
      <c r="H436" s="188"/>
      <c r="I436" s="188"/>
      <c r="J436" s="188"/>
      <c r="K436" s="188"/>
      <c r="L436" s="188"/>
      <c r="M436" s="188"/>
      <c r="N436" s="167"/>
      <c r="O436" s="167"/>
      <c r="P436" s="167"/>
      <c r="Q436" s="167"/>
    </row>
    <row r="437" spans="1:43" s="6" customFormat="1" hidden="1" x14ac:dyDescent="0.25">
      <c r="A437" t="s">
        <v>173</v>
      </c>
      <c r="B437" s="323" t="s">
        <v>306</v>
      </c>
      <c r="C437" s="704" t="s">
        <v>1566</v>
      </c>
      <c r="D437" s="706"/>
      <c r="E437" s="706"/>
      <c r="F437" s="706"/>
      <c r="G437" s="706"/>
      <c r="H437" s="706"/>
      <c r="I437" s="706"/>
      <c r="J437" s="706"/>
      <c r="K437" s="706"/>
      <c r="L437" s="706"/>
      <c r="M437" s="706"/>
      <c r="N437" s="721"/>
      <c r="O437" s="721"/>
      <c r="P437" s="721"/>
      <c r="Q437" s="721"/>
      <c r="R437" s="721"/>
      <c r="S437" s="721"/>
      <c r="T437" s="721"/>
      <c r="U437" s="721"/>
      <c r="V437" s="721"/>
      <c r="W437" s="721"/>
      <c r="X437" s="721"/>
      <c r="Y437" s="721"/>
      <c r="Z437" s="721"/>
      <c r="AA437" s="721"/>
      <c r="AB437" s="721"/>
      <c r="AC437" s="721"/>
      <c r="AD437" s="721"/>
      <c r="AE437" s="721"/>
      <c r="AF437" s="734"/>
      <c r="AG437" s="695" t="s">
        <v>1126</v>
      </c>
      <c r="AH437" s="695" t="s">
        <v>1107</v>
      </c>
      <c r="AI437" s="695" t="s">
        <v>1108</v>
      </c>
      <c r="AJ437" s="695" t="s">
        <v>1127</v>
      </c>
    </row>
    <row r="438" spans="1:43" s="6" customFormat="1" hidden="1" x14ac:dyDescent="0.25">
      <c r="A438" t="s">
        <v>173</v>
      </c>
      <c r="B438" s="425"/>
      <c r="C438" s="425" t="s">
        <v>1145</v>
      </c>
      <c r="D438" s="425" t="s">
        <v>1146</v>
      </c>
      <c r="E438" s="425" t="s">
        <v>1147</v>
      </c>
      <c r="F438" s="189" t="s">
        <v>1148</v>
      </c>
      <c r="G438" s="189" t="s">
        <v>1149</v>
      </c>
      <c r="H438" s="189" t="s">
        <v>1150</v>
      </c>
      <c r="I438" s="189" t="s">
        <v>1151</v>
      </c>
      <c r="J438" s="189" t="s">
        <v>1152</v>
      </c>
      <c r="K438" s="189" t="s">
        <v>1153</v>
      </c>
      <c r="L438" s="189" t="s">
        <v>1154</v>
      </c>
      <c r="M438" s="189" t="s">
        <v>1134</v>
      </c>
      <c r="N438" s="189" t="s">
        <v>1155</v>
      </c>
      <c r="O438" s="189" t="s">
        <v>1112</v>
      </c>
      <c r="P438" s="189" t="s">
        <v>1115</v>
      </c>
      <c r="Q438" s="189" t="s">
        <v>1156</v>
      </c>
      <c r="R438" s="189" t="s">
        <v>1157</v>
      </c>
      <c r="S438" s="189" t="s">
        <v>1158</v>
      </c>
      <c r="T438" s="189" t="s">
        <v>1159</v>
      </c>
      <c r="U438" s="189" t="s">
        <v>1160</v>
      </c>
      <c r="V438" s="189" t="s">
        <v>1161</v>
      </c>
      <c r="W438" s="189" t="s">
        <v>1162</v>
      </c>
      <c r="X438" s="189" t="s">
        <v>1164</v>
      </c>
      <c r="Y438" s="189" t="s">
        <v>1165</v>
      </c>
      <c r="Z438" s="189" t="s">
        <v>1166</v>
      </c>
      <c r="AA438" s="189" t="s">
        <v>1117</v>
      </c>
      <c r="AB438" s="189" t="s">
        <v>1116</v>
      </c>
      <c r="AC438" s="189" t="s">
        <v>1167</v>
      </c>
      <c r="AD438" s="189" t="s">
        <v>1168</v>
      </c>
      <c r="AE438" s="189" t="s">
        <v>1169</v>
      </c>
      <c r="AF438" s="189" t="s">
        <v>1170</v>
      </c>
      <c r="AG438" s="696"/>
      <c r="AH438" s="696"/>
      <c r="AI438" s="696"/>
      <c r="AJ438" s="696"/>
    </row>
    <row r="439" spans="1:43" s="6" customFormat="1" hidden="1" x14ac:dyDescent="0.25">
      <c r="A439" t="s">
        <v>173</v>
      </c>
      <c r="B439" s="425"/>
      <c r="C439" s="425"/>
      <c r="D439" s="425"/>
      <c r="E439" s="425"/>
      <c r="F439" s="189"/>
      <c r="G439" s="189"/>
      <c r="H439" s="189"/>
      <c r="I439" s="189"/>
      <c r="J439" s="189"/>
      <c r="K439" s="189"/>
      <c r="L439" s="189"/>
      <c r="M439" s="189" t="str">
        <f>G420</f>
        <v>9999</v>
      </c>
      <c r="N439" s="111"/>
      <c r="O439" s="111" t="str">
        <f>B420</f>
        <v>6001</v>
      </c>
      <c r="P439" s="111" t="str">
        <f>C420</f>
        <v>6001</v>
      </c>
      <c r="Q439" s="111"/>
      <c r="R439" s="111"/>
      <c r="S439" s="111">
        <v>1</v>
      </c>
      <c r="T439" s="111">
        <v>1</v>
      </c>
      <c r="U439" s="111">
        <v>1</v>
      </c>
      <c r="V439" s="113">
        <f>E420</f>
        <v>0</v>
      </c>
      <c r="W439" s="111" t="s">
        <v>1906</v>
      </c>
      <c r="X439" s="111"/>
      <c r="Y439" s="111"/>
      <c r="Z439" s="111"/>
      <c r="AA439" s="111"/>
      <c r="AB439" s="111" t="str">
        <f>D420</f>
        <v>HKD</v>
      </c>
      <c r="AC439" s="111"/>
      <c r="AD439" s="111"/>
      <c r="AE439" s="111"/>
      <c r="AF439" s="111">
        <v>1</v>
      </c>
      <c r="AG439" s="176" t="s">
        <v>1128</v>
      </c>
      <c r="AH439" s="176"/>
      <c r="AI439" s="176"/>
      <c r="AJ439" s="176">
        <v>0</v>
      </c>
    </row>
    <row r="440" spans="1:43" s="6" customFormat="1" hidden="1" x14ac:dyDescent="0.25">
      <c r="A440" t="s">
        <v>173</v>
      </c>
      <c r="B440" t="s">
        <v>173</v>
      </c>
      <c r="C440" s="323" t="s">
        <v>1910</v>
      </c>
      <c r="D440" s="323"/>
      <c r="E440" s="323"/>
      <c r="F440" s="188"/>
      <c r="G440" s="188"/>
      <c r="H440" s="188"/>
      <c r="I440" s="188"/>
      <c r="J440" s="188"/>
      <c r="K440" s="188"/>
      <c r="L440" s="188"/>
      <c r="M440" s="188"/>
      <c r="N440" s="188"/>
      <c r="O440" s="167"/>
      <c r="P440" s="167"/>
      <c r="Q440" s="167"/>
      <c r="R440" s="167"/>
    </row>
    <row r="441" spans="1:43" s="6" customFormat="1" hidden="1" x14ac:dyDescent="0.25">
      <c r="A441" t="s">
        <v>173</v>
      </c>
      <c r="B441" s="183" t="s">
        <v>124</v>
      </c>
      <c r="C441" s="184" t="s">
        <v>1172</v>
      </c>
      <c r="D441" s="184"/>
      <c r="E441" s="184"/>
      <c r="F441" s="171"/>
      <c r="G441" s="188"/>
      <c r="H441" s="188"/>
      <c r="I441" s="188"/>
      <c r="J441" s="188"/>
      <c r="K441" s="188"/>
      <c r="L441" s="188"/>
      <c r="M441" s="188"/>
      <c r="N441" s="167"/>
      <c r="O441" s="167"/>
      <c r="P441" s="167"/>
      <c r="Q441" s="167"/>
    </row>
    <row r="442" spans="1:43" s="6" customFormat="1" hidden="1" x14ac:dyDescent="0.25">
      <c r="A442" t="s">
        <v>173</v>
      </c>
      <c r="B442" s="323" t="s">
        <v>306</v>
      </c>
      <c r="C442" s="704" t="s">
        <v>1566</v>
      </c>
      <c r="D442" s="706"/>
      <c r="E442" s="706"/>
      <c r="F442" s="706"/>
      <c r="G442" s="706"/>
      <c r="H442" s="706"/>
      <c r="I442" s="706"/>
      <c r="J442" s="706"/>
      <c r="K442" s="706"/>
      <c r="L442" s="706"/>
      <c r="M442" s="706"/>
      <c r="N442" s="721"/>
      <c r="O442" s="721"/>
      <c r="P442" s="721"/>
      <c r="Q442" s="721"/>
      <c r="R442" s="721"/>
      <c r="S442" s="721"/>
      <c r="T442" s="721"/>
      <c r="U442" s="721"/>
      <c r="V442" s="721"/>
      <c r="W442" s="721"/>
      <c r="X442" s="721"/>
      <c r="Y442" s="721"/>
      <c r="Z442" s="721"/>
      <c r="AA442" s="721"/>
      <c r="AB442" s="721"/>
      <c r="AC442" s="721"/>
      <c r="AD442" s="721"/>
      <c r="AE442" s="721"/>
      <c r="AF442" s="734"/>
      <c r="AG442" s="695" t="s">
        <v>1126</v>
      </c>
      <c r="AH442" s="695" t="s">
        <v>1107</v>
      </c>
      <c r="AI442" s="695" t="s">
        <v>1108</v>
      </c>
      <c r="AJ442" s="695" t="s">
        <v>1127</v>
      </c>
    </row>
    <row r="443" spans="1:43" s="6" customFormat="1" hidden="1" x14ac:dyDescent="0.25">
      <c r="A443" t="s">
        <v>173</v>
      </c>
      <c r="B443" s="425"/>
      <c r="C443" s="190" t="s">
        <v>1145</v>
      </c>
      <c r="D443" s="425" t="s">
        <v>1146</v>
      </c>
      <c r="E443" s="425" t="s">
        <v>1147</v>
      </c>
      <c r="F443" s="189" t="s">
        <v>1148</v>
      </c>
      <c r="G443" s="189" t="s">
        <v>1149</v>
      </c>
      <c r="H443" s="189" t="s">
        <v>1150</v>
      </c>
      <c r="I443" s="189" t="s">
        <v>1151</v>
      </c>
      <c r="J443" s="189" t="s">
        <v>1152</v>
      </c>
      <c r="K443" s="189" t="s">
        <v>1153</v>
      </c>
      <c r="L443" s="189" t="s">
        <v>1154</v>
      </c>
      <c r="M443" s="189" t="s">
        <v>1134</v>
      </c>
      <c r="N443" s="189" t="s">
        <v>1155</v>
      </c>
      <c r="O443" s="189" t="s">
        <v>1112</v>
      </c>
      <c r="P443" s="189" t="s">
        <v>1115</v>
      </c>
      <c r="Q443" s="189" t="s">
        <v>1156</v>
      </c>
      <c r="R443" s="189" t="s">
        <v>1157</v>
      </c>
      <c r="S443" s="189" t="s">
        <v>1158</v>
      </c>
      <c r="T443" s="189" t="s">
        <v>1159</v>
      </c>
      <c r="U443" s="189" t="s">
        <v>1160</v>
      </c>
      <c r="V443" s="189" t="s">
        <v>1161</v>
      </c>
      <c r="W443" s="189" t="s">
        <v>1162</v>
      </c>
      <c r="X443" s="189" t="s">
        <v>1164</v>
      </c>
      <c r="Y443" s="189" t="s">
        <v>1165</v>
      </c>
      <c r="Z443" s="189" t="s">
        <v>1166</v>
      </c>
      <c r="AA443" s="189" t="s">
        <v>1117</v>
      </c>
      <c r="AB443" s="189" t="s">
        <v>1116</v>
      </c>
      <c r="AC443" s="189" t="s">
        <v>1167</v>
      </c>
      <c r="AD443" s="189" t="s">
        <v>1168</v>
      </c>
      <c r="AE443" s="189" t="s">
        <v>1169</v>
      </c>
      <c r="AF443" s="189" t="s">
        <v>1170</v>
      </c>
      <c r="AG443" s="696"/>
      <c r="AH443" s="696"/>
      <c r="AI443" s="696"/>
      <c r="AJ443" s="696"/>
    </row>
    <row r="444" spans="1:43" hidden="1" x14ac:dyDescent="0.25">
      <c r="A444" t="s">
        <v>173</v>
      </c>
      <c r="B444" s="425"/>
      <c r="C444" s="190">
        <f>C434+1</f>
        <v>3</v>
      </c>
      <c r="D444" s="425">
        <v>1</v>
      </c>
      <c r="E444" s="425" t="s">
        <v>1173</v>
      </c>
      <c r="F444" s="189">
        <v>20190328</v>
      </c>
      <c r="G444" s="191">
        <v>0.57240740740740736</v>
      </c>
      <c r="H444" s="189"/>
      <c r="I444" s="189"/>
      <c r="J444" s="189"/>
      <c r="K444" s="189" t="s">
        <v>1907</v>
      </c>
      <c r="L444" s="189">
        <v>1</v>
      </c>
      <c r="M444" s="189" t="str">
        <f>M439</f>
        <v>9999</v>
      </c>
      <c r="N444" s="111"/>
      <c r="O444" s="111" t="str">
        <f>O439</f>
        <v>6001</v>
      </c>
      <c r="P444" s="111" t="str">
        <f>P439</f>
        <v>6001</v>
      </c>
      <c r="Q444" s="111"/>
      <c r="R444" s="111">
        <v>1</v>
      </c>
      <c r="S444" s="111">
        <v>1</v>
      </c>
      <c r="T444" s="111">
        <v>1</v>
      </c>
      <c r="U444" s="111">
        <v>1</v>
      </c>
      <c r="V444" s="113">
        <f>V439</f>
        <v>0</v>
      </c>
      <c r="W444" s="111" t="s">
        <v>1906</v>
      </c>
      <c r="X444" s="111">
        <v>1</v>
      </c>
      <c r="Y444" s="111"/>
      <c r="Z444" s="111"/>
      <c r="AA444" s="111"/>
      <c r="AB444" s="111" t="str">
        <f>AB439</f>
        <v>HKD</v>
      </c>
      <c r="AC444" s="111">
        <v>1</v>
      </c>
      <c r="AD444" s="111">
        <v>1</v>
      </c>
      <c r="AE444" s="111"/>
      <c r="AF444" s="111">
        <v>1</v>
      </c>
      <c r="AG444" s="111" t="s">
        <v>1128</v>
      </c>
      <c r="AH444" s="111"/>
      <c r="AI444" s="111"/>
      <c r="AJ444" s="111">
        <v>0</v>
      </c>
      <c r="AK444" s="6"/>
      <c r="AL444" s="6"/>
      <c r="AM444" s="6"/>
      <c r="AN444" s="6"/>
      <c r="AO444" s="6"/>
      <c r="AP444" s="6"/>
    </row>
    <row r="445" spans="1:43" hidden="1" x14ac:dyDescent="0.25">
      <c r="A445" t="s">
        <v>173</v>
      </c>
      <c r="B445" t="s">
        <v>173</v>
      </c>
      <c r="C445" s="259" t="s">
        <v>1244</v>
      </c>
      <c r="D445" s="259"/>
      <c r="E445" s="259"/>
      <c r="F445" s="259"/>
      <c r="G445" s="188"/>
      <c r="H445" s="188"/>
      <c r="I445" s="188"/>
      <c r="J445" s="188"/>
      <c r="K445" s="188"/>
      <c r="L445" s="188"/>
      <c r="M445" s="188"/>
      <c r="N445" s="188"/>
      <c r="O445" s="167"/>
      <c r="P445" s="167"/>
      <c r="Q445" s="167"/>
      <c r="R445" s="167"/>
      <c r="S445" s="167"/>
      <c r="T445" s="167"/>
      <c r="U445" s="167"/>
      <c r="V445" s="167"/>
      <c r="W445" s="182"/>
      <c r="X445" s="167"/>
      <c r="Y445" s="167"/>
      <c r="Z445" s="167"/>
      <c r="AA445" s="167"/>
      <c r="AB445" s="167"/>
      <c r="AC445" s="167"/>
      <c r="AD445" s="167"/>
      <c r="AE445" s="167"/>
      <c r="AF445" s="167"/>
      <c r="AG445" s="167"/>
      <c r="AH445" s="167"/>
      <c r="AI445" s="167"/>
      <c r="AJ445" s="167"/>
      <c r="AK445" s="167"/>
      <c r="AL445" s="6"/>
      <c r="AM445" s="6"/>
      <c r="AN445" s="6"/>
      <c r="AO445" s="6"/>
      <c r="AP445" s="6"/>
      <c r="AQ445" s="6"/>
    </row>
    <row r="446" spans="1:43" s="6" customFormat="1" hidden="1" x14ac:dyDescent="0.25">
      <c r="A446" t="s">
        <v>173</v>
      </c>
      <c r="B446" s="183" t="s">
        <v>124</v>
      </c>
      <c r="C446" s="184" t="s">
        <v>1142</v>
      </c>
      <c r="D446" s="184"/>
      <c r="E446" s="184"/>
      <c r="F446" s="171"/>
      <c r="G446" s="188"/>
      <c r="H446" s="188"/>
      <c r="I446" s="188"/>
      <c r="J446" s="188"/>
      <c r="K446" s="188"/>
      <c r="L446" s="188"/>
      <c r="M446" s="188"/>
      <c r="N446" s="167"/>
      <c r="O446" s="167"/>
      <c r="P446" s="167"/>
      <c r="Q446" s="167"/>
    </row>
    <row r="447" spans="1:43" s="6" customFormat="1" hidden="1" x14ac:dyDescent="0.25">
      <c r="A447" t="s">
        <v>173</v>
      </c>
      <c r="B447" s="259" t="s">
        <v>306</v>
      </c>
      <c r="C447" s="704" t="s">
        <v>1567</v>
      </c>
      <c r="D447" s="706"/>
      <c r="E447" s="706"/>
      <c r="F447" s="706"/>
      <c r="G447" s="706"/>
      <c r="H447" s="706"/>
      <c r="I447" s="706"/>
      <c r="J447" s="706"/>
      <c r="K447" s="706"/>
      <c r="L447" s="706"/>
      <c r="M447" s="706"/>
      <c r="N447" s="721"/>
      <c r="O447" s="721"/>
      <c r="P447" s="721"/>
      <c r="Q447" s="721"/>
      <c r="R447" s="721"/>
      <c r="S447" s="721"/>
      <c r="T447" s="721"/>
      <c r="U447" s="721"/>
      <c r="V447" s="721"/>
      <c r="W447" s="721"/>
      <c r="X447" s="721"/>
      <c r="Y447" s="721"/>
      <c r="Z447" s="721"/>
      <c r="AA447" s="721"/>
      <c r="AB447" s="721"/>
      <c r="AC447" s="721"/>
      <c r="AD447" s="721"/>
      <c r="AE447" s="721"/>
      <c r="AF447" s="734"/>
      <c r="AG447" s="695" t="s">
        <v>1126</v>
      </c>
      <c r="AH447" s="695" t="s">
        <v>1107</v>
      </c>
      <c r="AI447" s="695" t="s">
        <v>1108</v>
      </c>
      <c r="AJ447" s="695" t="s">
        <v>1127</v>
      </c>
    </row>
    <row r="448" spans="1:43" s="6" customFormat="1" hidden="1" x14ac:dyDescent="0.25">
      <c r="A448" t="s">
        <v>173</v>
      </c>
      <c r="B448" s="255"/>
      <c r="C448" s="255" t="s">
        <v>1145</v>
      </c>
      <c r="D448" s="255" t="s">
        <v>1146</v>
      </c>
      <c r="E448" s="255" t="s">
        <v>1147</v>
      </c>
      <c r="F448" s="189" t="s">
        <v>1148</v>
      </c>
      <c r="G448" s="189" t="s">
        <v>1149</v>
      </c>
      <c r="H448" s="189" t="s">
        <v>1150</v>
      </c>
      <c r="I448" s="189" t="s">
        <v>1151</v>
      </c>
      <c r="J448" s="189" t="s">
        <v>1152</v>
      </c>
      <c r="K448" s="189" t="s">
        <v>1153</v>
      </c>
      <c r="L448" s="189" t="s">
        <v>1154</v>
      </c>
      <c r="M448" s="189" t="s">
        <v>1134</v>
      </c>
      <c r="N448" s="189" t="s">
        <v>1155</v>
      </c>
      <c r="O448" s="189" t="s">
        <v>1112</v>
      </c>
      <c r="P448" s="189" t="s">
        <v>1115</v>
      </c>
      <c r="Q448" s="189" t="s">
        <v>1156</v>
      </c>
      <c r="R448" s="189" t="s">
        <v>1157</v>
      </c>
      <c r="S448" s="189" t="s">
        <v>1158</v>
      </c>
      <c r="T448" s="189" t="s">
        <v>1159</v>
      </c>
      <c r="U448" s="189" t="s">
        <v>1160</v>
      </c>
      <c r="V448" s="189" t="s">
        <v>1161</v>
      </c>
      <c r="W448" s="189" t="s">
        <v>1162</v>
      </c>
      <c r="X448" s="189" t="s">
        <v>1164</v>
      </c>
      <c r="Y448" s="189" t="s">
        <v>1165</v>
      </c>
      <c r="Z448" s="189" t="s">
        <v>1166</v>
      </c>
      <c r="AA448" s="189" t="s">
        <v>1117</v>
      </c>
      <c r="AB448" s="189" t="s">
        <v>1116</v>
      </c>
      <c r="AC448" s="189" t="s">
        <v>1167</v>
      </c>
      <c r="AD448" s="189" t="s">
        <v>1168</v>
      </c>
      <c r="AE448" s="189" t="s">
        <v>1169</v>
      </c>
      <c r="AF448" s="189" t="s">
        <v>1170</v>
      </c>
      <c r="AG448" s="696"/>
      <c r="AH448" s="696"/>
      <c r="AI448" s="696"/>
      <c r="AJ448" s="696"/>
    </row>
    <row r="449" spans="1:42" s="6" customFormat="1" hidden="1" x14ac:dyDescent="0.25">
      <c r="A449" t="s">
        <v>173</v>
      </c>
      <c r="B449" s="255"/>
      <c r="C449" s="255"/>
      <c r="D449" s="255"/>
      <c r="E449" s="255"/>
      <c r="F449" s="189"/>
      <c r="G449" s="189"/>
      <c r="H449" s="189"/>
      <c r="I449" s="189"/>
      <c r="J449" s="189"/>
      <c r="K449" s="189"/>
      <c r="L449" s="189"/>
      <c r="M449" s="189" t="str">
        <f>$F$5</f>
        <v>9999</v>
      </c>
      <c r="N449" s="111"/>
      <c r="O449" s="111" t="str">
        <f>B421</f>
        <v>6001</v>
      </c>
      <c r="P449" s="111" t="str">
        <f>C421</f>
        <v>6001</v>
      </c>
      <c r="Q449" s="111"/>
      <c r="R449" s="111"/>
      <c r="S449" s="111">
        <v>1</v>
      </c>
      <c r="T449" s="111">
        <v>1</v>
      </c>
      <c r="U449" s="111">
        <v>1</v>
      </c>
      <c r="V449" s="113">
        <f>E421</f>
        <v>0</v>
      </c>
      <c r="W449" s="111" t="s">
        <v>1189</v>
      </c>
      <c r="X449" s="111"/>
      <c r="Y449" s="111"/>
      <c r="Z449" s="111"/>
      <c r="AA449" s="111"/>
      <c r="AB449" s="111" t="str">
        <f>D421</f>
        <v>USD</v>
      </c>
      <c r="AC449" s="111"/>
      <c r="AD449" s="111"/>
      <c r="AE449" s="111"/>
      <c r="AF449" s="111">
        <v>1</v>
      </c>
      <c r="AG449" s="176" t="s">
        <v>1128</v>
      </c>
      <c r="AH449" s="176"/>
      <c r="AI449" s="176"/>
      <c r="AJ449" s="176">
        <v>0</v>
      </c>
    </row>
    <row r="450" spans="1:42" s="6" customFormat="1" hidden="1" x14ac:dyDescent="0.25">
      <c r="A450" t="s">
        <v>173</v>
      </c>
      <c r="B450" t="s">
        <v>173</v>
      </c>
      <c r="C450" s="259" t="s">
        <v>1185</v>
      </c>
      <c r="D450" s="259"/>
      <c r="E450" s="259"/>
      <c r="F450" s="188"/>
      <c r="G450" s="188"/>
      <c r="H450" s="188"/>
      <c r="I450" s="188"/>
      <c r="J450" s="188"/>
      <c r="K450" s="188"/>
      <c r="L450" s="188"/>
      <c r="M450" s="188"/>
      <c r="N450" s="188"/>
      <c r="O450" s="167"/>
      <c r="P450" s="167"/>
      <c r="Q450" s="167"/>
      <c r="R450" s="167"/>
    </row>
    <row r="451" spans="1:42" s="6" customFormat="1" hidden="1" x14ac:dyDescent="0.25">
      <c r="A451" t="s">
        <v>173</v>
      </c>
      <c r="B451" s="183" t="s">
        <v>124</v>
      </c>
      <c r="C451" s="184" t="s">
        <v>1172</v>
      </c>
      <c r="D451" s="184"/>
      <c r="E451" s="184"/>
      <c r="F451" s="171"/>
      <c r="G451" s="188"/>
      <c r="H451" s="188"/>
      <c r="I451" s="188"/>
      <c r="J451" s="188"/>
      <c r="K451" s="188"/>
      <c r="L451" s="188"/>
      <c r="M451" s="188"/>
      <c r="N451" s="167"/>
      <c r="O451" s="167"/>
      <c r="P451" s="167"/>
      <c r="Q451" s="167"/>
    </row>
    <row r="452" spans="1:42" s="6" customFormat="1" hidden="1" x14ac:dyDescent="0.25">
      <c r="A452" t="s">
        <v>173</v>
      </c>
      <c r="B452" s="259" t="s">
        <v>306</v>
      </c>
      <c r="C452" s="704" t="s">
        <v>1567</v>
      </c>
      <c r="D452" s="706"/>
      <c r="E452" s="706"/>
      <c r="F452" s="706"/>
      <c r="G452" s="706"/>
      <c r="H452" s="706"/>
      <c r="I452" s="706"/>
      <c r="J452" s="706"/>
      <c r="K452" s="706"/>
      <c r="L452" s="706"/>
      <c r="M452" s="706"/>
      <c r="N452" s="721"/>
      <c r="O452" s="721"/>
      <c r="P452" s="721"/>
      <c r="Q452" s="721"/>
      <c r="R452" s="721"/>
      <c r="S452" s="721"/>
      <c r="T452" s="721"/>
      <c r="U452" s="721"/>
      <c r="V452" s="721"/>
      <c r="W452" s="721"/>
      <c r="X452" s="721"/>
      <c r="Y452" s="721"/>
      <c r="Z452" s="721"/>
      <c r="AA452" s="721"/>
      <c r="AB452" s="721"/>
      <c r="AC452" s="721"/>
      <c r="AD452" s="721"/>
      <c r="AE452" s="721"/>
      <c r="AF452" s="734"/>
      <c r="AG452" s="695" t="s">
        <v>1126</v>
      </c>
      <c r="AH452" s="695" t="s">
        <v>1107</v>
      </c>
      <c r="AI452" s="695" t="s">
        <v>1108</v>
      </c>
      <c r="AJ452" s="695" t="s">
        <v>1127</v>
      </c>
    </row>
    <row r="453" spans="1:42" s="6" customFormat="1" hidden="1" x14ac:dyDescent="0.25">
      <c r="A453" t="s">
        <v>173</v>
      </c>
      <c r="B453" s="255"/>
      <c r="C453" s="190" t="s">
        <v>1145</v>
      </c>
      <c r="D453" s="255" t="s">
        <v>1146</v>
      </c>
      <c r="E453" s="255" t="s">
        <v>1147</v>
      </c>
      <c r="F453" s="189" t="s">
        <v>1148</v>
      </c>
      <c r="G453" s="189" t="s">
        <v>1149</v>
      </c>
      <c r="H453" s="189" t="s">
        <v>1150</v>
      </c>
      <c r="I453" s="189" t="s">
        <v>1151</v>
      </c>
      <c r="J453" s="189" t="s">
        <v>1152</v>
      </c>
      <c r="K453" s="189" t="s">
        <v>1153</v>
      </c>
      <c r="L453" s="189" t="s">
        <v>1154</v>
      </c>
      <c r="M453" s="189" t="s">
        <v>1134</v>
      </c>
      <c r="N453" s="189" t="s">
        <v>1155</v>
      </c>
      <c r="O453" s="189" t="s">
        <v>1112</v>
      </c>
      <c r="P453" s="189" t="s">
        <v>1115</v>
      </c>
      <c r="Q453" s="189" t="s">
        <v>1156</v>
      </c>
      <c r="R453" s="189" t="s">
        <v>1157</v>
      </c>
      <c r="S453" s="189" t="s">
        <v>1158</v>
      </c>
      <c r="T453" s="189" t="s">
        <v>1159</v>
      </c>
      <c r="U453" s="189" t="s">
        <v>1160</v>
      </c>
      <c r="V453" s="189" t="s">
        <v>1161</v>
      </c>
      <c r="W453" s="189" t="s">
        <v>1162</v>
      </c>
      <c r="X453" s="189" t="s">
        <v>1164</v>
      </c>
      <c r="Y453" s="189" t="s">
        <v>1165</v>
      </c>
      <c r="Z453" s="189" t="s">
        <v>1166</v>
      </c>
      <c r="AA453" s="189" t="s">
        <v>1117</v>
      </c>
      <c r="AB453" s="189" t="s">
        <v>1116</v>
      </c>
      <c r="AC453" s="189" t="s">
        <v>1167</v>
      </c>
      <c r="AD453" s="189" t="s">
        <v>1168</v>
      </c>
      <c r="AE453" s="189" t="s">
        <v>1169</v>
      </c>
      <c r="AF453" s="189" t="s">
        <v>1170</v>
      </c>
      <c r="AG453" s="696"/>
      <c r="AH453" s="696"/>
      <c r="AI453" s="696"/>
      <c r="AJ453" s="696"/>
    </row>
    <row r="454" spans="1:42" hidden="1" x14ac:dyDescent="0.25">
      <c r="A454" t="s">
        <v>173</v>
      </c>
      <c r="B454" s="255"/>
      <c r="C454" s="190">
        <f>C444+1</f>
        <v>4</v>
      </c>
      <c r="D454" s="255">
        <v>1</v>
      </c>
      <c r="E454" s="255" t="s">
        <v>1173</v>
      </c>
      <c r="F454" s="189">
        <v>20190328</v>
      </c>
      <c r="G454" s="191">
        <v>0.57240740740740736</v>
      </c>
      <c r="H454" s="189"/>
      <c r="I454" s="189"/>
      <c r="J454" s="189"/>
      <c r="K454" s="189" t="s">
        <v>1180</v>
      </c>
      <c r="L454" s="189">
        <v>1</v>
      </c>
      <c r="M454" s="189" t="str">
        <f>$F$5</f>
        <v>9999</v>
      </c>
      <c r="N454" s="111"/>
      <c r="O454" s="111" t="str">
        <f>B421</f>
        <v>6001</v>
      </c>
      <c r="P454" s="111" t="str">
        <f>C421</f>
        <v>6001</v>
      </c>
      <c r="Q454" s="111"/>
      <c r="R454" s="111">
        <v>1</v>
      </c>
      <c r="S454" s="111">
        <v>1</v>
      </c>
      <c r="T454" s="111">
        <v>1</v>
      </c>
      <c r="U454" s="111">
        <v>1</v>
      </c>
      <c r="V454" s="113">
        <f>V449</f>
        <v>0</v>
      </c>
      <c r="W454" s="111" t="s">
        <v>1189</v>
      </c>
      <c r="X454" s="111">
        <v>1</v>
      </c>
      <c r="Y454" s="111"/>
      <c r="Z454" s="111"/>
      <c r="AA454" s="111"/>
      <c r="AB454" s="111" t="str">
        <f>AB449</f>
        <v>USD</v>
      </c>
      <c r="AC454" s="111">
        <v>1</v>
      </c>
      <c r="AD454" s="111">
        <v>1</v>
      </c>
      <c r="AE454" s="111"/>
      <c r="AF454" s="111">
        <v>1</v>
      </c>
      <c r="AG454" s="111" t="s">
        <v>1128</v>
      </c>
      <c r="AH454" s="111"/>
      <c r="AI454" s="111"/>
      <c r="AJ454" s="111">
        <v>0</v>
      </c>
      <c r="AK454" s="6"/>
      <c r="AL454" s="6"/>
      <c r="AM454" s="6"/>
      <c r="AN454" s="6"/>
      <c r="AO454" s="6"/>
      <c r="AP454" s="6"/>
    </row>
    <row r="455" spans="1:42" s="4" customFormat="1" hidden="1" x14ac:dyDescent="0.25">
      <c r="A455" t="s">
        <v>173</v>
      </c>
      <c r="B455" s="4" t="s">
        <v>173</v>
      </c>
      <c r="C455" s="195" t="s">
        <v>1186</v>
      </c>
      <c r="D455" s="195"/>
      <c r="E455" s="195"/>
      <c r="F455" s="195"/>
      <c r="G455" s="196"/>
      <c r="H455" s="196"/>
      <c r="I455" s="196"/>
      <c r="J455" s="196"/>
      <c r="K455" s="196"/>
      <c r="L455" s="196"/>
      <c r="M455" s="196"/>
      <c r="N455" s="196"/>
      <c r="O455" s="197"/>
      <c r="P455" s="197"/>
      <c r="Q455" s="197"/>
      <c r="R455" s="197"/>
      <c r="S455" s="197"/>
      <c r="T455" s="197"/>
      <c r="U455" s="197"/>
      <c r="V455" s="197"/>
      <c r="W455" s="198"/>
      <c r="X455" s="197"/>
      <c r="Y455" s="197"/>
      <c r="Z455" s="197"/>
      <c r="AA455" s="197"/>
      <c r="AB455" s="197"/>
      <c r="AC455" s="197"/>
      <c r="AD455" s="197"/>
      <c r="AE455" s="197"/>
      <c r="AF455" s="197"/>
      <c r="AG455" s="197"/>
      <c r="AH455" s="197"/>
      <c r="AI455" s="197"/>
      <c r="AJ455" s="197"/>
      <c r="AK455" s="197"/>
    </row>
    <row r="456" spans="1:42" s="6" customFormat="1" hidden="1" x14ac:dyDescent="0.25">
      <c r="A456" t="s">
        <v>173</v>
      </c>
      <c r="B456" s="183" t="s">
        <v>124</v>
      </c>
      <c r="C456" s="184" t="s">
        <v>1142</v>
      </c>
      <c r="D456" s="184"/>
      <c r="E456" s="184"/>
      <c r="F456" s="171"/>
      <c r="G456" s="188"/>
      <c r="H456" s="188"/>
      <c r="I456" s="188"/>
      <c r="J456" s="188"/>
      <c r="K456" s="188"/>
      <c r="L456" s="188"/>
      <c r="M456" s="188"/>
      <c r="N456" s="167"/>
      <c r="O456" s="167"/>
      <c r="P456" s="167"/>
      <c r="Q456" s="167"/>
    </row>
    <row r="457" spans="1:42" s="6" customFormat="1" hidden="1" x14ac:dyDescent="0.25">
      <c r="A457" t="s">
        <v>173</v>
      </c>
      <c r="B457" s="259" t="s">
        <v>306</v>
      </c>
      <c r="C457" s="704" t="s">
        <v>1567</v>
      </c>
      <c r="D457" s="706"/>
      <c r="E457" s="706"/>
      <c r="F457" s="706"/>
      <c r="G457" s="706"/>
      <c r="H457" s="706"/>
      <c r="I457" s="706"/>
      <c r="J457" s="706"/>
      <c r="K457" s="706"/>
      <c r="L457" s="706"/>
      <c r="M457" s="706"/>
      <c r="N457" s="721"/>
      <c r="O457" s="721"/>
      <c r="P457" s="721"/>
      <c r="Q457" s="721"/>
      <c r="R457" s="721"/>
      <c r="S457" s="721"/>
      <c r="T457" s="721"/>
      <c r="U457" s="721"/>
      <c r="V457" s="721"/>
      <c r="W457" s="721"/>
      <c r="X457" s="721"/>
      <c r="Y457" s="721"/>
      <c r="Z457" s="721"/>
      <c r="AA457" s="721"/>
      <c r="AB457" s="721"/>
      <c r="AC457" s="721"/>
      <c r="AD457" s="721"/>
      <c r="AE457" s="721"/>
      <c r="AF457" s="734"/>
      <c r="AG457" s="695" t="s">
        <v>1126</v>
      </c>
      <c r="AH457" s="695" t="s">
        <v>1107</v>
      </c>
      <c r="AI457" s="695" t="s">
        <v>1108</v>
      </c>
      <c r="AJ457" s="695" t="s">
        <v>1127</v>
      </c>
    </row>
    <row r="458" spans="1:42" s="6" customFormat="1" hidden="1" x14ac:dyDescent="0.25">
      <c r="A458" t="s">
        <v>173</v>
      </c>
      <c r="B458" s="255"/>
      <c r="C458" s="255" t="s">
        <v>1145</v>
      </c>
      <c r="D458" s="255" t="s">
        <v>1146</v>
      </c>
      <c r="E458" s="255" t="s">
        <v>1147</v>
      </c>
      <c r="F458" s="189" t="s">
        <v>1148</v>
      </c>
      <c r="G458" s="189" t="s">
        <v>1149</v>
      </c>
      <c r="H458" s="189" t="s">
        <v>1150</v>
      </c>
      <c r="I458" s="189" t="s">
        <v>1151</v>
      </c>
      <c r="J458" s="189" t="s">
        <v>1152</v>
      </c>
      <c r="K458" s="189" t="s">
        <v>1153</v>
      </c>
      <c r="L458" s="189" t="s">
        <v>1154</v>
      </c>
      <c r="M458" s="189" t="s">
        <v>1134</v>
      </c>
      <c r="N458" s="189" t="s">
        <v>1155</v>
      </c>
      <c r="O458" s="189" t="s">
        <v>1112</v>
      </c>
      <c r="P458" s="189" t="s">
        <v>1115</v>
      </c>
      <c r="Q458" s="189" t="s">
        <v>1156</v>
      </c>
      <c r="R458" s="189" t="s">
        <v>1157</v>
      </c>
      <c r="S458" s="189" t="s">
        <v>1158</v>
      </c>
      <c r="T458" s="189" t="s">
        <v>1159</v>
      </c>
      <c r="U458" s="189" t="s">
        <v>1160</v>
      </c>
      <c r="V458" s="189" t="s">
        <v>1161</v>
      </c>
      <c r="W458" s="189" t="s">
        <v>1162</v>
      </c>
      <c r="X458" s="189" t="s">
        <v>1164</v>
      </c>
      <c r="Y458" s="189" t="s">
        <v>1165</v>
      </c>
      <c r="Z458" s="189" t="s">
        <v>1166</v>
      </c>
      <c r="AA458" s="189" t="s">
        <v>1117</v>
      </c>
      <c r="AB458" s="189" t="s">
        <v>1116</v>
      </c>
      <c r="AC458" s="189" t="s">
        <v>1167</v>
      </c>
      <c r="AD458" s="189" t="s">
        <v>1168</v>
      </c>
      <c r="AE458" s="189" t="s">
        <v>1169</v>
      </c>
      <c r="AF458" s="189" t="s">
        <v>1170</v>
      </c>
      <c r="AG458" s="696"/>
      <c r="AH458" s="696"/>
      <c r="AI458" s="696"/>
      <c r="AJ458" s="696"/>
    </row>
    <row r="459" spans="1:42" s="6" customFormat="1" hidden="1" x14ac:dyDescent="0.25">
      <c r="A459" t="s">
        <v>173</v>
      </c>
      <c r="B459" s="255"/>
      <c r="C459" s="255"/>
      <c r="D459" s="255"/>
      <c r="E459" s="255"/>
      <c r="F459" s="189"/>
      <c r="G459" s="189"/>
      <c r="H459" s="189"/>
      <c r="I459" s="189"/>
      <c r="J459" s="189"/>
      <c r="K459" s="189"/>
      <c r="L459" s="189"/>
      <c r="M459" s="189" t="str">
        <f>$F$5</f>
        <v>9999</v>
      </c>
      <c r="N459" s="111"/>
      <c r="O459" s="111" t="str">
        <f>B422</f>
        <v>6001</v>
      </c>
      <c r="P459" s="111" t="str">
        <f>C422</f>
        <v>6001</v>
      </c>
      <c r="Q459" s="111"/>
      <c r="R459" s="111"/>
      <c r="S459" s="111">
        <v>1</v>
      </c>
      <c r="T459" s="111">
        <v>2</v>
      </c>
      <c r="U459" s="111">
        <v>1</v>
      </c>
      <c r="V459" s="113">
        <f>E422</f>
        <v>0</v>
      </c>
      <c r="W459" s="111" t="s">
        <v>1193</v>
      </c>
      <c r="X459" s="111"/>
      <c r="Y459" s="111"/>
      <c r="Z459" s="111"/>
      <c r="AA459" s="111"/>
      <c r="AB459" s="111" t="str">
        <f>D422</f>
        <v>CNY</v>
      </c>
      <c r="AC459" s="111"/>
      <c r="AD459" s="111"/>
      <c r="AE459" s="111"/>
      <c r="AF459" s="111">
        <v>1</v>
      </c>
      <c r="AG459" s="176" t="s">
        <v>1128</v>
      </c>
      <c r="AH459" s="176"/>
      <c r="AI459" s="176"/>
      <c r="AJ459" s="176">
        <v>0</v>
      </c>
    </row>
    <row r="460" spans="1:42" s="6" customFormat="1" hidden="1" x14ac:dyDescent="0.25">
      <c r="A460" t="s">
        <v>173</v>
      </c>
      <c r="B460" t="s">
        <v>173</v>
      </c>
      <c r="C460" s="259" t="s">
        <v>1187</v>
      </c>
      <c r="D460" s="259"/>
      <c r="E460" s="259"/>
      <c r="F460" s="188"/>
      <c r="G460" s="188"/>
      <c r="H460" s="188"/>
      <c r="I460" s="188"/>
      <c r="J460" s="188"/>
      <c r="K460" s="188"/>
      <c r="L460" s="188"/>
      <c r="M460" s="188"/>
      <c r="N460" s="188"/>
      <c r="O460" s="167"/>
      <c r="P460" s="167"/>
      <c r="Q460" s="167"/>
      <c r="R460" s="167"/>
    </row>
    <row r="461" spans="1:42" s="6" customFormat="1" hidden="1" x14ac:dyDescent="0.25">
      <c r="A461" t="s">
        <v>173</v>
      </c>
      <c r="B461" s="183" t="s">
        <v>124</v>
      </c>
      <c r="C461" s="704" t="s">
        <v>1585</v>
      </c>
      <c r="D461" s="706"/>
      <c r="E461" s="706"/>
      <c r="F461" s="706"/>
      <c r="G461" s="706"/>
      <c r="H461" s="706"/>
      <c r="I461" s="706"/>
      <c r="J461" s="706"/>
      <c r="K461" s="706"/>
      <c r="L461" s="706"/>
      <c r="M461" s="706"/>
      <c r="N461" s="721"/>
      <c r="O461" s="721"/>
      <c r="P461" s="721"/>
      <c r="Q461" s="721"/>
      <c r="R461" s="721"/>
      <c r="S461" s="721"/>
      <c r="T461" s="721"/>
      <c r="U461" s="721"/>
      <c r="V461" s="721"/>
      <c r="W461" s="721"/>
      <c r="X461" s="721"/>
    </row>
    <row r="462" spans="1:42" s="6" customFormat="1" hidden="1" x14ac:dyDescent="0.25">
      <c r="A462" t="s">
        <v>173</v>
      </c>
      <c r="B462" s="259" t="s">
        <v>306</v>
      </c>
      <c r="C462" s="704" t="s">
        <v>1567</v>
      </c>
      <c r="D462" s="706"/>
      <c r="E462" s="706"/>
      <c r="F462" s="706"/>
      <c r="G462" s="706"/>
      <c r="H462" s="706"/>
      <c r="I462" s="706"/>
      <c r="J462" s="706"/>
      <c r="K462" s="706"/>
      <c r="L462" s="706"/>
      <c r="M462" s="706"/>
      <c r="N462" s="721"/>
      <c r="O462" s="721"/>
      <c r="P462" s="721"/>
      <c r="Q462" s="721"/>
      <c r="R462" s="721"/>
      <c r="S462" s="721"/>
      <c r="T462" s="721"/>
      <c r="U462" s="721"/>
      <c r="V462" s="721"/>
      <c r="W462" s="721"/>
      <c r="X462" s="721"/>
      <c r="Y462" s="721"/>
      <c r="Z462" s="721"/>
      <c r="AA462" s="721"/>
      <c r="AB462" s="721"/>
      <c r="AC462" s="721"/>
      <c r="AD462" s="721"/>
      <c r="AE462" s="721"/>
      <c r="AF462" s="734"/>
      <c r="AG462" s="695" t="s">
        <v>1126</v>
      </c>
      <c r="AH462" s="695" t="s">
        <v>1107</v>
      </c>
      <c r="AI462" s="695" t="s">
        <v>1108</v>
      </c>
      <c r="AJ462" s="695" t="s">
        <v>1127</v>
      </c>
    </row>
    <row r="463" spans="1:42" s="6" customFormat="1" hidden="1" x14ac:dyDescent="0.25">
      <c r="A463" t="s">
        <v>173</v>
      </c>
      <c r="B463" s="255"/>
      <c r="C463" s="190" t="s">
        <v>1145</v>
      </c>
      <c r="D463" s="255" t="s">
        <v>1146</v>
      </c>
      <c r="E463" s="255" t="s">
        <v>1147</v>
      </c>
      <c r="F463" s="189" t="s">
        <v>1148</v>
      </c>
      <c r="G463" s="189" t="s">
        <v>1149</v>
      </c>
      <c r="H463" s="189" t="s">
        <v>1150</v>
      </c>
      <c r="I463" s="189" t="s">
        <v>1151</v>
      </c>
      <c r="J463" s="189" t="s">
        <v>1152</v>
      </c>
      <c r="K463" s="189" t="s">
        <v>1153</v>
      </c>
      <c r="L463" s="189" t="s">
        <v>1154</v>
      </c>
      <c r="M463" s="189" t="s">
        <v>1134</v>
      </c>
      <c r="N463" s="189" t="s">
        <v>1155</v>
      </c>
      <c r="O463" s="189" t="s">
        <v>1112</v>
      </c>
      <c r="P463" s="189" t="s">
        <v>1115</v>
      </c>
      <c r="Q463" s="189" t="s">
        <v>1156</v>
      </c>
      <c r="R463" s="189" t="s">
        <v>1157</v>
      </c>
      <c r="S463" s="189" t="s">
        <v>1158</v>
      </c>
      <c r="T463" s="189" t="s">
        <v>1159</v>
      </c>
      <c r="U463" s="189" t="s">
        <v>1160</v>
      </c>
      <c r="V463" s="189" t="s">
        <v>1161</v>
      </c>
      <c r="W463" s="189" t="s">
        <v>1162</v>
      </c>
      <c r="X463" s="189" t="s">
        <v>1164</v>
      </c>
      <c r="Y463" s="189" t="s">
        <v>1165</v>
      </c>
      <c r="Z463" s="189" t="s">
        <v>1166</v>
      </c>
      <c r="AA463" s="189" t="s">
        <v>1117</v>
      </c>
      <c r="AB463" s="189" t="s">
        <v>1116</v>
      </c>
      <c r="AC463" s="189" t="s">
        <v>1167</v>
      </c>
      <c r="AD463" s="189" t="s">
        <v>1168</v>
      </c>
      <c r="AE463" s="189" t="s">
        <v>1169</v>
      </c>
      <c r="AF463" s="189" t="s">
        <v>1170</v>
      </c>
      <c r="AG463" s="696"/>
      <c r="AH463" s="696"/>
      <c r="AI463" s="696"/>
      <c r="AJ463" s="696"/>
    </row>
    <row r="464" spans="1:42" hidden="1" x14ac:dyDescent="0.25">
      <c r="A464" t="s">
        <v>173</v>
      </c>
      <c r="B464" s="255"/>
      <c r="C464" s="190">
        <f>C454+1</f>
        <v>5</v>
      </c>
      <c r="D464" s="255">
        <v>1</v>
      </c>
      <c r="E464" s="255" t="s">
        <v>1173</v>
      </c>
      <c r="F464" s="189">
        <v>20190328</v>
      </c>
      <c r="G464" s="191">
        <v>0.57240740740740736</v>
      </c>
      <c r="H464" s="189"/>
      <c r="I464" s="189"/>
      <c r="J464" s="189"/>
      <c r="K464" s="189" t="s">
        <v>1191</v>
      </c>
      <c r="L464" s="189">
        <v>1</v>
      </c>
      <c r="M464" s="189" t="str">
        <f>$F$5</f>
        <v>9999</v>
      </c>
      <c r="N464" s="111"/>
      <c r="O464" s="111" t="str">
        <f>B422</f>
        <v>6001</v>
      </c>
      <c r="P464" s="111" t="str">
        <f>C422</f>
        <v>6001</v>
      </c>
      <c r="Q464" s="111"/>
      <c r="R464" s="111">
        <v>1</v>
      </c>
      <c r="S464" s="111">
        <v>1</v>
      </c>
      <c r="T464" s="111">
        <v>2</v>
      </c>
      <c r="U464" s="111">
        <v>1</v>
      </c>
      <c r="V464" s="113">
        <f>V459</f>
        <v>0</v>
      </c>
      <c r="W464" s="111" t="s">
        <v>1193</v>
      </c>
      <c r="X464" s="111">
        <v>1</v>
      </c>
      <c r="Y464" s="111"/>
      <c r="Z464" s="111"/>
      <c r="AA464" s="111"/>
      <c r="AB464" s="111" t="str">
        <f>AB459</f>
        <v>CNY</v>
      </c>
      <c r="AC464" s="111">
        <v>1</v>
      </c>
      <c r="AD464" s="111">
        <v>1</v>
      </c>
      <c r="AE464" s="111"/>
      <c r="AF464" s="111">
        <v>1</v>
      </c>
      <c r="AG464" s="111" t="s">
        <v>1128</v>
      </c>
      <c r="AH464" s="111"/>
      <c r="AI464" s="111"/>
      <c r="AJ464" s="111">
        <v>0</v>
      </c>
      <c r="AK464" s="6"/>
      <c r="AL464" s="6"/>
      <c r="AM464" s="6"/>
      <c r="AN464" s="6"/>
      <c r="AO464" s="6"/>
      <c r="AP464" s="6"/>
    </row>
    <row r="465" spans="1:43" s="4" customFormat="1" hidden="1" x14ac:dyDescent="0.25">
      <c r="A465" t="s">
        <v>173</v>
      </c>
      <c r="B465" s="6" t="s">
        <v>173</v>
      </c>
      <c r="C465" s="323" t="s">
        <v>1908</v>
      </c>
      <c r="D465" s="323"/>
      <c r="E465" s="323"/>
      <c r="F465" s="323"/>
      <c r="G465" s="188"/>
      <c r="H465" s="188"/>
      <c r="I465" s="188"/>
      <c r="J465" s="188"/>
      <c r="K465" s="188"/>
      <c r="L465" s="188"/>
      <c r="M465" s="188"/>
      <c r="N465" s="188"/>
      <c r="O465" s="167"/>
      <c r="P465" s="167"/>
      <c r="Q465" s="167"/>
      <c r="R465" s="167"/>
      <c r="S465" s="167"/>
      <c r="T465" s="167"/>
      <c r="U465" s="167"/>
      <c r="V465" s="167"/>
      <c r="W465" s="182"/>
      <c r="X465" s="167"/>
      <c r="Y465" s="167"/>
      <c r="Z465" s="167"/>
      <c r="AA465" s="167"/>
      <c r="AB465" s="167"/>
      <c r="AC465" s="167"/>
      <c r="AD465" s="167"/>
      <c r="AE465" s="167"/>
      <c r="AF465" s="167"/>
      <c r="AG465" s="167"/>
      <c r="AH465" s="167"/>
      <c r="AI465" s="167"/>
      <c r="AJ465" s="197"/>
      <c r="AK465" s="197"/>
    </row>
    <row r="466" spans="1:43" s="6" customFormat="1" hidden="1" x14ac:dyDescent="0.25">
      <c r="A466" t="s">
        <v>173</v>
      </c>
      <c r="B466" s="183" t="s">
        <v>124</v>
      </c>
      <c r="C466" s="184" t="s">
        <v>1142</v>
      </c>
      <c r="D466" s="184"/>
      <c r="E466" s="184"/>
      <c r="F466" s="171"/>
      <c r="G466" s="188"/>
      <c r="H466" s="188"/>
      <c r="I466" s="188"/>
      <c r="J466" s="188"/>
      <c r="K466" s="188"/>
      <c r="L466" s="188"/>
      <c r="M466" s="188"/>
      <c r="N466" s="167"/>
      <c r="O466" s="167"/>
      <c r="P466" s="167"/>
      <c r="Q466" s="167"/>
    </row>
    <row r="467" spans="1:43" s="6" customFormat="1" hidden="1" x14ac:dyDescent="0.25">
      <c r="A467" t="s">
        <v>173</v>
      </c>
      <c r="B467" s="323" t="s">
        <v>306</v>
      </c>
      <c r="C467" s="704" t="s">
        <v>1567</v>
      </c>
      <c r="D467" s="706"/>
      <c r="E467" s="706"/>
      <c r="F467" s="706"/>
      <c r="G467" s="706"/>
      <c r="H467" s="706"/>
      <c r="I467" s="706"/>
      <c r="J467" s="706"/>
      <c r="K467" s="706"/>
      <c r="L467" s="706"/>
      <c r="M467" s="706"/>
      <c r="N467" s="721"/>
      <c r="O467" s="721"/>
      <c r="P467" s="721"/>
      <c r="Q467" s="721"/>
      <c r="R467" s="721"/>
      <c r="S467" s="721"/>
      <c r="T467" s="721"/>
      <c r="U467" s="721"/>
      <c r="V467" s="721"/>
      <c r="W467" s="721"/>
      <c r="X467" s="721"/>
      <c r="Y467" s="721"/>
      <c r="Z467" s="721"/>
      <c r="AA467" s="721"/>
      <c r="AB467" s="721"/>
      <c r="AC467" s="721"/>
      <c r="AD467" s="721"/>
      <c r="AE467" s="721"/>
      <c r="AF467" s="734"/>
      <c r="AG467" s="695" t="s">
        <v>1126</v>
      </c>
      <c r="AH467" s="695" t="s">
        <v>1107</v>
      </c>
      <c r="AI467" s="695" t="s">
        <v>1108</v>
      </c>
      <c r="AJ467" s="695" t="s">
        <v>1127</v>
      </c>
    </row>
    <row r="468" spans="1:43" s="6" customFormat="1" hidden="1" x14ac:dyDescent="0.25">
      <c r="A468" t="s">
        <v>173</v>
      </c>
      <c r="B468" s="425"/>
      <c r="C468" s="425" t="s">
        <v>1145</v>
      </c>
      <c r="D468" s="425" t="s">
        <v>1146</v>
      </c>
      <c r="E468" s="425" t="s">
        <v>1147</v>
      </c>
      <c r="F468" s="189" t="s">
        <v>1148</v>
      </c>
      <c r="G468" s="189" t="s">
        <v>1149</v>
      </c>
      <c r="H468" s="189" t="s">
        <v>1150</v>
      </c>
      <c r="I468" s="189" t="s">
        <v>1151</v>
      </c>
      <c r="J468" s="189" t="s">
        <v>1152</v>
      </c>
      <c r="K468" s="189" t="s">
        <v>1153</v>
      </c>
      <c r="L468" s="189" t="s">
        <v>1154</v>
      </c>
      <c r="M468" s="189" t="s">
        <v>1134</v>
      </c>
      <c r="N468" s="189" t="s">
        <v>1155</v>
      </c>
      <c r="O468" s="189" t="s">
        <v>1112</v>
      </c>
      <c r="P468" s="189" t="s">
        <v>1115</v>
      </c>
      <c r="Q468" s="189" t="s">
        <v>1156</v>
      </c>
      <c r="R468" s="189" t="s">
        <v>1157</v>
      </c>
      <c r="S468" s="189" t="s">
        <v>1158</v>
      </c>
      <c r="T468" s="189" t="s">
        <v>1159</v>
      </c>
      <c r="U468" s="189" t="s">
        <v>1160</v>
      </c>
      <c r="V468" s="189" t="s">
        <v>1161</v>
      </c>
      <c r="W468" s="189" t="s">
        <v>1162</v>
      </c>
      <c r="X468" s="189" t="s">
        <v>1164</v>
      </c>
      <c r="Y468" s="189" t="s">
        <v>1165</v>
      </c>
      <c r="Z468" s="189" t="s">
        <v>1166</v>
      </c>
      <c r="AA468" s="189" t="s">
        <v>1117</v>
      </c>
      <c r="AB468" s="189" t="s">
        <v>1116</v>
      </c>
      <c r="AC468" s="189" t="s">
        <v>1167</v>
      </c>
      <c r="AD468" s="189" t="s">
        <v>1168</v>
      </c>
      <c r="AE468" s="189" t="s">
        <v>1169</v>
      </c>
      <c r="AF468" s="189" t="s">
        <v>1170</v>
      </c>
      <c r="AG468" s="696"/>
      <c r="AH468" s="696"/>
      <c r="AI468" s="696"/>
      <c r="AJ468" s="696"/>
    </row>
    <row r="469" spans="1:43" s="6" customFormat="1" hidden="1" x14ac:dyDescent="0.25">
      <c r="A469" t="s">
        <v>173</v>
      </c>
      <c r="B469" s="425"/>
      <c r="C469" s="425"/>
      <c r="D469" s="425"/>
      <c r="E469" s="425"/>
      <c r="F469" s="189"/>
      <c r="G469" s="189"/>
      <c r="H469" s="189"/>
      <c r="I469" s="189"/>
      <c r="J469" s="189"/>
      <c r="K469" s="189"/>
      <c r="L469" s="189"/>
      <c r="M469" s="189" t="str">
        <f>G423</f>
        <v>9999</v>
      </c>
      <c r="N469" s="111"/>
      <c r="O469" s="111" t="str">
        <f>B423</f>
        <v>6001</v>
      </c>
      <c r="P469" s="111" t="str">
        <f>C423</f>
        <v>6001</v>
      </c>
      <c r="Q469" s="111"/>
      <c r="R469" s="111"/>
      <c r="S469" s="111">
        <v>1</v>
      </c>
      <c r="T469" s="111">
        <v>2</v>
      </c>
      <c r="U469" s="111">
        <v>1</v>
      </c>
      <c r="V469" s="113">
        <f>E423</f>
        <v>0</v>
      </c>
      <c r="W469" s="111" t="s">
        <v>1909</v>
      </c>
      <c r="X469" s="111"/>
      <c r="Y469" s="111"/>
      <c r="Z469" s="111"/>
      <c r="AA469" s="111"/>
      <c r="AB469" s="111" t="str">
        <f>D423</f>
        <v>HKD</v>
      </c>
      <c r="AC469" s="111"/>
      <c r="AD469" s="111"/>
      <c r="AE469" s="111"/>
      <c r="AF469" s="111">
        <v>1</v>
      </c>
      <c r="AG469" s="176" t="s">
        <v>1128</v>
      </c>
      <c r="AH469" s="176"/>
      <c r="AI469" s="176"/>
      <c r="AJ469" s="176">
        <v>0</v>
      </c>
    </row>
    <row r="470" spans="1:43" s="6" customFormat="1" hidden="1" x14ac:dyDescent="0.25">
      <c r="A470" t="s">
        <v>173</v>
      </c>
      <c r="B470" t="s">
        <v>173</v>
      </c>
      <c r="C470" s="323" t="s">
        <v>1879</v>
      </c>
      <c r="D470" s="323"/>
      <c r="E470" s="323"/>
      <c r="F470" s="188"/>
      <c r="G470" s="188"/>
      <c r="H470" s="188"/>
      <c r="I470" s="188"/>
      <c r="J470" s="188"/>
      <c r="K470" s="188"/>
      <c r="L470" s="188"/>
      <c r="M470" s="188"/>
      <c r="N470" s="188"/>
      <c r="O470" s="167"/>
      <c r="P470" s="167"/>
      <c r="Q470" s="167"/>
      <c r="R470" s="167"/>
    </row>
    <row r="471" spans="1:43" s="6" customFormat="1" hidden="1" x14ac:dyDescent="0.25">
      <c r="A471" t="s">
        <v>173</v>
      </c>
      <c r="B471" s="183" t="s">
        <v>124</v>
      </c>
      <c r="C471" s="704" t="s">
        <v>1585</v>
      </c>
      <c r="D471" s="706"/>
      <c r="E471" s="706"/>
      <c r="F471" s="706"/>
      <c r="G471" s="706"/>
      <c r="H471" s="706"/>
      <c r="I471" s="706"/>
      <c r="J471" s="706"/>
      <c r="K471" s="706"/>
      <c r="L471" s="706"/>
      <c r="M471" s="706"/>
      <c r="N471" s="721"/>
      <c r="O471" s="721"/>
      <c r="P471" s="721"/>
      <c r="Q471" s="721"/>
      <c r="R471" s="721"/>
      <c r="S471" s="721"/>
      <c r="T471" s="721"/>
      <c r="U471" s="721"/>
      <c r="V471" s="721"/>
      <c r="W471" s="721"/>
      <c r="X471" s="721"/>
    </row>
    <row r="472" spans="1:43" s="6" customFormat="1" hidden="1" x14ac:dyDescent="0.25">
      <c r="A472" t="s">
        <v>173</v>
      </c>
      <c r="B472" s="323" t="s">
        <v>306</v>
      </c>
      <c r="C472" s="704" t="s">
        <v>1567</v>
      </c>
      <c r="D472" s="706"/>
      <c r="E472" s="706"/>
      <c r="F472" s="706"/>
      <c r="G472" s="706"/>
      <c r="H472" s="706"/>
      <c r="I472" s="706"/>
      <c r="J472" s="706"/>
      <c r="K472" s="706"/>
      <c r="L472" s="706"/>
      <c r="M472" s="706"/>
      <c r="N472" s="721"/>
      <c r="O472" s="721"/>
      <c r="P472" s="721"/>
      <c r="Q472" s="721"/>
      <c r="R472" s="721"/>
      <c r="S472" s="721"/>
      <c r="T472" s="721"/>
      <c r="U472" s="721"/>
      <c r="V472" s="721"/>
      <c r="W472" s="721"/>
      <c r="X472" s="721"/>
      <c r="Y472" s="721"/>
      <c r="Z472" s="721"/>
      <c r="AA472" s="721"/>
      <c r="AB472" s="721"/>
      <c r="AC472" s="721"/>
      <c r="AD472" s="721"/>
      <c r="AE472" s="721"/>
      <c r="AF472" s="734"/>
      <c r="AG472" s="695" t="s">
        <v>1126</v>
      </c>
      <c r="AH472" s="695" t="s">
        <v>1107</v>
      </c>
      <c r="AI472" s="695" t="s">
        <v>1108</v>
      </c>
      <c r="AJ472" s="695" t="s">
        <v>1127</v>
      </c>
    </row>
    <row r="473" spans="1:43" s="6" customFormat="1" hidden="1" x14ac:dyDescent="0.25">
      <c r="A473" t="s">
        <v>173</v>
      </c>
      <c r="B473" s="425"/>
      <c r="C473" s="190" t="s">
        <v>1145</v>
      </c>
      <c r="D473" s="425" t="s">
        <v>1146</v>
      </c>
      <c r="E473" s="425" t="s">
        <v>1147</v>
      </c>
      <c r="F473" s="189" t="s">
        <v>1148</v>
      </c>
      <c r="G473" s="189" t="s">
        <v>1149</v>
      </c>
      <c r="H473" s="189" t="s">
        <v>1150</v>
      </c>
      <c r="I473" s="189" t="s">
        <v>1151</v>
      </c>
      <c r="J473" s="189" t="s">
        <v>1152</v>
      </c>
      <c r="K473" s="189" t="s">
        <v>1153</v>
      </c>
      <c r="L473" s="189" t="s">
        <v>1154</v>
      </c>
      <c r="M473" s="189" t="s">
        <v>1134</v>
      </c>
      <c r="N473" s="189" t="s">
        <v>1155</v>
      </c>
      <c r="O473" s="189" t="s">
        <v>1112</v>
      </c>
      <c r="P473" s="189" t="s">
        <v>1115</v>
      </c>
      <c r="Q473" s="189" t="s">
        <v>1156</v>
      </c>
      <c r="R473" s="189" t="s">
        <v>1157</v>
      </c>
      <c r="S473" s="189" t="s">
        <v>1158</v>
      </c>
      <c r="T473" s="189" t="s">
        <v>1159</v>
      </c>
      <c r="U473" s="189" t="s">
        <v>1160</v>
      </c>
      <c r="V473" s="189" t="s">
        <v>1161</v>
      </c>
      <c r="W473" s="189" t="s">
        <v>1162</v>
      </c>
      <c r="X473" s="189" t="s">
        <v>1164</v>
      </c>
      <c r="Y473" s="189" t="s">
        <v>1165</v>
      </c>
      <c r="Z473" s="189" t="s">
        <v>1166</v>
      </c>
      <c r="AA473" s="189" t="s">
        <v>1117</v>
      </c>
      <c r="AB473" s="189" t="s">
        <v>1116</v>
      </c>
      <c r="AC473" s="189" t="s">
        <v>1167</v>
      </c>
      <c r="AD473" s="189" t="s">
        <v>1168</v>
      </c>
      <c r="AE473" s="189" t="s">
        <v>1169</v>
      </c>
      <c r="AF473" s="189" t="s">
        <v>1170</v>
      </c>
      <c r="AG473" s="696"/>
      <c r="AH473" s="696"/>
      <c r="AI473" s="696"/>
      <c r="AJ473" s="696"/>
    </row>
    <row r="474" spans="1:43" hidden="1" x14ac:dyDescent="0.25">
      <c r="A474" t="s">
        <v>173</v>
      </c>
      <c r="B474" s="425"/>
      <c r="C474" s="190">
        <f>C464+1</f>
        <v>6</v>
      </c>
      <c r="D474" s="425">
        <v>1</v>
      </c>
      <c r="E474" s="425" t="s">
        <v>1173</v>
      </c>
      <c r="F474" s="189">
        <v>20190328</v>
      </c>
      <c r="G474" s="191">
        <v>0.57240740740740736</v>
      </c>
      <c r="H474" s="189"/>
      <c r="I474" s="189"/>
      <c r="J474" s="189"/>
      <c r="K474" s="189" t="s">
        <v>1880</v>
      </c>
      <c r="L474" s="189">
        <v>1</v>
      </c>
      <c r="M474" s="189" t="str">
        <f>M469</f>
        <v>9999</v>
      </c>
      <c r="N474" s="111"/>
      <c r="O474" s="111" t="str">
        <f>O469</f>
        <v>6001</v>
      </c>
      <c r="P474" s="111" t="str">
        <f>P469</f>
        <v>6001</v>
      </c>
      <c r="Q474" s="111"/>
      <c r="R474" s="111">
        <v>1</v>
      </c>
      <c r="S474" s="111">
        <v>1</v>
      </c>
      <c r="T474" s="111">
        <v>2</v>
      </c>
      <c r="U474" s="111">
        <v>1</v>
      </c>
      <c r="V474" s="113">
        <f>V469</f>
        <v>0</v>
      </c>
      <c r="W474" s="111" t="s">
        <v>1909</v>
      </c>
      <c r="X474" s="111">
        <v>1</v>
      </c>
      <c r="Y474" s="111"/>
      <c r="Z474" s="111"/>
      <c r="AA474" s="111"/>
      <c r="AB474" s="111" t="str">
        <f>AB469</f>
        <v>HKD</v>
      </c>
      <c r="AC474" s="111">
        <v>1</v>
      </c>
      <c r="AD474" s="111">
        <v>1</v>
      </c>
      <c r="AE474" s="111"/>
      <c r="AF474" s="111">
        <v>1</v>
      </c>
      <c r="AG474" s="111" t="s">
        <v>1128</v>
      </c>
      <c r="AH474" s="111"/>
      <c r="AI474" s="111"/>
      <c r="AJ474" s="111">
        <v>0</v>
      </c>
      <c r="AK474" s="6"/>
      <c r="AL474" s="6"/>
      <c r="AM474" s="6"/>
      <c r="AN474" s="6"/>
      <c r="AO474" s="6"/>
      <c r="AP474" s="6"/>
    </row>
    <row r="475" spans="1:43" hidden="1" x14ac:dyDescent="0.25">
      <c r="A475" t="s">
        <v>173</v>
      </c>
      <c r="B475" t="s">
        <v>359</v>
      </c>
      <c r="C475" s="259" t="s">
        <v>1188</v>
      </c>
      <c r="D475" s="259"/>
      <c r="E475" s="259"/>
      <c r="F475" s="259"/>
      <c r="G475" s="188"/>
      <c r="H475" s="188"/>
      <c r="I475" s="188"/>
      <c r="J475" s="188"/>
      <c r="K475" s="188"/>
      <c r="L475" s="188"/>
      <c r="M475" s="188"/>
      <c r="N475" s="188"/>
      <c r="O475" s="167"/>
      <c r="P475" s="167"/>
      <c r="Q475" s="167"/>
      <c r="R475" s="167"/>
      <c r="S475" s="167"/>
      <c r="T475" s="167"/>
      <c r="U475" s="167"/>
      <c r="V475" s="167"/>
      <c r="W475" s="182"/>
      <c r="X475" s="167"/>
      <c r="Y475" s="167"/>
      <c r="Z475" s="167"/>
      <c r="AA475" s="167"/>
      <c r="AB475" s="167"/>
      <c r="AC475" s="167"/>
      <c r="AD475" s="167"/>
      <c r="AE475" s="167"/>
      <c r="AF475" s="167"/>
      <c r="AG475" s="167"/>
      <c r="AH475" s="167"/>
      <c r="AI475" s="167"/>
      <c r="AJ475" s="167"/>
      <c r="AK475" s="167"/>
      <c r="AL475" s="6"/>
      <c r="AM475" s="6"/>
      <c r="AN475" s="6"/>
      <c r="AO475" s="6"/>
      <c r="AP475" s="6"/>
      <c r="AQ475" s="6"/>
    </row>
    <row r="476" spans="1:43" s="6" customFormat="1" hidden="1" x14ac:dyDescent="0.25">
      <c r="A476" t="s">
        <v>173</v>
      </c>
      <c r="B476" s="183" t="s">
        <v>124</v>
      </c>
      <c r="C476" s="184" t="s">
        <v>1142</v>
      </c>
      <c r="D476" s="184"/>
      <c r="E476" s="184"/>
      <c r="F476" s="171"/>
      <c r="G476" s="188"/>
      <c r="H476" s="188"/>
      <c r="I476" s="188"/>
      <c r="J476" s="188"/>
      <c r="K476" s="188"/>
      <c r="L476" s="188"/>
      <c r="M476" s="188"/>
      <c r="N476" s="167"/>
      <c r="O476" s="167"/>
      <c r="P476" s="167"/>
      <c r="Q476" s="167"/>
    </row>
    <row r="477" spans="1:43" s="6" customFormat="1" hidden="1" x14ac:dyDescent="0.25">
      <c r="A477" t="s">
        <v>173</v>
      </c>
      <c r="B477" s="259" t="s">
        <v>306</v>
      </c>
      <c r="C477" s="704" t="s">
        <v>1567</v>
      </c>
      <c r="D477" s="706"/>
      <c r="E477" s="706"/>
      <c r="F477" s="706"/>
      <c r="G477" s="706"/>
      <c r="H477" s="706"/>
      <c r="I477" s="706"/>
      <c r="J477" s="706"/>
      <c r="K477" s="706"/>
      <c r="L477" s="706"/>
      <c r="M477" s="706"/>
      <c r="N477" s="721"/>
      <c r="O477" s="721"/>
      <c r="P477" s="721"/>
      <c r="Q477" s="721"/>
      <c r="R477" s="721"/>
      <c r="S477" s="721"/>
      <c r="T477" s="721"/>
      <c r="U477" s="721"/>
      <c r="V477" s="721"/>
      <c r="W477" s="721"/>
      <c r="X477" s="721"/>
      <c r="Y477" s="721"/>
      <c r="Z477" s="721"/>
      <c r="AA477" s="721"/>
      <c r="AB477" s="721"/>
      <c r="AC477" s="721"/>
      <c r="AD477" s="721"/>
      <c r="AE477" s="721"/>
      <c r="AF477" s="734"/>
      <c r="AG477" s="695" t="s">
        <v>1126</v>
      </c>
      <c r="AH477" s="695" t="s">
        <v>1107</v>
      </c>
      <c r="AI477" s="695" t="s">
        <v>1108</v>
      </c>
      <c r="AJ477" s="695" t="s">
        <v>1127</v>
      </c>
    </row>
    <row r="478" spans="1:43" s="6" customFormat="1" hidden="1" x14ac:dyDescent="0.25">
      <c r="A478" t="s">
        <v>173</v>
      </c>
      <c r="B478" s="255"/>
      <c r="C478" s="255" t="s">
        <v>1145</v>
      </c>
      <c r="D478" s="255" t="s">
        <v>1146</v>
      </c>
      <c r="E478" s="255" t="s">
        <v>1147</v>
      </c>
      <c r="F478" s="189" t="s">
        <v>1148</v>
      </c>
      <c r="G478" s="189" t="s">
        <v>1149</v>
      </c>
      <c r="H478" s="189" t="s">
        <v>1150</v>
      </c>
      <c r="I478" s="189" t="s">
        <v>1151</v>
      </c>
      <c r="J478" s="189" t="s">
        <v>1152</v>
      </c>
      <c r="K478" s="189" t="s">
        <v>1153</v>
      </c>
      <c r="L478" s="189" t="s">
        <v>1154</v>
      </c>
      <c r="M478" s="189" t="s">
        <v>1134</v>
      </c>
      <c r="N478" s="189" t="s">
        <v>1155</v>
      </c>
      <c r="O478" s="189" t="s">
        <v>1112</v>
      </c>
      <c r="P478" s="189" t="s">
        <v>1115</v>
      </c>
      <c r="Q478" s="189" t="s">
        <v>1156</v>
      </c>
      <c r="R478" s="189" t="s">
        <v>1157</v>
      </c>
      <c r="S478" s="189" t="s">
        <v>1158</v>
      </c>
      <c r="T478" s="189" t="s">
        <v>1159</v>
      </c>
      <c r="U478" s="189" t="s">
        <v>1160</v>
      </c>
      <c r="V478" s="189" t="s">
        <v>1161</v>
      </c>
      <c r="W478" s="189" t="s">
        <v>1162</v>
      </c>
      <c r="X478" s="189" t="s">
        <v>1164</v>
      </c>
      <c r="Y478" s="189" t="s">
        <v>1165</v>
      </c>
      <c r="Z478" s="189" t="s">
        <v>1166</v>
      </c>
      <c r="AA478" s="189" t="s">
        <v>1117</v>
      </c>
      <c r="AB478" s="189" t="s">
        <v>1116</v>
      </c>
      <c r="AC478" s="189" t="s">
        <v>1167</v>
      </c>
      <c r="AD478" s="189" t="s">
        <v>1168</v>
      </c>
      <c r="AE478" s="189" t="s">
        <v>1169</v>
      </c>
      <c r="AF478" s="189" t="s">
        <v>1170</v>
      </c>
      <c r="AG478" s="696"/>
      <c r="AH478" s="696"/>
      <c r="AI478" s="696"/>
      <c r="AJ478" s="696"/>
    </row>
    <row r="479" spans="1:43" s="6" customFormat="1" hidden="1" x14ac:dyDescent="0.25">
      <c r="A479" t="s">
        <v>173</v>
      </c>
      <c r="B479" s="255"/>
      <c r="C479" s="255"/>
      <c r="D479" s="255"/>
      <c r="E479" s="255"/>
      <c r="F479" s="189"/>
      <c r="G479" s="189"/>
      <c r="H479" s="189"/>
      <c r="I479" s="189"/>
      <c r="J479" s="189"/>
      <c r="K479" s="189"/>
      <c r="L479" s="189"/>
      <c r="M479" s="189" t="str">
        <f>$F$5</f>
        <v>9999</v>
      </c>
      <c r="N479" s="111"/>
      <c r="O479" s="111" t="str">
        <f>B424</f>
        <v>6001</v>
      </c>
      <c r="P479" s="111" t="str">
        <f>C424</f>
        <v>6001</v>
      </c>
      <c r="Q479" s="111"/>
      <c r="R479" s="111"/>
      <c r="S479" s="111">
        <v>1</v>
      </c>
      <c r="T479" s="111">
        <v>2</v>
      </c>
      <c r="U479" s="111">
        <v>1</v>
      </c>
      <c r="V479" s="113">
        <f>E424</f>
        <v>0</v>
      </c>
      <c r="W479" s="111" t="s">
        <v>1195</v>
      </c>
      <c r="X479" s="111"/>
      <c r="Y479" s="111"/>
      <c r="Z479" s="111"/>
      <c r="AA479" s="111"/>
      <c r="AB479" s="111" t="str">
        <f>D424</f>
        <v>USD</v>
      </c>
      <c r="AC479" s="111"/>
      <c r="AD479" s="111"/>
      <c r="AE479" s="111"/>
      <c r="AF479" s="111">
        <v>1</v>
      </c>
      <c r="AG479" s="176" t="s">
        <v>1128</v>
      </c>
      <c r="AH479" s="176"/>
      <c r="AI479" s="176"/>
      <c r="AJ479" s="176">
        <v>0</v>
      </c>
    </row>
    <row r="480" spans="1:43" s="6" customFormat="1" hidden="1" x14ac:dyDescent="0.25">
      <c r="A480" t="s">
        <v>173</v>
      </c>
      <c r="B480" t="s">
        <v>173</v>
      </c>
      <c r="C480" s="259" t="s">
        <v>1196</v>
      </c>
      <c r="D480" s="259"/>
      <c r="E480" s="259"/>
      <c r="F480" s="188"/>
      <c r="G480" s="188"/>
      <c r="H480" s="188"/>
      <c r="I480" s="188"/>
      <c r="J480" s="188"/>
      <c r="K480" s="188"/>
      <c r="L480" s="188"/>
      <c r="M480" s="188"/>
      <c r="N480" s="188"/>
      <c r="O480" s="167"/>
      <c r="P480" s="167"/>
      <c r="Q480" s="167"/>
      <c r="R480" s="167"/>
    </row>
    <row r="481" spans="1:42" s="6" customFormat="1" hidden="1" x14ac:dyDescent="0.25">
      <c r="A481" t="s">
        <v>173</v>
      </c>
      <c r="B481" s="183" t="s">
        <v>124</v>
      </c>
      <c r="C481" s="184" t="s">
        <v>1172</v>
      </c>
      <c r="D481" s="184"/>
      <c r="E481" s="184"/>
      <c r="F481" s="171"/>
      <c r="G481" s="188"/>
      <c r="H481" s="188"/>
      <c r="I481" s="188"/>
      <c r="J481" s="188"/>
      <c r="K481" s="188"/>
      <c r="L481" s="188"/>
      <c r="M481" s="188"/>
      <c r="N481" s="167"/>
      <c r="O481" s="167"/>
      <c r="P481" s="167"/>
      <c r="Q481" s="167"/>
    </row>
    <row r="482" spans="1:42" s="6" customFormat="1" hidden="1" x14ac:dyDescent="0.25">
      <c r="A482" t="s">
        <v>173</v>
      </c>
      <c r="B482" s="259" t="s">
        <v>1565</v>
      </c>
      <c r="C482" s="704" t="s">
        <v>1567</v>
      </c>
      <c r="D482" s="706"/>
      <c r="E482" s="706"/>
      <c r="F482" s="706"/>
      <c r="G482" s="706"/>
      <c r="H482" s="706"/>
      <c r="I482" s="706"/>
      <c r="J482" s="706"/>
      <c r="K482" s="706"/>
      <c r="L482" s="706"/>
      <c r="M482" s="706"/>
      <c r="N482" s="706"/>
      <c r="O482" s="706"/>
      <c r="P482" s="706"/>
      <c r="Q482" s="706"/>
      <c r="R482" s="706"/>
      <c r="S482" s="706"/>
      <c r="T482" s="706"/>
      <c r="U482" s="706"/>
      <c r="V482" s="706"/>
      <c r="W482" s="706"/>
      <c r="X482" s="706"/>
      <c r="Y482" s="706"/>
      <c r="Z482" s="706"/>
      <c r="AA482" s="706"/>
      <c r="AB482" s="706"/>
      <c r="AC482" s="706"/>
      <c r="AD482" s="706"/>
      <c r="AE482" s="706"/>
      <c r="AF482" s="707"/>
      <c r="AG482" s="695" t="s">
        <v>1126</v>
      </c>
      <c r="AH482" s="695" t="s">
        <v>1107</v>
      </c>
      <c r="AI482" s="695" t="s">
        <v>1108</v>
      </c>
      <c r="AJ482" s="695" t="s">
        <v>1127</v>
      </c>
    </row>
    <row r="483" spans="1:42" s="6" customFormat="1" hidden="1" x14ac:dyDescent="0.25">
      <c r="A483" t="s">
        <v>173</v>
      </c>
      <c r="B483" s="255"/>
      <c r="C483" s="190" t="s">
        <v>1145</v>
      </c>
      <c r="D483" s="255" t="s">
        <v>1146</v>
      </c>
      <c r="E483" s="255" t="s">
        <v>1147</v>
      </c>
      <c r="F483" s="189" t="s">
        <v>1148</v>
      </c>
      <c r="G483" s="189" t="s">
        <v>1149</v>
      </c>
      <c r="H483" s="189" t="s">
        <v>1150</v>
      </c>
      <c r="I483" s="189" t="s">
        <v>1151</v>
      </c>
      <c r="J483" s="189" t="s">
        <v>1152</v>
      </c>
      <c r="K483" s="189" t="s">
        <v>1153</v>
      </c>
      <c r="L483" s="189" t="s">
        <v>1154</v>
      </c>
      <c r="M483" s="189" t="s">
        <v>1134</v>
      </c>
      <c r="N483" s="189" t="s">
        <v>1155</v>
      </c>
      <c r="O483" s="189" t="s">
        <v>1112</v>
      </c>
      <c r="P483" s="189" t="s">
        <v>1115</v>
      </c>
      <c r="Q483" s="189" t="s">
        <v>1156</v>
      </c>
      <c r="R483" s="189" t="s">
        <v>1157</v>
      </c>
      <c r="S483" s="189" t="s">
        <v>1158</v>
      </c>
      <c r="T483" s="189" t="s">
        <v>1159</v>
      </c>
      <c r="U483" s="189" t="s">
        <v>1160</v>
      </c>
      <c r="V483" s="189" t="s">
        <v>1161</v>
      </c>
      <c r="W483" s="189" t="s">
        <v>1162</v>
      </c>
      <c r="X483" s="189" t="s">
        <v>1164</v>
      </c>
      <c r="Y483" s="189" t="s">
        <v>1165</v>
      </c>
      <c r="Z483" s="189" t="s">
        <v>1166</v>
      </c>
      <c r="AA483" s="189" t="s">
        <v>1117</v>
      </c>
      <c r="AB483" s="189" t="s">
        <v>1116</v>
      </c>
      <c r="AC483" s="189" t="s">
        <v>1167</v>
      </c>
      <c r="AD483" s="189" t="s">
        <v>1168</v>
      </c>
      <c r="AE483" s="189" t="s">
        <v>1169</v>
      </c>
      <c r="AF483" s="189" t="s">
        <v>1170</v>
      </c>
      <c r="AG483" s="696"/>
      <c r="AH483" s="696"/>
      <c r="AI483" s="696"/>
      <c r="AJ483" s="696"/>
    </row>
    <row r="484" spans="1:42" hidden="1" x14ac:dyDescent="0.25">
      <c r="A484" t="s">
        <v>173</v>
      </c>
      <c r="B484" s="255"/>
      <c r="C484" s="190">
        <f>C474+1</f>
        <v>7</v>
      </c>
      <c r="D484" s="255">
        <v>1</v>
      </c>
      <c r="E484" s="255" t="s">
        <v>1173</v>
      </c>
      <c r="F484" s="189">
        <v>20190328</v>
      </c>
      <c r="G484" s="191">
        <v>0.57240740740740736</v>
      </c>
      <c r="H484" s="189"/>
      <c r="I484" s="189"/>
      <c r="J484" s="189"/>
      <c r="K484" s="189" t="s">
        <v>1192</v>
      </c>
      <c r="L484" s="189">
        <v>1</v>
      </c>
      <c r="M484" s="189" t="str">
        <f>$F$5</f>
        <v>9999</v>
      </c>
      <c r="N484" s="111"/>
      <c r="O484" s="111" t="str">
        <f>O479</f>
        <v>6001</v>
      </c>
      <c r="P484" s="111" t="str">
        <f>P479</f>
        <v>6001</v>
      </c>
      <c r="Q484" s="111"/>
      <c r="R484" s="111">
        <v>1</v>
      </c>
      <c r="S484" s="111">
        <v>1</v>
      </c>
      <c r="T484" s="111">
        <v>2</v>
      </c>
      <c r="U484" s="111">
        <v>1</v>
      </c>
      <c r="V484" s="113">
        <f>V479</f>
        <v>0</v>
      </c>
      <c r="W484" s="111" t="s">
        <v>1195</v>
      </c>
      <c r="X484" s="111">
        <v>1</v>
      </c>
      <c r="Y484" s="111"/>
      <c r="Z484" s="111"/>
      <c r="AA484" s="111"/>
      <c r="AB484" s="111" t="str">
        <f>AB479</f>
        <v>USD</v>
      </c>
      <c r="AC484" s="111">
        <v>1</v>
      </c>
      <c r="AD484" s="111">
        <v>1</v>
      </c>
      <c r="AE484" s="111"/>
      <c r="AF484" s="111">
        <v>1</v>
      </c>
      <c r="AG484" s="111" t="s">
        <v>1128</v>
      </c>
      <c r="AH484" s="111"/>
      <c r="AI484" s="111"/>
      <c r="AJ484" s="111">
        <v>0</v>
      </c>
      <c r="AK484" s="6"/>
      <c r="AL484" s="6"/>
      <c r="AM484" s="6"/>
      <c r="AN484" s="6"/>
      <c r="AO484" s="6"/>
      <c r="AP484" s="6"/>
    </row>
    <row r="485" spans="1:42" hidden="1" x14ac:dyDescent="0.25">
      <c r="A485" t="s">
        <v>359</v>
      </c>
      <c r="B485" s="259" t="s">
        <v>1237</v>
      </c>
      <c r="C485" s="193"/>
      <c r="D485" s="259"/>
      <c r="E485" s="259"/>
      <c r="F485" s="188"/>
      <c r="G485" s="194"/>
      <c r="H485" s="188"/>
      <c r="I485" s="188"/>
      <c r="J485" s="188"/>
      <c r="K485" s="188"/>
      <c r="L485" s="188"/>
      <c r="M485" s="188"/>
      <c r="N485" s="167"/>
      <c r="O485" s="167"/>
      <c r="P485" s="167"/>
      <c r="Q485" s="167"/>
      <c r="R485" s="167"/>
      <c r="S485" s="167"/>
      <c r="T485" s="167"/>
      <c r="U485" s="167"/>
      <c r="V485" s="182"/>
      <c r="W485" s="167"/>
      <c r="X485" s="167"/>
      <c r="Y485" s="167"/>
      <c r="Z485" s="167"/>
      <c r="AA485" s="167"/>
      <c r="AB485" s="167"/>
      <c r="AC485" s="167"/>
      <c r="AD485" s="167"/>
      <c r="AE485" s="167"/>
      <c r="AF485" s="167"/>
      <c r="AG485" s="167"/>
      <c r="AH485" s="167"/>
      <c r="AI485" s="167"/>
      <c r="AJ485" s="167"/>
      <c r="AK485" s="6"/>
      <c r="AL485" s="6"/>
      <c r="AM485" s="6"/>
      <c r="AN485" s="6"/>
      <c r="AO485" s="6"/>
      <c r="AP485" s="6"/>
    </row>
    <row r="486" spans="1:42" hidden="1" x14ac:dyDescent="0.25">
      <c r="A486" t="s">
        <v>359</v>
      </c>
      <c r="B486" s="255" t="str">
        <f t="shared" ref="B486:D489" si="69">B13</f>
        <v>交易所代码</v>
      </c>
      <c r="C486" s="255" t="str">
        <f t="shared" si="69"/>
        <v>交易所账号</v>
      </c>
      <c r="D486" s="255" t="str">
        <f t="shared" si="69"/>
        <v>币种代码</v>
      </c>
      <c r="E486" s="189" t="s">
        <v>1140</v>
      </c>
      <c r="F486" s="189" t="s">
        <v>1463</v>
      </c>
      <c r="G486" s="189" t="s">
        <v>191</v>
      </c>
      <c r="H486" s="188"/>
      <c r="I486" s="188"/>
      <c r="J486" s="188"/>
      <c r="K486" s="188"/>
      <c r="L486" s="188"/>
      <c r="M486" s="188"/>
      <c r="N486" s="167"/>
      <c r="O486" s="167"/>
      <c r="P486" s="167"/>
      <c r="Q486" s="167"/>
      <c r="R486" s="167"/>
      <c r="S486" s="167"/>
      <c r="T486" s="167"/>
      <c r="U486" s="167"/>
      <c r="V486" s="182"/>
      <c r="W486" s="167"/>
      <c r="X486" s="167"/>
      <c r="Y486" s="167"/>
      <c r="Z486" s="167"/>
      <c r="AA486" s="167"/>
      <c r="AB486" s="167"/>
      <c r="AC486" s="167"/>
      <c r="AD486" s="167"/>
      <c r="AE486" s="167"/>
      <c r="AF486" s="167"/>
      <c r="AG486" s="167"/>
      <c r="AH486" s="167"/>
      <c r="AI486" s="167"/>
      <c r="AJ486" s="167"/>
      <c r="AK486" s="6"/>
      <c r="AL486" s="6"/>
      <c r="AM486" s="6"/>
      <c r="AN486" s="6"/>
      <c r="AO486" s="6"/>
      <c r="AP486" s="6"/>
    </row>
    <row r="487" spans="1:42" hidden="1" x14ac:dyDescent="0.25">
      <c r="A487" t="s">
        <v>359</v>
      </c>
      <c r="B487" s="255" t="str">
        <f t="shared" si="69"/>
        <v>CZCE</v>
      </c>
      <c r="C487" s="255">
        <f t="shared" si="69"/>
        <v>99990201</v>
      </c>
      <c r="D487" s="255" t="str">
        <f t="shared" si="69"/>
        <v>CNY</v>
      </c>
      <c r="E487" s="189">
        <v>0</v>
      </c>
      <c r="F487" s="189">
        <v>0</v>
      </c>
      <c r="G487" s="189" t="str">
        <f t="shared" ref="G487:G492" si="70">$F$5</f>
        <v>9999</v>
      </c>
      <c r="H487" s="188"/>
      <c r="I487" s="188"/>
      <c r="J487" s="188"/>
      <c r="K487" s="188"/>
      <c r="L487" s="188"/>
      <c r="M487" s="188"/>
      <c r="N487" s="167"/>
      <c r="O487" s="167"/>
      <c r="P487" s="167"/>
      <c r="Q487" s="167"/>
      <c r="R487" s="167"/>
      <c r="S487" s="167"/>
      <c r="T487" s="167"/>
      <c r="U487" s="167"/>
      <c r="V487" s="182"/>
      <c r="W487" s="167"/>
      <c r="X487" s="167"/>
      <c r="Y487" s="167"/>
      <c r="Z487" s="167"/>
      <c r="AA487" s="167"/>
      <c r="AB487" s="167"/>
      <c r="AC487" s="167"/>
      <c r="AD487" s="167"/>
      <c r="AE487" s="167"/>
      <c r="AF487" s="167"/>
      <c r="AG487" s="167"/>
      <c r="AH487" s="167"/>
      <c r="AI487" s="167"/>
      <c r="AJ487" s="167"/>
      <c r="AK487" s="6"/>
      <c r="AL487" s="6"/>
      <c r="AM487" s="6"/>
      <c r="AN487" s="6"/>
      <c r="AO487" s="6"/>
      <c r="AP487" s="6"/>
    </row>
    <row r="488" spans="1:42" hidden="1" x14ac:dyDescent="0.25">
      <c r="A488" t="s">
        <v>359</v>
      </c>
      <c r="B488" s="425" t="str">
        <f t="shared" si="69"/>
        <v>CZCE</v>
      </c>
      <c r="C488" s="425">
        <f t="shared" si="69"/>
        <v>99990203</v>
      </c>
      <c r="D488" s="425" t="str">
        <f t="shared" si="69"/>
        <v>HKD</v>
      </c>
      <c r="E488" s="189">
        <v>0</v>
      </c>
      <c r="F488" s="189">
        <v>0</v>
      </c>
      <c r="G488" s="189" t="str">
        <f t="shared" si="70"/>
        <v>9999</v>
      </c>
      <c r="H488" s="188"/>
      <c r="I488" s="188"/>
      <c r="J488" s="188"/>
      <c r="K488" s="188"/>
      <c r="L488" s="188"/>
      <c r="M488" s="188"/>
      <c r="N488" s="167"/>
      <c r="O488" s="167"/>
      <c r="P488" s="167"/>
      <c r="Q488" s="167"/>
      <c r="R488" s="167"/>
      <c r="S488" s="167"/>
      <c r="T488" s="167"/>
      <c r="U488" s="167"/>
      <c r="V488" s="182"/>
      <c r="W488" s="167"/>
      <c r="X488" s="167"/>
      <c r="Y488" s="167"/>
      <c r="Z488" s="167"/>
      <c r="AA488" s="167"/>
      <c r="AB488" s="167"/>
      <c r="AC488" s="167"/>
      <c r="AD488" s="167"/>
      <c r="AE488" s="167"/>
      <c r="AF488" s="167"/>
      <c r="AG488" s="167"/>
      <c r="AH488" s="167"/>
      <c r="AI488" s="167"/>
      <c r="AJ488" s="167"/>
      <c r="AK488" s="6"/>
      <c r="AL488" s="6"/>
      <c r="AM488" s="6"/>
      <c r="AN488" s="6"/>
      <c r="AO488" s="6"/>
      <c r="AP488" s="6"/>
    </row>
    <row r="489" spans="1:42" hidden="1" x14ac:dyDescent="0.25">
      <c r="A489" t="s">
        <v>359</v>
      </c>
      <c r="B489" s="255" t="str">
        <f t="shared" si="69"/>
        <v>CZCE</v>
      </c>
      <c r="C489" s="255">
        <f t="shared" si="69"/>
        <v>99990202</v>
      </c>
      <c r="D489" s="255" t="str">
        <f t="shared" si="69"/>
        <v>USD</v>
      </c>
      <c r="E489" s="189">
        <v>0</v>
      </c>
      <c r="F489" s="189">
        <v>0</v>
      </c>
      <c r="G489" s="189" t="str">
        <f t="shared" si="70"/>
        <v>9999</v>
      </c>
      <c r="H489" s="188"/>
      <c r="I489" s="188"/>
      <c r="J489" s="188"/>
      <c r="K489" s="188"/>
      <c r="L489" s="188"/>
      <c r="M489" s="188"/>
      <c r="N489" s="167"/>
      <c r="O489" s="167"/>
      <c r="P489" s="167"/>
      <c r="Q489" s="167"/>
      <c r="R489" s="167"/>
      <c r="S489" s="167"/>
      <c r="T489" s="167"/>
      <c r="U489" s="167"/>
      <c r="V489" s="182"/>
      <c r="W489" s="167"/>
      <c r="X489" s="167"/>
      <c r="Y489" s="167"/>
      <c r="Z489" s="167"/>
      <c r="AA489" s="167"/>
      <c r="AB489" s="167"/>
      <c r="AC489" s="167"/>
      <c r="AD489" s="167"/>
      <c r="AE489" s="167"/>
      <c r="AF489" s="167"/>
      <c r="AG489" s="167"/>
      <c r="AH489" s="167"/>
      <c r="AI489" s="167"/>
      <c r="AJ489" s="167"/>
      <c r="AK489" s="6"/>
      <c r="AL489" s="6"/>
      <c r="AM489" s="6"/>
      <c r="AN489" s="6"/>
      <c r="AO489" s="6"/>
      <c r="AP489" s="6"/>
    </row>
    <row r="490" spans="1:42" hidden="1" x14ac:dyDescent="0.25">
      <c r="A490" t="s">
        <v>359</v>
      </c>
      <c r="B490" s="255" t="str">
        <f t="shared" ref="B490:D491" si="71">B487</f>
        <v>CZCE</v>
      </c>
      <c r="C490" s="255">
        <f t="shared" si="71"/>
        <v>99990201</v>
      </c>
      <c r="D490" s="255" t="str">
        <f t="shared" si="71"/>
        <v>CNY</v>
      </c>
      <c r="E490" s="189">
        <v>0</v>
      </c>
      <c r="F490" s="189">
        <v>1</v>
      </c>
      <c r="G490" s="189" t="str">
        <f t="shared" si="70"/>
        <v>9999</v>
      </c>
      <c r="H490" s="188"/>
      <c r="I490" s="188"/>
      <c r="J490" s="188"/>
      <c r="K490" s="188"/>
      <c r="L490" s="188"/>
      <c r="M490" s="188"/>
      <c r="N490" s="167"/>
      <c r="O490" s="167"/>
      <c r="P490" s="167"/>
      <c r="Q490" s="167"/>
      <c r="R490" s="167"/>
      <c r="S490" s="167"/>
      <c r="T490" s="167"/>
      <c r="U490" s="167"/>
      <c r="V490" s="182"/>
      <c r="W490" s="167"/>
      <c r="X490" s="167"/>
      <c r="Y490" s="167"/>
      <c r="Z490" s="167"/>
      <c r="AA490" s="167"/>
      <c r="AB490" s="167"/>
      <c r="AC490" s="167"/>
      <c r="AD490" s="167"/>
      <c r="AE490" s="167"/>
      <c r="AF490" s="167"/>
      <c r="AG490" s="167"/>
      <c r="AH490" s="167"/>
      <c r="AI490" s="167"/>
      <c r="AJ490" s="167"/>
      <c r="AK490" s="6"/>
      <c r="AL490" s="6"/>
      <c r="AM490" s="6"/>
      <c r="AN490" s="6"/>
      <c r="AO490" s="6"/>
      <c r="AP490" s="6"/>
    </row>
    <row r="491" spans="1:42" hidden="1" x14ac:dyDescent="0.25">
      <c r="A491" t="s">
        <v>359</v>
      </c>
      <c r="B491" s="425" t="str">
        <f t="shared" si="71"/>
        <v>CZCE</v>
      </c>
      <c r="C491" s="425">
        <f t="shared" si="71"/>
        <v>99990203</v>
      </c>
      <c r="D491" s="425" t="str">
        <f t="shared" si="71"/>
        <v>HKD</v>
      </c>
      <c r="E491" s="189">
        <v>0</v>
      </c>
      <c r="F491" s="189">
        <v>1</v>
      </c>
      <c r="G491" s="189" t="str">
        <f t="shared" si="70"/>
        <v>9999</v>
      </c>
      <c r="H491" s="188"/>
      <c r="I491" s="188"/>
      <c r="J491" s="188"/>
      <c r="K491" s="188"/>
      <c r="L491" s="188"/>
      <c r="M491" s="188"/>
      <c r="N491" s="167"/>
      <c r="O491" s="167"/>
      <c r="P491" s="167"/>
      <c r="Q491" s="167"/>
      <c r="R491" s="167"/>
      <c r="S491" s="167"/>
      <c r="T491" s="167"/>
      <c r="U491" s="167"/>
      <c r="V491" s="182"/>
      <c r="W491" s="167"/>
      <c r="X491" s="167"/>
      <c r="Y491" s="167"/>
      <c r="Z491" s="167"/>
      <c r="AA491" s="167"/>
      <c r="AB491" s="167"/>
      <c r="AC491" s="167"/>
      <c r="AD491" s="167"/>
      <c r="AE491" s="167"/>
      <c r="AF491" s="167"/>
      <c r="AG491" s="167"/>
      <c r="AH491" s="167"/>
      <c r="AI491" s="167"/>
      <c r="AJ491" s="167"/>
      <c r="AK491" s="6"/>
      <c r="AL491" s="6"/>
      <c r="AM491" s="6"/>
      <c r="AN491" s="6"/>
      <c r="AO491" s="6"/>
      <c r="AP491" s="6"/>
    </row>
    <row r="492" spans="1:42" hidden="1" x14ac:dyDescent="0.25">
      <c r="A492" t="s">
        <v>359</v>
      </c>
      <c r="B492" s="255" t="str">
        <f>B489</f>
        <v>CZCE</v>
      </c>
      <c r="C492" s="255">
        <f t="shared" ref="C492:D492" si="72">C489</f>
        <v>99990202</v>
      </c>
      <c r="D492" s="255" t="str">
        <f t="shared" si="72"/>
        <v>USD</v>
      </c>
      <c r="E492" s="189">
        <v>0</v>
      </c>
      <c r="F492" s="189">
        <v>1</v>
      </c>
      <c r="G492" s="189" t="str">
        <f t="shared" si="70"/>
        <v>9999</v>
      </c>
      <c r="H492" s="188"/>
      <c r="I492" s="188"/>
      <c r="J492" s="188"/>
      <c r="K492" s="188"/>
      <c r="L492" s="188"/>
      <c r="M492" s="188"/>
      <c r="N492" s="167"/>
      <c r="O492" s="167"/>
      <c r="P492" s="167"/>
      <c r="Q492" s="167"/>
      <c r="R492" s="167"/>
      <c r="S492" s="167"/>
      <c r="T492" s="167"/>
      <c r="U492" s="167"/>
      <c r="V492" s="182"/>
      <c r="W492" s="167"/>
      <c r="X492" s="167"/>
      <c r="Y492" s="167"/>
      <c r="Z492" s="167"/>
      <c r="AA492" s="167"/>
      <c r="AB492" s="167"/>
      <c r="AC492" s="167"/>
      <c r="AD492" s="167"/>
      <c r="AE492" s="167"/>
      <c r="AF492" s="167"/>
      <c r="AG492" s="167"/>
      <c r="AH492" s="167"/>
      <c r="AI492" s="167"/>
      <c r="AJ492" s="167"/>
      <c r="AK492" s="6"/>
      <c r="AL492" s="6"/>
      <c r="AM492" s="6"/>
      <c r="AN492" s="6"/>
      <c r="AO492" s="6"/>
      <c r="AP492" s="6"/>
    </row>
    <row r="493" spans="1:42" hidden="1" x14ac:dyDescent="0.25">
      <c r="A493" t="s">
        <v>173</v>
      </c>
      <c r="B493" s="259" t="s">
        <v>1182</v>
      </c>
      <c r="C493" s="193"/>
      <c r="D493" s="259"/>
      <c r="E493" s="259"/>
      <c r="F493" s="188"/>
      <c r="G493" s="194"/>
      <c r="H493" s="188"/>
      <c r="I493" s="188"/>
      <c r="J493" s="188"/>
      <c r="K493" s="188"/>
      <c r="L493" s="188"/>
      <c r="M493" s="188"/>
      <c r="N493" s="167"/>
      <c r="O493" s="167"/>
      <c r="P493" s="167"/>
      <c r="Q493" s="167"/>
      <c r="R493" s="167"/>
      <c r="S493" s="167"/>
      <c r="T493" s="167"/>
      <c r="U493" s="167"/>
      <c r="V493" s="182"/>
      <c r="W493" s="167"/>
      <c r="X493" s="167"/>
      <c r="Y493" s="167"/>
      <c r="Z493" s="167"/>
      <c r="AA493" s="167"/>
      <c r="AB493" s="167"/>
      <c r="AC493" s="167"/>
      <c r="AD493" s="167"/>
      <c r="AE493" s="167"/>
      <c r="AF493" s="167"/>
      <c r="AG493" s="167"/>
      <c r="AH493" s="167"/>
      <c r="AI493" s="167"/>
      <c r="AJ493" s="167"/>
      <c r="AK493" s="6"/>
      <c r="AL493" s="6"/>
      <c r="AM493" s="6"/>
      <c r="AN493" s="6"/>
      <c r="AO493" s="6"/>
      <c r="AP493" s="6"/>
    </row>
    <row r="494" spans="1:42" hidden="1" x14ac:dyDescent="0.25">
      <c r="A494" t="s">
        <v>173</v>
      </c>
      <c r="B494" s="195" t="s">
        <v>124</v>
      </c>
      <c r="C494" s="218" t="s">
        <v>1239</v>
      </c>
      <c r="D494" s="218"/>
      <c r="E494" s="218"/>
      <c r="F494" s="219"/>
      <c r="G494" s="210"/>
      <c r="H494" s="209"/>
      <c r="I494" s="209"/>
      <c r="J494" s="209"/>
      <c r="K494" s="209"/>
      <c r="L494" s="209"/>
      <c r="M494" s="209"/>
      <c r="N494" s="211"/>
      <c r="O494" s="211"/>
      <c r="P494" s="211"/>
      <c r="Q494" s="211"/>
      <c r="R494" s="211"/>
      <c r="S494" s="211"/>
      <c r="T494" s="211"/>
      <c r="U494" s="211"/>
      <c r="V494" s="212"/>
      <c r="W494" s="211"/>
      <c r="X494" s="211"/>
      <c r="Y494" s="211"/>
      <c r="Z494" s="211"/>
      <c r="AA494" s="211"/>
      <c r="AB494" s="211"/>
      <c r="AC494" s="211"/>
      <c r="AH494" s="167"/>
      <c r="AI494" s="167"/>
      <c r="AJ494" s="167"/>
      <c r="AK494" s="6"/>
      <c r="AL494" s="6"/>
      <c r="AM494" s="6"/>
      <c r="AN494" s="6"/>
      <c r="AO494" s="6"/>
      <c r="AP494" s="6"/>
    </row>
    <row r="495" spans="1:42" hidden="1" x14ac:dyDescent="0.25">
      <c r="A495" t="s">
        <v>173</v>
      </c>
      <c r="B495" s="195" t="s">
        <v>306</v>
      </c>
      <c r="C495" s="704" t="s">
        <v>1568</v>
      </c>
      <c r="D495" s="706"/>
      <c r="E495" s="706"/>
      <c r="F495" s="706"/>
      <c r="G495" s="706"/>
      <c r="H495" s="706"/>
      <c r="I495" s="706"/>
      <c r="J495" s="706"/>
      <c r="K495" s="706"/>
      <c r="L495" s="706"/>
      <c r="M495" s="706"/>
      <c r="N495" s="721"/>
      <c r="O495" s="721"/>
      <c r="P495" s="721"/>
      <c r="Q495" s="721"/>
      <c r="R495" s="721"/>
      <c r="S495" s="721"/>
      <c r="T495" s="721"/>
      <c r="U495" s="721"/>
      <c r="V495" s="721"/>
      <c r="W495" s="721"/>
      <c r="X495" s="721"/>
      <c r="Y495" s="721"/>
      <c r="Z495" s="721"/>
      <c r="AA495" s="721"/>
      <c r="AB495" s="721"/>
      <c r="AC495" s="734"/>
      <c r="AD495" s="695" t="s">
        <v>1126</v>
      </c>
      <c r="AE495" s="695" t="s">
        <v>1107</v>
      </c>
      <c r="AF495" s="695" t="s">
        <v>1108</v>
      </c>
      <c r="AG495" s="695" t="s">
        <v>1127</v>
      </c>
      <c r="AH495" s="167"/>
      <c r="AI495" s="167"/>
      <c r="AJ495" s="167"/>
      <c r="AK495" s="6"/>
      <c r="AL495" s="6"/>
      <c r="AM495" s="6"/>
      <c r="AN495" s="6"/>
      <c r="AO495" s="6"/>
      <c r="AP495" s="6"/>
    </row>
    <row r="496" spans="1:42" hidden="1" x14ac:dyDescent="0.25">
      <c r="A496" t="s">
        <v>173</v>
      </c>
      <c r="C496" s="213" t="s">
        <v>1145</v>
      </c>
      <c r="D496" s="213" t="s">
        <v>1146</v>
      </c>
      <c r="E496" s="213" t="s">
        <v>1147</v>
      </c>
      <c r="F496" s="214" t="s">
        <v>1148</v>
      </c>
      <c r="G496" s="214" t="s">
        <v>1149</v>
      </c>
      <c r="H496" s="214" t="s">
        <v>1150</v>
      </c>
      <c r="I496" s="214" t="s">
        <v>1151</v>
      </c>
      <c r="J496" s="214" t="s">
        <v>1152</v>
      </c>
      <c r="K496" s="214" t="s">
        <v>1153</v>
      </c>
      <c r="L496" s="214" t="s">
        <v>1154</v>
      </c>
      <c r="M496" s="214" t="s">
        <v>1133</v>
      </c>
      <c r="N496" s="214" t="s">
        <v>1134</v>
      </c>
      <c r="O496" s="214" t="s">
        <v>1115</v>
      </c>
      <c r="P496" s="214" t="s">
        <v>1240</v>
      </c>
      <c r="Q496" s="214" t="s">
        <v>1117</v>
      </c>
      <c r="R496" s="214" t="s">
        <v>1156</v>
      </c>
      <c r="S496" s="214" t="s">
        <v>1157</v>
      </c>
      <c r="T496" s="214" t="s">
        <v>1158</v>
      </c>
      <c r="U496" s="214" t="s">
        <v>1159</v>
      </c>
      <c r="V496" s="214" t="s">
        <v>1160</v>
      </c>
      <c r="W496" s="214" t="s">
        <v>1161</v>
      </c>
      <c r="X496" s="214" t="s">
        <v>1162</v>
      </c>
      <c r="Y496" s="214" t="s">
        <v>1164</v>
      </c>
      <c r="Z496" s="214" t="s">
        <v>1166</v>
      </c>
      <c r="AA496" s="214" t="s">
        <v>1116</v>
      </c>
      <c r="AB496" s="214" t="s">
        <v>1167</v>
      </c>
      <c r="AC496" s="214" t="s">
        <v>1168</v>
      </c>
      <c r="AD496" s="696"/>
      <c r="AE496" s="696"/>
      <c r="AF496" s="696"/>
      <c r="AG496" s="696"/>
      <c r="AH496" s="167"/>
      <c r="AI496" s="167"/>
      <c r="AJ496" s="167"/>
      <c r="AK496" s="6"/>
      <c r="AL496" s="6"/>
      <c r="AM496" s="6"/>
      <c r="AN496" s="6"/>
      <c r="AO496" s="6"/>
      <c r="AP496" s="6"/>
    </row>
    <row r="497" spans="1:42" hidden="1" x14ac:dyDescent="0.25">
      <c r="A497" t="s">
        <v>173</v>
      </c>
      <c r="B497" s="259"/>
      <c r="C497" s="190"/>
      <c r="D497" s="255"/>
      <c r="E497" s="255"/>
      <c r="F497" s="189"/>
      <c r="G497" s="191"/>
      <c r="H497" s="189"/>
      <c r="I497" s="189"/>
      <c r="J497" s="189"/>
      <c r="K497" s="189"/>
      <c r="L497" s="189"/>
      <c r="M497" s="189">
        <f>$B$2</f>
        <v>20180328</v>
      </c>
      <c r="N497" s="113" t="str">
        <f>G487</f>
        <v>9999</v>
      </c>
      <c r="O497" s="111">
        <f>C487</f>
        <v>99990201</v>
      </c>
      <c r="P497" s="111"/>
      <c r="Q497" s="111" t="str">
        <f>B487</f>
        <v>CZCE</v>
      </c>
      <c r="R497" s="111"/>
      <c r="S497" s="111"/>
      <c r="T497" s="111">
        <v>1</v>
      </c>
      <c r="U497" s="111">
        <v>1</v>
      </c>
      <c r="V497" s="113">
        <v>1</v>
      </c>
      <c r="W497" s="113">
        <f>E487</f>
        <v>0</v>
      </c>
      <c r="X497" s="111" t="s">
        <v>1163</v>
      </c>
      <c r="Y497" s="111"/>
      <c r="Z497" s="111">
        <v>0</v>
      </c>
      <c r="AA497" s="111" t="str">
        <f>D487</f>
        <v>CNY</v>
      </c>
      <c r="AB497" s="111"/>
      <c r="AC497" s="111"/>
      <c r="AD497" s="189" t="s">
        <v>1128</v>
      </c>
      <c r="AE497" s="111"/>
      <c r="AF497" s="111"/>
      <c r="AG497" s="111">
        <v>0</v>
      </c>
      <c r="AH497" s="167"/>
      <c r="AI497" s="167"/>
      <c r="AJ497" s="167"/>
      <c r="AK497" s="6"/>
      <c r="AL497" s="6"/>
      <c r="AM497" s="6"/>
      <c r="AN497" s="6"/>
      <c r="AO497" s="6"/>
      <c r="AP497" s="6"/>
    </row>
    <row r="498" spans="1:42" hidden="1" x14ac:dyDescent="0.25">
      <c r="A498" t="s">
        <v>173</v>
      </c>
      <c r="B498" s="259" t="s">
        <v>1183</v>
      </c>
      <c r="C498" s="193"/>
      <c r="D498" s="259"/>
      <c r="E498" s="259"/>
      <c r="F498" s="188"/>
      <c r="G498" s="194"/>
      <c r="H498" s="188"/>
      <c r="I498" s="188"/>
      <c r="J498" s="188"/>
      <c r="K498" s="188"/>
      <c r="L498" s="188"/>
      <c r="M498" s="188"/>
      <c r="N498" s="167"/>
      <c r="O498" s="167"/>
      <c r="P498" s="167"/>
      <c r="Q498" s="167"/>
      <c r="R498" s="167"/>
      <c r="S498" s="167"/>
      <c r="T498" s="167"/>
      <c r="U498" s="167"/>
      <c r="V498" s="182"/>
      <c r="W498" s="167"/>
      <c r="X498" s="167"/>
      <c r="Y498" s="167"/>
      <c r="Z498" s="167"/>
      <c r="AA498" s="167"/>
      <c r="AB498" s="167"/>
      <c r="AC498" s="167"/>
      <c r="AD498" s="167"/>
      <c r="AE498" s="167"/>
      <c r="AF498" s="167"/>
      <c r="AG498" s="167"/>
      <c r="AH498" s="167"/>
      <c r="AI498" s="167"/>
      <c r="AJ498" s="167"/>
      <c r="AK498" s="6"/>
      <c r="AL498" s="6"/>
      <c r="AM498" s="6"/>
      <c r="AN498" s="6"/>
      <c r="AO498" s="6"/>
      <c r="AP498" s="6"/>
    </row>
    <row r="499" spans="1:42" hidden="1" x14ac:dyDescent="0.25">
      <c r="A499" t="s">
        <v>173</v>
      </c>
      <c r="B499" s="195" t="s">
        <v>124</v>
      </c>
      <c r="C499" s="218" t="s">
        <v>1242</v>
      </c>
      <c r="D499" s="218"/>
      <c r="E499" s="218"/>
      <c r="F499" s="219"/>
      <c r="G499" s="210"/>
      <c r="H499" s="209"/>
      <c r="I499" s="209"/>
      <c r="J499" s="209"/>
      <c r="K499" s="209"/>
      <c r="L499" s="209"/>
      <c r="M499" s="209"/>
      <c r="N499" s="211"/>
      <c r="O499" s="211"/>
      <c r="P499" s="211"/>
      <c r="Q499" s="211"/>
      <c r="R499" s="211"/>
      <c r="S499" s="211"/>
      <c r="T499" s="211"/>
      <c r="U499" s="211"/>
      <c r="V499" s="212"/>
      <c r="W499" s="211"/>
      <c r="X499" s="211"/>
      <c r="Y499" s="211"/>
      <c r="Z499" s="211"/>
      <c r="AA499" s="211"/>
      <c r="AB499" s="211"/>
      <c r="AC499" s="211"/>
      <c r="AD499" s="211"/>
      <c r="AE499" s="167"/>
      <c r="AF499" s="167"/>
      <c r="AG499" s="167"/>
      <c r="AH499" s="167"/>
      <c r="AI499" s="167"/>
      <c r="AJ499" s="167"/>
      <c r="AK499" s="6"/>
      <c r="AL499" s="6"/>
      <c r="AM499" s="6"/>
      <c r="AN499" s="6"/>
      <c r="AO499" s="6"/>
      <c r="AP499" s="6"/>
    </row>
    <row r="500" spans="1:42" hidden="1" x14ac:dyDescent="0.25">
      <c r="A500" t="s">
        <v>173</v>
      </c>
      <c r="B500" s="195" t="s">
        <v>306</v>
      </c>
      <c r="C500" s="704" t="s">
        <v>1568</v>
      </c>
      <c r="D500" s="706"/>
      <c r="E500" s="706"/>
      <c r="F500" s="706"/>
      <c r="G500" s="706"/>
      <c r="H500" s="706"/>
      <c r="I500" s="706"/>
      <c r="J500" s="706"/>
      <c r="K500" s="706"/>
      <c r="L500" s="706"/>
      <c r="M500" s="706"/>
      <c r="N500" s="721"/>
      <c r="O500" s="721"/>
      <c r="P500" s="721"/>
      <c r="Q500" s="721"/>
      <c r="R500" s="721"/>
      <c r="S500" s="721"/>
      <c r="T500" s="721"/>
      <c r="U500" s="721"/>
      <c r="V500" s="721"/>
      <c r="W500" s="721"/>
      <c r="X500" s="721"/>
      <c r="Y500" s="721"/>
      <c r="Z500" s="721"/>
      <c r="AA500" s="721"/>
      <c r="AB500" s="721"/>
      <c r="AC500" s="734"/>
      <c r="AD500" s="695" t="s">
        <v>1126</v>
      </c>
      <c r="AE500" s="695" t="s">
        <v>1107</v>
      </c>
      <c r="AF500" s="695" t="s">
        <v>1108</v>
      </c>
      <c r="AG500" s="695" t="s">
        <v>1127</v>
      </c>
      <c r="AH500" s="167"/>
      <c r="AI500" s="167"/>
      <c r="AJ500" s="167"/>
      <c r="AK500" s="6"/>
      <c r="AL500" s="6"/>
      <c r="AM500" s="6"/>
      <c r="AN500" s="6"/>
      <c r="AO500" s="6"/>
      <c r="AP500" s="6"/>
    </row>
    <row r="501" spans="1:42" hidden="1" x14ac:dyDescent="0.25">
      <c r="A501" t="s">
        <v>173</v>
      </c>
      <c r="C501" s="213" t="s">
        <v>1145</v>
      </c>
      <c r="D501" s="213" t="s">
        <v>1146</v>
      </c>
      <c r="E501" s="213" t="s">
        <v>1147</v>
      </c>
      <c r="F501" s="214" t="s">
        <v>1148</v>
      </c>
      <c r="G501" s="214" t="s">
        <v>1149</v>
      </c>
      <c r="H501" s="214" t="s">
        <v>1150</v>
      </c>
      <c r="I501" s="214" t="s">
        <v>1151</v>
      </c>
      <c r="J501" s="214" t="s">
        <v>1152</v>
      </c>
      <c r="K501" s="214" t="s">
        <v>1153</v>
      </c>
      <c r="L501" s="214" t="s">
        <v>1154</v>
      </c>
      <c r="M501" s="214" t="s">
        <v>1133</v>
      </c>
      <c r="N501" s="214" t="s">
        <v>1134</v>
      </c>
      <c r="O501" s="214" t="s">
        <v>1115</v>
      </c>
      <c r="P501" s="214" t="s">
        <v>1240</v>
      </c>
      <c r="Q501" s="214" t="s">
        <v>1117</v>
      </c>
      <c r="R501" s="214" t="s">
        <v>1156</v>
      </c>
      <c r="S501" s="214" t="s">
        <v>1157</v>
      </c>
      <c r="T501" s="214" t="s">
        <v>1158</v>
      </c>
      <c r="U501" s="214" t="s">
        <v>1159</v>
      </c>
      <c r="V501" s="214" t="s">
        <v>1160</v>
      </c>
      <c r="W501" s="214" t="s">
        <v>1161</v>
      </c>
      <c r="X501" s="214" t="s">
        <v>1162</v>
      </c>
      <c r="Y501" s="214" t="s">
        <v>1164</v>
      </c>
      <c r="Z501" s="214" t="s">
        <v>1166</v>
      </c>
      <c r="AA501" s="214" t="s">
        <v>1116</v>
      </c>
      <c r="AB501" s="214" t="s">
        <v>1167</v>
      </c>
      <c r="AC501" s="214" t="s">
        <v>1168</v>
      </c>
      <c r="AD501" s="696"/>
      <c r="AE501" s="696"/>
      <c r="AF501" s="696"/>
      <c r="AG501" s="696"/>
      <c r="AH501" s="167"/>
      <c r="AI501" s="167"/>
      <c r="AJ501" s="167"/>
      <c r="AK501" s="6"/>
      <c r="AL501" s="6"/>
      <c r="AM501" s="6"/>
      <c r="AN501" s="6"/>
      <c r="AO501" s="6"/>
      <c r="AP501" s="6"/>
    </row>
    <row r="502" spans="1:42" hidden="1" x14ac:dyDescent="0.25">
      <c r="A502" t="s">
        <v>173</v>
      </c>
      <c r="B502" s="259"/>
      <c r="C502" s="213">
        <f>G2</f>
        <v>2</v>
      </c>
      <c r="D502" s="213">
        <v>1</v>
      </c>
      <c r="E502" s="213" t="s">
        <v>1173</v>
      </c>
      <c r="F502" s="214">
        <f>$B$2</f>
        <v>20180328</v>
      </c>
      <c r="G502" s="215">
        <v>0.7289930555555556</v>
      </c>
      <c r="H502" s="214"/>
      <c r="I502" s="214"/>
      <c r="J502" s="214"/>
      <c r="K502" s="214" t="s">
        <v>1243</v>
      </c>
      <c r="L502" s="214">
        <v>1</v>
      </c>
      <c r="M502" s="214">
        <f>$B$2</f>
        <v>20180328</v>
      </c>
      <c r="N502" s="216" t="str">
        <f>N497</f>
        <v>9999</v>
      </c>
      <c r="O502" s="217">
        <f>O497</f>
        <v>99990201</v>
      </c>
      <c r="P502" s="217"/>
      <c r="Q502" s="217" t="str">
        <f>Q497</f>
        <v>CZCE</v>
      </c>
      <c r="R502" s="217"/>
      <c r="S502" s="217">
        <v>1</v>
      </c>
      <c r="T502" s="217">
        <v>1</v>
      </c>
      <c r="U502" s="217">
        <v>1</v>
      </c>
      <c r="V502" s="216">
        <v>1</v>
      </c>
      <c r="W502" s="216">
        <f>W497</f>
        <v>0</v>
      </c>
      <c r="X502" s="217" t="s">
        <v>1163</v>
      </c>
      <c r="Y502" s="217">
        <v>1</v>
      </c>
      <c r="Z502" s="217">
        <v>0</v>
      </c>
      <c r="AA502" s="217" t="str">
        <f>AA497</f>
        <v>CNY</v>
      </c>
      <c r="AB502" s="217"/>
      <c r="AC502" s="217"/>
      <c r="AD502" s="214" t="s">
        <v>1128</v>
      </c>
      <c r="AE502" s="111"/>
      <c r="AF502" s="111"/>
      <c r="AG502" s="111">
        <v>0</v>
      </c>
      <c r="AH502" s="167"/>
      <c r="AI502" s="167"/>
      <c r="AJ502" s="167"/>
      <c r="AK502" s="6"/>
      <c r="AL502" s="6"/>
      <c r="AM502" s="6"/>
      <c r="AN502" s="6"/>
      <c r="AO502" s="6"/>
      <c r="AP502" s="6"/>
    </row>
    <row r="503" spans="1:42" hidden="1" x14ac:dyDescent="0.25">
      <c r="A503" t="s">
        <v>173</v>
      </c>
      <c r="B503" s="323" t="s">
        <v>1905</v>
      </c>
      <c r="C503" s="193"/>
      <c r="D503" s="323"/>
      <c r="E503" s="323"/>
      <c r="F503" s="188"/>
      <c r="G503" s="194"/>
      <c r="H503" s="188"/>
      <c r="I503" s="188"/>
      <c r="J503" s="188"/>
      <c r="K503" s="188"/>
      <c r="L503" s="188"/>
      <c r="M503" s="188"/>
      <c r="N503" s="167"/>
      <c r="O503" s="167"/>
      <c r="P503" s="167"/>
      <c r="Q503" s="167"/>
      <c r="R503" s="167"/>
      <c r="S503" s="167"/>
      <c r="T503" s="167"/>
      <c r="U503" s="167"/>
      <c r="V503" s="182"/>
      <c r="W503" s="167"/>
      <c r="X503" s="167"/>
      <c r="Y503" s="167"/>
      <c r="Z503" s="167"/>
      <c r="AA503" s="167"/>
      <c r="AB503" s="167"/>
      <c r="AC503" s="167"/>
      <c r="AD503" s="167"/>
      <c r="AE503" s="167"/>
      <c r="AF503" s="167"/>
      <c r="AG503" s="167"/>
      <c r="AH503" s="167"/>
      <c r="AI503" s="167"/>
      <c r="AJ503" s="167"/>
      <c r="AK503" s="6"/>
      <c r="AL503" s="6"/>
      <c r="AM503" s="6"/>
      <c r="AN503" s="6"/>
      <c r="AO503" s="6"/>
      <c r="AP503" s="6"/>
    </row>
    <row r="504" spans="1:42" hidden="1" x14ac:dyDescent="0.25">
      <c r="A504" t="s">
        <v>173</v>
      </c>
      <c r="B504" s="195" t="s">
        <v>124</v>
      </c>
      <c r="C504" s="218" t="s">
        <v>1239</v>
      </c>
      <c r="D504" s="218"/>
      <c r="E504" s="218"/>
      <c r="F504" s="219"/>
      <c r="G504" s="210"/>
      <c r="H504" s="209"/>
      <c r="I504" s="209"/>
      <c r="J504" s="209"/>
      <c r="K504" s="209"/>
      <c r="L504" s="209"/>
      <c r="M504" s="209"/>
      <c r="N504" s="211"/>
      <c r="O504" s="211"/>
      <c r="P504" s="211"/>
      <c r="Q504" s="211"/>
      <c r="R504" s="211"/>
      <c r="S504" s="211"/>
      <c r="T504" s="211"/>
      <c r="U504" s="211"/>
      <c r="V504" s="212"/>
      <c r="W504" s="211"/>
      <c r="X504" s="211"/>
      <c r="Y504" s="211"/>
      <c r="Z504" s="211"/>
      <c r="AA504" s="211"/>
      <c r="AB504" s="211"/>
      <c r="AC504" s="211"/>
      <c r="AH504" s="167"/>
      <c r="AI504" s="167"/>
      <c r="AJ504" s="167"/>
      <c r="AK504" s="6"/>
      <c r="AL504" s="6"/>
      <c r="AM504" s="6"/>
      <c r="AN504" s="6"/>
      <c r="AO504" s="6"/>
      <c r="AP504" s="6"/>
    </row>
    <row r="505" spans="1:42" hidden="1" x14ac:dyDescent="0.25">
      <c r="A505" t="s">
        <v>173</v>
      </c>
      <c r="B505" s="195" t="s">
        <v>306</v>
      </c>
      <c r="C505" s="704" t="s">
        <v>1568</v>
      </c>
      <c r="D505" s="706"/>
      <c r="E505" s="706"/>
      <c r="F505" s="706"/>
      <c r="G505" s="706"/>
      <c r="H505" s="706"/>
      <c r="I505" s="706"/>
      <c r="J505" s="706"/>
      <c r="K505" s="706"/>
      <c r="L505" s="706"/>
      <c r="M505" s="706"/>
      <c r="N505" s="721"/>
      <c r="O505" s="721"/>
      <c r="P505" s="721"/>
      <c r="Q505" s="721"/>
      <c r="R505" s="721"/>
      <c r="S505" s="721"/>
      <c r="T505" s="721"/>
      <c r="U505" s="721"/>
      <c r="V505" s="721"/>
      <c r="W505" s="721"/>
      <c r="X505" s="721"/>
      <c r="Y505" s="721"/>
      <c r="Z505" s="721"/>
      <c r="AA505" s="721"/>
      <c r="AB505" s="721"/>
      <c r="AC505" s="734"/>
      <c r="AD505" s="695" t="s">
        <v>1126</v>
      </c>
      <c r="AE505" s="695" t="s">
        <v>1107</v>
      </c>
      <c r="AF505" s="695" t="s">
        <v>1108</v>
      </c>
      <c r="AG505" s="695" t="s">
        <v>1127</v>
      </c>
      <c r="AH505" s="167"/>
      <c r="AI505" s="167"/>
      <c r="AJ505" s="167"/>
      <c r="AK505" s="6"/>
      <c r="AL505" s="6"/>
      <c r="AM505" s="6"/>
      <c r="AN505" s="6"/>
      <c r="AO505" s="6"/>
      <c r="AP505" s="6"/>
    </row>
    <row r="506" spans="1:42" hidden="1" x14ac:dyDescent="0.25">
      <c r="A506" t="s">
        <v>173</v>
      </c>
      <c r="C506" s="213" t="s">
        <v>1145</v>
      </c>
      <c r="D506" s="213" t="s">
        <v>1146</v>
      </c>
      <c r="E506" s="213" t="s">
        <v>1147</v>
      </c>
      <c r="F506" s="214" t="s">
        <v>1148</v>
      </c>
      <c r="G506" s="214" t="s">
        <v>1149</v>
      </c>
      <c r="H506" s="214" t="s">
        <v>1150</v>
      </c>
      <c r="I506" s="214" t="s">
        <v>1151</v>
      </c>
      <c r="J506" s="214" t="s">
        <v>1152</v>
      </c>
      <c r="K506" s="214" t="s">
        <v>1153</v>
      </c>
      <c r="L506" s="214" t="s">
        <v>1154</v>
      </c>
      <c r="M506" s="214" t="s">
        <v>1133</v>
      </c>
      <c r="N506" s="214" t="s">
        <v>1134</v>
      </c>
      <c r="O506" s="214" t="s">
        <v>1115</v>
      </c>
      <c r="P506" s="214" t="s">
        <v>1240</v>
      </c>
      <c r="Q506" s="214" t="s">
        <v>1117</v>
      </c>
      <c r="R506" s="214" t="s">
        <v>1156</v>
      </c>
      <c r="S506" s="214" t="s">
        <v>1157</v>
      </c>
      <c r="T506" s="214" t="s">
        <v>1158</v>
      </c>
      <c r="U506" s="214" t="s">
        <v>1159</v>
      </c>
      <c r="V506" s="214" t="s">
        <v>1160</v>
      </c>
      <c r="W506" s="214" t="s">
        <v>1161</v>
      </c>
      <c r="X506" s="214" t="s">
        <v>1162</v>
      </c>
      <c r="Y506" s="214" t="s">
        <v>1164</v>
      </c>
      <c r="Z506" s="214" t="s">
        <v>1166</v>
      </c>
      <c r="AA506" s="214" t="s">
        <v>1116</v>
      </c>
      <c r="AB506" s="214" t="s">
        <v>1167</v>
      </c>
      <c r="AC506" s="214" t="s">
        <v>1168</v>
      </c>
      <c r="AD506" s="696"/>
      <c r="AE506" s="696"/>
      <c r="AF506" s="696"/>
      <c r="AG506" s="696"/>
      <c r="AH506" s="167"/>
      <c r="AI506" s="167"/>
      <c r="AJ506" s="167"/>
      <c r="AK506" s="6"/>
      <c r="AL506" s="6"/>
      <c r="AM506" s="6"/>
      <c r="AN506" s="6"/>
      <c r="AO506" s="6"/>
      <c r="AP506" s="6"/>
    </row>
    <row r="507" spans="1:42" hidden="1" x14ac:dyDescent="0.25">
      <c r="A507" t="s">
        <v>173</v>
      </c>
      <c r="B507" s="323"/>
      <c r="C507" s="190"/>
      <c r="D507" s="425"/>
      <c r="E507" s="425"/>
      <c r="F507" s="189"/>
      <c r="G507" s="191"/>
      <c r="H507" s="189"/>
      <c r="I507" s="189"/>
      <c r="J507" s="189"/>
      <c r="K507" s="189"/>
      <c r="L507" s="189"/>
      <c r="M507" s="189">
        <f>$B$2</f>
        <v>20180328</v>
      </c>
      <c r="N507" s="113" t="str">
        <f>G488</f>
        <v>9999</v>
      </c>
      <c r="O507" s="111">
        <f>C488</f>
        <v>99990203</v>
      </c>
      <c r="P507" s="111"/>
      <c r="Q507" s="111" t="str">
        <f>B488</f>
        <v>CZCE</v>
      </c>
      <c r="R507" s="111"/>
      <c r="S507" s="111"/>
      <c r="T507" s="111">
        <v>1</v>
      </c>
      <c r="U507" s="111">
        <v>1</v>
      </c>
      <c r="V507" s="113">
        <v>1</v>
      </c>
      <c r="W507" s="113">
        <f>E488</f>
        <v>0</v>
      </c>
      <c r="X507" s="111" t="s">
        <v>1874</v>
      </c>
      <c r="Y507" s="111"/>
      <c r="Z507" s="111">
        <v>0</v>
      </c>
      <c r="AA507" s="111" t="str">
        <f>D488</f>
        <v>HKD</v>
      </c>
      <c r="AB507" s="111"/>
      <c r="AC507" s="111"/>
      <c r="AD507" s="189" t="s">
        <v>1128</v>
      </c>
      <c r="AE507" s="111"/>
      <c r="AF507" s="111"/>
      <c r="AG507" s="111">
        <v>0</v>
      </c>
      <c r="AH507" s="167"/>
      <c r="AI507" s="167"/>
      <c r="AJ507" s="167"/>
      <c r="AK507" s="6"/>
      <c r="AL507" s="6"/>
      <c r="AM507" s="6"/>
      <c r="AN507" s="6"/>
      <c r="AO507" s="6"/>
      <c r="AP507" s="6"/>
    </row>
    <row r="508" spans="1:42" hidden="1" x14ac:dyDescent="0.25">
      <c r="A508" t="s">
        <v>173</v>
      </c>
      <c r="B508" s="323" t="s">
        <v>1911</v>
      </c>
      <c r="C508" s="193"/>
      <c r="D508" s="323"/>
      <c r="E508" s="323"/>
      <c r="F508" s="188"/>
      <c r="G508" s="194"/>
      <c r="H508" s="188"/>
      <c r="I508" s="188"/>
      <c r="J508" s="188"/>
      <c r="K508" s="188"/>
      <c r="L508" s="188"/>
      <c r="M508" s="188"/>
      <c r="N508" s="167"/>
      <c r="O508" s="167"/>
      <c r="P508" s="167"/>
      <c r="Q508" s="167"/>
      <c r="R508" s="167"/>
      <c r="S508" s="167"/>
      <c r="T508" s="167"/>
      <c r="U508" s="167"/>
      <c r="V508" s="182"/>
      <c r="W508" s="167"/>
      <c r="X508" s="167"/>
      <c r="Y508" s="167"/>
      <c r="Z508" s="167"/>
      <c r="AA508" s="167"/>
      <c r="AB508" s="167"/>
      <c r="AC508" s="167"/>
      <c r="AD508" s="167"/>
      <c r="AE508" s="167"/>
      <c r="AF508" s="167"/>
      <c r="AG508" s="167"/>
      <c r="AH508" s="167"/>
      <c r="AI508" s="167"/>
      <c r="AJ508" s="167"/>
      <c r="AK508" s="6"/>
      <c r="AL508" s="6"/>
      <c r="AM508" s="6"/>
      <c r="AN508" s="6"/>
      <c r="AO508" s="6"/>
      <c r="AP508" s="6"/>
    </row>
    <row r="509" spans="1:42" hidden="1" x14ac:dyDescent="0.25">
      <c r="A509" t="s">
        <v>173</v>
      </c>
      <c r="B509" s="195" t="s">
        <v>124</v>
      </c>
      <c r="C509" s="218" t="s">
        <v>1242</v>
      </c>
      <c r="D509" s="218"/>
      <c r="E509" s="218"/>
      <c r="F509" s="219"/>
      <c r="G509" s="210"/>
      <c r="H509" s="209"/>
      <c r="I509" s="209"/>
      <c r="J509" s="209"/>
      <c r="K509" s="209"/>
      <c r="L509" s="209"/>
      <c r="M509" s="209"/>
      <c r="N509" s="211"/>
      <c r="O509" s="211"/>
      <c r="P509" s="211"/>
      <c r="Q509" s="211"/>
      <c r="R509" s="211"/>
      <c r="S509" s="211"/>
      <c r="T509" s="211"/>
      <c r="U509" s="211"/>
      <c r="V509" s="212"/>
      <c r="W509" s="211"/>
      <c r="X509" s="211"/>
      <c r="Y509" s="211"/>
      <c r="Z509" s="211"/>
      <c r="AA509" s="211"/>
      <c r="AB509" s="211"/>
      <c r="AC509" s="211"/>
      <c r="AD509" s="211"/>
      <c r="AE509" s="167"/>
      <c r="AF509" s="167"/>
      <c r="AG509" s="167"/>
      <c r="AH509" s="167"/>
      <c r="AI509" s="167"/>
      <c r="AJ509" s="167"/>
      <c r="AK509" s="6"/>
      <c r="AL509" s="6"/>
      <c r="AM509" s="6"/>
      <c r="AN509" s="6"/>
      <c r="AO509" s="6"/>
      <c r="AP509" s="6"/>
    </row>
    <row r="510" spans="1:42" hidden="1" x14ac:dyDescent="0.25">
      <c r="A510" t="s">
        <v>173</v>
      </c>
      <c r="B510" s="195" t="s">
        <v>306</v>
      </c>
      <c r="C510" s="704" t="s">
        <v>1568</v>
      </c>
      <c r="D510" s="706"/>
      <c r="E510" s="706"/>
      <c r="F510" s="706"/>
      <c r="G510" s="706"/>
      <c r="H510" s="706"/>
      <c r="I510" s="706"/>
      <c r="J510" s="706"/>
      <c r="K510" s="706"/>
      <c r="L510" s="706"/>
      <c r="M510" s="706"/>
      <c r="N510" s="721"/>
      <c r="O510" s="721"/>
      <c r="P510" s="721"/>
      <c r="Q510" s="721"/>
      <c r="R510" s="721"/>
      <c r="S510" s="721"/>
      <c r="T510" s="721"/>
      <c r="U510" s="721"/>
      <c r="V510" s="721"/>
      <c r="W510" s="721"/>
      <c r="X510" s="721"/>
      <c r="Y510" s="721"/>
      <c r="Z510" s="721"/>
      <c r="AA510" s="721"/>
      <c r="AB510" s="721"/>
      <c r="AC510" s="734"/>
      <c r="AD510" s="695" t="s">
        <v>1126</v>
      </c>
      <c r="AE510" s="695" t="s">
        <v>1107</v>
      </c>
      <c r="AF510" s="695" t="s">
        <v>1108</v>
      </c>
      <c r="AG510" s="695" t="s">
        <v>1127</v>
      </c>
      <c r="AH510" s="167"/>
      <c r="AI510" s="167"/>
      <c r="AJ510" s="167"/>
      <c r="AK510" s="6"/>
      <c r="AL510" s="6"/>
      <c r="AM510" s="6"/>
      <c r="AN510" s="6"/>
      <c r="AO510" s="6"/>
      <c r="AP510" s="6"/>
    </row>
    <row r="511" spans="1:42" hidden="1" x14ac:dyDescent="0.25">
      <c r="A511" t="s">
        <v>173</v>
      </c>
      <c r="C511" s="213" t="s">
        <v>1145</v>
      </c>
      <c r="D511" s="213" t="s">
        <v>1146</v>
      </c>
      <c r="E511" s="213" t="s">
        <v>1147</v>
      </c>
      <c r="F511" s="214" t="s">
        <v>1148</v>
      </c>
      <c r="G511" s="214" t="s">
        <v>1149</v>
      </c>
      <c r="H511" s="214" t="s">
        <v>1150</v>
      </c>
      <c r="I511" s="214" t="s">
        <v>1151</v>
      </c>
      <c r="J511" s="214" t="s">
        <v>1152</v>
      </c>
      <c r="K511" s="214" t="s">
        <v>1153</v>
      </c>
      <c r="L511" s="214" t="s">
        <v>1154</v>
      </c>
      <c r="M511" s="214" t="s">
        <v>1133</v>
      </c>
      <c r="N511" s="214" t="s">
        <v>1134</v>
      </c>
      <c r="O511" s="214" t="s">
        <v>1115</v>
      </c>
      <c r="P511" s="214" t="s">
        <v>1240</v>
      </c>
      <c r="Q511" s="214" t="s">
        <v>1117</v>
      </c>
      <c r="R511" s="214" t="s">
        <v>1156</v>
      </c>
      <c r="S511" s="214" t="s">
        <v>1157</v>
      </c>
      <c r="T511" s="214" t="s">
        <v>1158</v>
      </c>
      <c r="U511" s="214" t="s">
        <v>1159</v>
      </c>
      <c r="V511" s="214" t="s">
        <v>1160</v>
      </c>
      <c r="W511" s="214" t="s">
        <v>1161</v>
      </c>
      <c r="X511" s="214" t="s">
        <v>1162</v>
      </c>
      <c r="Y511" s="214" t="s">
        <v>1164</v>
      </c>
      <c r="Z511" s="214" t="s">
        <v>1166</v>
      </c>
      <c r="AA511" s="214" t="s">
        <v>1116</v>
      </c>
      <c r="AB511" s="214" t="s">
        <v>1167</v>
      </c>
      <c r="AC511" s="214" t="s">
        <v>1168</v>
      </c>
      <c r="AD511" s="696"/>
      <c r="AE511" s="696"/>
      <c r="AF511" s="696"/>
      <c r="AG511" s="696"/>
      <c r="AH511" s="167"/>
      <c r="AI511" s="167"/>
      <c r="AJ511" s="167"/>
      <c r="AK511" s="6"/>
      <c r="AL511" s="6"/>
      <c r="AM511" s="6"/>
      <c r="AN511" s="6"/>
      <c r="AO511" s="6"/>
      <c r="AP511" s="6"/>
    </row>
    <row r="512" spans="1:42" hidden="1" x14ac:dyDescent="0.25">
      <c r="A512" t="s">
        <v>173</v>
      </c>
      <c r="B512" s="323"/>
      <c r="C512" s="213">
        <f>C502+1</f>
        <v>3</v>
      </c>
      <c r="D512" s="213">
        <v>1</v>
      </c>
      <c r="E512" s="213" t="s">
        <v>1173</v>
      </c>
      <c r="F512" s="214">
        <f>$B$2</f>
        <v>20180328</v>
      </c>
      <c r="G512" s="215">
        <v>0.7289930555555556</v>
      </c>
      <c r="H512" s="214"/>
      <c r="I512" s="214"/>
      <c r="J512" s="214"/>
      <c r="K512" s="214" t="s">
        <v>1243</v>
      </c>
      <c r="L512" s="214">
        <v>1</v>
      </c>
      <c r="M512" s="214">
        <f>$B$2</f>
        <v>20180328</v>
      </c>
      <c r="N512" s="216" t="str">
        <f>N507</f>
        <v>9999</v>
      </c>
      <c r="O512" s="217">
        <f>O507</f>
        <v>99990203</v>
      </c>
      <c r="P512" s="217"/>
      <c r="Q512" s="217" t="str">
        <f>Q507</f>
        <v>CZCE</v>
      </c>
      <c r="R512" s="217"/>
      <c r="S512" s="217">
        <v>1</v>
      </c>
      <c r="T512" s="217">
        <v>1</v>
      </c>
      <c r="U512" s="217">
        <v>1</v>
      </c>
      <c r="V512" s="216">
        <v>1</v>
      </c>
      <c r="W512" s="216">
        <f>W507</f>
        <v>0</v>
      </c>
      <c r="X512" s="217" t="s">
        <v>1874</v>
      </c>
      <c r="Y512" s="217">
        <v>1</v>
      </c>
      <c r="Z512" s="217">
        <v>0</v>
      </c>
      <c r="AA512" s="217" t="str">
        <f>AA507</f>
        <v>HKD</v>
      </c>
      <c r="AB512" s="217"/>
      <c r="AC512" s="217"/>
      <c r="AD512" s="214" t="s">
        <v>1128</v>
      </c>
      <c r="AE512" s="111"/>
      <c r="AF512" s="111"/>
      <c r="AG512" s="111">
        <v>0</v>
      </c>
      <c r="AH512" s="167"/>
      <c r="AI512" s="167"/>
      <c r="AJ512" s="167"/>
      <c r="AK512" s="6"/>
      <c r="AL512" s="6"/>
      <c r="AM512" s="6"/>
      <c r="AN512" s="6"/>
      <c r="AO512" s="6"/>
      <c r="AP512" s="6"/>
    </row>
    <row r="513" spans="1:43" hidden="1" x14ac:dyDescent="0.25">
      <c r="A513" t="s">
        <v>173</v>
      </c>
      <c r="B513" s="256" t="s">
        <v>1244</v>
      </c>
      <c r="C513" s="256"/>
      <c r="D513" s="256"/>
      <c r="E513" s="256"/>
      <c r="F513" s="209"/>
      <c r="G513" s="210"/>
      <c r="H513" s="209"/>
      <c r="I513" s="209"/>
      <c r="J513" s="209"/>
      <c r="K513" s="209"/>
      <c r="L513" s="209"/>
      <c r="M513" s="209"/>
      <c r="N513" s="211"/>
      <c r="O513" s="211"/>
      <c r="P513" s="211"/>
      <c r="Q513" s="211"/>
      <c r="R513" s="211"/>
      <c r="S513" s="211"/>
      <c r="T513" s="211"/>
      <c r="U513" s="211"/>
      <c r="V513" s="212"/>
      <c r="W513" s="211"/>
      <c r="X513" s="211"/>
      <c r="Y513" s="211"/>
      <c r="Z513" s="211"/>
      <c r="AA513" s="211"/>
      <c r="AB513" s="211"/>
      <c r="AC513" s="211"/>
      <c r="AD513" s="167"/>
      <c r="AE513" s="167"/>
      <c r="AF513" s="167"/>
      <c r="AG513" s="167"/>
      <c r="AH513" s="167"/>
      <c r="AI513" s="167"/>
      <c r="AJ513" s="167"/>
      <c r="AK513" s="6"/>
      <c r="AL513" s="6"/>
      <c r="AM513" s="6"/>
      <c r="AN513" s="6"/>
      <c r="AO513" s="6"/>
      <c r="AP513" s="6"/>
    </row>
    <row r="514" spans="1:43" hidden="1" x14ac:dyDescent="0.25">
      <c r="A514" t="s">
        <v>173</v>
      </c>
      <c r="B514" s="195" t="s">
        <v>124</v>
      </c>
      <c r="C514" s="218" t="s">
        <v>1239</v>
      </c>
      <c r="D514" s="218"/>
      <c r="E514" s="218"/>
      <c r="F514" s="219"/>
      <c r="G514" s="210"/>
      <c r="H514" s="209"/>
      <c r="I514" s="209"/>
      <c r="J514" s="209"/>
      <c r="K514" s="209"/>
      <c r="L514" s="209"/>
      <c r="M514" s="209"/>
      <c r="N514" s="211"/>
      <c r="O514" s="211"/>
      <c r="P514" s="211"/>
      <c r="Q514" s="211"/>
      <c r="R514" s="211"/>
      <c r="S514" s="211"/>
      <c r="T514" s="211"/>
      <c r="U514" s="211"/>
      <c r="V514" s="212"/>
      <c r="W514" s="211"/>
      <c r="X514" s="211"/>
      <c r="Y514" s="211"/>
      <c r="Z514" s="211"/>
      <c r="AA514" s="211"/>
      <c r="AB514" s="211"/>
      <c r="AC514" s="211"/>
      <c r="AD514" s="43"/>
      <c r="AH514" s="167"/>
      <c r="AI514" s="167"/>
      <c r="AJ514" s="167"/>
      <c r="AK514" s="6"/>
      <c r="AL514" s="6"/>
      <c r="AM514" s="6"/>
      <c r="AN514" s="6"/>
      <c r="AO514" s="6"/>
      <c r="AP514" s="6"/>
    </row>
    <row r="515" spans="1:43" hidden="1" x14ac:dyDescent="0.25">
      <c r="A515" t="s">
        <v>173</v>
      </c>
      <c r="B515" s="195" t="s">
        <v>306</v>
      </c>
      <c r="C515" s="704" t="s">
        <v>1568</v>
      </c>
      <c r="D515" s="706"/>
      <c r="E515" s="706"/>
      <c r="F515" s="706"/>
      <c r="G515" s="706"/>
      <c r="H515" s="706"/>
      <c r="I515" s="706"/>
      <c r="J515" s="706"/>
      <c r="K515" s="706"/>
      <c r="L515" s="706"/>
      <c r="M515" s="706"/>
      <c r="N515" s="721"/>
      <c r="O515" s="721"/>
      <c r="P515" s="721"/>
      <c r="Q515" s="721"/>
      <c r="R515" s="721"/>
      <c r="S515" s="721"/>
      <c r="T515" s="721"/>
      <c r="U515" s="721"/>
      <c r="V515" s="721"/>
      <c r="W515" s="721"/>
      <c r="X515" s="721"/>
      <c r="Y515" s="721"/>
      <c r="Z515" s="721"/>
      <c r="AA515" s="721"/>
      <c r="AB515" s="721"/>
      <c r="AC515" s="734"/>
      <c r="AD515" s="695" t="s">
        <v>1126</v>
      </c>
      <c r="AE515" s="695" t="s">
        <v>1107</v>
      </c>
      <c r="AF515" s="695" t="s">
        <v>1108</v>
      </c>
      <c r="AG515" s="695" t="s">
        <v>1127</v>
      </c>
      <c r="AH515" s="167"/>
      <c r="AI515" s="167"/>
      <c r="AJ515" s="167"/>
      <c r="AK515" s="6"/>
      <c r="AL515" s="6"/>
      <c r="AM515" s="6"/>
      <c r="AN515" s="6"/>
      <c r="AO515" s="6"/>
      <c r="AP515" s="6"/>
    </row>
    <row r="516" spans="1:43" hidden="1" x14ac:dyDescent="0.25">
      <c r="A516" t="s">
        <v>173</v>
      </c>
      <c r="C516" s="213" t="s">
        <v>1145</v>
      </c>
      <c r="D516" s="213" t="s">
        <v>1146</v>
      </c>
      <c r="E516" s="213" t="s">
        <v>1147</v>
      </c>
      <c r="F516" s="214" t="s">
        <v>1148</v>
      </c>
      <c r="G516" s="214" t="s">
        <v>1149</v>
      </c>
      <c r="H516" s="214" t="s">
        <v>1150</v>
      </c>
      <c r="I516" s="214" t="s">
        <v>1151</v>
      </c>
      <c r="J516" s="214" t="s">
        <v>1152</v>
      </c>
      <c r="K516" s="214" t="s">
        <v>1153</v>
      </c>
      <c r="L516" s="214" t="s">
        <v>1154</v>
      </c>
      <c r="M516" s="214" t="s">
        <v>1133</v>
      </c>
      <c r="N516" s="214" t="s">
        <v>1134</v>
      </c>
      <c r="O516" s="214" t="s">
        <v>1115</v>
      </c>
      <c r="P516" s="214" t="s">
        <v>1240</v>
      </c>
      <c r="Q516" s="214" t="s">
        <v>1117</v>
      </c>
      <c r="R516" s="214" t="s">
        <v>1156</v>
      </c>
      <c r="S516" s="214" t="s">
        <v>1157</v>
      </c>
      <c r="T516" s="214" t="s">
        <v>1158</v>
      </c>
      <c r="U516" s="214" t="s">
        <v>1159</v>
      </c>
      <c r="V516" s="214" t="s">
        <v>1160</v>
      </c>
      <c r="W516" s="214" t="s">
        <v>1161</v>
      </c>
      <c r="X516" s="214" t="s">
        <v>1162</v>
      </c>
      <c r="Y516" s="214" t="s">
        <v>1164</v>
      </c>
      <c r="Z516" s="214" t="s">
        <v>1166</v>
      </c>
      <c r="AA516" s="214" t="s">
        <v>1116</v>
      </c>
      <c r="AB516" s="214" t="s">
        <v>1167</v>
      </c>
      <c r="AC516" s="214" t="s">
        <v>1168</v>
      </c>
      <c r="AD516" s="696"/>
      <c r="AE516" s="696"/>
      <c r="AF516" s="696"/>
      <c r="AG516" s="696"/>
      <c r="AH516" s="167"/>
      <c r="AI516" s="167"/>
      <c r="AJ516" s="167"/>
      <c r="AK516" s="6"/>
      <c r="AL516" s="6"/>
      <c r="AM516" s="6"/>
      <c r="AN516" s="6"/>
      <c r="AO516" s="6"/>
      <c r="AP516" s="6"/>
    </row>
    <row r="517" spans="1:43" hidden="1" x14ac:dyDescent="0.25">
      <c r="A517" t="s">
        <v>173</v>
      </c>
      <c r="B517" s="259"/>
      <c r="C517" s="213"/>
      <c r="D517" s="213"/>
      <c r="E517" s="213"/>
      <c r="F517" s="214"/>
      <c r="G517" s="215"/>
      <c r="H517" s="214"/>
      <c r="I517" s="214"/>
      <c r="J517" s="214"/>
      <c r="K517" s="214"/>
      <c r="L517" s="214"/>
      <c r="M517" s="214">
        <f>$B$2</f>
        <v>20180328</v>
      </c>
      <c r="N517" s="216" t="str">
        <f>N497</f>
        <v>9999</v>
      </c>
      <c r="O517" s="217">
        <f>C489</f>
        <v>99990202</v>
      </c>
      <c r="P517" s="217"/>
      <c r="Q517" s="217" t="str">
        <f>Q497</f>
        <v>CZCE</v>
      </c>
      <c r="R517" s="217"/>
      <c r="S517" s="217"/>
      <c r="T517" s="217">
        <v>1</v>
      </c>
      <c r="U517" s="217">
        <v>1</v>
      </c>
      <c r="V517" s="216">
        <v>1</v>
      </c>
      <c r="W517" s="216">
        <f>E489</f>
        <v>0</v>
      </c>
      <c r="X517" s="217" t="s">
        <v>1189</v>
      </c>
      <c r="Y517" s="217"/>
      <c r="Z517" s="217">
        <v>0</v>
      </c>
      <c r="AA517" s="217" t="str">
        <f>D489</f>
        <v>USD</v>
      </c>
      <c r="AB517" s="217"/>
      <c r="AC517" s="217"/>
      <c r="AD517" s="214" t="s">
        <v>1128</v>
      </c>
      <c r="AE517" s="111"/>
      <c r="AF517" s="111"/>
      <c r="AG517" s="111">
        <v>0</v>
      </c>
      <c r="AH517" s="167"/>
      <c r="AI517" s="167"/>
      <c r="AJ517" s="167"/>
      <c r="AK517" s="6"/>
      <c r="AL517" s="6"/>
      <c r="AM517" s="6"/>
      <c r="AN517" s="6"/>
      <c r="AO517" s="6"/>
      <c r="AP517" s="6"/>
    </row>
    <row r="518" spans="1:43" hidden="1" x14ac:dyDescent="0.25">
      <c r="A518" t="s">
        <v>173</v>
      </c>
      <c r="B518" t="s">
        <v>173</v>
      </c>
      <c r="C518" s="256" t="s">
        <v>1185</v>
      </c>
      <c r="D518" s="256"/>
      <c r="E518" s="256"/>
      <c r="F518" s="256"/>
      <c r="G518" s="209"/>
      <c r="H518" s="210"/>
      <c r="I518" s="209"/>
      <c r="J518" s="209"/>
      <c r="K518" s="209"/>
      <c r="L518" s="209"/>
      <c r="M518" s="209"/>
      <c r="N518" s="209"/>
      <c r="O518" s="211"/>
      <c r="P518" s="211"/>
      <c r="Q518" s="211"/>
      <c r="R518" s="211"/>
      <c r="S518" s="211"/>
      <c r="T518" s="211"/>
      <c r="U518" s="211"/>
      <c r="V518" s="211"/>
      <c r="W518" s="212"/>
      <c r="X518" s="211"/>
      <c r="Y518" s="211"/>
      <c r="Z518" s="211"/>
      <c r="AA518" s="211"/>
      <c r="AB518" s="211"/>
      <c r="AC518" s="211"/>
      <c r="AD518" s="211"/>
      <c r="AE518" s="167"/>
      <c r="AF518" s="167"/>
      <c r="AG518" s="167"/>
      <c r="AH518" s="167"/>
      <c r="AI518" s="167"/>
      <c r="AJ518" s="167"/>
      <c r="AK518" s="167"/>
      <c r="AL518" s="6"/>
      <c r="AM518" s="6"/>
      <c r="AN518" s="6"/>
      <c r="AO518" s="6"/>
      <c r="AP518" s="6"/>
      <c r="AQ518" s="6"/>
    </row>
    <row r="519" spans="1:43" hidden="1" x14ac:dyDescent="0.25">
      <c r="A519" t="s">
        <v>173</v>
      </c>
      <c r="B519" s="195" t="s">
        <v>124</v>
      </c>
      <c r="C519" s="218" t="s">
        <v>1242</v>
      </c>
      <c r="D519" s="218"/>
      <c r="E519" s="218"/>
      <c r="F519" s="219"/>
      <c r="G519" s="210"/>
      <c r="H519" s="209"/>
      <c r="I519" s="209"/>
      <c r="J519" s="209"/>
      <c r="K519" s="209"/>
      <c r="L519" s="209"/>
      <c r="M519" s="209"/>
      <c r="N519" s="211"/>
      <c r="O519" s="211"/>
      <c r="P519" s="211"/>
      <c r="Q519" s="211"/>
      <c r="R519" s="211"/>
      <c r="S519" s="211"/>
      <c r="T519" s="211"/>
      <c r="U519" s="211"/>
      <c r="V519" s="212"/>
      <c r="W519" s="211"/>
      <c r="X519" s="211"/>
      <c r="Y519" s="211"/>
      <c r="Z519" s="211"/>
      <c r="AA519" s="211"/>
      <c r="AB519" s="211"/>
      <c r="AC519" s="211"/>
      <c r="AD519" s="211"/>
      <c r="AE519" s="167"/>
      <c r="AF519" s="167"/>
      <c r="AG519" s="167"/>
      <c r="AH519" s="167"/>
      <c r="AI519" s="167"/>
      <c r="AJ519" s="167"/>
      <c r="AK519" s="6"/>
      <c r="AL519" s="6"/>
      <c r="AM519" s="6"/>
      <c r="AN519" s="6"/>
      <c r="AO519" s="6"/>
      <c r="AP519" s="6"/>
    </row>
    <row r="520" spans="1:43" hidden="1" x14ac:dyDescent="0.25">
      <c r="A520" t="s">
        <v>173</v>
      </c>
      <c r="B520" s="195" t="s">
        <v>306</v>
      </c>
      <c r="C520" s="704" t="s">
        <v>1568</v>
      </c>
      <c r="D520" s="706"/>
      <c r="E520" s="706"/>
      <c r="F520" s="706"/>
      <c r="G520" s="706"/>
      <c r="H520" s="706"/>
      <c r="I520" s="706"/>
      <c r="J520" s="706"/>
      <c r="K520" s="706"/>
      <c r="L520" s="706"/>
      <c r="M520" s="706"/>
      <c r="N520" s="721"/>
      <c r="O520" s="721"/>
      <c r="P520" s="721"/>
      <c r="Q520" s="721"/>
      <c r="R520" s="721"/>
      <c r="S520" s="721"/>
      <c r="T520" s="721"/>
      <c r="U520" s="721"/>
      <c r="V520" s="721"/>
      <c r="W520" s="721"/>
      <c r="X520" s="721"/>
      <c r="Y520" s="721"/>
      <c r="Z520" s="721"/>
      <c r="AA520" s="721"/>
      <c r="AB520" s="721"/>
      <c r="AC520" s="734"/>
      <c r="AD520" s="695" t="s">
        <v>1126</v>
      </c>
      <c r="AE520" s="695" t="s">
        <v>1107</v>
      </c>
      <c r="AF520" s="695" t="s">
        <v>1108</v>
      </c>
      <c r="AG520" s="695" t="s">
        <v>1127</v>
      </c>
      <c r="AH520" s="167"/>
      <c r="AI520" s="167"/>
      <c r="AJ520" s="167"/>
      <c r="AK520" s="6"/>
      <c r="AL520" s="6"/>
      <c r="AM520" s="6"/>
      <c r="AN520" s="6"/>
      <c r="AO520" s="6"/>
      <c r="AP520" s="6"/>
    </row>
    <row r="521" spans="1:43" hidden="1" x14ac:dyDescent="0.25">
      <c r="A521" t="s">
        <v>173</v>
      </c>
      <c r="C521" s="213" t="s">
        <v>1145</v>
      </c>
      <c r="D521" s="213" t="s">
        <v>1146</v>
      </c>
      <c r="E521" s="213" t="s">
        <v>1147</v>
      </c>
      <c r="F521" s="214" t="s">
        <v>1148</v>
      </c>
      <c r="G521" s="214" t="s">
        <v>1149</v>
      </c>
      <c r="H521" s="214" t="s">
        <v>1150</v>
      </c>
      <c r="I521" s="214" t="s">
        <v>1151</v>
      </c>
      <c r="J521" s="214" t="s">
        <v>1152</v>
      </c>
      <c r="K521" s="214" t="s">
        <v>1153</v>
      </c>
      <c r="L521" s="214" t="s">
        <v>1154</v>
      </c>
      <c r="M521" s="214" t="s">
        <v>1133</v>
      </c>
      <c r="N521" s="214" t="s">
        <v>1134</v>
      </c>
      <c r="O521" s="214" t="s">
        <v>1115</v>
      </c>
      <c r="P521" s="214" t="s">
        <v>1240</v>
      </c>
      <c r="Q521" s="214" t="s">
        <v>1117</v>
      </c>
      <c r="R521" s="214" t="s">
        <v>1156</v>
      </c>
      <c r="S521" s="214" t="s">
        <v>1157</v>
      </c>
      <c r="T521" s="214" t="s">
        <v>1158</v>
      </c>
      <c r="U521" s="214" t="s">
        <v>1159</v>
      </c>
      <c r="V521" s="214" t="s">
        <v>1160</v>
      </c>
      <c r="W521" s="214" t="s">
        <v>1161</v>
      </c>
      <c r="X521" s="214" t="s">
        <v>1162</v>
      </c>
      <c r="Y521" s="214" t="s">
        <v>1164</v>
      </c>
      <c r="Z521" s="214" t="s">
        <v>1166</v>
      </c>
      <c r="AA521" s="214" t="s">
        <v>1116</v>
      </c>
      <c r="AB521" s="214" t="s">
        <v>1167</v>
      </c>
      <c r="AC521" s="214" t="s">
        <v>1168</v>
      </c>
      <c r="AD521" s="696"/>
      <c r="AE521" s="696"/>
      <c r="AF521" s="696"/>
      <c r="AG521" s="696"/>
      <c r="AH521" s="167"/>
      <c r="AI521" s="167"/>
      <c r="AJ521" s="167"/>
      <c r="AK521" s="6"/>
      <c r="AL521" s="6"/>
      <c r="AM521" s="6"/>
      <c r="AN521" s="6"/>
      <c r="AO521" s="6"/>
      <c r="AP521" s="6"/>
    </row>
    <row r="522" spans="1:43" hidden="1" x14ac:dyDescent="0.25">
      <c r="A522" t="s">
        <v>173</v>
      </c>
      <c r="B522" s="259"/>
      <c r="C522" s="213">
        <f>C512+1</f>
        <v>4</v>
      </c>
      <c r="D522" s="213">
        <v>1</v>
      </c>
      <c r="E522" s="213" t="s">
        <v>1173</v>
      </c>
      <c r="F522" s="214">
        <f>$B$2</f>
        <v>20180328</v>
      </c>
      <c r="G522" s="215">
        <v>0.7289930555555556</v>
      </c>
      <c r="H522" s="214"/>
      <c r="I522" s="214"/>
      <c r="J522" s="214"/>
      <c r="K522" s="214" t="s">
        <v>1247</v>
      </c>
      <c r="L522" s="214">
        <v>1</v>
      </c>
      <c r="M522" s="214">
        <f>$B$2</f>
        <v>20180328</v>
      </c>
      <c r="N522" s="216" t="str">
        <f>N517</f>
        <v>9999</v>
      </c>
      <c r="O522" s="217">
        <f>O517</f>
        <v>99990202</v>
      </c>
      <c r="P522" s="217"/>
      <c r="Q522" s="217" t="str">
        <f>Q517</f>
        <v>CZCE</v>
      </c>
      <c r="R522" s="217"/>
      <c r="S522" s="217">
        <v>1</v>
      </c>
      <c r="T522" s="217">
        <v>1</v>
      </c>
      <c r="U522" s="217">
        <v>1</v>
      </c>
      <c r="V522" s="216">
        <v>1</v>
      </c>
      <c r="W522" s="216">
        <f>W517</f>
        <v>0</v>
      </c>
      <c r="X522" s="217" t="s">
        <v>1189</v>
      </c>
      <c r="Y522" s="217">
        <v>1</v>
      </c>
      <c r="Z522" s="217">
        <v>0</v>
      </c>
      <c r="AA522" s="217" t="str">
        <f>AA517</f>
        <v>USD</v>
      </c>
      <c r="AB522" s="217"/>
      <c r="AC522" s="217"/>
      <c r="AD522" s="214" t="s">
        <v>1128</v>
      </c>
      <c r="AE522" s="111"/>
      <c r="AF522" s="111"/>
      <c r="AG522" s="111">
        <v>0</v>
      </c>
      <c r="AH522" s="167"/>
      <c r="AI522" s="167"/>
      <c r="AJ522" s="167"/>
      <c r="AK522" s="6"/>
      <c r="AL522" s="6"/>
      <c r="AM522" s="6"/>
      <c r="AN522" s="6"/>
      <c r="AO522" s="6"/>
      <c r="AP522" s="6"/>
    </row>
    <row r="523" spans="1:43" s="6" customFormat="1" hidden="1" x14ac:dyDescent="0.25">
      <c r="A523" t="s">
        <v>173</v>
      </c>
      <c r="B523" s="6" t="s">
        <v>173</v>
      </c>
      <c r="C523" s="256" t="s">
        <v>1186</v>
      </c>
      <c r="D523" s="256"/>
      <c r="E523" s="256"/>
      <c r="F523" s="256"/>
      <c r="G523" s="209"/>
      <c r="H523" s="210"/>
      <c r="I523" s="209"/>
      <c r="J523" s="209"/>
      <c r="K523" s="209"/>
      <c r="L523" s="209"/>
      <c r="M523" s="209"/>
      <c r="N523" s="209"/>
      <c r="O523" s="211"/>
      <c r="P523" s="211"/>
      <c r="Q523" s="211"/>
      <c r="R523" s="211"/>
      <c r="S523" s="211"/>
      <c r="T523" s="211"/>
      <c r="U523" s="211"/>
      <c r="V523" s="211"/>
      <c r="W523" s="212"/>
      <c r="X523" s="211"/>
      <c r="Y523" s="211"/>
      <c r="Z523" s="211"/>
      <c r="AA523" s="211"/>
      <c r="AB523" s="211"/>
      <c r="AC523" s="211"/>
      <c r="AD523" s="211"/>
      <c r="AE523" s="167"/>
      <c r="AF523" s="167"/>
      <c r="AG523" s="167"/>
      <c r="AH523" s="167"/>
      <c r="AI523" s="167"/>
      <c r="AJ523" s="167"/>
      <c r="AK523" s="167"/>
    </row>
    <row r="524" spans="1:43" hidden="1" x14ac:dyDescent="0.25">
      <c r="A524" t="s">
        <v>173</v>
      </c>
      <c r="B524" s="218" t="s">
        <v>124</v>
      </c>
      <c r="C524" s="218" t="s">
        <v>1239</v>
      </c>
      <c r="D524" s="218"/>
      <c r="E524" s="218"/>
      <c r="F524" s="219"/>
      <c r="G524" s="210"/>
      <c r="H524" s="209"/>
      <c r="I524" s="209"/>
      <c r="J524" s="209"/>
      <c r="K524" s="209"/>
      <c r="L524" s="209"/>
      <c r="M524" s="209"/>
      <c r="N524" s="211"/>
      <c r="O524" s="211"/>
      <c r="P524" s="211"/>
      <c r="Q524" s="211"/>
      <c r="R524" s="211"/>
      <c r="S524" s="211"/>
      <c r="T524" s="211"/>
      <c r="U524" s="211"/>
      <c r="V524" s="212"/>
      <c r="W524" s="211"/>
      <c r="X524" s="211"/>
      <c r="Y524" s="211"/>
      <c r="Z524" s="211"/>
      <c r="AA524" s="211"/>
      <c r="AB524" s="211"/>
      <c r="AC524" s="211"/>
      <c r="AH524" s="167"/>
      <c r="AI524" s="167"/>
      <c r="AJ524" s="167"/>
      <c r="AK524" s="6"/>
      <c r="AL524" s="6"/>
      <c r="AM524" s="6"/>
      <c r="AN524" s="6"/>
      <c r="AO524" s="6"/>
      <c r="AP524" s="6"/>
    </row>
    <row r="525" spans="1:43" hidden="1" x14ac:dyDescent="0.25">
      <c r="A525" t="s">
        <v>173</v>
      </c>
      <c r="B525" s="218" t="s">
        <v>306</v>
      </c>
      <c r="C525" s="704" t="s">
        <v>1568</v>
      </c>
      <c r="D525" s="706"/>
      <c r="E525" s="706"/>
      <c r="F525" s="706"/>
      <c r="G525" s="706"/>
      <c r="H525" s="706"/>
      <c r="I525" s="706"/>
      <c r="J525" s="706"/>
      <c r="K525" s="706"/>
      <c r="L525" s="706"/>
      <c r="M525" s="706"/>
      <c r="N525" s="721"/>
      <c r="O525" s="721"/>
      <c r="P525" s="721"/>
      <c r="Q525" s="721"/>
      <c r="R525" s="721"/>
      <c r="S525" s="721"/>
      <c r="T525" s="721"/>
      <c r="U525" s="721"/>
      <c r="V525" s="721"/>
      <c r="W525" s="721"/>
      <c r="X525" s="721"/>
      <c r="Y525" s="721"/>
      <c r="Z525" s="721"/>
      <c r="AA525" s="721"/>
      <c r="AB525" s="721"/>
      <c r="AC525" s="734"/>
      <c r="AD525" s="695" t="s">
        <v>1126</v>
      </c>
      <c r="AE525" s="695" t="s">
        <v>1107</v>
      </c>
      <c r="AF525" s="695" t="s">
        <v>1108</v>
      </c>
      <c r="AG525" s="695" t="s">
        <v>1127</v>
      </c>
      <c r="AH525" s="167"/>
      <c r="AI525" s="167"/>
      <c r="AJ525" s="167"/>
      <c r="AK525" s="6"/>
      <c r="AL525" s="6"/>
      <c r="AM525" s="6"/>
      <c r="AN525" s="6"/>
      <c r="AO525" s="6"/>
      <c r="AP525" s="6"/>
    </row>
    <row r="526" spans="1:43" hidden="1" x14ac:dyDescent="0.25">
      <c r="A526" t="s">
        <v>173</v>
      </c>
      <c r="B526" s="43"/>
      <c r="C526" s="213" t="s">
        <v>1145</v>
      </c>
      <c r="D526" s="213" t="s">
        <v>1146</v>
      </c>
      <c r="E526" s="213" t="s">
        <v>1147</v>
      </c>
      <c r="F526" s="214" t="s">
        <v>1148</v>
      </c>
      <c r="G526" s="214" t="s">
        <v>1149</v>
      </c>
      <c r="H526" s="214" t="s">
        <v>1150</v>
      </c>
      <c r="I526" s="214" t="s">
        <v>1151</v>
      </c>
      <c r="J526" s="214" t="s">
        <v>1152</v>
      </c>
      <c r="K526" s="214" t="s">
        <v>1153</v>
      </c>
      <c r="L526" s="214" t="s">
        <v>1154</v>
      </c>
      <c r="M526" s="214" t="s">
        <v>1133</v>
      </c>
      <c r="N526" s="214" t="s">
        <v>1134</v>
      </c>
      <c r="O526" s="214" t="s">
        <v>1115</v>
      </c>
      <c r="P526" s="214" t="s">
        <v>1240</v>
      </c>
      <c r="Q526" s="214" t="s">
        <v>1117</v>
      </c>
      <c r="R526" s="214" t="s">
        <v>1156</v>
      </c>
      <c r="S526" s="214" t="s">
        <v>1157</v>
      </c>
      <c r="T526" s="214" t="s">
        <v>1158</v>
      </c>
      <c r="U526" s="214" t="s">
        <v>1159</v>
      </c>
      <c r="V526" s="214" t="s">
        <v>1160</v>
      </c>
      <c r="W526" s="214" t="s">
        <v>1161</v>
      </c>
      <c r="X526" s="214" t="s">
        <v>1162</v>
      </c>
      <c r="Y526" s="214" t="s">
        <v>1164</v>
      </c>
      <c r="Z526" s="214" t="s">
        <v>1166</v>
      </c>
      <c r="AA526" s="214" t="s">
        <v>1116</v>
      </c>
      <c r="AB526" s="214" t="s">
        <v>1167</v>
      </c>
      <c r="AC526" s="214" t="s">
        <v>1168</v>
      </c>
      <c r="AD526" s="696"/>
      <c r="AE526" s="696"/>
      <c r="AF526" s="696"/>
      <c r="AG526" s="696"/>
      <c r="AH526" s="167"/>
      <c r="AI526" s="167"/>
      <c r="AJ526" s="167"/>
      <c r="AK526" s="6"/>
      <c r="AL526" s="6"/>
      <c r="AM526" s="6"/>
      <c r="AN526" s="6"/>
      <c r="AO526" s="6"/>
      <c r="AP526" s="6"/>
    </row>
    <row r="527" spans="1:43" hidden="1" x14ac:dyDescent="0.25">
      <c r="A527" t="s">
        <v>173</v>
      </c>
      <c r="B527" s="256"/>
      <c r="C527" s="213"/>
      <c r="D527" s="213"/>
      <c r="E527" s="213"/>
      <c r="F527" s="214"/>
      <c r="G527" s="215"/>
      <c r="H527" s="214"/>
      <c r="I527" s="214"/>
      <c r="J527" s="214"/>
      <c r="K527" s="214"/>
      <c r="L527" s="214"/>
      <c r="M527" s="214">
        <f>$B$2</f>
        <v>20180328</v>
      </c>
      <c r="N527" s="216" t="str">
        <f>N522</f>
        <v>9999</v>
      </c>
      <c r="O527" s="217">
        <f>C487</f>
        <v>99990201</v>
      </c>
      <c r="P527" s="217"/>
      <c r="Q527" s="217" t="str">
        <f>Q522</f>
        <v>CZCE</v>
      </c>
      <c r="R527" s="217"/>
      <c r="S527" s="217"/>
      <c r="T527" s="217">
        <v>1</v>
      </c>
      <c r="U527" s="217">
        <v>2</v>
      </c>
      <c r="V527" s="216">
        <v>1</v>
      </c>
      <c r="W527" s="216">
        <f>E490</f>
        <v>0</v>
      </c>
      <c r="X527" s="217" t="s">
        <v>1193</v>
      </c>
      <c r="Y527" s="217"/>
      <c r="Z527" s="217">
        <v>0</v>
      </c>
      <c r="AA527" s="217" t="str">
        <f>D490</f>
        <v>CNY</v>
      </c>
      <c r="AB527" s="217"/>
      <c r="AC527" s="217"/>
      <c r="AD527" s="189" t="s">
        <v>1128</v>
      </c>
      <c r="AE527" s="111"/>
      <c r="AF527" s="111"/>
      <c r="AG527" s="111">
        <v>0</v>
      </c>
      <c r="AH527" s="167"/>
      <c r="AI527" s="167"/>
      <c r="AJ527" s="167"/>
      <c r="AK527" s="6"/>
      <c r="AL527" s="6"/>
      <c r="AM527" s="6"/>
      <c r="AN527" s="6"/>
      <c r="AO527" s="6"/>
      <c r="AP527" s="6"/>
    </row>
    <row r="528" spans="1:43" hidden="1" x14ac:dyDescent="0.25">
      <c r="A528" t="s">
        <v>173</v>
      </c>
      <c r="B528" t="s">
        <v>173</v>
      </c>
      <c r="C528" s="256" t="s">
        <v>1245</v>
      </c>
      <c r="D528" s="256"/>
      <c r="E528" s="256"/>
      <c r="F528" s="256"/>
      <c r="G528" s="209"/>
      <c r="H528" s="210"/>
      <c r="I528" s="209"/>
      <c r="J528" s="209"/>
      <c r="K528" s="209"/>
      <c r="L528" s="209"/>
      <c r="M528" s="209"/>
      <c r="N528" s="209"/>
      <c r="O528" s="211"/>
      <c r="P528" s="211"/>
      <c r="Q528" s="211"/>
      <c r="R528" s="211"/>
      <c r="S528" s="211"/>
      <c r="T528" s="211"/>
      <c r="U528" s="211"/>
      <c r="V528" s="211"/>
      <c r="W528" s="212"/>
      <c r="X528" s="211"/>
      <c r="Y528" s="211"/>
      <c r="Z528" s="211"/>
      <c r="AA528" s="211"/>
      <c r="AB528" s="211"/>
      <c r="AC528" s="211"/>
      <c r="AD528" s="211"/>
      <c r="AE528" s="167"/>
      <c r="AF528" s="167"/>
      <c r="AG528" s="167"/>
      <c r="AH528" s="167"/>
      <c r="AI528" s="167"/>
      <c r="AJ528" s="167"/>
      <c r="AK528" s="167"/>
      <c r="AL528" s="6"/>
      <c r="AM528" s="6"/>
      <c r="AN528" s="6"/>
      <c r="AO528" s="6"/>
      <c r="AP528" s="6"/>
      <c r="AQ528" s="6"/>
    </row>
    <row r="529" spans="1:43" hidden="1" x14ac:dyDescent="0.25">
      <c r="A529" t="s">
        <v>173</v>
      </c>
      <c r="B529" s="218" t="s">
        <v>124</v>
      </c>
      <c r="C529" s="218" t="s">
        <v>1242</v>
      </c>
      <c r="D529" s="218"/>
      <c r="E529" s="218"/>
      <c r="F529" s="219"/>
      <c r="G529" s="210"/>
      <c r="H529" s="209"/>
      <c r="I529" s="209"/>
      <c r="J529" s="209"/>
      <c r="K529" s="209"/>
      <c r="L529" s="209"/>
      <c r="M529" s="209"/>
      <c r="N529" s="211"/>
      <c r="O529" s="211"/>
      <c r="P529" s="211"/>
      <c r="Q529" s="211"/>
      <c r="R529" s="211"/>
      <c r="S529" s="211"/>
      <c r="T529" s="211"/>
      <c r="U529" s="211"/>
      <c r="V529" s="212"/>
      <c r="W529" s="211"/>
      <c r="X529" s="211"/>
      <c r="Y529" s="211"/>
      <c r="Z529" s="211"/>
      <c r="AA529" s="211"/>
      <c r="AB529" s="211"/>
      <c r="AC529" s="211"/>
      <c r="AD529" s="167"/>
      <c r="AE529" s="167"/>
      <c r="AF529" s="167"/>
      <c r="AG529" s="167"/>
      <c r="AH529" s="167"/>
      <c r="AI529" s="167"/>
      <c r="AJ529" s="167"/>
      <c r="AK529" s="6"/>
      <c r="AL529" s="6"/>
      <c r="AM529" s="6"/>
      <c r="AN529" s="6"/>
      <c r="AO529" s="6"/>
      <c r="AP529" s="6"/>
    </row>
    <row r="530" spans="1:43" hidden="1" x14ac:dyDescent="0.25">
      <c r="A530" t="s">
        <v>173</v>
      </c>
      <c r="B530" s="218" t="s">
        <v>306</v>
      </c>
      <c r="C530" s="704" t="s">
        <v>1568</v>
      </c>
      <c r="D530" s="706"/>
      <c r="E530" s="706"/>
      <c r="F530" s="706"/>
      <c r="G530" s="706"/>
      <c r="H530" s="706"/>
      <c r="I530" s="706"/>
      <c r="J530" s="706"/>
      <c r="K530" s="706"/>
      <c r="L530" s="706"/>
      <c r="M530" s="706"/>
      <c r="N530" s="721"/>
      <c r="O530" s="721"/>
      <c r="P530" s="721"/>
      <c r="Q530" s="721"/>
      <c r="R530" s="721"/>
      <c r="S530" s="721"/>
      <c r="T530" s="721"/>
      <c r="U530" s="721"/>
      <c r="V530" s="721"/>
      <c r="W530" s="721"/>
      <c r="X530" s="721"/>
      <c r="Y530" s="721"/>
      <c r="Z530" s="721"/>
      <c r="AA530" s="721"/>
      <c r="AB530" s="721"/>
      <c r="AC530" s="734"/>
      <c r="AD530" s="695" t="s">
        <v>1126</v>
      </c>
      <c r="AE530" s="695" t="s">
        <v>1107</v>
      </c>
      <c r="AF530" s="695" t="s">
        <v>1108</v>
      </c>
      <c r="AG530" s="695" t="s">
        <v>1127</v>
      </c>
      <c r="AH530" s="167"/>
      <c r="AI530" s="167"/>
      <c r="AJ530" s="167"/>
      <c r="AK530" s="6"/>
      <c r="AL530" s="6"/>
      <c r="AM530" s="6"/>
      <c r="AN530" s="6"/>
      <c r="AO530" s="6"/>
      <c r="AP530" s="6"/>
    </row>
    <row r="531" spans="1:43" hidden="1" x14ac:dyDescent="0.25">
      <c r="A531" t="s">
        <v>173</v>
      </c>
      <c r="B531" s="43"/>
      <c r="C531" s="213" t="s">
        <v>1145</v>
      </c>
      <c r="D531" s="213" t="s">
        <v>1146</v>
      </c>
      <c r="E531" s="213" t="s">
        <v>1147</v>
      </c>
      <c r="F531" s="214" t="s">
        <v>1148</v>
      </c>
      <c r="G531" s="214" t="s">
        <v>1149</v>
      </c>
      <c r="H531" s="214" t="s">
        <v>1150</v>
      </c>
      <c r="I531" s="214" t="s">
        <v>1151</v>
      </c>
      <c r="J531" s="214" t="s">
        <v>1152</v>
      </c>
      <c r="K531" s="214" t="s">
        <v>1153</v>
      </c>
      <c r="L531" s="214" t="s">
        <v>1154</v>
      </c>
      <c r="M531" s="214" t="s">
        <v>1133</v>
      </c>
      <c r="N531" s="214" t="s">
        <v>1134</v>
      </c>
      <c r="O531" s="214" t="s">
        <v>1115</v>
      </c>
      <c r="P531" s="214" t="s">
        <v>1240</v>
      </c>
      <c r="Q531" s="214" t="s">
        <v>1117</v>
      </c>
      <c r="R531" s="214" t="s">
        <v>1156</v>
      </c>
      <c r="S531" s="214" t="s">
        <v>1157</v>
      </c>
      <c r="T531" s="214" t="s">
        <v>1158</v>
      </c>
      <c r="U531" s="214" t="s">
        <v>1159</v>
      </c>
      <c r="V531" s="214" t="s">
        <v>1160</v>
      </c>
      <c r="W531" s="214" t="s">
        <v>1161</v>
      </c>
      <c r="X531" s="214" t="s">
        <v>1162</v>
      </c>
      <c r="Y531" s="214" t="s">
        <v>1164</v>
      </c>
      <c r="Z531" s="214" t="s">
        <v>1166</v>
      </c>
      <c r="AA531" s="214" t="s">
        <v>1116</v>
      </c>
      <c r="AB531" s="214" t="s">
        <v>1167</v>
      </c>
      <c r="AC531" s="214" t="s">
        <v>1168</v>
      </c>
      <c r="AD531" s="696"/>
      <c r="AE531" s="696"/>
      <c r="AF531" s="696"/>
      <c r="AG531" s="696"/>
      <c r="AH531" s="167"/>
      <c r="AI531" s="167"/>
      <c r="AJ531" s="167"/>
      <c r="AK531" s="6"/>
      <c r="AL531" s="6"/>
      <c r="AM531" s="6"/>
      <c r="AN531" s="6"/>
      <c r="AO531" s="6"/>
      <c r="AP531" s="6"/>
    </row>
    <row r="532" spans="1:43" hidden="1" x14ac:dyDescent="0.25">
      <c r="A532" t="s">
        <v>173</v>
      </c>
      <c r="B532" s="256"/>
      <c r="C532" s="213">
        <f>C522+1</f>
        <v>5</v>
      </c>
      <c r="D532" s="213">
        <v>1</v>
      </c>
      <c r="E532" s="213" t="s">
        <v>1173</v>
      </c>
      <c r="F532" s="214">
        <f>$B$2</f>
        <v>20180328</v>
      </c>
      <c r="G532" s="215">
        <v>0.7289930555555556</v>
      </c>
      <c r="H532" s="214"/>
      <c r="I532" s="214"/>
      <c r="J532" s="214"/>
      <c r="K532" s="214" t="s">
        <v>1247</v>
      </c>
      <c r="L532" s="214">
        <v>1</v>
      </c>
      <c r="M532" s="214">
        <f>$B$2</f>
        <v>20180328</v>
      </c>
      <c r="N532" s="216" t="str">
        <f>N527</f>
        <v>9999</v>
      </c>
      <c r="O532" s="217">
        <f>O527</f>
        <v>99990201</v>
      </c>
      <c r="P532" s="217"/>
      <c r="Q532" s="217" t="str">
        <f>Q527</f>
        <v>CZCE</v>
      </c>
      <c r="R532" s="217"/>
      <c r="S532" s="217">
        <v>1</v>
      </c>
      <c r="T532" s="217">
        <v>1</v>
      </c>
      <c r="U532" s="217">
        <v>2</v>
      </c>
      <c r="V532" s="216">
        <v>1</v>
      </c>
      <c r="W532" s="216">
        <f>W527</f>
        <v>0</v>
      </c>
      <c r="X532" s="217" t="s">
        <v>1193</v>
      </c>
      <c r="Y532" s="217">
        <v>1</v>
      </c>
      <c r="Z532" s="217">
        <v>0</v>
      </c>
      <c r="AA532" s="217" t="str">
        <f>AA527</f>
        <v>CNY</v>
      </c>
      <c r="AB532" s="217"/>
      <c r="AC532" s="217"/>
      <c r="AD532" s="189" t="s">
        <v>1128</v>
      </c>
      <c r="AE532" s="111"/>
      <c r="AF532" s="111"/>
      <c r="AG532" s="111">
        <v>0</v>
      </c>
      <c r="AH532" s="167"/>
      <c r="AI532" s="167"/>
      <c r="AJ532" s="167"/>
      <c r="AK532" s="6"/>
      <c r="AL532" s="6"/>
      <c r="AM532" s="6"/>
      <c r="AN532" s="6"/>
      <c r="AO532" s="6"/>
      <c r="AP532" s="6"/>
    </row>
    <row r="533" spans="1:43" s="6" customFormat="1" hidden="1" x14ac:dyDescent="0.25">
      <c r="A533" t="s">
        <v>173</v>
      </c>
      <c r="B533" s="6" t="s">
        <v>173</v>
      </c>
      <c r="C533" s="263" t="s">
        <v>1908</v>
      </c>
      <c r="D533" s="263"/>
      <c r="E533" s="263"/>
      <c r="F533" s="263"/>
      <c r="G533" s="209"/>
      <c r="H533" s="210"/>
      <c r="I533" s="209"/>
      <c r="J533" s="209"/>
      <c r="K533" s="209"/>
      <c r="L533" s="209"/>
      <c r="M533" s="209"/>
      <c r="N533" s="209"/>
      <c r="O533" s="211"/>
      <c r="P533" s="211"/>
      <c r="Q533" s="211"/>
      <c r="R533" s="211"/>
      <c r="S533" s="211"/>
      <c r="T533" s="211"/>
      <c r="U533" s="211"/>
      <c r="V533" s="211"/>
      <c r="W533" s="212"/>
      <c r="X533" s="211"/>
      <c r="Y533" s="211"/>
      <c r="Z533" s="211"/>
      <c r="AA533" s="211"/>
      <c r="AB533" s="211"/>
      <c r="AC533" s="211"/>
      <c r="AD533" s="211"/>
      <c r="AE533" s="167"/>
      <c r="AF533" s="167"/>
      <c r="AG533" s="167"/>
      <c r="AH533" s="167"/>
      <c r="AI533" s="167"/>
      <c r="AJ533" s="167"/>
      <c r="AK533" s="167"/>
    </row>
    <row r="534" spans="1:43" hidden="1" x14ac:dyDescent="0.25">
      <c r="A534" t="s">
        <v>173</v>
      </c>
      <c r="B534" s="218" t="s">
        <v>124</v>
      </c>
      <c r="C534" s="218" t="s">
        <v>1239</v>
      </c>
      <c r="D534" s="218"/>
      <c r="E534" s="218"/>
      <c r="F534" s="219"/>
      <c r="G534" s="210"/>
      <c r="H534" s="209"/>
      <c r="I534" s="209"/>
      <c r="J534" s="209"/>
      <c r="K534" s="209"/>
      <c r="L534" s="209"/>
      <c r="M534" s="209"/>
      <c r="N534" s="211"/>
      <c r="O534" s="211"/>
      <c r="P534" s="211"/>
      <c r="Q534" s="211"/>
      <c r="R534" s="211"/>
      <c r="S534" s="211"/>
      <c r="T534" s="211"/>
      <c r="U534" s="211"/>
      <c r="V534" s="212"/>
      <c r="W534" s="211"/>
      <c r="X534" s="211"/>
      <c r="Y534" s="211"/>
      <c r="Z534" s="211"/>
      <c r="AA534" s="211"/>
      <c r="AB534" s="211"/>
      <c r="AC534" s="211"/>
      <c r="AH534" s="167"/>
      <c r="AI534" s="167"/>
      <c r="AJ534" s="167"/>
      <c r="AK534" s="6"/>
      <c r="AL534" s="6"/>
      <c r="AM534" s="6"/>
      <c r="AN534" s="6"/>
      <c r="AO534" s="6"/>
      <c r="AP534" s="6"/>
    </row>
    <row r="535" spans="1:43" hidden="1" x14ac:dyDescent="0.25">
      <c r="A535" t="s">
        <v>173</v>
      </c>
      <c r="B535" s="218" t="s">
        <v>306</v>
      </c>
      <c r="C535" s="704" t="s">
        <v>1568</v>
      </c>
      <c r="D535" s="706"/>
      <c r="E535" s="706"/>
      <c r="F535" s="706"/>
      <c r="G535" s="706"/>
      <c r="H535" s="706"/>
      <c r="I535" s="706"/>
      <c r="J535" s="706"/>
      <c r="K535" s="706"/>
      <c r="L535" s="706"/>
      <c r="M535" s="706"/>
      <c r="N535" s="721"/>
      <c r="O535" s="721"/>
      <c r="P535" s="721"/>
      <c r="Q535" s="721"/>
      <c r="R535" s="721"/>
      <c r="S535" s="721"/>
      <c r="T535" s="721"/>
      <c r="U535" s="721"/>
      <c r="V535" s="721"/>
      <c r="W535" s="721"/>
      <c r="X535" s="721"/>
      <c r="Y535" s="721"/>
      <c r="Z535" s="721"/>
      <c r="AA535" s="721"/>
      <c r="AB535" s="721"/>
      <c r="AC535" s="734"/>
      <c r="AD535" s="695" t="s">
        <v>1126</v>
      </c>
      <c r="AE535" s="695" t="s">
        <v>1107</v>
      </c>
      <c r="AF535" s="695" t="s">
        <v>1108</v>
      </c>
      <c r="AG535" s="695" t="s">
        <v>1127</v>
      </c>
      <c r="AH535" s="167"/>
      <c r="AI535" s="167"/>
      <c r="AJ535" s="167"/>
      <c r="AK535" s="6"/>
      <c r="AL535" s="6"/>
      <c r="AM535" s="6"/>
      <c r="AN535" s="6"/>
      <c r="AO535" s="6"/>
      <c r="AP535" s="6"/>
    </row>
    <row r="536" spans="1:43" hidden="1" x14ac:dyDescent="0.25">
      <c r="A536" t="s">
        <v>173</v>
      </c>
      <c r="B536" s="43"/>
      <c r="C536" s="213" t="s">
        <v>1145</v>
      </c>
      <c r="D536" s="213" t="s">
        <v>1146</v>
      </c>
      <c r="E536" s="213" t="s">
        <v>1147</v>
      </c>
      <c r="F536" s="214" t="s">
        <v>1148</v>
      </c>
      <c r="G536" s="214" t="s">
        <v>1149</v>
      </c>
      <c r="H536" s="214" t="s">
        <v>1150</v>
      </c>
      <c r="I536" s="214" t="s">
        <v>1151</v>
      </c>
      <c r="J536" s="214" t="s">
        <v>1152</v>
      </c>
      <c r="K536" s="214" t="s">
        <v>1153</v>
      </c>
      <c r="L536" s="214" t="s">
        <v>1154</v>
      </c>
      <c r="M536" s="214" t="s">
        <v>1133</v>
      </c>
      <c r="N536" s="214" t="s">
        <v>1134</v>
      </c>
      <c r="O536" s="214" t="s">
        <v>1115</v>
      </c>
      <c r="P536" s="214" t="s">
        <v>1240</v>
      </c>
      <c r="Q536" s="214" t="s">
        <v>1117</v>
      </c>
      <c r="R536" s="214" t="s">
        <v>1156</v>
      </c>
      <c r="S536" s="214" t="s">
        <v>1157</v>
      </c>
      <c r="T536" s="214" t="s">
        <v>1158</v>
      </c>
      <c r="U536" s="214" t="s">
        <v>1159</v>
      </c>
      <c r="V536" s="214" t="s">
        <v>1160</v>
      </c>
      <c r="W536" s="214" t="s">
        <v>1161</v>
      </c>
      <c r="X536" s="214" t="s">
        <v>1162</v>
      </c>
      <c r="Y536" s="214" t="s">
        <v>1164</v>
      </c>
      <c r="Z536" s="214" t="s">
        <v>1166</v>
      </c>
      <c r="AA536" s="214" t="s">
        <v>1116</v>
      </c>
      <c r="AB536" s="214" t="s">
        <v>1167</v>
      </c>
      <c r="AC536" s="214" t="s">
        <v>1168</v>
      </c>
      <c r="AD536" s="696"/>
      <c r="AE536" s="696"/>
      <c r="AF536" s="696"/>
      <c r="AG536" s="696"/>
      <c r="AH536" s="167"/>
      <c r="AI536" s="167"/>
      <c r="AJ536" s="167"/>
      <c r="AK536" s="6"/>
      <c r="AL536" s="6"/>
      <c r="AM536" s="6"/>
      <c r="AN536" s="6"/>
      <c r="AO536" s="6"/>
      <c r="AP536" s="6"/>
    </row>
    <row r="537" spans="1:43" hidden="1" x14ac:dyDescent="0.25">
      <c r="A537" t="s">
        <v>173</v>
      </c>
      <c r="B537" s="263"/>
      <c r="C537" s="213"/>
      <c r="D537" s="213"/>
      <c r="E537" s="213"/>
      <c r="F537" s="214"/>
      <c r="G537" s="215"/>
      <c r="H537" s="214"/>
      <c r="I537" s="214"/>
      <c r="J537" s="214"/>
      <c r="K537" s="214"/>
      <c r="L537" s="214"/>
      <c r="M537" s="214">
        <f>$B$2</f>
        <v>20180328</v>
      </c>
      <c r="N537" s="216" t="str">
        <f>G491</f>
        <v>9999</v>
      </c>
      <c r="O537" s="217">
        <f>C491</f>
        <v>99990203</v>
      </c>
      <c r="P537" s="217"/>
      <c r="Q537" s="217" t="str">
        <f>Q532</f>
        <v>CZCE</v>
      </c>
      <c r="R537" s="217"/>
      <c r="S537" s="217"/>
      <c r="T537" s="217">
        <v>1</v>
      </c>
      <c r="U537" s="217">
        <v>2</v>
      </c>
      <c r="V537" s="216">
        <v>1</v>
      </c>
      <c r="W537" s="216">
        <f>E491</f>
        <v>0</v>
      </c>
      <c r="X537" s="217" t="s">
        <v>1878</v>
      </c>
      <c r="Y537" s="217"/>
      <c r="Z537" s="217">
        <v>0</v>
      </c>
      <c r="AA537" s="217" t="str">
        <f>D491</f>
        <v>HKD</v>
      </c>
      <c r="AB537" s="217"/>
      <c r="AC537" s="217"/>
      <c r="AD537" s="189" t="s">
        <v>1128</v>
      </c>
      <c r="AE537" s="111"/>
      <c r="AF537" s="111"/>
      <c r="AG537" s="111">
        <v>0</v>
      </c>
      <c r="AH537" s="167"/>
      <c r="AI537" s="167"/>
      <c r="AJ537" s="167"/>
      <c r="AK537" s="6"/>
      <c r="AL537" s="6"/>
      <c r="AM537" s="6"/>
      <c r="AN537" s="6"/>
      <c r="AO537" s="6"/>
      <c r="AP537" s="6"/>
    </row>
    <row r="538" spans="1:43" hidden="1" x14ac:dyDescent="0.25">
      <c r="A538" t="s">
        <v>173</v>
      </c>
      <c r="B538" t="s">
        <v>173</v>
      </c>
      <c r="C538" s="263" t="s">
        <v>1897</v>
      </c>
      <c r="D538" s="263"/>
      <c r="E538" s="263"/>
      <c r="F538" s="263"/>
      <c r="G538" s="209"/>
      <c r="H538" s="210"/>
      <c r="I538" s="209"/>
      <c r="J538" s="209"/>
      <c r="K538" s="209"/>
      <c r="L538" s="209"/>
      <c r="M538" s="209"/>
      <c r="N538" s="209"/>
      <c r="O538" s="211"/>
      <c r="P538" s="211"/>
      <c r="Q538" s="211"/>
      <c r="R538" s="211"/>
      <c r="S538" s="211"/>
      <c r="T538" s="211"/>
      <c r="U538" s="211"/>
      <c r="V538" s="211"/>
      <c r="W538" s="212"/>
      <c r="X538" s="211"/>
      <c r="Y538" s="211"/>
      <c r="Z538" s="211"/>
      <c r="AA538" s="211"/>
      <c r="AB538" s="211"/>
      <c r="AC538" s="211"/>
      <c r="AD538" s="211"/>
      <c r="AE538" s="167"/>
      <c r="AF538" s="167"/>
      <c r="AG538" s="167"/>
      <c r="AH538" s="167"/>
      <c r="AI538" s="167"/>
      <c r="AJ538" s="167"/>
      <c r="AK538" s="167"/>
      <c r="AL538" s="6"/>
      <c r="AM538" s="6"/>
      <c r="AN538" s="6"/>
      <c r="AO538" s="6"/>
      <c r="AP538" s="6"/>
      <c r="AQ538" s="6"/>
    </row>
    <row r="539" spans="1:43" hidden="1" x14ac:dyDescent="0.25">
      <c r="A539" t="s">
        <v>173</v>
      </c>
      <c r="B539" s="218" t="s">
        <v>124</v>
      </c>
      <c r="C539" s="218" t="s">
        <v>1242</v>
      </c>
      <c r="D539" s="218"/>
      <c r="E539" s="218"/>
      <c r="F539" s="219"/>
      <c r="G539" s="210"/>
      <c r="H539" s="209"/>
      <c r="I539" s="209"/>
      <c r="J539" s="209"/>
      <c r="K539" s="209"/>
      <c r="L539" s="209"/>
      <c r="M539" s="209"/>
      <c r="N539" s="211"/>
      <c r="O539" s="211"/>
      <c r="P539" s="211"/>
      <c r="Q539" s="211"/>
      <c r="R539" s="211"/>
      <c r="S539" s="211"/>
      <c r="T539" s="211"/>
      <c r="U539" s="211"/>
      <c r="V539" s="212"/>
      <c r="W539" s="211"/>
      <c r="X539" s="211"/>
      <c r="Y539" s="211"/>
      <c r="Z539" s="211"/>
      <c r="AA539" s="211"/>
      <c r="AB539" s="211"/>
      <c r="AC539" s="211"/>
      <c r="AD539" s="167"/>
      <c r="AE539" s="167"/>
      <c r="AF539" s="167"/>
      <c r="AG539" s="167"/>
      <c r="AH539" s="167"/>
      <c r="AI539" s="167"/>
      <c r="AJ539" s="167"/>
      <c r="AK539" s="6"/>
      <c r="AL539" s="6"/>
      <c r="AM539" s="6"/>
      <c r="AN539" s="6"/>
      <c r="AO539" s="6"/>
      <c r="AP539" s="6"/>
    </row>
    <row r="540" spans="1:43" hidden="1" x14ac:dyDescent="0.25">
      <c r="A540" t="s">
        <v>173</v>
      </c>
      <c r="B540" s="218" t="s">
        <v>306</v>
      </c>
      <c r="C540" s="704" t="s">
        <v>1568</v>
      </c>
      <c r="D540" s="706"/>
      <c r="E540" s="706"/>
      <c r="F540" s="706"/>
      <c r="G540" s="706"/>
      <c r="H540" s="706"/>
      <c r="I540" s="706"/>
      <c r="J540" s="706"/>
      <c r="K540" s="706"/>
      <c r="L540" s="706"/>
      <c r="M540" s="706"/>
      <c r="N540" s="721"/>
      <c r="O540" s="721"/>
      <c r="P540" s="721"/>
      <c r="Q540" s="721"/>
      <c r="R540" s="721"/>
      <c r="S540" s="721"/>
      <c r="T540" s="721"/>
      <c r="U540" s="721"/>
      <c r="V540" s="721"/>
      <c r="W540" s="721"/>
      <c r="X540" s="721"/>
      <c r="Y540" s="721"/>
      <c r="Z540" s="721"/>
      <c r="AA540" s="721"/>
      <c r="AB540" s="721"/>
      <c r="AC540" s="734"/>
      <c r="AD540" s="695" t="s">
        <v>1126</v>
      </c>
      <c r="AE540" s="695" t="s">
        <v>1107</v>
      </c>
      <c r="AF540" s="695" t="s">
        <v>1108</v>
      </c>
      <c r="AG540" s="695" t="s">
        <v>1127</v>
      </c>
      <c r="AH540" s="167"/>
      <c r="AI540" s="167"/>
      <c r="AJ540" s="167"/>
      <c r="AK540" s="6"/>
      <c r="AL540" s="6"/>
      <c r="AM540" s="6"/>
      <c r="AN540" s="6"/>
      <c r="AO540" s="6"/>
      <c r="AP540" s="6"/>
    </row>
    <row r="541" spans="1:43" hidden="1" x14ac:dyDescent="0.25">
      <c r="A541" t="s">
        <v>173</v>
      </c>
      <c r="B541" s="43"/>
      <c r="C541" s="213" t="s">
        <v>1145</v>
      </c>
      <c r="D541" s="213" t="s">
        <v>1146</v>
      </c>
      <c r="E541" s="213" t="s">
        <v>1147</v>
      </c>
      <c r="F541" s="214" t="s">
        <v>1148</v>
      </c>
      <c r="G541" s="214" t="s">
        <v>1149</v>
      </c>
      <c r="H541" s="214" t="s">
        <v>1150</v>
      </c>
      <c r="I541" s="214" t="s">
        <v>1151</v>
      </c>
      <c r="J541" s="214" t="s">
        <v>1152</v>
      </c>
      <c r="K541" s="214" t="s">
        <v>1153</v>
      </c>
      <c r="L541" s="214" t="s">
        <v>1154</v>
      </c>
      <c r="M541" s="214" t="s">
        <v>1133</v>
      </c>
      <c r="N541" s="214" t="s">
        <v>1134</v>
      </c>
      <c r="O541" s="214" t="s">
        <v>1115</v>
      </c>
      <c r="P541" s="214" t="s">
        <v>1240</v>
      </c>
      <c r="Q541" s="214" t="s">
        <v>1117</v>
      </c>
      <c r="R541" s="214" t="s">
        <v>1156</v>
      </c>
      <c r="S541" s="214" t="s">
        <v>1157</v>
      </c>
      <c r="T541" s="214" t="s">
        <v>1158</v>
      </c>
      <c r="U541" s="214" t="s">
        <v>1159</v>
      </c>
      <c r="V541" s="214" t="s">
        <v>1160</v>
      </c>
      <c r="W541" s="214" t="s">
        <v>1161</v>
      </c>
      <c r="X541" s="214" t="s">
        <v>1162</v>
      </c>
      <c r="Y541" s="214" t="s">
        <v>1164</v>
      </c>
      <c r="Z541" s="214" t="s">
        <v>1166</v>
      </c>
      <c r="AA541" s="214" t="s">
        <v>1116</v>
      </c>
      <c r="AB541" s="214" t="s">
        <v>1167</v>
      </c>
      <c r="AC541" s="214" t="s">
        <v>1168</v>
      </c>
      <c r="AD541" s="696"/>
      <c r="AE541" s="696"/>
      <c r="AF541" s="696"/>
      <c r="AG541" s="696"/>
      <c r="AH541" s="167"/>
      <c r="AI541" s="167"/>
      <c r="AJ541" s="167"/>
      <c r="AK541" s="6"/>
      <c r="AL541" s="6"/>
      <c r="AM541" s="6"/>
      <c r="AN541" s="6"/>
      <c r="AO541" s="6"/>
      <c r="AP541" s="6"/>
    </row>
    <row r="542" spans="1:43" hidden="1" x14ac:dyDescent="0.25">
      <c r="A542" t="s">
        <v>173</v>
      </c>
      <c r="B542" s="263"/>
      <c r="C542" s="213">
        <f>C532+1</f>
        <v>6</v>
      </c>
      <c r="D542" s="213">
        <v>1</v>
      </c>
      <c r="E542" s="213" t="s">
        <v>1173</v>
      </c>
      <c r="F542" s="214">
        <f>$B$2</f>
        <v>20180328</v>
      </c>
      <c r="G542" s="215">
        <v>0.7289930555555556</v>
      </c>
      <c r="H542" s="214"/>
      <c r="I542" s="214"/>
      <c r="J542" s="214"/>
      <c r="K542" s="214" t="s">
        <v>1247</v>
      </c>
      <c r="L542" s="214">
        <v>1</v>
      </c>
      <c r="M542" s="214">
        <f>$B$2</f>
        <v>20180328</v>
      </c>
      <c r="N542" s="216" t="str">
        <f>N537</f>
        <v>9999</v>
      </c>
      <c r="O542" s="217">
        <f>O537</f>
        <v>99990203</v>
      </c>
      <c r="P542" s="217"/>
      <c r="Q542" s="217" t="str">
        <f>Q537</f>
        <v>CZCE</v>
      </c>
      <c r="R542" s="217"/>
      <c r="S542" s="217">
        <v>1</v>
      </c>
      <c r="T542" s="217">
        <v>1</v>
      </c>
      <c r="U542" s="217">
        <v>2</v>
      </c>
      <c r="V542" s="216">
        <v>1</v>
      </c>
      <c r="W542" s="216">
        <f>W537</f>
        <v>0</v>
      </c>
      <c r="X542" s="217" t="s">
        <v>1878</v>
      </c>
      <c r="Y542" s="217">
        <v>1</v>
      </c>
      <c r="Z542" s="217">
        <v>0</v>
      </c>
      <c r="AA542" s="217" t="str">
        <f>AA537</f>
        <v>HKD</v>
      </c>
      <c r="AB542" s="217"/>
      <c r="AC542" s="217"/>
      <c r="AD542" s="189" t="s">
        <v>1128</v>
      </c>
      <c r="AE542" s="111"/>
      <c r="AF542" s="111"/>
      <c r="AG542" s="111">
        <v>0</v>
      </c>
      <c r="AH542" s="167"/>
      <c r="AI542" s="167"/>
      <c r="AJ542" s="167"/>
      <c r="AK542" s="6"/>
      <c r="AL542" s="6"/>
      <c r="AM542" s="6"/>
      <c r="AN542" s="6"/>
      <c r="AO542" s="6"/>
      <c r="AP542" s="6"/>
    </row>
    <row r="543" spans="1:43" hidden="1" x14ac:dyDescent="0.25">
      <c r="A543" t="s">
        <v>173</v>
      </c>
      <c r="B543" t="s">
        <v>173</v>
      </c>
      <c r="C543" s="256" t="s">
        <v>1188</v>
      </c>
      <c r="D543" s="256"/>
      <c r="E543" s="256"/>
      <c r="F543" s="256"/>
      <c r="G543" s="209"/>
      <c r="H543" s="210"/>
      <c r="I543" s="209"/>
      <c r="J543" s="209"/>
      <c r="K543" s="209"/>
      <c r="L543" s="209"/>
      <c r="M543" s="209"/>
      <c r="N543" s="209"/>
      <c r="O543" s="211"/>
      <c r="P543" s="211"/>
      <c r="Q543" s="211"/>
      <c r="R543" s="211"/>
      <c r="S543" s="211"/>
      <c r="T543" s="211"/>
      <c r="U543" s="211"/>
      <c r="V543" s="211"/>
      <c r="W543" s="212"/>
      <c r="X543" s="211"/>
      <c r="Y543" s="211"/>
      <c r="Z543" s="211"/>
      <c r="AA543" s="211"/>
      <c r="AB543" s="211"/>
      <c r="AC543" s="211"/>
      <c r="AD543" s="211"/>
      <c r="AE543" s="167"/>
      <c r="AF543" s="167"/>
      <c r="AG543" s="167"/>
      <c r="AH543" s="167"/>
      <c r="AI543" s="167"/>
      <c r="AJ543" s="167"/>
      <c r="AK543" s="167"/>
      <c r="AL543" s="6"/>
      <c r="AM543" s="6"/>
      <c r="AN543" s="6"/>
      <c r="AO543" s="6"/>
      <c r="AP543" s="6"/>
      <c r="AQ543" s="6"/>
    </row>
    <row r="544" spans="1:43" hidden="1" x14ac:dyDescent="0.25">
      <c r="A544" t="s">
        <v>173</v>
      </c>
      <c r="B544" s="218" t="s">
        <v>124</v>
      </c>
      <c r="C544" s="218" t="s">
        <v>1239</v>
      </c>
      <c r="D544" s="218"/>
      <c r="E544" s="218"/>
      <c r="F544" s="219"/>
      <c r="G544" s="210"/>
      <c r="H544" s="209"/>
      <c r="I544" s="209"/>
      <c r="J544" s="209"/>
      <c r="K544" s="209"/>
      <c r="L544" s="209"/>
      <c r="M544" s="209"/>
      <c r="N544" s="211"/>
      <c r="O544" s="211"/>
      <c r="P544" s="211"/>
      <c r="Q544" s="211"/>
      <c r="R544" s="211"/>
      <c r="S544" s="211"/>
      <c r="T544" s="211"/>
      <c r="U544" s="211"/>
      <c r="V544" s="212"/>
      <c r="W544" s="211"/>
      <c r="X544" s="211"/>
      <c r="Y544" s="211"/>
      <c r="Z544" s="211"/>
      <c r="AA544" s="211"/>
      <c r="AB544" s="211"/>
      <c r="AC544" s="211"/>
      <c r="AH544" s="167"/>
      <c r="AI544" s="167"/>
      <c r="AJ544" s="167"/>
      <c r="AK544" s="6"/>
      <c r="AL544" s="6"/>
      <c r="AM544" s="6"/>
      <c r="AN544" s="6"/>
      <c r="AO544" s="6"/>
      <c r="AP544" s="6"/>
    </row>
    <row r="545" spans="1:43" hidden="1" x14ac:dyDescent="0.25">
      <c r="A545" t="s">
        <v>173</v>
      </c>
      <c r="B545" s="218" t="s">
        <v>306</v>
      </c>
      <c r="C545" s="704" t="s">
        <v>1568</v>
      </c>
      <c r="D545" s="706"/>
      <c r="E545" s="706"/>
      <c r="F545" s="706"/>
      <c r="G545" s="706"/>
      <c r="H545" s="706"/>
      <c r="I545" s="706"/>
      <c r="J545" s="706"/>
      <c r="K545" s="706"/>
      <c r="L545" s="706"/>
      <c r="M545" s="706"/>
      <c r="N545" s="721"/>
      <c r="O545" s="721"/>
      <c r="P545" s="721"/>
      <c r="Q545" s="721"/>
      <c r="R545" s="721"/>
      <c r="S545" s="721"/>
      <c r="T545" s="721"/>
      <c r="U545" s="721"/>
      <c r="V545" s="721"/>
      <c r="W545" s="721"/>
      <c r="X545" s="721"/>
      <c r="Y545" s="721"/>
      <c r="Z545" s="721"/>
      <c r="AA545" s="721"/>
      <c r="AB545" s="721"/>
      <c r="AC545" s="734"/>
      <c r="AD545" s="695" t="s">
        <v>1126</v>
      </c>
      <c r="AE545" s="695" t="s">
        <v>1107</v>
      </c>
      <c r="AF545" s="695" t="s">
        <v>1108</v>
      </c>
      <c r="AG545" s="695" t="s">
        <v>1127</v>
      </c>
      <c r="AH545" s="167"/>
      <c r="AI545" s="167"/>
      <c r="AJ545" s="167"/>
      <c r="AK545" s="6"/>
      <c r="AL545" s="6"/>
      <c r="AM545" s="6"/>
      <c r="AN545" s="6"/>
      <c r="AO545" s="6"/>
      <c r="AP545" s="6"/>
    </row>
    <row r="546" spans="1:43" hidden="1" x14ac:dyDescent="0.25">
      <c r="A546" t="s">
        <v>173</v>
      </c>
      <c r="B546" s="43"/>
      <c r="C546" s="213" t="s">
        <v>1145</v>
      </c>
      <c r="D546" s="213" t="s">
        <v>1146</v>
      </c>
      <c r="E546" s="213" t="s">
        <v>1147</v>
      </c>
      <c r="F546" s="214" t="s">
        <v>1148</v>
      </c>
      <c r="G546" s="214" t="s">
        <v>1149</v>
      </c>
      <c r="H546" s="214" t="s">
        <v>1150</v>
      </c>
      <c r="I546" s="214" t="s">
        <v>1151</v>
      </c>
      <c r="J546" s="214" t="s">
        <v>1152</v>
      </c>
      <c r="K546" s="214" t="s">
        <v>1153</v>
      </c>
      <c r="L546" s="214" t="s">
        <v>1154</v>
      </c>
      <c r="M546" s="214" t="s">
        <v>1133</v>
      </c>
      <c r="N546" s="214" t="s">
        <v>1134</v>
      </c>
      <c r="O546" s="214" t="s">
        <v>1115</v>
      </c>
      <c r="P546" s="214" t="s">
        <v>1240</v>
      </c>
      <c r="Q546" s="214" t="s">
        <v>1117</v>
      </c>
      <c r="R546" s="214" t="s">
        <v>1156</v>
      </c>
      <c r="S546" s="214" t="s">
        <v>1157</v>
      </c>
      <c r="T546" s="214" t="s">
        <v>1158</v>
      </c>
      <c r="U546" s="214" t="s">
        <v>1159</v>
      </c>
      <c r="V546" s="214" t="s">
        <v>1160</v>
      </c>
      <c r="W546" s="214" t="s">
        <v>1161</v>
      </c>
      <c r="X546" s="214" t="s">
        <v>1162</v>
      </c>
      <c r="Y546" s="214" t="s">
        <v>1164</v>
      </c>
      <c r="Z546" s="214" t="s">
        <v>1166</v>
      </c>
      <c r="AA546" s="214" t="s">
        <v>1116</v>
      </c>
      <c r="AB546" s="214" t="s">
        <v>1167</v>
      </c>
      <c r="AC546" s="214" t="s">
        <v>1168</v>
      </c>
      <c r="AD546" s="696"/>
      <c r="AE546" s="696"/>
      <c r="AF546" s="696"/>
      <c r="AG546" s="696"/>
      <c r="AH546" s="167"/>
      <c r="AI546" s="167"/>
      <c r="AJ546" s="167"/>
      <c r="AK546" s="6"/>
      <c r="AL546" s="6"/>
      <c r="AM546" s="6"/>
      <c r="AN546" s="6"/>
      <c r="AO546" s="6"/>
      <c r="AP546" s="6"/>
    </row>
    <row r="547" spans="1:43" hidden="1" x14ac:dyDescent="0.25">
      <c r="A547" t="s">
        <v>173</v>
      </c>
      <c r="B547" s="256"/>
      <c r="C547" s="213"/>
      <c r="D547" s="213"/>
      <c r="E547" s="213"/>
      <c r="F547" s="214"/>
      <c r="G547" s="215"/>
      <c r="H547" s="214"/>
      <c r="I547" s="214"/>
      <c r="J547" s="214"/>
      <c r="K547" s="214"/>
      <c r="L547" s="214"/>
      <c r="M547" s="214">
        <f>$B$2</f>
        <v>20180328</v>
      </c>
      <c r="N547" s="216" t="str">
        <f>N527</f>
        <v>9999</v>
      </c>
      <c r="O547" s="217">
        <f>C492</f>
        <v>99990202</v>
      </c>
      <c r="P547" s="217"/>
      <c r="Q547" s="217" t="str">
        <f>Q527</f>
        <v>CZCE</v>
      </c>
      <c r="R547" s="217"/>
      <c r="S547" s="217"/>
      <c r="T547" s="217">
        <v>1</v>
      </c>
      <c r="U547" s="217">
        <v>2</v>
      </c>
      <c r="V547" s="216">
        <v>1</v>
      </c>
      <c r="W547" s="216">
        <f>E492</f>
        <v>0</v>
      </c>
      <c r="X547" s="217" t="s">
        <v>1195</v>
      </c>
      <c r="Y547" s="217"/>
      <c r="Z547" s="217">
        <v>0</v>
      </c>
      <c r="AA547" s="217" t="str">
        <f>D492</f>
        <v>USD</v>
      </c>
      <c r="AB547" s="217"/>
      <c r="AC547" s="217"/>
      <c r="AD547" s="189" t="s">
        <v>1128</v>
      </c>
      <c r="AE547" s="111"/>
      <c r="AF547" s="111"/>
      <c r="AG547" s="111">
        <v>0</v>
      </c>
      <c r="AH547" s="167"/>
      <c r="AI547" s="167"/>
      <c r="AJ547" s="167"/>
      <c r="AK547" s="6"/>
      <c r="AL547" s="6"/>
      <c r="AM547" s="6"/>
      <c r="AN547" s="6"/>
      <c r="AO547" s="6"/>
      <c r="AP547" s="6"/>
    </row>
    <row r="548" spans="1:43" hidden="1" x14ac:dyDescent="0.25">
      <c r="A548" t="s">
        <v>173</v>
      </c>
      <c r="B548" t="s">
        <v>173</v>
      </c>
      <c r="C548" s="256" t="s">
        <v>1246</v>
      </c>
      <c r="D548" s="256"/>
      <c r="E548" s="256"/>
      <c r="F548" s="256"/>
      <c r="G548" s="209"/>
      <c r="H548" s="210"/>
      <c r="I548" s="209"/>
      <c r="J548" s="209"/>
      <c r="K548" s="209"/>
      <c r="L548" s="209"/>
      <c r="M548" s="209"/>
      <c r="N548" s="209"/>
      <c r="O548" s="211"/>
      <c r="P548" s="211"/>
      <c r="Q548" s="211"/>
      <c r="R548" s="211"/>
      <c r="S548" s="211"/>
      <c r="T548" s="211"/>
      <c r="U548" s="211"/>
      <c r="V548" s="211"/>
      <c r="W548" s="212"/>
      <c r="X548" s="211"/>
      <c r="Y548" s="211"/>
      <c r="Z548" s="211"/>
      <c r="AA548" s="211"/>
      <c r="AB548" s="211"/>
      <c r="AC548" s="211"/>
      <c r="AD548" s="211"/>
      <c r="AE548" s="167"/>
      <c r="AF548" s="167"/>
      <c r="AG548" s="167"/>
      <c r="AH548" s="167"/>
      <c r="AI548" s="167"/>
      <c r="AJ548" s="167"/>
      <c r="AK548" s="167"/>
      <c r="AL548" s="6"/>
      <c r="AM548" s="6"/>
      <c r="AN548" s="6"/>
      <c r="AO548" s="6"/>
      <c r="AP548" s="6"/>
      <c r="AQ548" s="6"/>
    </row>
    <row r="549" spans="1:43" hidden="1" x14ac:dyDescent="0.25">
      <c r="A549" t="s">
        <v>173</v>
      </c>
      <c r="B549" s="218" t="s">
        <v>124</v>
      </c>
      <c r="C549" s="218" t="s">
        <v>1242</v>
      </c>
      <c r="D549" s="218"/>
      <c r="E549" s="218"/>
      <c r="F549" s="219"/>
      <c r="G549" s="210"/>
      <c r="H549" s="209"/>
      <c r="I549" s="209"/>
      <c r="J549" s="209"/>
      <c r="K549" s="209"/>
      <c r="L549" s="209"/>
      <c r="M549" s="209"/>
      <c r="N549" s="211"/>
      <c r="O549" s="211"/>
      <c r="P549" s="211"/>
      <c r="Q549" s="211"/>
      <c r="R549" s="211"/>
      <c r="S549" s="211"/>
      <c r="T549" s="211"/>
      <c r="U549" s="211"/>
      <c r="V549" s="212"/>
      <c r="W549" s="211"/>
      <c r="X549" s="211"/>
      <c r="Y549" s="211"/>
      <c r="Z549" s="211"/>
      <c r="AA549" s="211"/>
      <c r="AB549" s="211"/>
      <c r="AC549" s="211"/>
      <c r="AD549" s="167"/>
      <c r="AE549" s="167"/>
      <c r="AF549" s="167"/>
      <c r="AG549" s="167"/>
      <c r="AH549" s="167"/>
      <c r="AI549" s="167"/>
      <c r="AJ549" s="167"/>
      <c r="AK549" s="6"/>
      <c r="AL549" s="6"/>
      <c r="AM549" s="6"/>
      <c r="AN549" s="6"/>
      <c r="AO549" s="6"/>
      <c r="AP549" s="6"/>
    </row>
    <row r="550" spans="1:43" hidden="1" x14ac:dyDescent="0.25">
      <c r="A550" t="s">
        <v>173</v>
      </c>
      <c r="B550" s="218" t="s">
        <v>306</v>
      </c>
      <c r="C550" s="704" t="s">
        <v>1568</v>
      </c>
      <c r="D550" s="706"/>
      <c r="E550" s="706"/>
      <c r="F550" s="706"/>
      <c r="G550" s="706"/>
      <c r="H550" s="706"/>
      <c r="I550" s="706"/>
      <c r="J550" s="706"/>
      <c r="K550" s="706"/>
      <c r="L550" s="706"/>
      <c r="M550" s="706"/>
      <c r="N550" s="721"/>
      <c r="O550" s="721"/>
      <c r="P550" s="721"/>
      <c r="Q550" s="721"/>
      <c r="R550" s="721"/>
      <c r="S550" s="721"/>
      <c r="T550" s="721"/>
      <c r="U550" s="721"/>
      <c r="V550" s="721"/>
      <c r="W550" s="721"/>
      <c r="X550" s="721"/>
      <c r="Y550" s="721"/>
      <c r="Z550" s="721"/>
      <c r="AA550" s="721"/>
      <c r="AB550" s="721"/>
      <c r="AC550" s="734"/>
      <c r="AD550" s="695" t="s">
        <v>1126</v>
      </c>
      <c r="AE550" s="715" t="s">
        <v>1107</v>
      </c>
      <c r="AF550" s="715" t="s">
        <v>1108</v>
      </c>
      <c r="AG550" s="695" t="s">
        <v>1127</v>
      </c>
      <c r="AH550" s="167"/>
      <c r="AI550" s="167"/>
      <c r="AJ550" s="167"/>
      <c r="AK550" s="6"/>
      <c r="AL550" s="6"/>
      <c r="AM550" s="6"/>
      <c r="AN550" s="6"/>
      <c r="AO550" s="6"/>
      <c r="AP550" s="6"/>
    </row>
    <row r="551" spans="1:43" hidden="1" x14ac:dyDescent="0.25">
      <c r="A551" t="s">
        <v>173</v>
      </c>
      <c r="B551" s="43"/>
      <c r="C551" s="213" t="s">
        <v>1145</v>
      </c>
      <c r="D551" s="213" t="s">
        <v>1146</v>
      </c>
      <c r="E551" s="213" t="s">
        <v>1147</v>
      </c>
      <c r="F551" s="214" t="s">
        <v>1148</v>
      </c>
      <c r="G551" s="214" t="s">
        <v>1149</v>
      </c>
      <c r="H551" s="214" t="s">
        <v>1150</v>
      </c>
      <c r="I551" s="214" t="s">
        <v>1151</v>
      </c>
      <c r="J551" s="214" t="s">
        <v>1152</v>
      </c>
      <c r="K551" s="214" t="s">
        <v>1153</v>
      </c>
      <c r="L551" s="214" t="s">
        <v>1154</v>
      </c>
      <c r="M551" s="214" t="s">
        <v>1133</v>
      </c>
      <c r="N551" s="214" t="s">
        <v>1134</v>
      </c>
      <c r="O551" s="214" t="s">
        <v>1115</v>
      </c>
      <c r="P551" s="214" t="s">
        <v>1240</v>
      </c>
      <c r="Q551" s="214" t="s">
        <v>1117</v>
      </c>
      <c r="R551" s="214" t="s">
        <v>1156</v>
      </c>
      <c r="S551" s="214" t="s">
        <v>1157</v>
      </c>
      <c r="T551" s="214" t="s">
        <v>1158</v>
      </c>
      <c r="U551" s="214" t="s">
        <v>1159</v>
      </c>
      <c r="V551" s="214" t="s">
        <v>1160</v>
      </c>
      <c r="W551" s="214" t="s">
        <v>1161</v>
      </c>
      <c r="X551" s="214" t="s">
        <v>1162</v>
      </c>
      <c r="Y551" s="214" t="s">
        <v>1164</v>
      </c>
      <c r="Z551" s="214" t="s">
        <v>1166</v>
      </c>
      <c r="AA551" s="214" t="s">
        <v>1116</v>
      </c>
      <c r="AB551" s="214" t="s">
        <v>1167</v>
      </c>
      <c r="AC551" s="214" t="s">
        <v>1168</v>
      </c>
      <c r="AD551" s="696"/>
      <c r="AE551" s="696"/>
      <c r="AF551" s="696"/>
      <c r="AG551" s="696"/>
      <c r="AH551" s="167"/>
      <c r="AI551" s="167"/>
      <c r="AJ551" s="167"/>
      <c r="AK551" s="6"/>
      <c r="AL551" s="6"/>
      <c r="AM551" s="6"/>
      <c r="AN551" s="6"/>
      <c r="AO551" s="6"/>
      <c r="AP551" s="6"/>
    </row>
    <row r="552" spans="1:43" hidden="1" x14ac:dyDescent="0.25">
      <c r="A552" t="s">
        <v>173</v>
      </c>
      <c r="B552" s="256"/>
      <c r="C552" s="213">
        <f>C542+1</f>
        <v>7</v>
      </c>
      <c r="D552" s="213">
        <v>1</v>
      </c>
      <c r="E552" s="213" t="s">
        <v>1173</v>
      </c>
      <c r="F552" s="214">
        <f>$B$2</f>
        <v>20180328</v>
      </c>
      <c r="G552" s="215">
        <v>0.7289930555555556</v>
      </c>
      <c r="H552" s="214"/>
      <c r="I552" s="214"/>
      <c r="J552" s="214"/>
      <c r="K552" s="214" t="s">
        <v>1247</v>
      </c>
      <c r="L552" s="214">
        <v>1</v>
      </c>
      <c r="M552" s="214">
        <f>$B$2</f>
        <v>20180328</v>
      </c>
      <c r="N552" s="216" t="str">
        <f>N547</f>
        <v>9999</v>
      </c>
      <c r="O552" s="217">
        <f>O547</f>
        <v>99990202</v>
      </c>
      <c r="P552" s="217"/>
      <c r="Q552" s="217" t="str">
        <f>Q547</f>
        <v>CZCE</v>
      </c>
      <c r="R552" s="217"/>
      <c r="S552" s="217">
        <v>1</v>
      </c>
      <c r="T552" s="217">
        <v>1</v>
      </c>
      <c r="U552" s="217">
        <v>2</v>
      </c>
      <c r="V552" s="216">
        <v>1</v>
      </c>
      <c r="W552" s="216">
        <f>W547</f>
        <v>0</v>
      </c>
      <c r="X552" s="217" t="s">
        <v>1195</v>
      </c>
      <c r="Y552" s="217">
        <v>1</v>
      </c>
      <c r="Z552" s="217">
        <v>0</v>
      </c>
      <c r="AA552" s="217" t="str">
        <f>AA547</f>
        <v>USD</v>
      </c>
      <c r="AB552" s="217"/>
      <c r="AC552" s="217"/>
      <c r="AD552" s="189" t="s">
        <v>1128</v>
      </c>
      <c r="AE552" s="111"/>
      <c r="AF552" s="111"/>
      <c r="AG552" s="111">
        <v>0</v>
      </c>
      <c r="AH552" s="167"/>
      <c r="AI552" s="167"/>
      <c r="AJ552" s="167"/>
      <c r="AK552" s="6"/>
      <c r="AL552" s="6"/>
      <c r="AM552" s="6"/>
      <c r="AN552" s="6"/>
      <c r="AO552" s="6"/>
      <c r="AP552" s="6"/>
    </row>
    <row r="553" spans="1:43" x14ac:dyDescent="0.25">
      <c r="A553" s="262" t="s">
        <v>1751</v>
      </c>
      <c r="B553" s="263"/>
      <c r="C553" s="213"/>
      <c r="D553" s="213"/>
      <c r="E553" s="213"/>
      <c r="F553" s="209"/>
      <c r="G553" s="210"/>
      <c r="H553" s="209"/>
      <c r="I553" s="209"/>
      <c r="J553" s="209"/>
      <c r="K553" s="209"/>
      <c r="L553" s="209"/>
      <c r="M553" s="209"/>
      <c r="N553" s="212"/>
      <c r="O553" s="211"/>
      <c r="P553" s="211"/>
      <c r="Q553" s="211"/>
      <c r="R553" s="211"/>
      <c r="S553" s="211"/>
      <c r="T553" s="211"/>
      <c r="U553" s="211"/>
      <c r="V553" s="212"/>
      <c r="W553" s="212"/>
      <c r="X553" s="211"/>
      <c r="Y553" s="211"/>
      <c r="Z553" s="211"/>
      <c r="AA553" s="211"/>
      <c r="AB553" s="211"/>
      <c r="AC553" s="211"/>
      <c r="AD553" s="188"/>
      <c r="AE553" s="167"/>
      <c r="AF553" s="167"/>
      <c r="AG553" s="167"/>
      <c r="AH553" s="167"/>
      <c r="AI553" s="167"/>
      <c r="AJ553" s="167"/>
      <c r="AK553" s="6"/>
      <c r="AL553" s="6"/>
      <c r="AM553" s="6"/>
      <c r="AN553" s="6"/>
      <c r="AO553" s="6"/>
      <c r="AP553" s="6"/>
    </row>
    <row r="554" spans="1:43" s="434" customFormat="1" x14ac:dyDescent="0.25">
      <c r="A554" s="111"/>
      <c r="B554" s="436"/>
      <c r="C554" s="436"/>
      <c r="D554" s="436"/>
      <c r="E554" s="436"/>
      <c r="F554" s="210"/>
      <c r="G554" s="209"/>
      <c r="H554" s="210"/>
      <c r="I554" s="209"/>
      <c r="J554" s="209"/>
      <c r="K554" s="209"/>
      <c r="L554" s="209"/>
      <c r="M554" s="209"/>
      <c r="N554" s="209"/>
      <c r="O554" s="212"/>
      <c r="P554" s="211"/>
      <c r="Q554" s="211"/>
      <c r="R554" s="211"/>
      <c r="S554" s="211"/>
      <c r="T554" s="211"/>
      <c r="U554" s="211"/>
      <c r="V554" s="211"/>
      <c r="W554" s="212"/>
      <c r="X554" s="212"/>
      <c r="Y554" s="211"/>
      <c r="Z554" s="211"/>
      <c r="AA554" s="211"/>
      <c r="AB554" s="211"/>
      <c r="AC554" s="211"/>
      <c r="AD554" s="211"/>
      <c r="AE554" s="188"/>
      <c r="AF554" s="167"/>
      <c r="AG554" s="167"/>
      <c r="AH554" s="167"/>
      <c r="AI554" s="167"/>
      <c r="AJ554" s="167"/>
      <c r="AK554" s="167"/>
      <c r="AL554" s="6"/>
      <c r="AM554" s="6"/>
      <c r="AN554" s="6"/>
      <c r="AO554" s="6"/>
      <c r="AP554" s="6"/>
      <c r="AQ554" s="6"/>
    </row>
    <row r="555" spans="1:43" s="342" customFormat="1" x14ac:dyDescent="0.25">
      <c r="A555" s="342" t="s">
        <v>173</v>
      </c>
      <c r="B555" s="343" t="s">
        <v>1216</v>
      </c>
      <c r="C555" s="343"/>
      <c r="D555" s="343"/>
      <c r="E555" s="343"/>
      <c r="F555" s="344"/>
      <c r="G555" s="344"/>
      <c r="H555" s="344"/>
      <c r="I555" s="344"/>
      <c r="J555" s="344"/>
      <c r="K555" s="344"/>
      <c r="L555" s="344"/>
      <c r="M555" s="344"/>
      <c r="N555" s="345"/>
      <c r="O555" s="345"/>
      <c r="P555" s="345"/>
      <c r="Q555" s="345"/>
      <c r="R555" s="345"/>
      <c r="S555" s="345"/>
      <c r="T555" s="345"/>
      <c r="U555" s="345"/>
      <c r="V555" s="346"/>
      <c r="W555" s="345"/>
      <c r="X555" s="345"/>
      <c r="Y555" s="345"/>
      <c r="Z555" s="345"/>
      <c r="AA555" s="345"/>
      <c r="AB555" s="345"/>
      <c r="AC555" s="345"/>
      <c r="AD555" s="345"/>
      <c r="AE555" s="345"/>
      <c r="AF555" s="345"/>
      <c r="AG555" s="345"/>
      <c r="AH555" s="345"/>
      <c r="AI555" s="345"/>
      <c r="AJ555" s="345"/>
    </row>
    <row r="556" spans="1:43" x14ac:dyDescent="0.25">
      <c r="A556" s="4" t="s">
        <v>124</v>
      </c>
      <c r="B556" s="203" t="s">
        <v>1251</v>
      </c>
      <c r="C556" s="204"/>
      <c r="D556" s="204"/>
      <c r="E556" s="204"/>
      <c r="F556" s="188"/>
      <c r="G556" s="188"/>
      <c r="H556" s="188"/>
      <c r="I556" s="188"/>
      <c r="J556" s="188"/>
      <c r="K556" s="188"/>
      <c r="L556" s="188"/>
      <c r="M556" s="188"/>
      <c r="N556" s="167"/>
      <c r="O556" s="167"/>
      <c r="P556" s="167"/>
      <c r="Q556" s="167"/>
      <c r="R556" s="167"/>
      <c r="S556" s="167"/>
      <c r="T556" s="167"/>
      <c r="U556" s="167"/>
      <c r="V556" s="182"/>
      <c r="W556" s="167"/>
      <c r="X556" s="167"/>
      <c r="Y556" s="167"/>
      <c r="Z556" s="167"/>
      <c r="AA556" s="167"/>
      <c r="AB556" s="167"/>
      <c r="AC556" s="167"/>
      <c r="AD556" s="167"/>
      <c r="AE556" s="167"/>
      <c r="AF556" s="167"/>
      <c r="AG556" s="167"/>
      <c r="AH556" s="167"/>
      <c r="AI556" s="167"/>
      <c r="AJ556" s="167"/>
      <c r="AK556" s="6"/>
      <c r="AL556" s="6"/>
      <c r="AM556" s="6"/>
      <c r="AN556" s="6"/>
      <c r="AO556" s="6"/>
      <c r="AP556" s="6"/>
    </row>
    <row r="557" spans="1:43" x14ac:dyDescent="0.25">
      <c r="A557" s="4" t="s">
        <v>306</v>
      </c>
      <c r="B557" s="756" t="s">
        <v>1584</v>
      </c>
      <c r="C557" s="679"/>
      <c r="D557" s="679"/>
      <c r="E557" s="679"/>
      <c r="F557" s="679"/>
      <c r="G557" s="679"/>
      <c r="H557" s="679"/>
      <c r="I557" s="679"/>
      <c r="J557" s="679"/>
      <c r="K557" s="679"/>
      <c r="L557" s="679"/>
      <c r="M557" s="679"/>
      <c r="N557" s="679"/>
      <c r="O557" s="679"/>
      <c r="P557" s="679"/>
      <c r="Q557" s="679"/>
      <c r="R557" s="679"/>
      <c r="S557" s="712" t="s">
        <v>1126</v>
      </c>
      <c r="T557" s="712" t="s">
        <v>1107</v>
      </c>
      <c r="U557" s="712" t="s">
        <v>1108</v>
      </c>
      <c r="V557" s="167"/>
      <c r="W557" s="182"/>
      <c r="X557" s="167"/>
      <c r="Y557" s="167"/>
      <c r="Z557" s="167"/>
      <c r="AA557" s="167"/>
      <c r="AB557" s="167"/>
      <c r="AC557" s="167"/>
      <c r="AD557" s="167"/>
      <c r="AE557" s="167"/>
      <c r="AF557" s="167"/>
      <c r="AG557" s="167"/>
      <c r="AH557" s="167"/>
      <c r="AI557" s="167"/>
      <c r="AJ557" s="167"/>
      <c r="AK557" s="167"/>
      <c r="AL557" s="6"/>
      <c r="AM557" s="6"/>
      <c r="AN557" s="6"/>
      <c r="AO557" s="6"/>
      <c r="AP557" s="6"/>
      <c r="AQ557" s="6"/>
    </row>
    <row r="558" spans="1:43" x14ac:dyDescent="0.25">
      <c r="B558" s="255" t="s">
        <v>1111</v>
      </c>
      <c r="C558" s="255" t="s">
        <v>1217</v>
      </c>
      <c r="D558" s="255" t="s">
        <v>1134</v>
      </c>
      <c r="E558" s="255" t="s">
        <v>1117</v>
      </c>
      <c r="F558" s="189" t="s">
        <v>1218</v>
      </c>
      <c r="G558" s="189" t="s">
        <v>1219</v>
      </c>
      <c r="H558" s="189" t="s">
        <v>1220</v>
      </c>
      <c r="I558" s="189" t="s">
        <v>1221</v>
      </c>
      <c r="J558" s="189" t="s">
        <v>1222</v>
      </c>
      <c r="K558" s="189" t="s">
        <v>1754</v>
      </c>
      <c r="L558" s="189" t="s">
        <v>1223</v>
      </c>
      <c r="M558" s="189" t="s">
        <v>1224</v>
      </c>
      <c r="N558" s="189" t="s">
        <v>1225</v>
      </c>
      <c r="O558" s="189" t="s">
        <v>1226</v>
      </c>
      <c r="P558" s="189" t="s">
        <v>1147</v>
      </c>
      <c r="Q558" s="189" t="s">
        <v>1227</v>
      </c>
      <c r="R558" s="189" t="s">
        <v>1228</v>
      </c>
      <c r="S558" s="713"/>
      <c r="T558" s="713"/>
      <c r="U558" s="713"/>
      <c r="V558" s="167"/>
      <c r="W558" s="182"/>
      <c r="X558" s="167"/>
      <c r="Y558" s="167"/>
      <c r="Z558" s="167"/>
      <c r="AA558" s="167"/>
      <c r="AB558" s="167"/>
      <c r="AC558" s="167"/>
      <c r="AD558" s="167"/>
      <c r="AE558" s="167"/>
      <c r="AF558" s="167"/>
      <c r="AG558" s="167"/>
      <c r="AH558" s="167"/>
      <c r="AI558" s="167"/>
      <c r="AJ558" s="167"/>
      <c r="AK558" s="167"/>
      <c r="AL558" s="6"/>
      <c r="AM558" s="6"/>
      <c r="AN558" s="6"/>
      <c r="AO558" s="6"/>
      <c r="AP558" s="6"/>
      <c r="AQ558" s="6"/>
    </row>
    <row r="559" spans="1:43" x14ac:dyDescent="0.25">
      <c r="B559" s="255">
        <f>B2</f>
        <v>20180328</v>
      </c>
      <c r="C559" s="255">
        <f>B559</f>
        <v>20180328</v>
      </c>
      <c r="D559" s="255" t="str">
        <f>$F$5</f>
        <v>9999</v>
      </c>
      <c r="E559" s="255" t="str">
        <f>$B$19</f>
        <v>CZCE</v>
      </c>
      <c r="F559" s="189">
        <v>0</v>
      </c>
      <c r="G559" s="189">
        <v>0</v>
      </c>
      <c r="H559" s="189">
        <v>0</v>
      </c>
      <c r="I559" s="189">
        <v>0</v>
      </c>
      <c r="J559" s="189">
        <f>'day2'!B2</f>
        <v>20180327</v>
      </c>
      <c r="K559" s="189">
        <v>7</v>
      </c>
      <c r="L559" s="189">
        <v>2</v>
      </c>
      <c r="M559" s="189">
        <v>2</v>
      </c>
      <c r="N559" s="189">
        <v>2</v>
      </c>
      <c r="O559" s="189">
        <v>1</v>
      </c>
      <c r="P559" s="111" t="s">
        <v>1128</v>
      </c>
      <c r="Q559" s="111">
        <f>B2</f>
        <v>20180328</v>
      </c>
      <c r="R559" s="205">
        <v>0.53385416666666663</v>
      </c>
      <c r="S559" s="205" t="s">
        <v>1128</v>
      </c>
      <c r="T559" s="111"/>
      <c r="U559" s="111"/>
      <c r="V559" s="167"/>
      <c r="W559" s="182"/>
      <c r="X559" s="167"/>
      <c r="Y559" s="167"/>
      <c r="Z559" s="167"/>
      <c r="AA559" s="167"/>
      <c r="AB559" s="167"/>
      <c r="AC559" s="167"/>
      <c r="AD559" s="167"/>
      <c r="AE559" s="167"/>
      <c r="AF559" s="167"/>
      <c r="AG559" s="167"/>
      <c r="AH559" s="167"/>
      <c r="AI559" s="167"/>
      <c r="AJ559" s="167"/>
      <c r="AK559" s="167"/>
      <c r="AL559" s="6"/>
      <c r="AM559" s="6"/>
      <c r="AN559" s="6"/>
      <c r="AO559" s="6"/>
      <c r="AP559" s="6"/>
      <c r="AQ559" s="6"/>
    </row>
    <row r="560" spans="1:43" s="9" customFormat="1" ht="13.95" customHeight="1" x14ac:dyDescent="0.25">
      <c r="A560" s="361" t="s">
        <v>359</v>
      </c>
      <c r="B560" s="361" t="s">
        <v>1627</v>
      </c>
      <c r="C560" s="361"/>
      <c r="D560" s="361"/>
      <c r="E560" s="361"/>
    </row>
    <row r="561" spans="1:44" s="9" customFormat="1" ht="13.95" customHeight="1" x14ac:dyDescent="0.25">
      <c r="A561" s="369" t="s">
        <v>970</v>
      </c>
      <c r="B561" s="369" t="s">
        <v>1670</v>
      </c>
      <c r="C561" s="369"/>
      <c r="D561" s="361"/>
      <c r="E561" s="361"/>
    </row>
    <row r="562" spans="1:44" s="364" customFormat="1" ht="13.95" customHeight="1" x14ac:dyDescent="0.15">
      <c r="A562" s="361" t="s">
        <v>1628</v>
      </c>
      <c r="B562" s="704" t="s">
        <v>1582</v>
      </c>
      <c r="C562" s="705"/>
      <c r="D562" s="705"/>
      <c r="E562" s="705"/>
      <c r="F562" s="705"/>
      <c r="G562" s="705"/>
      <c r="H562" s="705"/>
      <c r="I562" s="705"/>
      <c r="J562" s="705"/>
      <c r="K562" s="705"/>
      <c r="L562" s="705"/>
      <c r="M562" s="705"/>
      <c r="N562" s="705"/>
      <c r="O562" s="705"/>
      <c r="P562" s="705"/>
      <c r="Q562" s="705"/>
      <c r="R562" s="708"/>
      <c r="S562" s="740" t="s">
        <v>1981</v>
      </c>
      <c r="T562" s="717" t="s">
        <v>1629</v>
      </c>
      <c r="U562" s="717" t="s">
        <v>1630</v>
      </c>
      <c r="V562" s="717" t="s">
        <v>1631</v>
      </c>
      <c r="W562" s="362"/>
      <c r="X562" s="107"/>
      <c r="Y562" s="362"/>
      <c r="Z562" s="362"/>
      <c r="AA562" s="362"/>
      <c r="AB562" s="362"/>
      <c r="AC562" s="362"/>
      <c r="AD562" s="362"/>
      <c r="AE562" s="362"/>
      <c r="AF562" s="362"/>
      <c r="AG562" s="362"/>
      <c r="AH562" s="362"/>
      <c r="AI562" s="362"/>
      <c r="AJ562" s="362"/>
      <c r="AK562" s="362"/>
      <c r="AL562" s="362"/>
      <c r="AM562" s="363"/>
      <c r="AN562" s="363"/>
      <c r="AO562" s="363"/>
      <c r="AP562" s="363"/>
      <c r="AQ562" s="363"/>
      <c r="AR562" s="363"/>
    </row>
    <row r="563" spans="1:44" s="364" customFormat="1" ht="13.95" customHeight="1" x14ac:dyDescent="0.25">
      <c r="B563" s="365" t="s">
        <v>1632</v>
      </c>
      <c r="C563" s="365" t="s">
        <v>1633</v>
      </c>
      <c r="D563" s="365" t="s">
        <v>1634</v>
      </c>
      <c r="E563" s="365" t="s">
        <v>1635</v>
      </c>
      <c r="F563" s="366" t="s">
        <v>1636</v>
      </c>
      <c r="G563" s="366" t="s">
        <v>1637</v>
      </c>
      <c r="H563" s="366" t="s">
        <v>1638</v>
      </c>
      <c r="I563" s="366" t="s">
        <v>1639</v>
      </c>
      <c r="J563" s="366" t="s">
        <v>1640</v>
      </c>
      <c r="K563" s="366" t="s">
        <v>1641</v>
      </c>
      <c r="L563" s="366" t="s">
        <v>1642</v>
      </c>
      <c r="M563" s="366" t="s">
        <v>1643</v>
      </c>
      <c r="N563" s="366" t="s">
        <v>1644</v>
      </c>
      <c r="O563" s="366" t="s">
        <v>1645</v>
      </c>
      <c r="P563" s="366" t="s">
        <v>1646</v>
      </c>
      <c r="Q563" s="366" t="s">
        <v>1647</v>
      </c>
      <c r="R563" s="366" t="s">
        <v>1648</v>
      </c>
      <c r="S563" s="741"/>
      <c r="T563" s="718"/>
      <c r="U563" s="718"/>
      <c r="V563" s="718"/>
      <c r="W563" s="362"/>
      <c r="X563" s="107"/>
      <c r="Y563" s="362"/>
      <c r="Z563" s="362"/>
      <c r="AA563" s="362"/>
      <c r="AB563" s="362"/>
      <c r="AC563" s="362"/>
      <c r="AD563" s="362"/>
      <c r="AE563" s="362"/>
      <c r="AF563" s="362"/>
      <c r="AG563" s="362"/>
      <c r="AH563" s="362"/>
      <c r="AI563" s="362"/>
      <c r="AJ563" s="362"/>
      <c r="AK563" s="362"/>
      <c r="AL563" s="362"/>
      <c r="AM563" s="363"/>
      <c r="AN563" s="363"/>
      <c r="AO563" s="363"/>
      <c r="AP563" s="363"/>
      <c r="AQ563" s="363"/>
      <c r="AR563" s="363"/>
    </row>
    <row r="564" spans="1:44" s="364" customFormat="1" ht="13.95" customHeight="1" x14ac:dyDescent="0.25">
      <c r="B564" s="365">
        <f>$B$2</f>
        <v>20180328</v>
      </c>
      <c r="C564" s="365">
        <f>$B$2</f>
        <v>20180328</v>
      </c>
      <c r="D564" s="365" t="str">
        <f>$F$5</f>
        <v>9999</v>
      </c>
      <c r="E564" s="365" t="str">
        <f>$B$19</f>
        <v>CZCE</v>
      </c>
      <c r="F564" s="366">
        <v>0</v>
      </c>
      <c r="G564" s="366">
        <v>0</v>
      </c>
      <c r="H564" s="366">
        <v>0</v>
      </c>
      <c r="I564" s="366">
        <v>0</v>
      </c>
      <c r="J564" s="366">
        <f>'day2'!B2</f>
        <v>20180327</v>
      </c>
      <c r="K564" s="366">
        <v>7</v>
      </c>
      <c r="L564" s="366">
        <v>2</v>
      </c>
      <c r="M564" s="366">
        <v>2</v>
      </c>
      <c r="N564" s="366">
        <v>2</v>
      </c>
      <c r="O564" s="366">
        <v>1</v>
      </c>
      <c r="P564" s="367" t="s">
        <v>1649</v>
      </c>
      <c r="Q564" s="367">
        <f>$B$2</f>
        <v>20180328</v>
      </c>
      <c r="R564" s="368">
        <v>0.53385416666666663</v>
      </c>
      <c r="S564" s="387">
        <v>1</v>
      </c>
      <c r="T564" s="368" t="s">
        <v>1128</v>
      </c>
      <c r="U564" s="367"/>
      <c r="V564" s="362"/>
      <c r="W564" s="107"/>
      <c r="X564" s="362"/>
      <c r="Y564" s="362"/>
      <c r="Z564" s="362"/>
      <c r="AA564" s="362"/>
      <c r="AB564" s="362"/>
      <c r="AC564" s="362"/>
      <c r="AD564" s="362"/>
      <c r="AE564" s="362"/>
      <c r="AF564" s="362"/>
      <c r="AG564" s="362"/>
      <c r="AH564" s="362"/>
      <c r="AI564" s="362"/>
      <c r="AJ564" s="362"/>
      <c r="AK564" s="362"/>
      <c r="AL564" s="363"/>
      <c r="AM564" s="363"/>
      <c r="AN564" s="363"/>
      <c r="AO564" s="363"/>
      <c r="AP564" s="363"/>
      <c r="AQ564" s="363"/>
    </row>
    <row r="565" spans="1:44" s="9" customFormat="1" ht="13.95" customHeight="1" x14ac:dyDescent="0.25">
      <c r="A565" s="361" t="s">
        <v>359</v>
      </c>
      <c r="B565" s="361" t="s">
        <v>1627</v>
      </c>
    </row>
    <row r="566" spans="1:44" s="9" customFormat="1" ht="13.95" customHeight="1" x14ac:dyDescent="0.25">
      <c r="A566" s="369" t="s">
        <v>970</v>
      </c>
      <c r="B566" s="369" t="s">
        <v>1671</v>
      </c>
      <c r="C566" s="44"/>
    </row>
    <row r="567" spans="1:44" s="364" customFormat="1" x14ac:dyDescent="0.15">
      <c r="A567" s="361" t="s">
        <v>1628</v>
      </c>
      <c r="B567" s="704" t="s">
        <v>1672</v>
      </c>
      <c r="C567" s="705"/>
      <c r="D567" s="705"/>
      <c r="E567" s="705"/>
      <c r="F567" s="705"/>
      <c r="G567" s="705"/>
      <c r="H567" s="705"/>
      <c r="I567" s="705"/>
      <c r="J567" s="705"/>
      <c r="K567" s="705"/>
      <c r="L567" s="705"/>
      <c r="M567" s="705"/>
      <c r="N567" s="705"/>
      <c r="O567" s="705"/>
      <c r="P567" s="705"/>
      <c r="Q567" s="705"/>
      <c r="R567" s="708"/>
      <c r="S567" s="717" t="s">
        <v>1650</v>
      </c>
      <c r="T567" s="717" t="s">
        <v>1651</v>
      </c>
      <c r="U567" s="717" t="s">
        <v>1652</v>
      </c>
      <c r="V567" s="362"/>
      <c r="W567" s="107"/>
      <c r="X567" s="362"/>
      <c r="Y567" s="362"/>
      <c r="Z567" s="362"/>
      <c r="AA567" s="362"/>
      <c r="AB567" s="362"/>
      <c r="AC567" s="362"/>
      <c r="AD567" s="362"/>
      <c r="AE567" s="362"/>
      <c r="AF567" s="362"/>
      <c r="AG567" s="362"/>
      <c r="AH567" s="362"/>
      <c r="AI567" s="362"/>
      <c r="AJ567" s="362"/>
      <c r="AK567" s="362"/>
      <c r="AL567" s="363"/>
      <c r="AM567" s="363"/>
      <c r="AN567" s="363"/>
      <c r="AO567" s="363"/>
      <c r="AP567" s="363"/>
      <c r="AQ567" s="363"/>
    </row>
    <row r="568" spans="1:44" s="364" customFormat="1" ht="12" x14ac:dyDescent="0.25">
      <c r="B568" s="365" t="s">
        <v>1653</v>
      </c>
      <c r="C568" s="365" t="s">
        <v>1654</v>
      </c>
      <c r="D568" s="365" t="s">
        <v>1655</v>
      </c>
      <c r="E568" s="365" t="s">
        <v>1656</v>
      </c>
      <c r="F568" s="366" t="s">
        <v>1657</v>
      </c>
      <c r="G568" s="366" t="s">
        <v>1658</v>
      </c>
      <c r="H568" s="366" t="s">
        <v>1659</v>
      </c>
      <c r="I568" s="366" t="s">
        <v>1660</v>
      </c>
      <c r="J568" s="366" t="s">
        <v>1661</v>
      </c>
      <c r="K568" s="366" t="s">
        <v>1662</v>
      </c>
      <c r="L568" s="366" t="s">
        <v>1663</v>
      </c>
      <c r="M568" s="366" t="s">
        <v>1664</v>
      </c>
      <c r="N568" s="366" t="s">
        <v>1665</v>
      </c>
      <c r="O568" s="366" t="s">
        <v>1666</v>
      </c>
      <c r="P568" s="366" t="s">
        <v>1667</v>
      </c>
      <c r="Q568" s="366" t="s">
        <v>1668</v>
      </c>
      <c r="R568" s="366" t="s">
        <v>1669</v>
      </c>
      <c r="S568" s="718"/>
      <c r="T568" s="718"/>
      <c r="U568" s="718"/>
      <c r="V568" s="362"/>
      <c r="W568" s="107"/>
      <c r="X568" s="362"/>
      <c r="Y568" s="362"/>
      <c r="Z568" s="362"/>
      <c r="AA568" s="362"/>
      <c r="AB568" s="362"/>
      <c r="AC568" s="362"/>
      <c r="AD568" s="362"/>
      <c r="AE568" s="362"/>
      <c r="AF568" s="362"/>
      <c r="AG568" s="362"/>
      <c r="AH568" s="362"/>
      <c r="AI568" s="362"/>
      <c r="AJ568" s="362"/>
      <c r="AK568" s="362"/>
      <c r="AL568" s="363"/>
      <c r="AM568" s="363"/>
      <c r="AN568" s="363"/>
      <c r="AO568" s="363"/>
      <c r="AP568" s="363"/>
      <c r="AQ568" s="363"/>
    </row>
    <row r="569" spans="1:44" s="364" customFormat="1" ht="12" x14ac:dyDescent="0.25">
      <c r="B569" s="365">
        <f>$B$2</f>
        <v>20180328</v>
      </c>
      <c r="C569" s="365">
        <f>$B$2</f>
        <v>20180328</v>
      </c>
      <c r="D569" s="365" t="str">
        <f>$F$5</f>
        <v>9999</v>
      </c>
      <c r="E569" s="365" t="str">
        <f>$B$19</f>
        <v>CZCE</v>
      </c>
      <c r="F569" s="366">
        <v>0</v>
      </c>
      <c r="G569" s="366">
        <v>0</v>
      </c>
      <c r="H569" s="366">
        <v>0</v>
      </c>
      <c r="I569" s="366">
        <v>0</v>
      </c>
      <c r="J569" s="366">
        <f>J564</f>
        <v>20180327</v>
      </c>
      <c r="K569" s="366">
        <v>7</v>
      </c>
      <c r="L569" s="366">
        <v>2</v>
      </c>
      <c r="M569" s="366">
        <v>2</v>
      </c>
      <c r="N569" s="366">
        <v>2</v>
      </c>
      <c r="O569" s="366">
        <v>1</v>
      </c>
      <c r="P569" s="367" t="s">
        <v>1128</v>
      </c>
      <c r="Q569" s="367">
        <f>$B$2</f>
        <v>20180328</v>
      </c>
      <c r="R569" s="368">
        <v>0.53385416666666663</v>
      </c>
      <c r="S569" s="368" t="s">
        <v>1128</v>
      </c>
      <c r="T569" s="367"/>
      <c r="U569" s="367"/>
      <c r="V569" s="362"/>
      <c r="W569" s="107"/>
      <c r="X569" s="362"/>
      <c r="Y569" s="362"/>
      <c r="Z569" s="362"/>
      <c r="AA569" s="362"/>
      <c r="AB569" s="362"/>
      <c r="AC569" s="362"/>
      <c r="AD569" s="362"/>
      <c r="AE569" s="362"/>
      <c r="AF569" s="362"/>
      <c r="AG569" s="362"/>
      <c r="AH569" s="362"/>
      <c r="AI569" s="362"/>
      <c r="AJ569" s="362"/>
      <c r="AK569" s="362"/>
      <c r="AL569" s="363"/>
      <c r="AM569" s="363"/>
      <c r="AN569" s="363"/>
      <c r="AO569" s="363"/>
      <c r="AP569" s="363"/>
      <c r="AQ569" s="363"/>
    </row>
    <row r="570" spans="1:44" s="9" customFormat="1" ht="13.95" customHeight="1" x14ac:dyDescent="0.25">
      <c r="A570" s="361" t="s">
        <v>359</v>
      </c>
      <c r="B570" s="361" t="s">
        <v>1627</v>
      </c>
    </row>
    <row r="571" spans="1:44" s="9" customFormat="1" ht="13.95" customHeight="1" x14ac:dyDescent="0.25">
      <c r="A571" s="369" t="s">
        <v>970</v>
      </c>
      <c r="B571" s="369" t="s">
        <v>1949</v>
      </c>
      <c r="C571" s="44"/>
    </row>
    <row r="572" spans="1:44" s="364" customFormat="1" x14ac:dyDescent="0.15">
      <c r="A572" s="361" t="s">
        <v>307</v>
      </c>
      <c r="B572" s="704" t="s">
        <v>1583</v>
      </c>
      <c r="C572" s="705"/>
      <c r="D572" s="705"/>
      <c r="E572" s="705"/>
      <c r="F572" s="705"/>
      <c r="G572" s="705"/>
      <c r="H572" s="705"/>
      <c r="I572" s="705"/>
      <c r="J572" s="705"/>
      <c r="K572" s="705"/>
      <c r="L572" s="705"/>
      <c r="M572" s="705"/>
      <c r="N572" s="705"/>
      <c r="O572" s="705"/>
      <c r="P572" s="705"/>
      <c r="Q572" s="705"/>
      <c r="R572" s="708"/>
      <c r="S572" s="717" t="s">
        <v>1252</v>
      </c>
      <c r="T572" s="717" t="s">
        <v>1950</v>
      </c>
      <c r="U572" s="717" t="s">
        <v>1631</v>
      </c>
      <c r="V572" s="362"/>
      <c r="W572" s="107"/>
      <c r="X572" s="362"/>
      <c r="Y572" s="362"/>
      <c r="Z572" s="362"/>
      <c r="AA572" s="362"/>
      <c r="AB572" s="362"/>
      <c r="AC572" s="362"/>
      <c r="AD572" s="362"/>
      <c r="AE572" s="362"/>
      <c r="AF572" s="362"/>
      <c r="AG572" s="362"/>
      <c r="AH572" s="362"/>
      <c r="AI572" s="362"/>
      <c r="AJ572" s="362"/>
      <c r="AK572" s="362"/>
      <c r="AL572" s="363"/>
      <c r="AM572" s="363"/>
      <c r="AN572" s="363"/>
      <c r="AO572" s="363"/>
      <c r="AP572" s="363"/>
      <c r="AQ572" s="363"/>
    </row>
    <row r="573" spans="1:44" s="364" customFormat="1" ht="12" x14ac:dyDescent="0.25">
      <c r="B573" s="365" t="s">
        <v>1632</v>
      </c>
      <c r="C573" s="365" t="s">
        <v>1633</v>
      </c>
      <c r="D573" s="365" t="s">
        <v>1134</v>
      </c>
      <c r="E573" s="365" t="s">
        <v>1951</v>
      </c>
      <c r="F573" s="366" t="s">
        <v>1218</v>
      </c>
      <c r="G573" s="366" t="s">
        <v>1219</v>
      </c>
      <c r="H573" s="366" t="s">
        <v>1220</v>
      </c>
      <c r="I573" s="366" t="s">
        <v>1221</v>
      </c>
      <c r="J573" s="366" t="s">
        <v>1661</v>
      </c>
      <c r="K573" s="366" t="s">
        <v>1952</v>
      </c>
      <c r="L573" s="366" t="s">
        <v>1223</v>
      </c>
      <c r="M573" s="366" t="s">
        <v>1953</v>
      </c>
      <c r="N573" s="366" t="s">
        <v>1225</v>
      </c>
      <c r="O573" s="366" t="s">
        <v>1954</v>
      </c>
      <c r="P573" s="366" t="s">
        <v>1955</v>
      </c>
      <c r="Q573" s="366" t="s">
        <v>1227</v>
      </c>
      <c r="R573" s="366" t="s">
        <v>1669</v>
      </c>
      <c r="S573" s="718"/>
      <c r="T573" s="718"/>
      <c r="U573" s="718"/>
      <c r="V573" s="362"/>
      <c r="W573" s="107"/>
      <c r="X573" s="362"/>
      <c r="Y573" s="362"/>
      <c r="Z573" s="362"/>
      <c r="AA573" s="362"/>
      <c r="AB573" s="362"/>
      <c r="AC573" s="362"/>
      <c r="AD573" s="362"/>
      <c r="AE573" s="362"/>
      <c r="AF573" s="362"/>
      <c r="AG573" s="362"/>
      <c r="AH573" s="362"/>
      <c r="AI573" s="362"/>
      <c r="AJ573" s="362"/>
      <c r="AK573" s="362"/>
      <c r="AL573" s="363"/>
      <c r="AM573" s="363"/>
      <c r="AN573" s="363"/>
      <c r="AO573" s="363"/>
      <c r="AP573" s="363"/>
      <c r="AQ573" s="363"/>
    </row>
    <row r="574" spans="1:44" s="364" customFormat="1" ht="12" x14ac:dyDescent="0.25">
      <c r="B574" s="365">
        <f>$B$2</f>
        <v>20180328</v>
      </c>
      <c r="C574" s="365">
        <f>$B$2</f>
        <v>20180328</v>
      </c>
      <c r="D574" s="365" t="str">
        <f>$F$5</f>
        <v>9999</v>
      </c>
      <c r="E574" s="365" t="str">
        <f>B19</f>
        <v>CZCE</v>
      </c>
      <c r="F574" s="366">
        <v>0</v>
      </c>
      <c r="G574" s="366">
        <v>0</v>
      </c>
      <c r="H574" s="366">
        <v>0</v>
      </c>
      <c r="I574" s="366">
        <v>0</v>
      </c>
      <c r="J574" s="366">
        <f>J569</f>
        <v>20180327</v>
      </c>
      <c r="K574" s="366">
        <v>7</v>
      </c>
      <c r="L574" s="366">
        <v>2</v>
      </c>
      <c r="M574" s="366">
        <v>2</v>
      </c>
      <c r="N574" s="366">
        <v>2</v>
      </c>
      <c r="O574" s="366">
        <v>1</v>
      </c>
      <c r="P574" s="367" t="s">
        <v>1948</v>
      </c>
      <c r="Q574" s="367">
        <f>$B$2</f>
        <v>20180328</v>
      </c>
      <c r="R574" s="368">
        <v>0.53385416666666663</v>
      </c>
      <c r="S574" s="368" t="s">
        <v>1956</v>
      </c>
      <c r="T574" s="367"/>
      <c r="U574" s="367"/>
      <c r="V574" s="362"/>
      <c r="W574" s="107"/>
      <c r="X574" s="362"/>
      <c r="Y574" s="362"/>
      <c r="Z574" s="362"/>
      <c r="AA574" s="362"/>
      <c r="AB574" s="362"/>
      <c r="AC574" s="362"/>
      <c r="AD574" s="362"/>
      <c r="AE574" s="362"/>
      <c r="AF574" s="362"/>
      <c r="AG574" s="362"/>
      <c r="AH574" s="362"/>
      <c r="AI574" s="362"/>
      <c r="AJ574" s="362"/>
      <c r="AK574" s="362"/>
      <c r="AL574" s="363"/>
      <c r="AM574" s="363"/>
      <c r="AN574" s="363"/>
      <c r="AO574" s="363"/>
      <c r="AP574" s="363"/>
      <c r="AQ574" s="363"/>
    </row>
    <row r="575" spans="1:44" hidden="1" x14ac:dyDescent="0.25">
      <c r="A575" t="s">
        <v>1674</v>
      </c>
      <c r="B575" s="323" t="s">
        <v>1675</v>
      </c>
      <c r="C575" s="323"/>
      <c r="D575" s="323"/>
      <c r="E575" s="323"/>
      <c r="F575" s="188"/>
      <c r="G575" s="188"/>
      <c r="H575" s="188"/>
      <c r="I575" s="188"/>
      <c r="J575" s="188"/>
      <c r="K575" s="188"/>
      <c r="L575" s="188"/>
      <c r="M575" s="188"/>
      <c r="N575" s="188"/>
      <c r="O575" s="188"/>
      <c r="P575" s="167"/>
      <c r="Q575" s="167"/>
      <c r="R575" s="338"/>
      <c r="S575" s="338"/>
      <c r="T575" s="167"/>
      <c r="U575" s="167"/>
      <c r="V575" s="167"/>
      <c r="W575" s="182"/>
      <c r="X575" s="167"/>
      <c r="Y575" s="167"/>
      <c r="Z575" s="167"/>
      <c r="AA575" s="167"/>
      <c r="AB575" s="167"/>
      <c r="AC575" s="167"/>
      <c r="AD575" s="167"/>
      <c r="AE575" s="167"/>
      <c r="AF575" s="167"/>
      <c r="AG575" s="167"/>
      <c r="AH575" s="167"/>
      <c r="AI575" s="167"/>
      <c r="AJ575" s="167"/>
      <c r="AK575" s="167"/>
      <c r="AL575" s="6"/>
      <c r="AM575" s="6"/>
      <c r="AN575" s="6"/>
      <c r="AO575" s="6"/>
      <c r="AP575" s="6"/>
      <c r="AQ575" s="6"/>
    </row>
    <row r="576" spans="1:44" ht="13.95" hidden="1" customHeight="1" x14ac:dyDescent="0.25">
      <c r="A576" s="564" t="s">
        <v>173</v>
      </c>
      <c r="B576" s="4" t="s">
        <v>124</v>
      </c>
      <c r="C576" s="203" t="s">
        <v>1251</v>
      </c>
      <c r="D576" s="204"/>
      <c r="E576" s="204"/>
      <c r="F576" s="204"/>
      <c r="G576" s="188"/>
      <c r="H576" s="188"/>
      <c r="I576" s="188"/>
      <c r="J576" s="188"/>
      <c r="K576" s="188"/>
      <c r="L576" s="188"/>
      <c r="M576" s="188"/>
      <c r="N576" s="188"/>
      <c r="O576" s="167"/>
      <c r="P576" s="167"/>
      <c r="Q576" s="167"/>
      <c r="R576" s="167"/>
      <c r="S576" s="167"/>
      <c r="T576" s="167"/>
      <c r="U576" s="167"/>
      <c r="V576" s="167"/>
      <c r="W576" s="182"/>
      <c r="X576" s="167"/>
      <c r="Y576" s="167"/>
      <c r="Z576" s="167"/>
      <c r="AA576" s="167"/>
      <c r="AB576" s="167"/>
      <c r="AC576" s="167"/>
      <c r="AD576" s="167"/>
      <c r="AE576" s="167"/>
      <c r="AF576" s="167"/>
      <c r="AG576" s="167"/>
      <c r="AH576" s="167"/>
      <c r="AI576" s="167"/>
      <c r="AJ576" s="167"/>
      <c r="AK576" s="167"/>
      <c r="AL576" s="6"/>
      <c r="AM576" s="6"/>
      <c r="AN576" s="6"/>
      <c r="AO576" s="6"/>
      <c r="AP576" s="6"/>
      <c r="AQ576" s="6"/>
    </row>
    <row r="577" spans="1:44" ht="13.95" hidden="1" customHeight="1" x14ac:dyDescent="0.25">
      <c r="A577" s="564" t="s">
        <v>173</v>
      </c>
      <c r="B577" s="4" t="s">
        <v>306</v>
      </c>
      <c r="C577" s="704" t="s">
        <v>1583</v>
      </c>
      <c r="D577" s="705"/>
      <c r="E577" s="705"/>
      <c r="F577" s="705"/>
      <c r="G577" s="705"/>
      <c r="H577" s="705"/>
      <c r="I577" s="705"/>
      <c r="J577" s="705"/>
      <c r="K577" s="705"/>
      <c r="L577" s="705"/>
      <c r="M577" s="705"/>
      <c r="N577" s="705"/>
      <c r="O577" s="705"/>
      <c r="P577" s="705"/>
      <c r="Q577" s="705"/>
      <c r="R577" s="705"/>
      <c r="S577" s="708"/>
      <c r="T577" s="712" t="s">
        <v>1126</v>
      </c>
      <c r="U577" s="712" t="s">
        <v>1107</v>
      </c>
      <c r="V577" s="712" t="s">
        <v>1108</v>
      </c>
      <c r="W577" s="167"/>
      <c r="X577" s="182"/>
      <c r="Y577" s="167"/>
      <c r="Z577" s="167"/>
      <c r="AA577" s="167"/>
      <c r="AB577" s="167"/>
      <c r="AC577" s="167"/>
      <c r="AD577" s="167"/>
      <c r="AE577" s="167"/>
      <c r="AF577" s="167"/>
      <c r="AG577" s="167"/>
      <c r="AH577" s="167"/>
      <c r="AI577" s="167"/>
      <c r="AJ577" s="167"/>
      <c r="AK577" s="167"/>
      <c r="AL577" s="167"/>
      <c r="AM577" s="6"/>
      <c r="AN577" s="6"/>
      <c r="AO577" s="6"/>
      <c r="AP577" s="6"/>
      <c r="AQ577" s="6"/>
      <c r="AR577" s="6"/>
    </row>
    <row r="578" spans="1:44" ht="13.95" hidden="1" customHeight="1" x14ac:dyDescent="0.25">
      <c r="A578" s="564" t="s">
        <v>173</v>
      </c>
      <c r="C578" s="358" t="s">
        <v>1111</v>
      </c>
      <c r="D578" s="358" t="s">
        <v>1217</v>
      </c>
      <c r="E578" s="358" t="s">
        <v>1134</v>
      </c>
      <c r="F578" s="358" t="s">
        <v>1117</v>
      </c>
      <c r="G578" s="189" t="s">
        <v>1218</v>
      </c>
      <c r="H578" s="189" t="s">
        <v>1219</v>
      </c>
      <c r="I578" s="189" t="s">
        <v>1220</v>
      </c>
      <c r="J578" s="189" t="s">
        <v>1221</v>
      </c>
      <c r="K578" s="189" t="s">
        <v>1222</v>
      </c>
      <c r="L578" s="189" t="s">
        <v>1755</v>
      </c>
      <c r="M578" s="189" t="s">
        <v>1223</v>
      </c>
      <c r="N578" s="189" t="s">
        <v>1224</v>
      </c>
      <c r="O578" s="189" t="s">
        <v>1225</v>
      </c>
      <c r="P578" s="189" t="s">
        <v>1226</v>
      </c>
      <c r="Q578" s="189" t="s">
        <v>1147</v>
      </c>
      <c r="R578" s="189" t="s">
        <v>1227</v>
      </c>
      <c r="S578" s="189" t="s">
        <v>1228</v>
      </c>
      <c r="T578" s="713"/>
      <c r="U578" s="713"/>
      <c r="V578" s="713"/>
      <c r="W578" s="167"/>
      <c r="X578" s="182"/>
      <c r="Y578" s="167"/>
      <c r="Z578" s="167"/>
      <c r="AA578" s="167"/>
      <c r="AB578" s="167"/>
      <c r="AC578" s="167"/>
      <c r="AD578" s="167"/>
      <c r="AE578" s="167"/>
      <c r="AF578" s="167"/>
      <c r="AG578" s="167"/>
      <c r="AH578" s="167"/>
      <c r="AI578" s="167"/>
      <c r="AJ578" s="167"/>
      <c r="AK578" s="167"/>
      <c r="AL578" s="167"/>
      <c r="AM578" s="6"/>
      <c r="AN578" s="6"/>
      <c r="AO578" s="6"/>
      <c r="AP578" s="6"/>
      <c r="AQ578" s="6"/>
      <c r="AR578" s="6"/>
    </row>
    <row r="579" spans="1:44" ht="13.95" hidden="1" customHeight="1" x14ac:dyDescent="0.25">
      <c r="A579" s="564" t="s">
        <v>173</v>
      </c>
      <c r="C579" s="358">
        <f>$B$2</f>
        <v>20180328</v>
      </c>
      <c r="D579" s="358">
        <f>$B$2</f>
        <v>20180328</v>
      </c>
      <c r="E579" s="358" t="str">
        <f>$F$5</f>
        <v>9999</v>
      </c>
      <c r="F579" s="358" t="s">
        <v>1676</v>
      </c>
      <c r="G579" s="189">
        <v>0</v>
      </c>
      <c r="H579" s="189">
        <v>0</v>
      </c>
      <c r="I579" s="189">
        <v>0</v>
      </c>
      <c r="J579" s="189">
        <v>0</v>
      </c>
      <c r="K579" s="189">
        <f>'day2'!B2</f>
        <v>20180327</v>
      </c>
      <c r="L579" s="189">
        <v>7</v>
      </c>
      <c r="M579" s="189">
        <v>2</v>
      </c>
      <c r="N579" s="189">
        <v>2</v>
      </c>
      <c r="O579" s="189">
        <v>2</v>
      </c>
      <c r="P579" s="189">
        <v>1</v>
      </c>
      <c r="Q579" s="111" t="s">
        <v>1128</v>
      </c>
      <c r="R579" s="111">
        <f>$B$2</f>
        <v>20180328</v>
      </c>
      <c r="S579" s="205">
        <v>0.53385416666666663</v>
      </c>
      <c r="T579" s="205" t="s">
        <v>1128</v>
      </c>
      <c r="U579" s="111"/>
      <c r="V579" s="111"/>
      <c r="W579" s="167"/>
      <c r="X579" s="182"/>
      <c r="Y579" s="167"/>
      <c r="Z579" s="167"/>
      <c r="AA579" s="167"/>
      <c r="AB579" s="167"/>
      <c r="AC579" s="167"/>
      <c r="AD579" s="167"/>
      <c r="AE579" s="167"/>
      <c r="AF579" s="167"/>
      <c r="AG579" s="167"/>
      <c r="AH579" s="167"/>
      <c r="AI579" s="167"/>
      <c r="AJ579" s="167"/>
      <c r="AK579" s="167"/>
      <c r="AL579" s="167"/>
      <c r="AM579" s="6"/>
      <c r="AN579" s="6"/>
      <c r="AO579" s="6"/>
      <c r="AP579" s="6"/>
      <c r="AQ579" s="6"/>
      <c r="AR579" s="6"/>
    </row>
    <row r="580" spans="1:44" s="9" customFormat="1" ht="13.95" hidden="1" customHeight="1" x14ac:dyDescent="0.25">
      <c r="A580" s="564" t="s">
        <v>173</v>
      </c>
      <c r="B580" s="361" t="s">
        <v>359</v>
      </c>
      <c r="C580" s="361" t="s">
        <v>1627</v>
      </c>
      <c r="D580" s="361"/>
      <c r="E580" s="361"/>
      <c r="F580" s="361"/>
    </row>
    <row r="581" spans="1:44" s="9" customFormat="1" ht="13.95" hidden="1" customHeight="1" x14ac:dyDescent="0.25">
      <c r="A581" s="564" t="s">
        <v>173</v>
      </c>
      <c r="B581" s="369" t="s">
        <v>970</v>
      </c>
      <c r="C581" s="369" t="s">
        <v>1670</v>
      </c>
      <c r="D581" s="369"/>
      <c r="E581" s="361"/>
      <c r="F581" s="361"/>
    </row>
    <row r="582" spans="1:44" s="364" customFormat="1" ht="13.95" hidden="1" customHeight="1" x14ac:dyDescent="0.15">
      <c r="A582" s="564" t="s">
        <v>173</v>
      </c>
      <c r="B582" s="361" t="s">
        <v>1628</v>
      </c>
      <c r="C582" s="704" t="s">
        <v>1582</v>
      </c>
      <c r="D582" s="705"/>
      <c r="E582" s="705"/>
      <c r="F582" s="705"/>
      <c r="G582" s="705"/>
      <c r="H582" s="705"/>
      <c r="I582" s="705"/>
      <c r="J582" s="705"/>
      <c r="K582" s="705"/>
      <c r="L582" s="705"/>
      <c r="M582" s="705"/>
      <c r="N582" s="705"/>
      <c r="O582" s="705"/>
      <c r="P582" s="705"/>
      <c r="Q582" s="705"/>
      <c r="R582" s="705"/>
      <c r="S582" s="708"/>
      <c r="T582" s="717" t="s">
        <v>1629</v>
      </c>
      <c r="U582" s="717" t="s">
        <v>1630</v>
      </c>
      <c r="V582" s="717" t="s">
        <v>1631</v>
      </c>
      <c r="W582" s="362"/>
      <c r="X582" s="107"/>
      <c r="Y582" s="362"/>
      <c r="Z582" s="362"/>
      <c r="AA582" s="362"/>
      <c r="AB582" s="362"/>
      <c r="AC582" s="362"/>
      <c r="AD582" s="362"/>
      <c r="AE582" s="362"/>
      <c r="AF582" s="362"/>
      <c r="AG582" s="362"/>
      <c r="AH582" s="362"/>
      <c r="AI582" s="362"/>
      <c r="AJ582" s="362"/>
      <c r="AK582" s="362"/>
      <c r="AL582" s="362"/>
      <c r="AM582" s="363"/>
      <c r="AN582" s="363"/>
      <c r="AO582" s="363"/>
      <c r="AP582" s="363"/>
      <c r="AQ582" s="363"/>
      <c r="AR582" s="363"/>
    </row>
    <row r="583" spans="1:44" s="364" customFormat="1" ht="13.95" hidden="1" customHeight="1" x14ac:dyDescent="0.25">
      <c r="A583" s="564" t="s">
        <v>173</v>
      </c>
      <c r="C583" s="365" t="s">
        <v>1632</v>
      </c>
      <c r="D583" s="365" t="s">
        <v>1633</v>
      </c>
      <c r="E583" s="365" t="s">
        <v>1634</v>
      </c>
      <c r="F583" s="365" t="s">
        <v>1635</v>
      </c>
      <c r="G583" s="366" t="s">
        <v>1636</v>
      </c>
      <c r="H583" s="366" t="s">
        <v>1637</v>
      </c>
      <c r="I583" s="366" t="s">
        <v>1638</v>
      </c>
      <c r="J583" s="366" t="s">
        <v>1639</v>
      </c>
      <c r="K583" s="366" t="s">
        <v>1640</v>
      </c>
      <c r="L583" s="366" t="s">
        <v>1641</v>
      </c>
      <c r="M583" s="366" t="s">
        <v>1642</v>
      </c>
      <c r="N583" s="366" t="s">
        <v>1643</v>
      </c>
      <c r="O583" s="366" t="s">
        <v>1644</v>
      </c>
      <c r="P583" s="366" t="s">
        <v>1645</v>
      </c>
      <c r="Q583" s="366" t="s">
        <v>1646</v>
      </c>
      <c r="R583" s="366" t="s">
        <v>1647</v>
      </c>
      <c r="S583" s="366" t="s">
        <v>1648</v>
      </c>
      <c r="T583" s="718"/>
      <c r="U583" s="718"/>
      <c r="V583" s="718"/>
      <c r="W583" s="362"/>
      <c r="X583" s="107"/>
      <c r="Y583" s="362"/>
      <c r="Z583" s="362"/>
      <c r="AA583" s="362"/>
      <c r="AB583" s="362"/>
      <c r="AC583" s="362"/>
      <c r="AD583" s="362"/>
      <c r="AE583" s="362"/>
      <c r="AF583" s="362"/>
      <c r="AG583" s="362"/>
      <c r="AH583" s="362"/>
      <c r="AI583" s="362"/>
      <c r="AJ583" s="362"/>
      <c r="AK583" s="362"/>
      <c r="AL583" s="362"/>
      <c r="AM583" s="363"/>
      <c r="AN583" s="363"/>
      <c r="AO583" s="363"/>
      <c r="AP583" s="363"/>
      <c r="AQ583" s="363"/>
      <c r="AR583" s="363"/>
    </row>
    <row r="584" spans="1:44" s="364" customFormat="1" ht="13.95" hidden="1" customHeight="1" x14ac:dyDescent="0.25">
      <c r="A584" s="564" t="s">
        <v>173</v>
      </c>
      <c r="C584" s="365">
        <f>$B$2</f>
        <v>20180328</v>
      </c>
      <c r="D584" s="365">
        <f>$B$2</f>
        <v>20180328</v>
      </c>
      <c r="E584" s="365" t="str">
        <f>$F$5</f>
        <v>9999</v>
      </c>
      <c r="F584" s="365" t="s">
        <v>1676</v>
      </c>
      <c r="G584" s="366">
        <v>0</v>
      </c>
      <c r="H584" s="366">
        <v>0</v>
      </c>
      <c r="I584" s="366">
        <v>0</v>
      </c>
      <c r="J584" s="366">
        <v>0</v>
      </c>
      <c r="K584" s="366">
        <f>'day2'!B2</f>
        <v>20180327</v>
      </c>
      <c r="L584" s="366">
        <v>7</v>
      </c>
      <c r="M584" s="366">
        <v>2</v>
      </c>
      <c r="N584" s="366">
        <v>2</v>
      </c>
      <c r="O584" s="366">
        <v>2</v>
      </c>
      <c r="P584" s="366">
        <v>1</v>
      </c>
      <c r="Q584" s="367" t="s">
        <v>1649</v>
      </c>
      <c r="R584" s="367">
        <f>$B$2</f>
        <v>20180328</v>
      </c>
      <c r="S584" s="368">
        <v>0.53385416666666663</v>
      </c>
      <c r="T584" s="368" t="s">
        <v>1649</v>
      </c>
      <c r="U584" s="367"/>
      <c r="V584" s="367"/>
      <c r="W584" s="362"/>
      <c r="X584" s="107"/>
      <c r="Y584" s="362"/>
      <c r="Z584" s="362"/>
      <c r="AA584" s="362"/>
      <c r="AB584" s="362"/>
      <c r="AC584" s="362"/>
      <c r="AD584" s="362"/>
      <c r="AE584" s="362"/>
      <c r="AF584" s="362"/>
      <c r="AG584" s="362"/>
      <c r="AH584" s="362"/>
      <c r="AI584" s="362"/>
      <c r="AJ584" s="362"/>
      <c r="AK584" s="362"/>
      <c r="AL584" s="362"/>
      <c r="AM584" s="363"/>
      <c r="AN584" s="363"/>
      <c r="AO584" s="363"/>
      <c r="AP584" s="363"/>
      <c r="AQ584" s="363"/>
      <c r="AR584" s="363"/>
    </row>
    <row r="585" spans="1:44" s="9" customFormat="1" ht="13.95" hidden="1" customHeight="1" x14ac:dyDescent="0.25">
      <c r="A585" s="564" t="s">
        <v>173</v>
      </c>
      <c r="B585" s="361" t="s">
        <v>359</v>
      </c>
      <c r="C585" s="361" t="s">
        <v>1627</v>
      </c>
    </row>
    <row r="586" spans="1:44" s="9" customFormat="1" ht="13.95" hidden="1" customHeight="1" x14ac:dyDescent="0.25">
      <c r="A586" s="564" t="s">
        <v>173</v>
      </c>
      <c r="B586" s="369" t="s">
        <v>970</v>
      </c>
      <c r="C586" s="369" t="s">
        <v>1671</v>
      </c>
      <c r="D586" s="44"/>
    </row>
    <row r="587" spans="1:44" s="364" customFormat="1" hidden="1" x14ac:dyDescent="0.15">
      <c r="A587" s="564" t="s">
        <v>173</v>
      </c>
      <c r="B587" s="361" t="s">
        <v>1628</v>
      </c>
      <c r="C587" s="704" t="s">
        <v>1672</v>
      </c>
      <c r="D587" s="705"/>
      <c r="E587" s="705"/>
      <c r="F587" s="705"/>
      <c r="G587" s="705"/>
      <c r="H587" s="705"/>
      <c r="I587" s="705"/>
      <c r="J587" s="705"/>
      <c r="K587" s="705"/>
      <c r="L587" s="705"/>
      <c r="M587" s="705"/>
      <c r="N587" s="705"/>
      <c r="O587" s="705"/>
      <c r="P587" s="705"/>
      <c r="Q587" s="705"/>
      <c r="R587" s="705"/>
      <c r="S587" s="708"/>
      <c r="T587" s="717" t="s">
        <v>1650</v>
      </c>
      <c r="U587" s="717" t="s">
        <v>1651</v>
      </c>
      <c r="V587" s="717" t="s">
        <v>1652</v>
      </c>
      <c r="W587" s="362"/>
      <c r="X587" s="107"/>
      <c r="Y587" s="362"/>
      <c r="Z587" s="362"/>
      <c r="AA587" s="362"/>
      <c r="AB587" s="362"/>
      <c r="AC587" s="362"/>
      <c r="AD587" s="362"/>
      <c r="AE587" s="362"/>
      <c r="AF587" s="362"/>
      <c r="AG587" s="362"/>
      <c r="AH587" s="362"/>
      <c r="AI587" s="362"/>
      <c r="AJ587" s="362"/>
      <c r="AK587" s="362"/>
      <c r="AL587" s="362"/>
      <c r="AM587" s="363"/>
      <c r="AN587" s="363"/>
      <c r="AO587" s="363"/>
      <c r="AP587" s="363"/>
      <c r="AQ587" s="363"/>
      <c r="AR587" s="363"/>
    </row>
    <row r="588" spans="1:44" s="364" customFormat="1" hidden="1" x14ac:dyDescent="0.25">
      <c r="A588" s="564" t="s">
        <v>173</v>
      </c>
      <c r="C588" s="365" t="s">
        <v>1653</v>
      </c>
      <c r="D588" s="365" t="s">
        <v>1654</v>
      </c>
      <c r="E588" s="365" t="s">
        <v>1655</v>
      </c>
      <c r="F588" s="365" t="s">
        <v>1656</v>
      </c>
      <c r="G588" s="366" t="s">
        <v>1657</v>
      </c>
      <c r="H588" s="366" t="s">
        <v>1658</v>
      </c>
      <c r="I588" s="366" t="s">
        <v>1659</v>
      </c>
      <c r="J588" s="366" t="s">
        <v>1660</v>
      </c>
      <c r="K588" s="366" t="s">
        <v>1661</v>
      </c>
      <c r="L588" s="366" t="s">
        <v>1662</v>
      </c>
      <c r="M588" s="366" t="s">
        <v>1663</v>
      </c>
      <c r="N588" s="366" t="s">
        <v>1664</v>
      </c>
      <c r="O588" s="366" t="s">
        <v>1665</v>
      </c>
      <c r="P588" s="366" t="s">
        <v>1666</v>
      </c>
      <c r="Q588" s="366" t="s">
        <v>1667</v>
      </c>
      <c r="R588" s="366" t="s">
        <v>1668</v>
      </c>
      <c r="S588" s="366" t="s">
        <v>1669</v>
      </c>
      <c r="T588" s="718"/>
      <c r="U588" s="718"/>
      <c r="V588" s="718"/>
      <c r="W588" s="362"/>
      <c r="X588" s="107"/>
      <c r="Y588" s="362"/>
      <c r="Z588" s="362"/>
      <c r="AA588" s="362"/>
      <c r="AB588" s="362"/>
      <c r="AC588" s="362"/>
      <c r="AD588" s="362"/>
      <c r="AE588" s="362"/>
      <c r="AF588" s="362"/>
      <c r="AG588" s="362"/>
      <c r="AH588" s="362"/>
      <c r="AI588" s="362"/>
      <c r="AJ588" s="362"/>
      <c r="AK588" s="362"/>
      <c r="AL588" s="362"/>
      <c r="AM588" s="363"/>
      <c r="AN588" s="363"/>
      <c r="AO588" s="363"/>
      <c r="AP588" s="363"/>
      <c r="AQ588" s="363"/>
      <c r="AR588" s="363"/>
    </row>
    <row r="589" spans="1:44" s="364" customFormat="1" hidden="1" x14ac:dyDescent="0.25">
      <c r="A589" s="564" t="s">
        <v>173</v>
      </c>
      <c r="C589" s="365">
        <f>$B$2</f>
        <v>20180328</v>
      </c>
      <c r="D589" s="365">
        <f>$B$2</f>
        <v>20180328</v>
      </c>
      <c r="E589" s="365" t="str">
        <f>$F$5</f>
        <v>9999</v>
      </c>
      <c r="F589" s="365" t="s">
        <v>1676</v>
      </c>
      <c r="G589" s="366">
        <v>0</v>
      </c>
      <c r="H589" s="366">
        <v>0</v>
      </c>
      <c r="I589" s="366">
        <v>0</v>
      </c>
      <c r="J589" s="366">
        <v>0</v>
      </c>
      <c r="K589" s="366">
        <f>K584</f>
        <v>20180327</v>
      </c>
      <c r="L589" s="366">
        <v>7</v>
      </c>
      <c r="M589" s="366">
        <v>2</v>
      </c>
      <c r="N589" s="366">
        <v>2</v>
      </c>
      <c r="O589" s="366">
        <v>2</v>
      </c>
      <c r="P589" s="366">
        <v>1</v>
      </c>
      <c r="Q589" s="367" t="s">
        <v>1128</v>
      </c>
      <c r="R589" s="367">
        <f>$B$2</f>
        <v>20180328</v>
      </c>
      <c r="S589" s="368">
        <v>0.53385416666666663</v>
      </c>
      <c r="T589" s="368" t="s">
        <v>1128</v>
      </c>
      <c r="U589" s="367"/>
      <c r="V589" s="367"/>
      <c r="W589" s="362"/>
      <c r="X589" s="107"/>
      <c r="Y589" s="362"/>
      <c r="Z589" s="362"/>
      <c r="AA589" s="362"/>
      <c r="AB589" s="362"/>
      <c r="AC589" s="362"/>
      <c r="AD589" s="362"/>
      <c r="AE589" s="362"/>
      <c r="AF589" s="362"/>
      <c r="AG589" s="362"/>
      <c r="AH589" s="362"/>
      <c r="AI589" s="362"/>
      <c r="AJ589" s="362"/>
      <c r="AK589" s="362"/>
      <c r="AL589" s="362"/>
      <c r="AM589" s="363"/>
      <c r="AN589" s="363"/>
      <c r="AO589" s="363"/>
      <c r="AP589" s="363"/>
      <c r="AQ589" s="363"/>
      <c r="AR589" s="363"/>
    </row>
    <row r="590" spans="1:44" s="9" customFormat="1" ht="13.95" hidden="1" customHeight="1" x14ac:dyDescent="0.25">
      <c r="A590" s="564" t="s">
        <v>173</v>
      </c>
      <c r="B590" s="361" t="s">
        <v>359</v>
      </c>
      <c r="C590" s="361" t="s">
        <v>1627</v>
      </c>
    </row>
    <row r="591" spans="1:44" s="9" customFormat="1" ht="13.95" hidden="1" customHeight="1" x14ac:dyDescent="0.25">
      <c r="A591" s="564" t="s">
        <v>173</v>
      </c>
      <c r="B591" s="369" t="s">
        <v>970</v>
      </c>
      <c r="C591" s="369" t="s">
        <v>1957</v>
      </c>
      <c r="D591" s="44"/>
    </row>
    <row r="592" spans="1:44" s="364" customFormat="1" hidden="1" x14ac:dyDescent="0.15">
      <c r="A592" s="564" t="s">
        <v>173</v>
      </c>
      <c r="B592" s="361" t="s">
        <v>1348</v>
      </c>
      <c r="C592" s="704" t="s">
        <v>1958</v>
      </c>
      <c r="D592" s="705"/>
      <c r="E592" s="705"/>
      <c r="F592" s="705"/>
      <c r="G592" s="705"/>
      <c r="H592" s="705"/>
      <c r="I592" s="705"/>
      <c r="J592" s="705"/>
      <c r="K592" s="705"/>
      <c r="L592" s="705"/>
      <c r="M592" s="705"/>
      <c r="N592" s="705"/>
      <c r="O592" s="705"/>
      <c r="P592" s="705"/>
      <c r="Q592" s="705"/>
      <c r="R592" s="705"/>
      <c r="S592" s="708"/>
      <c r="T592" s="717" t="s">
        <v>1946</v>
      </c>
      <c r="U592" s="717" t="s">
        <v>1959</v>
      </c>
      <c r="V592" s="717" t="s">
        <v>1947</v>
      </c>
      <c r="W592" s="362"/>
      <c r="X592" s="107"/>
      <c r="Y592" s="362"/>
      <c r="Z592" s="362"/>
      <c r="AA592" s="362"/>
      <c r="AB592" s="362"/>
      <c r="AC592" s="362"/>
      <c r="AD592" s="362"/>
      <c r="AE592" s="362"/>
      <c r="AF592" s="362"/>
      <c r="AG592" s="362"/>
      <c r="AH592" s="362"/>
      <c r="AI592" s="362"/>
      <c r="AJ592" s="362"/>
      <c r="AK592" s="362"/>
      <c r="AL592" s="362"/>
      <c r="AM592" s="363"/>
      <c r="AN592" s="363"/>
      <c r="AO592" s="363"/>
      <c r="AP592" s="363"/>
      <c r="AQ592" s="363"/>
      <c r="AR592" s="363"/>
    </row>
    <row r="593" spans="1:44" s="364" customFormat="1" hidden="1" x14ac:dyDescent="0.25">
      <c r="A593" s="564" t="s">
        <v>173</v>
      </c>
      <c r="C593" s="365" t="s">
        <v>1960</v>
      </c>
      <c r="D593" s="365" t="s">
        <v>1961</v>
      </c>
      <c r="E593" s="365" t="s">
        <v>1962</v>
      </c>
      <c r="F593" s="365" t="s">
        <v>1963</v>
      </c>
      <c r="G593" s="366" t="s">
        <v>1964</v>
      </c>
      <c r="H593" s="366" t="s">
        <v>1965</v>
      </c>
      <c r="I593" s="366" t="s">
        <v>1966</v>
      </c>
      <c r="J593" s="366" t="s">
        <v>1967</v>
      </c>
      <c r="K593" s="366" t="s">
        <v>1968</v>
      </c>
      <c r="L593" s="366" t="s">
        <v>1969</v>
      </c>
      <c r="M593" s="366" t="s">
        <v>1970</v>
      </c>
      <c r="N593" s="366" t="s">
        <v>1971</v>
      </c>
      <c r="O593" s="366" t="s">
        <v>1972</v>
      </c>
      <c r="P593" s="366" t="s">
        <v>1973</v>
      </c>
      <c r="Q593" s="366" t="s">
        <v>1974</v>
      </c>
      <c r="R593" s="366" t="s">
        <v>1975</v>
      </c>
      <c r="S593" s="366" t="s">
        <v>1976</v>
      </c>
      <c r="T593" s="718"/>
      <c r="U593" s="718"/>
      <c r="V593" s="718"/>
      <c r="W593" s="362"/>
      <c r="X593" s="107"/>
      <c r="Y593" s="362"/>
      <c r="Z593" s="362"/>
      <c r="AA593" s="362"/>
      <c r="AB593" s="362"/>
      <c r="AC593" s="362"/>
      <c r="AD593" s="362"/>
      <c r="AE593" s="362"/>
      <c r="AF593" s="362"/>
      <c r="AG593" s="362"/>
      <c r="AH593" s="362"/>
      <c r="AI593" s="362"/>
      <c r="AJ593" s="362"/>
      <c r="AK593" s="362"/>
      <c r="AL593" s="362"/>
      <c r="AM593" s="363"/>
      <c r="AN593" s="363"/>
      <c r="AO593" s="363"/>
      <c r="AP593" s="363"/>
      <c r="AQ593" s="363"/>
      <c r="AR593" s="363"/>
    </row>
    <row r="594" spans="1:44" s="364" customFormat="1" hidden="1" x14ac:dyDescent="0.25">
      <c r="A594" s="564" t="s">
        <v>173</v>
      </c>
      <c r="C594" s="365">
        <f>$B$2</f>
        <v>20180328</v>
      </c>
      <c r="D594" s="365">
        <f>$B$2</f>
        <v>20180328</v>
      </c>
      <c r="E594" s="365" t="str">
        <f>$F$5</f>
        <v>9999</v>
      </c>
      <c r="F594" s="365" t="s">
        <v>1676</v>
      </c>
      <c r="G594" s="366">
        <v>0</v>
      </c>
      <c r="H594" s="366">
        <v>0</v>
      </c>
      <c r="I594" s="366">
        <v>0</v>
      </c>
      <c r="J594" s="366">
        <v>0</v>
      </c>
      <c r="K594" s="366">
        <f>K589</f>
        <v>20180327</v>
      </c>
      <c r="L594" s="366">
        <v>7</v>
      </c>
      <c r="M594" s="366">
        <v>2</v>
      </c>
      <c r="N594" s="366">
        <v>2</v>
      </c>
      <c r="O594" s="366">
        <v>2</v>
      </c>
      <c r="P594" s="366">
        <v>1</v>
      </c>
      <c r="Q594" s="367" t="s">
        <v>1948</v>
      </c>
      <c r="R594" s="367">
        <f>$B$2</f>
        <v>20180328</v>
      </c>
      <c r="S594" s="368">
        <v>0.53385416666666663</v>
      </c>
      <c r="T594" s="368" t="s">
        <v>1948</v>
      </c>
      <c r="U594" s="367"/>
      <c r="V594" s="367"/>
      <c r="W594" s="362"/>
      <c r="X594" s="107"/>
      <c r="Y594" s="362"/>
      <c r="Z594" s="362"/>
      <c r="AA594" s="362"/>
      <c r="AB594" s="362"/>
      <c r="AC594" s="362"/>
      <c r="AD594" s="362"/>
      <c r="AE594" s="362"/>
      <c r="AF594" s="362"/>
      <c r="AG594" s="362"/>
      <c r="AH594" s="362"/>
      <c r="AI594" s="362"/>
      <c r="AJ594" s="362"/>
      <c r="AK594" s="362"/>
      <c r="AL594" s="362"/>
      <c r="AM594" s="363"/>
      <c r="AN594" s="363"/>
      <c r="AO594" s="363"/>
      <c r="AP594" s="363"/>
      <c r="AQ594" s="363"/>
      <c r="AR594" s="363"/>
    </row>
    <row r="595" spans="1:44" hidden="1" x14ac:dyDescent="0.25">
      <c r="A595" s="564" t="s">
        <v>173</v>
      </c>
      <c r="B595" t="s">
        <v>1674</v>
      </c>
      <c r="C595" s="323" t="s">
        <v>1677</v>
      </c>
      <c r="D595" s="323"/>
      <c r="E595" s="323"/>
      <c r="F595" s="323"/>
      <c r="G595" s="188"/>
      <c r="H595" s="188"/>
      <c r="I595" s="188"/>
      <c r="J595" s="188"/>
      <c r="K595" s="188"/>
      <c r="L595" s="188"/>
      <c r="M595" s="188"/>
      <c r="N595" s="188"/>
      <c r="O595" s="188"/>
      <c r="P595" s="188"/>
      <c r="Q595" s="167"/>
      <c r="R595" s="167"/>
      <c r="S595" s="338"/>
      <c r="T595" s="338"/>
      <c r="U595" s="167"/>
      <c r="V595" s="167"/>
      <c r="W595" s="167"/>
      <c r="X595" s="182"/>
      <c r="Y595" s="167"/>
      <c r="Z595" s="167"/>
      <c r="AA595" s="167"/>
      <c r="AB595" s="167"/>
      <c r="AC595" s="167"/>
      <c r="AD595" s="167"/>
      <c r="AE595" s="167"/>
      <c r="AF595" s="167"/>
      <c r="AG595" s="167"/>
      <c r="AH595" s="167"/>
      <c r="AI595" s="167"/>
      <c r="AJ595" s="167"/>
      <c r="AK595" s="167"/>
      <c r="AL595" s="167"/>
      <c r="AM595" s="6"/>
      <c r="AN595" s="6"/>
      <c r="AO595" s="6"/>
      <c r="AP595" s="6"/>
      <c r="AQ595" s="6"/>
      <c r="AR595" s="6"/>
    </row>
    <row r="596" spans="1:44" ht="13.95" hidden="1" customHeight="1" x14ac:dyDescent="0.25">
      <c r="A596" s="564" t="s">
        <v>173</v>
      </c>
      <c r="B596" s="4" t="s">
        <v>124</v>
      </c>
      <c r="C596" s="203" t="s">
        <v>1251</v>
      </c>
      <c r="D596" s="204"/>
      <c r="E596" s="204"/>
      <c r="F596" s="204"/>
      <c r="G596" s="188"/>
      <c r="H596" s="188"/>
      <c r="I596" s="188"/>
      <c r="J596" s="188"/>
      <c r="K596" s="188"/>
      <c r="L596" s="188"/>
      <c r="M596" s="188"/>
      <c r="N596" s="188"/>
      <c r="O596" s="167"/>
      <c r="P596" s="167"/>
      <c r="Q596" s="167"/>
      <c r="R596" s="167"/>
      <c r="S596" s="167"/>
      <c r="T596" s="167"/>
      <c r="U596" s="167"/>
      <c r="V596" s="167"/>
      <c r="W596" s="182"/>
      <c r="X596" s="167"/>
      <c r="Y596" s="167"/>
      <c r="Z596" s="167"/>
      <c r="AA596" s="167"/>
      <c r="AB596" s="167"/>
      <c r="AC596" s="167"/>
      <c r="AD596" s="167"/>
      <c r="AE596" s="167"/>
      <c r="AF596" s="167"/>
      <c r="AG596" s="167"/>
      <c r="AH596" s="167"/>
      <c r="AI596" s="167"/>
      <c r="AJ596" s="167"/>
      <c r="AK596" s="167"/>
      <c r="AL596" s="6"/>
      <c r="AM596" s="6"/>
      <c r="AN596" s="6"/>
      <c r="AO596" s="6"/>
      <c r="AP596" s="6"/>
      <c r="AQ596" s="6"/>
    </row>
    <row r="597" spans="1:44" ht="13.95" hidden="1" customHeight="1" x14ac:dyDescent="0.25">
      <c r="A597" s="564" t="s">
        <v>173</v>
      </c>
      <c r="B597" s="4" t="s">
        <v>306</v>
      </c>
      <c r="C597" s="704" t="s">
        <v>1583</v>
      </c>
      <c r="D597" s="705"/>
      <c r="E597" s="705"/>
      <c r="F597" s="705"/>
      <c r="G597" s="705"/>
      <c r="H597" s="705"/>
      <c r="I597" s="705"/>
      <c r="J597" s="705"/>
      <c r="K597" s="705"/>
      <c r="L597" s="705"/>
      <c r="M597" s="705"/>
      <c r="N597" s="705"/>
      <c r="O597" s="705"/>
      <c r="P597" s="705"/>
      <c r="Q597" s="705"/>
      <c r="R597" s="705"/>
      <c r="S597" s="708"/>
      <c r="T597" s="712" t="s">
        <v>1126</v>
      </c>
      <c r="U597" s="712" t="s">
        <v>1107</v>
      </c>
      <c r="V597" s="712" t="s">
        <v>1108</v>
      </c>
      <c r="W597" s="167"/>
      <c r="X597" s="182"/>
      <c r="Y597" s="167"/>
      <c r="Z597" s="167"/>
      <c r="AA597" s="167"/>
      <c r="AB597" s="167"/>
      <c r="AC597" s="167"/>
      <c r="AD597" s="167"/>
      <c r="AE597" s="167"/>
      <c r="AF597" s="167"/>
      <c r="AG597" s="167"/>
      <c r="AH597" s="167"/>
      <c r="AI597" s="167"/>
      <c r="AJ597" s="167"/>
      <c r="AK597" s="167"/>
      <c r="AL597" s="167"/>
      <c r="AM597" s="6"/>
      <c r="AN597" s="6"/>
      <c r="AO597" s="6"/>
      <c r="AP597" s="6"/>
      <c r="AQ597" s="6"/>
      <c r="AR597" s="6"/>
    </row>
    <row r="598" spans="1:44" ht="13.95" hidden="1" customHeight="1" x14ac:dyDescent="0.25">
      <c r="A598" s="564" t="s">
        <v>173</v>
      </c>
      <c r="C598" s="358" t="s">
        <v>1111</v>
      </c>
      <c r="D598" s="358" t="s">
        <v>1217</v>
      </c>
      <c r="E598" s="358" t="s">
        <v>1134</v>
      </c>
      <c r="F598" s="358" t="s">
        <v>1117</v>
      </c>
      <c r="G598" s="189" t="s">
        <v>1218</v>
      </c>
      <c r="H598" s="189" t="s">
        <v>1219</v>
      </c>
      <c r="I598" s="189" t="s">
        <v>1220</v>
      </c>
      <c r="J598" s="189" t="s">
        <v>1221</v>
      </c>
      <c r="K598" s="189" t="s">
        <v>1222</v>
      </c>
      <c r="L598" s="189" t="s">
        <v>1758</v>
      </c>
      <c r="M598" s="189" t="s">
        <v>1223</v>
      </c>
      <c r="N598" s="189" t="s">
        <v>1224</v>
      </c>
      <c r="O598" s="189" t="s">
        <v>1225</v>
      </c>
      <c r="P598" s="189" t="s">
        <v>1226</v>
      </c>
      <c r="Q598" s="189" t="s">
        <v>1147</v>
      </c>
      <c r="R598" s="189" t="s">
        <v>1227</v>
      </c>
      <c r="S598" s="189" t="s">
        <v>1228</v>
      </c>
      <c r="T598" s="713"/>
      <c r="U598" s="713"/>
      <c r="V598" s="713"/>
      <c r="W598" s="167"/>
      <c r="X598" s="182"/>
      <c r="Y598" s="167"/>
      <c r="Z598" s="167"/>
      <c r="AA598" s="167"/>
      <c r="AB598" s="167"/>
      <c r="AC598" s="167"/>
      <c r="AD598" s="167"/>
      <c r="AE598" s="167"/>
      <c r="AF598" s="167"/>
      <c r="AG598" s="167"/>
      <c r="AH598" s="167"/>
      <c r="AI598" s="167"/>
      <c r="AJ598" s="167"/>
      <c r="AK598" s="167"/>
      <c r="AL598" s="167"/>
      <c r="AM598" s="6"/>
      <c r="AN598" s="6"/>
      <c r="AO598" s="6"/>
      <c r="AP598" s="6"/>
      <c r="AQ598" s="6"/>
      <c r="AR598" s="6"/>
    </row>
    <row r="599" spans="1:44" ht="13.95" hidden="1" customHeight="1" x14ac:dyDescent="0.25">
      <c r="A599" s="564" t="s">
        <v>173</v>
      </c>
      <c r="C599" s="358">
        <f>$B$2</f>
        <v>20180328</v>
      </c>
      <c r="D599" s="358">
        <f>$B$2</f>
        <v>20180328</v>
      </c>
      <c r="E599" s="358" t="str">
        <f>$F$5</f>
        <v>9999</v>
      </c>
      <c r="F599" s="358" t="s">
        <v>1678</v>
      </c>
      <c r="G599" s="189">
        <v>0</v>
      </c>
      <c r="H599" s="189">
        <v>0</v>
      </c>
      <c r="I599" s="189">
        <v>0</v>
      </c>
      <c r="J599" s="189">
        <v>0</v>
      </c>
      <c r="K599" s="189">
        <f>'day2'!B2</f>
        <v>20180327</v>
      </c>
      <c r="L599" s="189">
        <v>7</v>
      </c>
      <c r="M599" s="189">
        <v>2</v>
      </c>
      <c r="N599" s="189">
        <v>2</v>
      </c>
      <c r="O599" s="189">
        <v>2</v>
      </c>
      <c r="P599" s="189">
        <v>1</v>
      </c>
      <c r="Q599" s="111" t="s">
        <v>1128</v>
      </c>
      <c r="R599" s="111" t="str">
        <f>B94</f>
        <v>6001</v>
      </c>
      <c r="S599" s="205">
        <v>0.53385416666666663</v>
      </c>
      <c r="T599" s="205" t="s">
        <v>1128</v>
      </c>
      <c r="U599" s="111"/>
      <c r="V599" s="111"/>
      <c r="W599" s="167"/>
      <c r="X599" s="182"/>
      <c r="Y599" s="167"/>
      <c r="Z599" s="167"/>
      <c r="AA599" s="167"/>
      <c r="AB599" s="167"/>
      <c r="AC599" s="167"/>
      <c r="AD599" s="167"/>
      <c r="AE599" s="167"/>
      <c r="AF599" s="167"/>
      <c r="AG599" s="167"/>
      <c r="AH599" s="167"/>
      <c r="AI599" s="167"/>
      <c r="AJ599" s="167"/>
      <c r="AK599" s="167"/>
      <c r="AL599" s="167"/>
      <c r="AM599" s="6"/>
      <c r="AN599" s="6"/>
      <c r="AO599" s="6"/>
      <c r="AP599" s="6"/>
      <c r="AQ599" s="6"/>
      <c r="AR599" s="6"/>
    </row>
    <row r="600" spans="1:44" s="9" customFormat="1" ht="13.95" hidden="1" customHeight="1" x14ac:dyDescent="0.25">
      <c r="A600" s="564" t="s">
        <v>173</v>
      </c>
      <c r="B600" s="361" t="s">
        <v>359</v>
      </c>
      <c r="C600" s="361" t="s">
        <v>1627</v>
      </c>
      <c r="D600" s="361"/>
      <c r="E600" s="361"/>
      <c r="F600" s="361"/>
    </row>
    <row r="601" spans="1:44" s="9" customFormat="1" ht="13.95" hidden="1" customHeight="1" x14ac:dyDescent="0.25">
      <c r="A601" s="564" t="s">
        <v>173</v>
      </c>
      <c r="B601" s="369" t="s">
        <v>970</v>
      </c>
      <c r="C601" s="369" t="s">
        <v>1670</v>
      </c>
      <c r="D601" s="369"/>
      <c r="E601" s="361"/>
      <c r="F601" s="361"/>
    </row>
    <row r="602" spans="1:44" s="364" customFormat="1" ht="13.95" hidden="1" customHeight="1" x14ac:dyDescent="0.15">
      <c r="A602" s="564" t="s">
        <v>173</v>
      </c>
      <c r="B602" s="361" t="s">
        <v>1628</v>
      </c>
      <c r="C602" s="704" t="s">
        <v>1582</v>
      </c>
      <c r="D602" s="705"/>
      <c r="E602" s="705"/>
      <c r="F602" s="705"/>
      <c r="G602" s="705"/>
      <c r="H602" s="705"/>
      <c r="I602" s="705"/>
      <c r="J602" s="705"/>
      <c r="K602" s="705"/>
      <c r="L602" s="705"/>
      <c r="M602" s="705"/>
      <c r="N602" s="705"/>
      <c r="O602" s="705"/>
      <c r="P602" s="705"/>
      <c r="Q602" s="705"/>
      <c r="R602" s="705"/>
      <c r="S602" s="708"/>
      <c r="T602" s="717" t="s">
        <v>1629</v>
      </c>
      <c r="U602" s="717" t="s">
        <v>1630</v>
      </c>
      <c r="V602" s="717" t="s">
        <v>1631</v>
      </c>
      <c r="W602" s="362"/>
      <c r="X602" s="107"/>
      <c r="Y602" s="362"/>
      <c r="Z602" s="362"/>
      <c r="AA602" s="362"/>
      <c r="AB602" s="362"/>
      <c r="AC602" s="362"/>
      <c r="AD602" s="362"/>
      <c r="AE602" s="362"/>
      <c r="AF602" s="362"/>
      <c r="AG602" s="362"/>
      <c r="AH602" s="362"/>
      <c r="AI602" s="362"/>
      <c r="AJ602" s="362"/>
      <c r="AK602" s="362"/>
      <c r="AL602" s="362"/>
      <c r="AM602" s="363"/>
      <c r="AN602" s="363"/>
      <c r="AO602" s="363"/>
      <c r="AP602" s="363"/>
      <c r="AQ602" s="363"/>
      <c r="AR602" s="363"/>
    </row>
    <row r="603" spans="1:44" s="364" customFormat="1" ht="13.95" hidden="1" customHeight="1" x14ac:dyDescent="0.25">
      <c r="A603" s="564" t="s">
        <v>173</v>
      </c>
      <c r="C603" s="365" t="s">
        <v>1632</v>
      </c>
      <c r="D603" s="365" t="s">
        <v>1633</v>
      </c>
      <c r="E603" s="365" t="s">
        <v>1634</v>
      </c>
      <c r="F603" s="365" t="s">
        <v>1635</v>
      </c>
      <c r="G603" s="366" t="s">
        <v>1636</v>
      </c>
      <c r="H603" s="366" t="s">
        <v>1637</v>
      </c>
      <c r="I603" s="366" t="s">
        <v>1638</v>
      </c>
      <c r="J603" s="366" t="s">
        <v>1639</v>
      </c>
      <c r="K603" s="366" t="s">
        <v>1640</v>
      </c>
      <c r="L603" s="366" t="s">
        <v>1641</v>
      </c>
      <c r="M603" s="366" t="s">
        <v>1642</v>
      </c>
      <c r="N603" s="366" t="s">
        <v>1643</v>
      </c>
      <c r="O603" s="366" t="s">
        <v>1644</v>
      </c>
      <c r="P603" s="366" t="s">
        <v>1645</v>
      </c>
      <c r="Q603" s="366" t="s">
        <v>1646</v>
      </c>
      <c r="R603" s="366" t="s">
        <v>1647</v>
      </c>
      <c r="S603" s="366" t="s">
        <v>1648</v>
      </c>
      <c r="T603" s="718"/>
      <c r="U603" s="718"/>
      <c r="V603" s="718"/>
      <c r="W603" s="362"/>
      <c r="X603" s="107"/>
      <c r="Y603" s="362"/>
      <c r="Z603" s="362"/>
      <c r="AA603" s="362"/>
      <c r="AB603" s="362"/>
      <c r="AC603" s="362"/>
      <c r="AD603" s="362"/>
      <c r="AE603" s="362"/>
      <c r="AF603" s="362"/>
      <c r="AG603" s="362"/>
      <c r="AH603" s="362"/>
      <c r="AI603" s="362"/>
      <c r="AJ603" s="362"/>
      <c r="AK603" s="362"/>
      <c r="AL603" s="362"/>
      <c r="AM603" s="363"/>
      <c r="AN603" s="363"/>
      <c r="AO603" s="363"/>
      <c r="AP603" s="363"/>
      <c r="AQ603" s="363"/>
      <c r="AR603" s="363"/>
    </row>
    <row r="604" spans="1:44" s="364" customFormat="1" ht="13.95" hidden="1" customHeight="1" x14ac:dyDescent="0.25">
      <c r="A604" s="564" t="s">
        <v>173</v>
      </c>
      <c r="C604" s="365">
        <f>$B$2</f>
        <v>20180328</v>
      </c>
      <c r="D604" s="365">
        <f>$B$2</f>
        <v>20180328</v>
      </c>
      <c r="E604" s="365" t="str">
        <f>$F$5</f>
        <v>9999</v>
      </c>
      <c r="F604" s="365" t="s">
        <v>1678</v>
      </c>
      <c r="G604" s="366">
        <v>0</v>
      </c>
      <c r="H604" s="366">
        <v>0</v>
      </c>
      <c r="I604" s="366">
        <v>0</v>
      </c>
      <c r="J604" s="366">
        <v>0</v>
      </c>
      <c r="K604" s="366">
        <f>'day2'!B2</f>
        <v>20180327</v>
      </c>
      <c r="L604" s="366">
        <v>7</v>
      </c>
      <c r="M604" s="366">
        <v>2</v>
      </c>
      <c r="N604" s="366">
        <v>2</v>
      </c>
      <c r="O604" s="366">
        <v>2</v>
      </c>
      <c r="P604" s="366">
        <v>1</v>
      </c>
      <c r="Q604" s="367" t="s">
        <v>1649</v>
      </c>
      <c r="R604" s="367">
        <f>$B$2</f>
        <v>20180328</v>
      </c>
      <c r="S604" s="368">
        <v>0.53385416666666663</v>
      </c>
      <c r="T604" s="368" t="s">
        <v>1649</v>
      </c>
      <c r="U604" s="367"/>
      <c r="V604" s="367"/>
      <c r="W604" s="362"/>
      <c r="X604" s="107"/>
      <c r="Y604" s="362"/>
      <c r="Z604" s="362"/>
      <c r="AA604" s="362"/>
      <c r="AB604" s="362"/>
      <c r="AC604" s="362"/>
      <c r="AD604" s="362"/>
      <c r="AE604" s="362"/>
      <c r="AF604" s="362"/>
      <c r="AG604" s="362"/>
      <c r="AH604" s="362"/>
      <c r="AI604" s="362"/>
      <c r="AJ604" s="362"/>
      <c r="AK604" s="362"/>
      <c r="AL604" s="362"/>
      <c r="AM604" s="363"/>
      <c r="AN604" s="363"/>
      <c r="AO604" s="363"/>
      <c r="AP604" s="363"/>
      <c r="AQ604" s="363"/>
      <c r="AR604" s="363"/>
    </row>
    <row r="605" spans="1:44" s="9" customFormat="1" ht="13.95" hidden="1" customHeight="1" x14ac:dyDescent="0.25">
      <c r="A605" s="564" t="s">
        <v>173</v>
      </c>
      <c r="B605" s="361" t="s">
        <v>359</v>
      </c>
      <c r="C605" s="361" t="s">
        <v>1627</v>
      </c>
    </row>
    <row r="606" spans="1:44" s="9" customFormat="1" ht="13.95" hidden="1" customHeight="1" x14ac:dyDescent="0.25">
      <c r="A606" s="564" t="s">
        <v>173</v>
      </c>
      <c r="B606" s="369" t="s">
        <v>970</v>
      </c>
      <c r="C606" s="369" t="s">
        <v>1671</v>
      </c>
      <c r="D606" s="44"/>
    </row>
    <row r="607" spans="1:44" s="364" customFormat="1" hidden="1" x14ac:dyDescent="0.15">
      <c r="A607" s="564" t="s">
        <v>173</v>
      </c>
      <c r="B607" s="361" t="s">
        <v>1628</v>
      </c>
      <c r="C607" s="704" t="s">
        <v>1672</v>
      </c>
      <c r="D607" s="705"/>
      <c r="E607" s="705"/>
      <c r="F607" s="705"/>
      <c r="G607" s="705"/>
      <c r="H607" s="705"/>
      <c r="I607" s="705"/>
      <c r="J607" s="705"/>
      <c r="K607" s="705"/>
      <c r="L607" s="705"/>
      <c r="M607" s="705"/>
      <c r="N607" s="705"/>
      <c r="O607" s="705"/>
      <c r="P607" s="705"/>
      <c r="Q607" s="705"/>
      <c r="R607" s="705"/>
      <c r="S607" s="708"/>
      <c r="T607" s="717" t="s">
        <v>1650</v>
      </c>
      <c r="U607" s="717" t="s">
        <v>1651</v>
      </c>
      <c r="V607" s="717" t="s">
        <v>1652</v>
      </c>
      <c r="W607" s="362"/>
      <c r="X607" s="107"/>
      <c r="Y607" s="362"/>
      <c r="Z607" s="362"/>
      <c r="AA607" s="362"/>
      <c r="AB607" s="362"/>
      <c r="AC607" s="362"/>
      <c r="AD607" s="362"/>
      <c r="AE607" s="362"/>
      <c r="AF607" s="362"/>
      <c r="AG607" s="362"/>
      <c r="AH607" s="362"/>
      <c r="AI607" s="362"/>
      <c r="AJ607" s="362"/>
      <c r="AK607" s="362"/>
      <c r="AL607" s="362"/>
      <c r="AM607" s="363"/>
      <c r="AN607" s="363"/>
      <c r="AO607" s="363"/>
      <c r="AP607" s="363"/>
      <c r="AQ607" s="363"/>
      <c r="AR607" s="363"/>
    </row>
    <row r="608" spans="1:44" s="364" customFormat="1" hidden="1" x14ac:dyDescent="0.25">
      <c r="A608" s="564" t="s">
        <v>173</v>
      </c>
      <c r="C608" s="365" t="s">
        <v>1653</v>
      </c>
      <c r="D608" s="365" t="s">
        <v>1654</v>
      </c>
      <c r="E608" s="365" t="s">
        <v>1655</v>
      </c>
      <c r="F608" s="365" t="s">
        <v>1656</v>
      </c>
      <c r="G608" s="366" t="s">
        <v>1657</v>
      </c>
      <c r="H608" s="366" t="s">
        <v>1658</v>
      </c>
      <c r="I608" s="366" t="s">
        <v>1659</v>
      </c>
      <c r="J608" s="366" t="s">
        <v>1660</v>
      </c>
      <c r="K608" s="366" t="s">
        <v>1661</v>
      </c>
      <c r="L608" s="366" t="s">
        <v>1662</v>
      </c>
      <c r="M608" s="366" t="s">
        <v>1663</v>
      </c>
      <c r="N608" s="366" t="s">
        <v>1664</v>
      </c>
      <c r="O608" s="366" t="s">
        <v>1665</v>
      </c>
      <c r="P608" s="366" t="s">
        <v>1666</v>
      </c>
      <c r="Q608" s="366" t="s">
        <v>1667</v>
      </c>
      <c r="R608" s="366" t="s">
        <v>1668</v>
      </c>
      <c r="S608" s="366" t="s">
        <v>1669</v>
      </c>
      <c r="T608" s="718"/>
      <c r="U608" s="718"/>
      <c r="V608" s="718"/>
      <c r="W608" s="362"/>
      <c r="X608" s="107"/>
      <c r="Y608" s="362"/>
      <c r="Z608" s="362"/>
      <c r="AA608" s="362"/>
      <c r="AB608" s="362"/>
      <c r="AC608" s="362"/>
      <c r="AD608" s="362"/>
      <c r="AE608" s="362"/>
      <c r="AF608" s="362"/>
      <c r="AG608" s="362"/>
      <c r="AH608" s="362"/>
      <c r="AI608" s="362"/>
      <c r="AJ608" s="362"/>
      <c r="AK608" s="362"/>
      <c r="AL608" s="362"/>
      <c r="AM608" s="363"/>
      <c r="AN608" s="363"/>
      <c r="AO608" s="363"/>
      <c r="AP608" s="363"/>
      <c r="AQ608" s="363"/>
      <c r="AR608" s="363"/>
    </row>
    <row r="609" spans="1:44" s="364" customFormat="1" hidden="1" x14ac:dyDescent="0.25">
      <c r="A609" s="564" t="s">
        <v>173</v>
      </c>
      <c r="C609" s="365">
        <f>$B$2</f>
        <v>20180328</v>
      </c>
      <c r="D609" s="365">
        <f>$B$2</f>
        <v>20180328</v>
      </c>
      <c r="E609" s="365" t="str">
        <f>$F$5</f>
        <v>9999</v>
      </c>
      <c r="F609" s="365" t="s">
        <v>1678</v>
      </c>
      <c r="G609" s="366">
        <v>0</v>
      </c>
      <c r="H609" s="366">
        <v>0</v>
      </c>
      <c r="I609" s="366">
        <v>0</v>
      </c>
      <c r="J609" s="366">
        <v>0</v>
      </c>
      <c r="K609" s="366">
        <f>K604</f>
        <v>20180327</v>
      </c>
      <c r="L609" s="366">
        <v>7</v>
      </c>
      <c r="M609" s="366">
        <v>2</v>
      </c>
      <c r="N609" s="366">
        <v>2</v>
      </c>
      <c r="O609" s="366">
        <v>2</v>
      </c>
      <c r="P609" s="366">
        <v>1</v>
      </c>
      <c r="Q609" s="367" t="s">
        <v>1128</v>
      </c>
      <c r="R609" s="367">
        <f>$B$2</f>
        <v>20180328</v>
      </c>
      <c r="S609" s="368">
        <v>0.53385416666666663</v>
      </c>
      <c r="T609" s="368" t="s">
        <v>1128</v>
      </c>
      <c r="U609" s="367"/>
      <c r="V609" s="367"/>
      <c r="W609" s="362"/>
      <c r="X609" s="107"/>
      <c r="Y609" s="362"/>
      <c r="Z609" s="362"/>
      <c r="AA609" s="362"/>
      <c r="AB609" s="362"/>
      <c r="AC609" s="362"/>
      <c r="AD609" s="362"/>
      <c r="AE609" s="362"/>
      <c r="AF609" s="362"/>
      <c r="AG609" s="362"/>
      <c r="AH609" s="362"/>
      <c r="AI609" s="362"/>
      <c r="AJ609" s="362"/>
      <c r="AK609" s="362"/>
      <c r="AL609" s="362"/>
      <c r="AM609" s="363"/>
      <c r="AN609" s="363"/>
      <c r="AO609" s="363"/>
      <c r="AP609" s="363"/>
      <c r="AQ609" s="363"/>
      <c r="AR609" s="363"/>
    </row>
    <row r="610" spans="1:44" s="9" customFormat="1" ht="13.95" hidden="1" customHeight="1" x14ac:dyDescent="0.25">
      <c r="A610" s="564" t="s">
        <v>173</v>
      </c>
      <c r="B610" s="361" t="s">
        <v>359</v>
      </c>
      <c r="C610" s="361" t="s">
        <v>1627</v>
      </c>
    </row>
    <row r="611" spans="1:44" s="9" customFormat="1" ht="13.95" hidden="1" customHeight="1" x14ac:dyDescent="0.25">
      <c r="A611" s="564" t="s">
        <v>173</v>
      </c>
      <c r="B611" s="369" t="s">
        <v>970</v>
      </c>
      <c r="C611" s="369" t="s">
        <v>1957</v>
      </c>
      <c r="D611" s="44"/>
    </row>
    <row r="612" spans="1:44" s="364" customFormat="1" hidden="1" x14ac:dyDescent="0.15">
      <c r="A612" s="564" t="s">
        <v>173</v>
      </c>
      <c r="B612" s="361" t="s">
        <v>1348</v>
      </c>
      <c r="C612" s="704" t="s">
        <v>1958</v>
      </c>
      <c r="D612" s="705"/>
      <c r="E612" s="705"/>
      <c r="F612" s="705"/>
      <c r="G612" s="705"/>
      <c r="H612" s="705"/>
      <c r="I612" s="705"/>
      <c r="J612" s="705"/>
      <c r="K612" s="705"/>
      <c r="L612" s="705"/>
      <c r="M612" s="705"/>
      <c r="N612" s="705"/>
      <c r="O612" s="705"/>
      <c r="P612" s="705"/>
      <c r="Q612" s="705"/>
      <c r="R612" s="705"/>
      <c r="S612" s="708"/>
      <c r="T612" s="717" t="s">
        <v>1946</v>
      </c>
      <c r="U612" s="717" t="s">
        <v>1959</v>
      </c>
      <c r="V612" s="717" t="s">
        <v>1947</v>
      </c>
      <c r="W612" s="362"/>
      <c r="X612" s="107"/>
      <c r="Y612" s="362"/>
      <c r="Z612" s="362"/>
      <c r="AA612" s="362"/>
      <c r="AB612" s="362"/>
      <c r="AC612" s="362"/>
      <c r="AD612" s="362"/>
      <c r="AE612" s="362"/>
      <c r="AF612" s="362"/>
      <c r="AG612" s="362"/>
      <c r="AH612" s="362"/>
      <c r="AI612" s="362"/>
      <c r="AJ612" s="362"/>
      <c r="AK612" s="362"/>
      <c r="AL612" s="362"/>
      <c r="AM612" s="363"/>
      <c r="AN612" s="363"/>
      <c r="AO612" s="363"/>
      <c r="AP612" s="363"/>
      <c r="AQ612" s="363"/>
      <c r="AR612" s="363"/>
    </row>
    <row r="613" spans="1:44" s="364" customFormat="1" hidden="1" x14ac:dyDescent="0.25">
      <c r="A613" s="564" t="s">
        <v>173</v>
      </c>
      <c r="C613" s="365" t="s">
        <v>1960</v>
      </c>
      <c r="D613" s="365" t="s">
        <v>1961</v>
      </c>
      <c r="E613" s="365" t="s">
        <v>1962</v>
      </c>
      <c r="F613" s="365" t="s">
        <v>1963</v>
      </c>
      <c r="G613" s="366" t="s">
        <v>1964</v>
      </c>
      <c r="H613" s="366" t="s">
        <v>1965</v>
      </c>
      <c r="I613" s="366" t="s">
        <v>1966</v>
      </c>
      <c r="J613" s="366" t="s">
        <v>1967</v>
      </c>
      <c r="K613" s="366" t="s">
        <v>1968</v>
      </c>
      <c r="L613" s="366" t="s">
        <v>1969</v>
      </c>
      <c r="M613" s="366" t="s">
        <v>1970</v>
      </c>
      <c r="N613" s="366" t="s">
        <v>1971</v>
      </c>
      <c r="O613" s="366" t="s">
        <v>1972</v>
      </c>
      <c r="P613" s="366" t="s">
        <v>1973</v>
      </c>
      <c r="Q613" s="366" t="s">
        <v>1974</v>
      </c>
      <c r="R613" s="366" t="s">
        <v>1975</v>
      </c>
      <c r="S613" s="366" t="s">
        <v>1976</v>
      </c>
      <c r="T613" s="718"/>
      <c r="U613" s="718"/>
      <c r="V613" s="718"/>
      <c r="W613" s="362"/>
      <c r="X613" s="107"/>
      <c r="Y613" s="362"/>
      <c r="Z613" s="362"/>
      <c r="AA613" s="362"/>
      <c r="AB613" s="362"/>
      <c r="AC613" s="362"/>
      <c r="AD613" s="362"/>
      <c r="AE613" s="362"/>
      <c r="AF613" s="362"/>
      <c r="AG613" s="362"/>
      <c r="AH613" s="362"/>
      <c r="AI613" s="362"/>
      <c r="AJ613" s="362"/>
      <c r="AK613" s="362"/>
      <c r="AL613" s="362"/>
      <c r="AM613" s="363"/>
      <c r="AN613" s="363"/>
      <c r="AO613" s="363"/>
      <c r="AP613" s="363"/>
      <c r="AQ613" s="363"/>
      <c r="AR613" s="363"/>
    </row>
    <row r="614" spans="1:44" s="364" customFormat="1" hidden="1" x14ac:dyDescent="0.25">
      <c r="A614" s="564" t="s">
        <v>173</v>
      </c>
      <c r="C614" s="365">
        <f>$B$2</f>
        <v>20180328</v>
      </c>
      <c r="D614" s="365">
        <f>$B$2</f>
        <v>20180328</v>
      </c>
      <c r="E614" s="365" t="str">
        <f>$F$5</f>
        <v>9999</v>
      </c>
      <c r="F614" s="365" t="s">
        <v>1977</v>
      </c>
      <c r="G614" s="366">
        <v>0</v>
      </c>
      <c r="H614" s="366">
        <v>0</v>
      </c>
      <c r="I614" s="366">
        <v>0</v>
      </c>
      <c r="J614" s="366">
        <v>0</v>
      </c>
      <c r="K614" s="366">
        <f>K609</f>
        <v>20180327</v>
      </c>
      <c r="L614" s="366">
        <v>7</v>
      </c>
      <c r="M614" s="366">
        <v>2</v>
      </c>
      <c r="N614" s="366">
        <v>2</v>
      </c>
      <c r="O614" s="366">
        <v>2</v>
      </c>
      <c r="P614" s="366">
        <v>1</v>
      </c>
      <c r="Q614" s="367" t="s">
        <v>1948</v>
      </c>
      <c r="R614" s="367">
        <f>$B$2</f>
        <v>20180328</v>
      </c>
      <c r="S614" s="368">
        <v>0.53385416666666663</v>
      </c>
      <c r="T614" s="368" t="s">
        <v>1948</v>
      </c>
      <c r="U614" s="367"/>
      <c r="V614" s="367"/>
      <c r="W614" s="362"/>
      <c r="X614" s="107"/>
      <c r="Y614" s="362"/>
      <c r="Z614" s="362"/>
      <c r="AA614" s="362"/>
      <c r="AB614" s="362"/>
      <c r="AC614" s="362"/>
      <c r="AD614" s="362"/>
      <c r="AE614" s="362"/>
      <c r="AF614" s="362"/>
      <c r="AG614" s="362"/>
      <c r="AH614" s="362"/>
      <c r="AI614" s="362"/>
      <c r="AJ614" s="362"/>
      <c r="AK614" s="362"/>
      <c r="AL614" s="362"/>
      <c r="AM614" s="363"/>
      <c r="AN614" s="363"/>
      <c r="AO614" s="363"/>
      <c r="AP614" s="363"/>
      <c r="AQ614" s="363"/>
      <c r="AR614" s="363"/>
    </row>
    <row r="615" spans="1:44" hidden="1" x14ac:dyDescent="0.25">
      <c r="A615" s="564" t="s">
        <v>173</v>
      </c>
      <c r="B615" t="s">
        <v>1674</v>
      </c>
      <c r="C615" s="323" t="s">
        <v>1679</v>
      </c>
      <c r="D615" s="323"/>
      <c r="E615" s="323"/>
      <c r="F615" s="323"/>
      <c r="G615" s="188"/>
      <c r="H615" s="188"/>
      <c r="I615" s="188"/>
      <c r="J615" s="188"/>
      <c r="K615" s="188"/>
      <c r="L615" s="188"/>
      <c r="M615" s="188"/>
      <c r="N615" s="188"/>
      <c r="O615" s="188"/>
      <c r="P615" s="188"/>
      <c r="Q615" s="167"/>
      <c r="R615" s="167"/>
      <c r="S615" s="338"/>
      <c r="T615" s="338"/>
      <c r="U615" s="167"/>
      <c r="V615" s="167"/>
      <c r="W615" s="167"/>
      <c r="X615" s="182"/>
      <c r="Y615" s="167"/>
      <c r="Z615" s="167"/>
      <c r="AA615" s="167"/>
      <c r="AB615" s="167"/>
      <c r="AC615" s="167"/>
      <c r="AD615" s="167"/>
      <c r="AE615" s="167"/>
      <c r="AF615" s="167"/>
      <c r="AG615" s="167"/>
      <c r="AH615" s="167"/>
      <c r="AI615" s="167"/>
      <c r="AJ615" s="167"/>
      <c r="AK615" s="167"/>
      <c r="AL615" s="167"/>
      <c r="AM615" s="6"/>
      <c r="AN615" s="6"/>
      <c r="AO615" s="6"/>
      <c r="AP615" s="6"/>
      <c r="AQ615" s="6"/>
      <c r="AR615" s="6"/>
    </row>
    <row r="616" spans="1:44" ht="13.95" hidden="1" customHeight="1" x14ac:dyDescent="0.25">
      <c r="A616" s="564" t="s">
        <v>173</v>
      </c>
      <c r="B616" s="4" t="s">
        <v>124</v>
      </c>
      <c r="C616" s="203" t="s">
        <v>1251</v>
      </c>
      <c r="D616" s="204"/>
      <c r="E616" s="204"/>
      <c r="F616" s="204"/>
      <c r="G616" s="188"/>
      <c r="H616" s="188"/>
      <c r="I616" s="188"/>
      <c r="J616" s="188"/>
      <c r="K616" s="188"/>
      <c r="L616" s="188"/>
      <c r="M616" s="188"/>
      <c r="N616" s="188"/>
      <c r="O616" s="167"/>
      <c r="P616" s="167"/>
      <c r="Q616" s="167"/>
      <c r="R616" s="167"/>
      <c r="S616" s="167"/>
      <c r="T616" s="167"/>
      <c r="U616" s="167"/>
      <c r="V616" s="167"/>
      <c r="W616" s="182"/>
      <c r="X616" s="167"/>
      <c r="Y616" s="167"/>
      <c r="Z616" s="167"/>
      <c r="AA616" s="167"/>
      <c r="AB616" s="167"/>
      <c r="AC616" s="167"/>
      <c r="AD616" s="167"/>
      <c r="AE616" s="167"/>
      <c r="AF616" s="167"/>
      <c r="AG616" s="167"/>
      <c r="AH616" s="167"/>
      <c r="AI616" s="167"/>
      <c r="AJ616" s="167"/>
      <c r="AK616" s="167"/>
      <c r="AL616" s="6"/>
      <c r="AM616" s="6"/>
      <c r="AN616" s="6"/>
      <c r="AO616" s="6"/>
      <c r="AP616" s="6"/>
      <c r="AQ616" s="6"/>
    </row>
    <row r="617" spans="1:44" ht="13.95" hidden="1" customHeight="1" x14ac:dyDescent="0.25">
      <c r="A617" s="564" t="s">
        <v>173</v>
      </c>
      <c r="B617" s="4" t="s">
        <v>306</v>
      </c>
      <c r="C617" s="704" t="s">
        <v>1583</v>
      </c>
      <c r="D617" s="705"/>
      <c r="E617" s="705"/>
      <c r="F617" s="705"/>
      <c r="G617" s="705"/>
      <c r="H617" s="705"/>
      <c r="I617" s="705"/>
      <c r="J617" s="705"/>
      <c r="K617" s="705"/>
      <c r="L617" s="705"/>
      <c r="M617" s="705"/>
      <c r="N617" s="705"/>
      <c r="O617" s="705"/>
      <c r="P617" s="705"/>
      <c r="Q617" s="705"/>
      <c r="R617" s="705"/>
      <c r="S617" s="708"/>
      <c r="T617" s="712" t="s">
        <v>1126</v>
      </c>
      <c r="U617" s="712" t="s">
        <v>1107</v>
      </c>
      <c r="V617" s="712" t="s">
        <v>1108</v>
      </c>
      <c r="W617" s="167"/>
      <c r="X617" s="182"/>
      <c r="Y617" s="167"/>
      <c r="Z617" s="167"/>
      <c r="AA617" s="167"/>
      <c r="AB617" s="167"/>
      <c r="AC617" s="167"/>
      <c r="AD617" s="167"/>
      <c r="AE617" s="167"/>
      <c r="AF617" s="167"/>
      <c r="AG617" s="167"/>
      <c r="AH617" s="167"/>
      <c r="AI617" s="167"/>
      <c r="AJ617" s="167"/>
      <c r="AK617" s="167"/>
      <c r="AL617" s="167"/>
      <c r="AM617" s="6"/>
      <c r="AN617" s="6"/>
      <c r="AO617" s="6"/>
      <c r="AP617" s="6"/>
      <c r="AQ617" s="6"/>
      <c r="AR617" s="6"/>
    </row>
    <row r="618" spans="1:44" ht="13.95" hidden="1" customHeight="1" x14ac:dyDescent="0.25">
      <c r="A618" s="564" t="s">
        <v>173</v>
      </c>
      <c r="C618" s="358" t="s">
        <v>1111</v>
      </c>
      <c r="D618" s="358" t="s">
        <v>1217</v>
      </c>
      <c r="E618" s="358" t="s">
        <v>1134</v>
      </c>
      <c r="F618" s="358" t="s">
        <v>1117</v>
      </c>
      <c r="G618" s="189" t="s">
        <v>1218</v>
      </c>
      <c r="H618" s="189" t="s">
        <v>1219</v>
      </c>
      <c r="I618" s="189" t="s">
        <v>1220</v>
      </c>
      <c r="J618" s="189" t="s">
        <v>1221</v>
      </c>
      <c r="K618" s="189" t="s">
        <v>1222</v>
      </c>
      <c r="L618" s="189" t="s">
        <v>1755</v>
      </c>
      <c r="M618" s="189" t="s">
        <v>1223</v>
      </c>
      <c r="N618" s="189" t="s">
        <v>1224</v>
      </c>
      <c r="O618" s="189" t="s">
        <v>1225</v>
      </c>
      <c r="P618" s="189" t="s">
        <v>1226</v>
      </c>
      <c r="Q618" s="189" t="s">
        <v>1147</v>
      </c>
      <c r="R618" s="189" t="s">
        <v>1227</v>
      </c>
      <c r="S618" s="189" t="s">
        <v>1228</v>
      </c>
      <c r="T618" s="713"/>
      <c r="U618" s="713"/>
      <c r="V618" s="713"/>
      <c r="W618" s="167"/>
      <c r="X618" s="182"/>
      <c r="Y618" s="167"/>
      <c r="Z618" s="167"/>
      <c r="AA618" s="167"/>
      <c r="AB618" s="167"/>
      <c r="AC618" s="167"/>
      <c r="AD618" s="167"/>
      <c r="AE618" s="167"/>
      <c r="AF618" s="167"/>
      <c r="AG618" s="167"/>
      <c r="AH618" s="167"/>
      <c r="AI618" s="167"/>
      <c r="AJ618" s="167"/>
      <c r="AK618" s="167"/>
      <c r="AL618" s="167"/>
      <c r="AM618" s="6"/>
      <c r="AN618" s="6"/>
      <c r="AO618" s="6"/>
      <c r="AP618" s="6"/>
      <c r="AQ618" s="6"/>
      <c r="AR618" s="6"/>
    </row>
    <row r="619" spans="1:44" ht="13.95" hidden="1" customHeight="1" x14ac:dyDescent="0.25">
      <c r="A619" s="564" t="s">
        <v>173</v>
      </c>
      <c r="C619" s="358">
        <f>$B$2</f>
        <v>20180328</v>
      </c>
      <c r="D619" s="358">
        <f>$B$2</f>
        <v>20180328</v>
      </c>
      <c r="E619" s="358" t="str">
        <f>$F$5</f>
        <v>9999</v>
      </c>
      <c r="F619" s="358" t="s">
        <v>1679</v>
      </c>
      <c r="G619" s="189">
        <v>0</v>
      </c>
      <c r="H619" s="189">
        <v>0</v>
      </c>
      <c r="I619" s="189">
        <v>0</v>
      </c>
      <c r="J619" s="189">
        <v>0</v>
      </c>
      <c r="K619" s="189">
        <f>'day2'!B2</f>
        <v>20180327</v>
      </c>
      <c r="L619" s="189">
        <v>7</v>
      </c>
      <c r="M619" s="189">
        <v>2</v>
      </c>
      <c r="N619" s="189">
        <v>2</v>
      </c>
      <c r="O619" s="189">
        <v>2</v>
      </c>
      <c r="P619" s="189">
        <v>1</v>
      </c>
      <c r="Q619" s="111" t="s">
        <v>1128</v>
      </c>
      <c r="R619" s="111">
        <f>$B$2</f>
        <v>20180328</v>
      </c>
      <c r="S619" s="205">
        <v>0.53385416666666663</v>
      </c>
      <c r="T619" s="205" t="s">
        <v>1128</v>
      </c>
      <c r="U619" s="111"/>
      <c r="V619" s="111"/>
      <c r="W619" s="167"/>
      <c r="X619" s="182"/>
      <c r="Y619" s="167"/>
      <c r="Z619" s="167"/>
      <c r="AA619" s="167"/>
      <c r="AB619" s="167"/>
      <c r="AC619" s="167"/>
      <c r="AD619" s="167"/>
      <c r="AE619" s="167"/>
      <c r="AF619" s="167"/>
      <c r="AG619" s="167"/>
      <c r="AH619" s="167"/>
      <c r="AI619" s="167"/>
      <c r="AJ619" s="167"/>
      <c r="AK619" s="167"/>
      <c r="AL619" s="167"/>
      <c r="AM619" s="6"/>
      <c r="AN619" s="6"/>
      <c r="AO619" s="6"/>
      <c r="AP619" s="6"/>
      <c r="AQ619" s="6"/>
      <c r="AR619" s="6"/>
    </row>
    <row r="620" spans="1:44" s="9" customFormat="1" ht="13.95" hidden="1" customHeight="1" x14ac:dyDescent="0.25">
      <c r="A620" s="564" t="s">
        <v>173</v>
      </c>
      <c r="B620" s="361" t="s">
        <v>359</v>
      </c>
      <c r="C620" s="361" t="s">
        <v>1627</v>
      </c>
      <c r="D620" s="361"/>
      <c r="E620" s="361"/>
      <c r="F620" s="361"/>
    </row>
    <row r="621" spans="1:44" s="9" customFormat="1" ht="13.95" hidden="1" customHeight="1" x14ac:dyDescent="0.25">
      <c r="A621" s="564" t="s">
        <v>173</v>
      </c>
      <c r="B621" s="369" t="s">
        <v>970</v>
      </c>
      <c r="C621" s="369" t="s">
        <v>1670</v>
      </c>
      <c r="D621" s="369"/>
      <c r="E621" s="361"/>
      <c r="F621" s="361"/>
    </row>
    <row r="622" spans="1:44" s="364" customFormat="1" ht="13.95" hidden="1" customHeight="1" x14ac:dyDescent="0.15">
      <c r="A622" s="564" t="s">
        <v>173</v>
      </c>
      <c r="B622" s="361" t="s">
        <v>1628</v>
      </c>
      <c r="C622" s="704" t="s">
        <v>1582</v>
      </c>
      <c r="D622" s="705"/>
      <c r="E622" s="705"/>
      <c r="F622" s="705"/>
      <c r="G622" s="705"/>
      <c r="H622" s="705"/>
      <c r="I622" s="705"/>
      <c r="J622" s="705"/>
      <c r="K622" s="705"/>
      <c r="L622" s="705"/>
      <c r="M622" s="705"/>
      <c r="N622" s="705"/>
      <c r="O622" s="705"/>
      <c r="P622" s="705"/>
      <c r="Q622" s="705"/>
      <c r="R622" s="705"/>
      <c r="S622" s="708"/>
      <c r="T622" s="717" t="s">
        <v>1629</v>
      </c>
      <c r="U622" s="717" t="s">
        <v>1630</v>
      </c>
      <c r="V622" s="717" t="s">
        <v>1631</v>
      </c>
      <c r="W622" s="362"/>
      <c r="X622" s="107"/>
      <c r="Y622" s="362"/>
      <c r="Z622" s="362"/>
      <c r="AA622" s="362"/>
      <c r="AB622" s="362"/>
      <c r="AC622" s="362"/>
      <c r="AD622" s="362"/>
      <c r="AE622" s="362"/>
      <c r="AF622" s="362"/>
      <c r="AG622" s="362"/>
      <c r="AH622" s="362"/>
      <c r="AI622" s="362"/>
      <c r="AJ622" s="362"/>
      <c r="AK622" s="362"/>
      <c r="AL622" s="362"/>
      <c r="AM622" s="363"/>
      <c r="AN622" s="363"/>
      <c r="AO622" s="363"/>
      <c r="AP622" s="363"/>
      <c r="AQ622" s="363"/>
      <c r="AR622" s="363"/>
    </row>
    <row r="623" spans="1:44" s="364" customFormat="1" ht="13.95" hidden="1" customHeight="1" x14ac:dyDescent="0.25">
      <c r="A623" s="564" t="s">
        <v>173</v>
      </c>
      <c r="C623" s="365" t="s">
        <v>1632</v>
      </c>
      <c r="D623" s="365" t="s">
        <v>1633</v>
      </c>
      <c r="E623" s="365" t="s">
        <v>1634</v>
      </c>
      <c r="F623" s="365" t="s">
        <v>1635</v>
      </c>
      <c r="G623" s="366" t="s">
        <v>1636</v>
      </c>
      <c r="H623" s="366" t="s">
        <v>1637</v>
      </c>
      <c r="I623" s="366" t="s">
        <v>1638</v>
      </c>
      <c r="J623" s="366" t="s">
        <v>1639</v>
      </c>
      <c r="K623" s="366" t="s">
        <v>1640</v>
      </c>
      <c r="L623" s="366" t="s">
        <v>1641</v>
      </c>
      <c r="M623" s="366" t="s">
        <v>1642</v>
      </c>
      <c r="N623" s="366" t="s">
        <v>1643</v>
      </c>
      <c r="O623" s="366" t="s">
        <v>1644</v>
      </c>
      <c r="P623" s="366" t="s">
        <v>1645</v>
      </c>
      <c r="Q623" s="366" t="s">
        <v>1646</v>
      </c>
      <c r="R623" s="366" t="s">
        <v>1647</v>
      </c>
      <c r="S623" s="366" t="s">
        <v>1648</v>
      </c>
      <c r="T623" s="718"/>
      <c r="U623" s="718"/>
      <c r="V623" s="718"/>
      <c r="W623" s="362"/>
      <c r="X623" s="107"/>
      <c r="Y623" s="362"/>
      <c r="Z623" s="362"/>
      <c r="AA623" s="362"/>
      <c r="AB623" s="362"/>
      <c r="AC623" s="362"/>
      <c r="AD623" s="362"/>
      <c r="AE623" s="362"/>
      <c r="AF623" s="362"/>
      <c r="AG623" s="362"/>
      <c r="AH623" s="362"/>
      <c r="AI623" s="362"/>
      <c r="AJ623" s="362"/>
      <c r="AK623" s="362"/>
      <c r="AL623" s="362"/>
      <c r="AM623" s="363"/>
      <c r="AN623" s="363"/>
      <c r="AO623" s="363"/>
      <c r="AP623" s="363"/>
      <c r="AQ623" s="363"/>
      <c r="AR623" s="363"/>
    </row>
    <row r="624" spans="1:44" s="364" customFormat="1" ht="13.95" hidden="1" customHeight="1" x14ac:dyDescent="0.25">
      <c r="A624" s="564" t="s">
        <v>173</v>
      </c>
      <c r="C624" s="365">
        <f>$B$2</f>
        <v>20180328</v>
      </c>
      <c r="D624" s="365">
        <f>$B$2</f>
        <v>20180328</v>
      </c>
      <c r="E624" s="365" t="str">
        <f>$F$5</f>
        <v>9999</v>
      </c>
      <c r="F624" s="365" t="s">
        <v>1679</v>
      </c>
      <c r="G624" s="366">
        <v>0</v>
      </c>
      <c r="H624" s="366">
        <v>0</v>
      </c>
      <c r="I624" s="366">
        <v>0</v>
      </c>
      <c r="J624" s="366">
        <v>0</v>
      </c>
      <c r="K624" s="366">
        <f>'day2'!B2</f>
        <v>20180327</v>
      </c>
      <c r="L624" s="366">
        <v>7</v>
      </c>
      <c r="M624" s="366">
        <v>2</v>
      </c>
      <c r="N624" s="366">
        <v>2</v>
      </c>
      <c r="O624" s="366">
        <v>2</v>
      </c>
      <c r="P624" s="366">
        <v>1</v>
      </c>
      <c r="Q624" s="367" t="s">
        <v>1649</v>
      </c>
      <c r="R624" s="367">
        <f>$B$2</f>
        <v>20180328</v>
      </c>
      <c r="S624" s="368">
        <v>0.53385416666666663</v>
      </c>
      <c r="T624" s="368" t="s">
        <v>1649</v>
      </c>
      <c r="U624" s="367"/>
      <c r="V624" s="367"/>
      <c r="W624" s="362"/>
      <c r="X624" s="107"/>
      <c r="Y624" s="362"/>
      <c r="Z624" s="362"/>
      <c r="AA624" s="362"/>
      <c r="AB624" s="362"/>
      <c r="AC624" s="362"/>
      <c r="AD624" s="362"/>
      <c r="AE624" s="362"/>
      <c r="AF624" s="362"/>
      <c r="AG624" s="362"/>
      <c r="AH624" s="362"/>
      <c r="AI624" s="362"/>
      <c r="AJ624" s="362"/>
      <c r="AK624" s="362"/>
      <c r="AL624" s="362"/>
      <c r="AM624" s="363"/>
      <c r="AN624" s="363"/>
      <c r="AO624" s="363"/>
      <c r="AP624" s="363"/>
      <c r="AQ624" s="363"/>
      <c r="AR624" s="363"/>
    </row>
    <row r="625" spans="1:44" s="9" customFormat="1" ht="13.95" hidden="1" customHeight="1" x14ac:dyDescent="0.25">
      <c r="A625" s="564" t="s">
        <v>173</v>
      </c>
      <c r="B625" s="361" t="s">
        <v>359</v>
      </c>
      <c r="C625" s="361" t="s">
        <v>1627</v>
      </c>
    </row>
    <row r="626" spans="1:44" s="9" customFormat="1" ht="13.95" hidden="1" customHeight="1" x14ac:dyDescent="0.25">
      <c r="A626" s="564" t="s">
        <v>173</v>
      </c>
      <c r="B626" s="369" t="s">
        <v>970</v>
      </c>
      <c r="C626" s="369" t="s">
        <v>1671</v>
      </c>
      <c r="D626" s="44"/>
    </row>
    <row r="627" spans="1:44" s="364" customFormat="1" hidden="1" x14ac:dyDescent="0.15">
      <c r="A627" s="564" t="s">
        <v>173</v>
      </c>
      <c r="B627" s="361" t="s">
        <v>1628</v>
      </c>
      <c r="C627" s="704" t="s">
        <v>1672</v>
      </c>
      <c r="D627" s="705"/>
      <c r="E627" s="705"/>
      <c r="F627" s="705"/>
      <c r="G627" s="705"/>
      <c r="H627" s="705"/>
      <c r="I627" s="705"/>
      <c r="J627" s="705"/>
      <c r="K627" s="705"/>
      <c r="L627" s="705"/>
      <c r="M627" s="705"/>
      <c r="N627" s="705"/>
      <c r="O627" s="705"/>
      <c r="P627" s="705"/>
      <c r="Q627" s="705"/>
      <c r="R627" s="705"/>
      <c r="S627" s="708"/>
      <c r="T627" s="717" t="s">
        <v>1650</v>
      </c>
      <c r="U627" s="717" t="s">
        <v>1651</v>
      </c>
      <c r="V627" s="717" t="s">
        <v>1652</v>
      </c>
      <c r="W627" s="362"/>
      <c r="X627" s="107"/>
      <c r="Y627" s="362"/>
      <c r="Z627" s="362"/>
      <c r="AA627" s="362"/>
      <c r="AB627" s="362"/>
      <c r="AC627" s="362"/>
      <c r="AD627" s="362"/>
      <c r="AE627" s="362"/>
      <c r="AF627" s="362"/>
      <c r="AG627" s="362"/>
      <c r="AH627" s="362"/>
      <c r="AI627" s="362"/>
      <c r="AJ627" s="362"/>
      <c r="AK627" s="362"/>
      <c r="AL627" s="362"/>
      <c r="AM627" s="363"/>
      <c r="AN627" s="363"/>
      <c r="AO627" s="363"/>
      <c r="AP627" s="363"/>
      <c r="AQ627" s="363"/>
      <c r="AR627" s="363"/>
    </row>
    <row r="628" spans="1:44" s="364" customFormat="1" hidden="1" x14ac:dyDescent="0.25">
      <c r="A628" s="564" t="s">
        <v>173</v>
      </c>
      <c r="C628" s="365" t="s">
        <v>1653</v>
      </c>
      <c r="D628" s="365" t="s">
        <v>1654</v>
      </c>
      <c r="E628" s="365" t="s">
        <v>1655</v>
      </c>
      <c r="F628" s="365" t="s">
        <v>1656</v>
      </c>
      <c r="G628" s="366" t="s">
        <v>1657</v>
      </c>
      <c r="H628" s="366" t="s">
        <v>1658</v>
      </c>
      <c r="I628" s="366" t="s">
        <v>1659</v>
      </c>
      <c r="J628" s="366" t="s">
        <v>1660</v>
      </c>
      <c r="K628" s="366" t="s">
        <v>1661</v>
      </c>
      <c r="L628" s="366" t="s">
        <v>1662</v>
      </c>
      <c r="M628" s="366" t="s">
        <v>1663</v>
      </c>
      <c r="N628" s="366" t="s">
        <v>1664</v>
      </c>
      <c r="O628" s="366" t="s">
        <v>1665</v>
      </c>
      <c r="P628" s="366" t="s">
        <v>1666</v>
      </c>
      <c r="Q628" s="366" t="s">
        <v>1667</v>
      </c>
      <c r="R628" s="366" t="s">
        <v>1668</v>
      </c>
      <c r="S628" s="366" t="s">
        <v>1669</v>
      </c>
      <c r="T628" s="718"/>
      <c r="U628" s="718"/>
      <c r="V628" s="718"/>
      <c r="W628" s="362"/>
      <c r="X628" s="107"/>
      <c r="Y628" s="362"/>
      <c r="Z628" s="362"/>
      <c r="AA628" s="362"/>
      <c r="AB628" s="362"/>
      <c r="AC628" s="362"/>
      <c r="AD628" s="362"/>
      <c r="AE628" s="362"/>
      <c r="AF628" s="362"/>
      <c r="AG628" s="362"/>
      <c r="AH628" s="362"/>
      <c r="AI628" s="362"/>
      <c r="AJ628" s="362"/>
      <c r="AK628" s="362"/>
      <c r="AL628" s="362"/>
      <c r="AM628" s="363"/>
      <c r="AN628" s="363"/>
      <c r="AO628" s="363"/>
      <c r="AP628" s="363"/>
      <c r="AQ628" s="363"/>
      <c r="AR628" s="363"/>
    </row>
    <row r="629" spans="1:44" s="364" customFormat="1" hidden="1" x14ac:dyDescent="0.25">
      <c r="A629" s="564" t="s">
        <v>173</v>
      </c>
      <c r="C629" s="365">
        <f>$B$2</f>
        <v>20180328</v>
      </c>
      <c r="D629" s="365">
        <f>$B$2</f>
        <v>20180328</v>
      </c>
      <c r="E629" s="365" t="str">
        <f>$F$5</f>
        <v>9999</v>
      </c>
      <c r="F629" s="365" t="s">
        <v>1679</v>
      </c>
      <c r="G629" s="366">
        <v>0</v>
      </c>
      <c r="H629" s="366">
        <v>0</v>
      </c>
      <c r="I629" s="366">
        <v>0</v>
      </c>
      <c r="J629" s="366">
        <v>0</v>
      </c>
      <c r="K629" s="366">
        <f>K624</f>
        <v>20180327</v>
      </c>
      <c r="L629" s="366">
        <v>7</v>
      </c>
      <c r="M629" s="366">
        <v>2</v>
      </c>
      <c r="N629" s="366">
        <v>2</v>
      </c>
      <c r="O629" s="366">
        <v>2</v>
      </c>
      <c r="P629" s="366">
        <v>1</v>
      </c>
      <c r="Q629" s="367" t="s">
        <v>1128</v>
      </c>
      <c r="R629" s="367">
        <f>$B$2</f>
        <v>20180328</v>
      </c>
      <c r="S629" s="368">
        <v>0.53385416666666663</v>
      </c>
      <c r="T629" s="368" t="s">
        <v>1128</v>
      </c>
      <c r="U629" s="367"/>
      <c r="V629" s="367"/>
      <c r="W629" s="362"/>
      <c r="X629" s="107"/>
      <c r="Y629" s="362"/>
      <c r="Z629" s="362"/>
      <c r="AA629" s="362"/>
      <c r="AB629" s="362"/>
      <c r="AC629" s="362"/>
      <c r="AD629" s="362"/>
      <c r="AE629" s="362"/>
      <c r="AF629" s="362"/>
      <c r="AG629" s="362"/>
      <c r="AH629" s="362"/>
      <c r="AI629" s="362"/>
      <c r="AJ629" s="362"/>
      <c r="AK629" s="362"/>
      <c r="AL629" s="362"/>
      <c r="AM629" s="363"/>
      <c r="AN629" s="363"/>
      <c r="AO629" s="363"/>
      <c r="AP629" s="363"/>
      <c r="AQ629" s="363"/>
      <c r="AR629" s="363"/>
    </row>
    <row r="630" spans="1:44" s="9" customFormat="1" ht="13.95" hidden="1" customHeight="1" x14ac:dyDescent="0.25">
      <c r="A630" s="564" t="s">
        <v>173</v>
      </c>
      <c r="B630" s="361" t="s">
        <v>359</v>
      </c>
      <c r="C630" s="361" t="s">
        <v>1627</v>
      </c>
    </row>
    <row r="631" spans="1:44" s="9" customFormat="1" ht="13.95" hidden="1" customHeight="1" x14ac:dyDescent="0.25">
      <c r="A631" s="564" t="s">
        <v>173</v>
      </c>
      <c r="B631" s="369" t="s">
        <v>970</v>
      </c>
      <c r="C631" s="369" t="s">
        <v>1957</v>
      </c>
      <c r="D631" s="44"/>
    </row>
    <row r="632" spans="1:44" s="364" customFormat="1" hidden="1" x14ac:dyDescent="0.15">
      <c r="A632" s="564" t="s">
        <v>173</v>
      </c>
      <c r="B632" s="361" t="s">
        <v>1348</v>
      </c>
      <c r="C632" s="704" t="s">
        <v>1958</v>
      </c>
      <c r="D632" s="705"/>
      <c r="E632" s="705"/>
      <c r="F632" s="705"/>
      <c r="G632" s="705"/>
      <c r="H632" s="705"/>
      <c r="I632" s="705"/>
      <c r="J632" s="705"/>
      <c r="K632" s="705"/>
      <c r="L632" s="705"/>
      <c r="M632" s="705"/>
      <c r="N632" s="705"/>
      <c r="O632" s="705"/>
      <c r="P632" s="705"/>
      <c r="Q632" s="705"/>
      <c r="R632" s="705"/>
      <c r="S632" s="708"/>
      <c r="T632" s="717" t="s">
        <v>1946</v>
      </c>
      <c r="U632" s="717" t="s">
        <v>1959</v>
      </c>
      <c r="V632" s="717" t="s">
        <v>1947</v>
      </c>
      <c r="W632" s="362"/>
      <c r="X632" s="107"/>
      <c r="Y632" s="362"/>
      <c r="Z632" s="362"/>
      <c r="AA632" s="362"/>
      <c r="AB632" s="362"/>
      <c r="AC632" s="362"/>
      <c r="AD632" s="362"/>
      <c r="AE632" s="362"/>
      <c r="AF632" s="362"/>
      <c r="AG632" s="362"/>
      <c r="AH632" s="362"/>
      <c r="AI632" s="362"/>
      <c r="AJ632" s="362"/>
      <c r="AK632" s="362"/>
      <c r="AL632" s="362"/>
      <c r="AM632" s="363"/>
      <c r="AN632" s="363"/>
      <c r="AO632" s="363"/>
      <c r="AP632" s="363"/>
      <c r="AQ632" s="363"/>
      <c r="AR632" s="363"/>
    </row>
    <row r="633" spans="1:44" s="364" customFormat="1" hidden="1" x14ac:dyDescent="0.25">
      <c r="A633" s="564" t="s">
        <v>173</v>
      </c>
      <c r="C633" s="365" t="s">
        <v>1960</v>
      </c>
      <c r="D633" s="365" t="s">
        <v>1961</v>
      </c>
      <c r="E633" s="365" t="s">
        <v>1962</v>
      </c>
      <c r="F633" s="365" t="s">
        <v>1963</v>
      </c>
      <c r="G633" s="366" t="s">
        <v>1964</v>
      </c>
      <c r="H633" s="366" t="s">
        <v>1965</v>
      </c>
      <c r="I633" s="366" t="s">
        <v>1966</v>
      </c>
      <c r="J633" s="366" t="s">
        <v>1967</v>
      </c>
      <c r="K633" s="366" t="s">
        <v>1968</v>
      </c>
      <c r="L633" s="366" t="s">
        <v>1969</v>
      </c>
      <c r="M633" s="366" t="s">
        <v>1970</v>
      </c>
      <c r="N633" s="366" t="s">
        <v>1971</v>
      </c>
      <c r="O633" s="366" t="s">
        <v>1972</v>
      </c>
      <c r="P633" s="366" t="s">
        <v>1973</v>
      </c>
      <c r="Q633" s="366" t="s">
        <v>1974</v>
      </c>
      <c r="R633" s="366" t="s">
        <v>1975</v>
      </c>
      <c r="S633" s="366" t="s">
        <v>1976</v>
      </c>
      <c r="T633" s="718"/>
      <c r="U633" s="718"/>
      <c r="V633" s="718"/>
      <c r="W633" s="362"/>
      <c r="X633" s="107"/>
      <c r="Y633" s="362"/>
      <c r="Z633" s="362"/>
      <c r="AA633" s="362"/>
      <c r="AB633" s="362"/>
      <c r="AC633" s="362"/>
      <c r="AD633" s="362"/>
      <c r="AE633" s="362"/>
      <c r="AF633" s="362"/>
      <c r="AG633" s="362"/>
      <c r="AH633" s="362"/>
      <c r="AI633" s="362"/>
      <c r="AJ633" s="362"/>
      <c r="AK633" s="362"/>
      <c r="AL633" s="362"/>
      <c r="AM633" s="363"/>
      <c r="AN633" s="363"/>
      <c r="AO633" s="363"/>
      <c r="AP633" s="363"/>
      <c r="AQ633" s="363"/>
      <c r="AR633" s="363"/>
    </row>
    <row r="634" spans="1:44" s="364" customFormat="1" hidden="1" x14ac:dyDescent="0.25">
      <c r="A634" s="564" t="s">
        <v>173</v>
      </c>
      <c r="C634" s="365">
        <f>$B$2</f>
        <v>20180328</v>
      </c>
      <c r="D634" s="365">
        <f>$B$2</f>
        <v>20180328</v>
      </c>
      <c r="E634" s="365" t="str">
        <f>$F$5</f>
        <v>9999</v>
      </c>
      <c r="F634" s="365" t="s">
        <v>1978</v>
      </c>
      <c r="G634" s="366">
        <v>0</v>
      </c>
      <c r="H634" s="366">
        <v>0</v>
      </c>
      <c r="I634" s="366">
        <v>0</v>
      </c>
      <c r="J634" s="366">
        <v>0</v>
      </c>
      <c r="K634" s="366">
        <f>K629</f>
        <v>20180327</v>
      </c>
      <c r="L634" s="366">
        <v>7</v>
      </c>
      <c r="M634" s="366">
        <v>2</v>
      </c>
      <c r="N634" s="366">
        <v>2</v>
      </c>
      <c r="O634" s="366">
        <v>2</v>
      </c>
      <c r="P634" s="366">
        <v>1</v>
      </c>
      <c r="Q634" s="367" t="s">
        <v>1948</v>
      </c>
      <c r="R634" s="367">
        <f>$B$2</f>
        <v>20180328</v>
      </c>
      <c r="S634" s="368">
        <v>0.53385416666666663</v>
      </c>
      <c r="T634" s="368" t="s">
        <v>1948</v>
      </c>
      <c r="U634" s="367"/>
      <c r="V634" s="367"/>
      <c r="W634" s="362"/>
      <c r="X634" s="107"/>
      <c r="Y634" s="362"/>
      <c r="Z634" s="362"/>
      <c r="AA634" s="362"/>
      <c r="AB634" s="362"/>
      <c r="AC634" s="362"/>
      <c r="AD634" s="362"/>
      <c r="AE634" s="362"/>
      <c r="AF634" s="362"/>
      <c r="AG634" s="362"/>
      <c r="AH634" s="362"/>
      <c r="AI634" s="362"/>
      <c r="AJ634" s="362"/>
      <c r="AK634" s="362"/>
      <c r="AL634" s="362"/>
      <c r="AM634" s="363"/>
      <c r="AN634" s="363"/>
      <c r="AO634" s="363"/>
      <c r="AP634" s="363"/>
      <c r="AQ634" s="363"/>
      <c r="AR634" s="363"/>
    </row>
    <row r="635" spans="1:44" hidden="1" x14ac:dyDescent="0.25">
      <c r="A635" s="564" t="s">
        <v>173</v>
      </c>
      <c r="B635" t="s">
        <v>1674</v>
      </c>
      <c r="C635" s="323" t="s">
        <v>1680</v>
      </c>
      <c r="D635" s="323"/>
      <c r="E635" s="323"/>
      <c r="F635" s="323"/>
      <c r="G635" s="188"/>
      <c r="H635" s="188"/>
      <c r="I635" s="188"/>
      <c r="J635" s="188"/>
      <c r="K635" s="188"/>
      <c r="L635" s="188"/>
      <c r="M635" s="188"/>
      <c r="N635" s="188"/>
      <c r="O635" s="188"/>
      <c r="P635" s="188"/>
      <c r="Q635" s="167"/>
      <c r="R635" s="167"/>
      <c r="S635" s="338"/>
      <c r="T635" s="338"/>
      <c r="U635" s="167"/>
      <c r="V635" s="167"/>
      <c r="W635" s="167"/>
      <c r="X635" s="182"/>
      <c r="Y635" s="167"/>
      <c r="Z635" s="167"/>
      <c r="AA635" s="167"/>
      <c r="AB635" s="167"/>
      <c r="AC635" s="167"/>
      <c r="AD635" s="167"/>
      <c r="AE635" s="167"/>
      <c r="AF635" s="167"/>
      <c r="AG635" s="167"/>
      <c r="AH635" s="167"/>
      <c r="AI635" s="167"/>
      <c r="AJ635" s="167"/>
      <c r="AK635" s="167"/>
      <c r="AL635" s="167"/>
      <c r="AM635" s="6"/>
      <c r="AN635" s="6"/>
      <c r="AO635" s="6"/>
      <c r="AP635" s="6"/>
      <c r="AQ635" s="6"/>
      <c r="AR635" s="6"/>
    </row>
    <row r="636" spans="1:44" ht="13.95" hidden="1" customHeight="1" x14ac:dyDescent="0.25">
      <c r="A636" s="564" t="s">
        <v>173</v>
      </c>
      <c r="B636" s="4" t="s">
        <v>124</v>
      </c>
      <c r="C636" s="203" t="s">
        <v>1251</v>
      </c>
      <c r="D636" s="204"/>
      <c r="E636" s="204"/>
      <c r="F636" s="204"/>
      <c r="G636" s="188"/>
      <c r="H636" s="188"/>
      <c r="I636" s="188"/>
      <c r="J636" s="188"/>
      <c r="K636" s="188"/>
      <c r="L636" s="188"/>
      <c r="M636" s="188"/>
      <c r="N636" s="188"/>
      <c r="O636" s="167"/>
      <c r="P636" s="167"/>
      <c r="Q636" s="167"/>
      <c r="R636" s="167"/>
      <c r="S636" s="167"/>
      <c r="T636" s="167"/>
      <c r="U636" s="167"/>
      <c r="V636" s="167"/>
      <c r="W636" s="182"/>
      <c r="X636" s="167"/>
      <c r="Y636" s="167"/>
      <c r="Z636" s="167"/>
      <c r="AA636" s="167"/>
      <c r="AB636" s="167"/>
      <c r="AC636" s="167"/>
      <c r="AD636" s="167"/>
      <c r="AE636" s="167"/>
      <c r="AF636" s="167"/>
      <c r="AG636" s="167"/>
      <c r="AH636" s="167"/>
      <c r="AI636" s="167"/>
      <c r="AJ636" s="167"/>
      <c r="AK636" s="167"/>
      <c r="AL636" s="6"/>
      <c r="AM636" s="6"/>
      <c r="AN636" s="6"/>
      <c r="AO636" s="6"/>
      <c r="AP636" s="6"/>
      <c r="AQ636" s="6"/>
    </row>
    <row r="637" spans="1:44" ht="13.95" hidden="1" customHeight="1" x14ac:dyDescent="0.25">
      <c r="A637" s="564" t="s">
        <v>173</v>
      </c>
      <c r="B637" s="4" t="s">
        <v>306</v>
      </c>
      <c r="C637" s="704" t="s">
        <v>1583</v>
      </c>
      <c r="D637" s="705"/>
      <c r="E637" s="705"/>
      <c r="F637" s="705"/>
      <c r="G637" s="705"/>
      <c r="H637" s="705"/>
      <c r="I637" s="705"/>
      <c r="J637" s="705"/>
      <c r="K637" s="705"/>
      <c r="L637" s="705"/>
      <c r="M637" s="705"/>
      <c r="N637" s="705"/>
      <c r="O637" s="705"/>
      <c r="P637" s="705"/>
      <c r="Q637" s="705"/>
      <c r="R637" s="705"/>
      <c r="S637" s="708"/>
      <c r="T637" s="712" t="s">
        <v>1126</v>
      </c>
      <c r="U637" s="712" t="s">
        <v>1107</v>
      </c>
      <c r="V637" s="712" t="s">
        <v>1108</v>
      </c>
      <c r="W637" s="167"/>
      <c r="X637" s="182"/>
      <c r="Y637" s="167"/>
      <c r="Z637" s="167"/>
      <c r="AA637" s="167"/>
      <c r="AB637" s="167"/>
      <c r="AC637" s="167"/>
      <c r="AD637" s="167"/>
      <c r="AE637" s="167"/>
      <c r="AF637" s="167"/>
      <c r="AG637" s="167"/>
      <c r="AH637" s="167"/>
      <c r="AI637" s="167"/>
      <c r="AJ637" s="167"/>
      <c r="AK637" s="167"/>
      <c r="AL637" s="167"/>
      <c r="AM637" s="6"/>
      <c r="AN637" s="6"/>
      <c r="AO637" s="6"/>
      <c r="AP637" s="6"/>
      <c r="AQ637" s="6"/>
      <c r="AR637" s="6"/>
    </row>
    <row r="638" spans="1:44" ht="13.95" hidden="1" customHeight="1" x14ac:dyDescent="0.25">
      <c r="A638" s="564" t="s">
        <v>173</v>
      </c>
      <c r="C638" s="358" t="s">
        <v>1111</v>
      </c>
      <c r="D638" s="358" t="s">
        <v>1217</v>
      </c>
      <c r="E638" s="358" t="s">
        <v>1134</v>
      </c>
      <c r="F638" s="358" t="s">
        <v>1117</v>
      </c>
      <c r="G638" s="189" t="s">
        <v>1218</v>
      </c>
      <c r="H638" s="189" t="s">
        <v>1219</v>
      </c>
      <c r="I638" s="189" t="s">
        <v>1220</v>
      </c>
      <c r="J638" s="189" t="s">
        <v>1221</v>
      </c>
      <c r="K638" s="189" t="s">
        <v>1222</v>
      </c>
      <c r="L638" s="189" t="s">
        <v>1758</v>
      </c>
      <c r="M638" s="189" t="s">
        <v>1223</v>
      </c>
      <c r="N638" s="189" t="s">
        <v>1224</v>
      </c>
      <c r="O638" s="189" t="s">
        <v>1225</v>
      </c>
      <c r="P638" s="189" t="s">
        <v>1226</v>
      </c>
      <c r="Q638" s="189" t="s">
        <v>1147</v>
      </c>
      <c r="R638" s="189" t="s">
        <v>1227</v>
      </c>
      <c r="S638" s="189" t="s">
        <v>1228</v>
      </c>
      <c r="T638" s="713"/>
      <c r="U638" s="713"/>
      <c r="V638" s="713"/>
      <c r="W638" s="167"/>
      <c r="X638" s="182"/>
      <c r="Y638" s="167"/>
      <c r="Z638" s="167"/>
      <c r="AA638" s="167"/>
      <c r="AB638" s="167"/>
      <c r="AC638" s="167"/>
      <c r="AD638" s="167"/>
      <c r="AE638" s="167"/>
      <c r="AF638" s="167"/>
      <c r="AG638" s="167"/>
      <c r="AH638" s="167"/>
      <c r="AI638" s="167"/>
      <c r="AJ638" s="167"/>
      <c r="AK638" s="167"/>
      <c r="AL638" s="167"/>
      <c r="AM638" s="6"/>
      <c r="AN638" s="6"/>
      <c r="AO638" s="6"/>
      <c r="AP638" s="6"/>
      <c r="AQ638" s="6"/>
      <c r="AR638" s="6"/>
    </row>
    <row r="639" spans="1:44" ht="13.95" hidden="1" customHeight="1" x14ac:dyDescent="0.25">
      <c r="A639" s="564" t="s">
        <v>173</v>
      </c>
      <c r="C639" s="358">
        <f>$B$2</f>
        <v>20180328</v>
      </c>
      <c r="D639" s="358">
        <f>$B$2</f>
        <v>20180328</v>
      </c>
      <c r="E639" s="358" t="str">
        <f>$F$5</f>
        <v>9999</v>
      </c>
      <c r="F639" s="358" t="s">
        <v>1680</v>
      </c>
      <c r="G639" s="189">
        <v>0</v>
      </c>
      <c r="H639" s="189">
        <v>0</v>
      </c>
      <c r="I639" s="189">
        <v>0</v>
      </c>
      <c r="J639" s="189">
        <v>0</v>
      </c>
      <c r="K639" s="189">
        <f>'day2'!B2</f>
        <v>20180327</v>
      </c>
      <c r="L639" s="189">
        <v>7</v>
      </c>
      <c r="M639" s="189">
        <v>2</v>
      </c>
      <c r="N639" s="189">
        <v>2</v>
      </c>
      <c r="O639" s="189">
        <v>2</v>
      </c>
      <c r="P639" s="189">
        <v>1</v>
      </c>
      <c r="Q639" s="111" t="s">
        <v>1128</v>
      </c>
      <c r="R639" s="111">
        <f>$B$2</f>
        <v>20180328</v>
      </c>
      <c r="S639" s="205">
        <v>0.53385416666666663</v>
      </c>
      <c r="T639" s="205" t="s">
        <v>1128</v>
      </c>
      <c r="U639" s="111"/>
      <c r="V639" s="111"/>
      <c r="W639" s="167"/>
      <c r="X639" s="182"/>
      <c r="Y639" s="167"/>
      <c r="Z639" s="167"/>
      <c r="AA639" s="167"/>
      <c r="AB639" s="167"/>
      <c r="AC639" s="167"/>
      <c r="AD639" s="167"/>
      <c r="AE639" s="167"/>
      <c r="AF639" s="167"/>
      <c r="AG639" s="167"/>
      <c r="AH639" s="167"/>
      <c r="AI639" s="167"/>
      <c r="AJ639" s="167"/>
      <c r="AK639" s="167"/>
      <c r="AL639" s="167"/>
      <c r="AM639" s="6"/>
      <c r="AN639" s="6"/>
      <c r="AO639" s="6"/>
      <c r="AP639" s="6"/>
      <c r="AQ639" s="6"/>
      <c r="AR639" s="6"/>
    </row>
    <row r="640" spans="1:44" s="9" customFormat="1" ht="13.95" hidden="1" customHeight="1" x14ac:dyDescent="0.25">
      <c r="A640" s="564" t="s">
        <v>173</v>
      </c>
      <c r="B640" s="361" t="s">
        <v>359</v>
      </c>
      <c r="C640" s="361" t="s">
        <v>1627</v>
      </c>
      <c r="D640" s="361"/>
      <c r="E640" s="361"/>
      <c r="F640" s="361"/>
    </row>
    <row r="641" spans="1:44" s="9" customFormat="1" ht="13.95" hidden="1" customHeight="1" x14ac:dyDescent="0.25">
      <c r="A641" s="564" t="s">
        <v>173</v>
      </c>
      <c r="B641" s="369" t="s">
        <v>970</v>
      </c>
      <c r="C641" s="369" t="s">
        <v>1670</v>
      </c>
      <c r="D641" s="369"/>
      <c r="E641" s="361"/>
      <c r="F641" s="361"/>
    </row>
    <row r="642" spans="1:44" s="364" customFormat="1" ht="13.95" hidden="1" customHeight="1" x14ac:dyDescent="0.15">
      <c r="A642" s="564" t="s">
        <v>173</v>
      </c>
      <c r="B642" s="361" t="s">
        <v>1628</v>
      </c>
      <c r="C642" s="704" t="s">
        <v>1582</v>
      </c>
      <c r="D642" s="705"/>
      <c r="E642" s="705"/>
      <c r="F642" s="705"/>
      <c r="G642" s="705"/>
      <c r="H642" s="705"/>
      <c r="I642" s="705"/>
      <c r="J642" s="705"/>
      <c r="K642" s="705"/>
      <c r="L642" s="705"/>
      <c r="M642" s="705"/>
      <c r="N642" s="705"/>
      <c r="O642" s="705"/>
      <c r="P642" s="705"/>
      <c r="Q642" s="705"/>
      <c r="R642" s="705"/>
      <c r="S642" s="708"/>
      <c r="T642" s="717" t="s">
        <v>1629</v>
      </c>
      <c r="U642" s="717" t="s">
        <v>1630</v>
      </c>
      <c r="V642" s="717" t="s">
        <v>1631</v>
      </c>
      <c r="W642" s="362"/>
      <c r="X642" s="107"/>
      <c r="Y642" s="362"/>
      <c r="Z642" s="362"/>
      <c r="AA642" s="362"/>
      <c r="AB642" s="362"/>
      <c r="AC642" s="362"/>
      <c r="AD642" s="362"/>
      <c r="AE642" s="362"/>
      <c r="AF642" s="362"/>
      <c r="AG642" s="362"/>
      <c r="AH642" s="362"/>
      <c r="AI642" s="362"/>
      <c r="AJ642" s="362"/>
      <c r="AK642" s="362"/>
      <c r="AL642" s="362"/>
      <c r="AM642" s="363"/>
      <c r="AN642" s="363"/>
      <c r="AO642" s="363"/>
      <c r="AP642" s="363"/>
      <c r="AQ642" s="363"/>
      <c r="AR642" s="363"/>
    </row>
    <row r="643" spans="1:44" s="364" customFormat="1" ht="13.95" hidden="1" customHeight="1" x14ac:dyDescent="0.25">
      <c r="A643" s="564" t="s">
        <v>173</v>
      </c>
      <c r="C643" s="365" t="s">
        <v>1632</v>
      </c>
      <c r="D643" s="365" t="s">
        <v>1633</v>
      </c>
      <c r="E643" s="365" t="s">
        <v>1634</v>
      </c>
      <c r="F643" s="365" t="s">
        <v>1635</v>
      </c>
      <c r="G643" s="366" t="s">
        <v>1636</v>
      </c>
      <c r="H643" s="366" t="s">
        <v>1637</v>
      </c>
      <c r="I643" s="366" t="s">
        <v>1638</v>
      </c>
      <c r="J643" s="366" t="s">
        <v>1639</v>
      </c>
      <c r="K643" s="366" t="s">
        <v>1640</v>
      </c>
      <c r="L643" s="366" t="s">
        <v>1641</v>
      </c>
      <c r="M643" s="366" t="s">
        <v>1642</v>
      </c>
      <c r="N643" s="366" t="s">
        <v>1643</v>
      </c>
      <c r="O643" s="366" t="s">
        <v>1644</v>
      </c>
      <c r="P643" s="366" t="s">
        <v>1645</v>
      </c>
      <c r="Q643" s="366" t="s">
        <v>1646</v>
      </c>
      <c r="R643" s="366" t="s">
        <v>1647</v>
      </c>
      <c r="S643" s="366" t="s">
        <v>1648</v>
      </c>
      <c r="T643" s="718"/>
      <c r="U643" s="718"/>
      <c r="V643" s="718"/>
      <c r="W643" s="362"/>
      <c r="X643" s="107"/>
      <c r="Y643" s="362"/>
      <c r="Z643" s="362"/>
      <c r="AA643" s="362"/>
      <c r="AB643" s="362"/>
      <c r="AC643" s="362"/>
      <c r="AD643" s="362"/>
      <c r="AE643" s="362"/>
      <c r="AF643" s="362"/>
      <c r="AG643" s="362"/>
      <c r="AH643" s="362"/>
      <c r="AI643" s="362"/>
      <c r="AJ643" s="362"/>
      <c r="AK643" s="362"/>
      <c r="AL643" s="362"/>
      <c r="AM643" s="363"/>
      <c r="AN643" s="363"/>
      <c r="AO643" s="363"/>
      <c r="AP643" s="363"/>
      <c r="AQ643" s="363"/>
      <c r="AR643" s="363"/>
    </row>
    <row r="644" spans="1:44" s="364" customFormat="1" ht="13.95" hidden="1" customHeight="1" x14ac:dyDescent="0.25">
      <c r="A644" s="564" t="s">
        <v>173</v>
      </c>
      <c r="C644" s="365">
        <f>$B$2</f>
        <v>20180328</v>
      </c>
      <c r="D644" s="365">
        <f>$B$2</f>
        <v>20180328</v>
      </c>
      <c r="E644" s="365" t="str">
        <f>$F$5</f>
        <v>9999</v>
      </c>
      <c r="F644" s="365" t="s">
        <v>1680</v>
      </c>
      <c r="G644" s="366">
        <v>0</v>
      </c>
      <c r="H644" s="366">
        <v>0</v>
      </c>
      <c r="I644" s="366">
        <v>0</v>
      </c>
      <c r="J644" s="366">
        <v>0</v>
      </c>
      <c r="K644" s="366">
        <f>'day2'!B2</f>
        <v>20180327</v>
      </c>
      <c r="L644" s="366">
        <v>7</v>
      </c>
      <c r="M644" s="366">
        <v>2</v>
      </c>
      <c r="N644" s="366">
        <v>2</v>
      </c>
      <c r="O644" s="366">
        <v>2</v>
      </c>
      <c r="P644" s="366">
        <v>1</v>
      </c>
      <c r="Q644" s="367" t="s">
        <v>1649</v>
      </c>
      <c r="R644" s="367">
        <f>$B$2</f>
        <v>20180328</v>
      </c>
      <c r="S644" s="368">
        <v>0.53385416666666663</v>
      </c>
      <c r="T644" s="368" t="s">
        <v>1649</v>
      </c>
      <c r="U644" s="367"/>
      <c r="V644" s="367"/>
      <c r="W644" s="362"/>
      <c r="X644" s="107"/>
      <c r="Y644" s="362"/>
      <c r="Z644" s="362"/>
      <c r="AA644" s="362"/>
      <c r="AB644" s="362"/>
      <c r="AC644" s="362"/>
      <c r="AD644" s="362"/>
      <c r="AE644" s="362"/>
      <c r="AF644" s="362"/>
      <c r="AG644" s="362"/>
      <c r="AH644" s="362"/>
      <c r="AI644" s="362"/>
      <c r="AJ644" s="362"/>
      <c r="AK644" s="362"/>
      <c r="AL644" s="362"/>
      <c r="AM644" s="363"/>
      <c r="AN644" s="363"/>
      <c r="AO644" s="363"/>
      <c r="AP644" s="363"/>
      <c r="AQ644" s="363"/>
      <c r="AR644" s="363"/>
    </row>
    <row r="645" spans="1:44" s="9" customFormat="1" ht="13.95" hidden="1" customHeight="1" x14ac:dyDescent="0.25">
      <c r="A645" s="564" t="s">
        <v>173</v>
      </c>
      <c r="B645" s="361" t="s">
        <v>359</v>
      </c>
      <c r="C645" s="361" t="s">
        <v>1627</v>
      </c>
    </row>
    <row r="646" spans="1:44" s="9" customFormat="1" ht="13.95" hidden="1" customHeight="1" x14ac:dyDescent="0.25">
      <c r="A646" s="564" t="s">
        <v>173</v>
      </c>
      <c r="B646" s="369" t="s">
        <v>970</v>
      </c>
      <c r="C646" s="369" t="s">
        <v>1671</v>
      </c>
      <c r="D646" s="44"/>
    </row>
    <row r="647" spans="1:44" s="364" customFormat="1" hidden="1" x14ac:dyDescent="0.15">
      <c r="A647" s="564" t="s">
        <v>173</v>
      </c>
      <c r="B647" s="361" t="s">
        <v>1628</v>
      </c>
      <c r="C647" s="704" t="s">
        <v>1672</v>
      </c>
      <c r="D647" s="705"/>
      <c r="E647" s="705"/>
      <c r="F647" s="705"/>
      <c r="G647" s="705"/>
      <c r="H647" s="705"/>
      <c r="I647" s="705"/>
      <c r="J647" s="705"/>
      <c r="K647" s="705"/>
      <c r="L647" s="705"/>
      <c r="M647" s="705"/>
      <c r="N647" s="705"/>
      <c r="O647" s="705"/>
      <c r="P647" s="705"/>
      <c r="Q647" s="705"/>
      <c r="R647" s="705"/>
      <c r="S647" s="708"/>
      <c r="T647" s="717" t="s">
        <v>1650</v>
      </c>
      <c r="U647" s="717" t="s">
        <v>1651</v>
      </c>
      <c r="V647" s="717" t="s">
        <v>1652</v>
      </c>
      <c r="W647" s="362"/>
      <c r="X647" s="107"/>
      <c r="Y647" s="362"/>
      <c r="Z647" s="362"/>
      <c r="AA647" s="362"/>
      <c r="AB647" s="362"/>
      <c r="AC647" s="362"/>
      <c r="AD647" s="362"/>
      <c r="AE647" s="362"/>
      <c r="AF647" s="362"/>
      <c r="AG647" s="362"/>
      <c r="AH647" s="362"/>
      <c r="AI647" s="362"/>
      <c r="AJ647" s="362"/>
      <c r="AK647" s="362"/>
      <c r="AL647" s="362"/>
      <c r="AM647" s="363"/>
      <c r="AN647" s="363"/>
      <c r="AO647" s="363"/>
      <c r="AP647" s="363"/>
      <c r="AQ647" s="363"/>
      <c r="AR647" s="363"/>
    </row>
    <row r="648" spans="1:44" s="364" customFormat="1" hidden="1" x14ac:dyDescent="0.25">
      <c r="A648" s="564" t="s">
        <v>173</v>
      </c>
      <c r="C648" s="365" t="s">
        <v>1653</v>
      </c>
      <c r="D648" s="365" t="s">
        <v>1654</v>
      </c>
      <c r="E648" s="365" t="s">
        <v>1655</v>
      </c>
      <c r="F648" s="365" t="s">
        <v>1656</v>
      </c>
      <c r="G648" s="366" t="s">
        <v>1657</v>
      </c>
      <c r="H648" s="366" t="s">
        <v>1658</v>
      </c>
      <c r="I648" s="366" t="s">
        <v>1659</v>
      </c>
      <c r="J648" s="366" t="s">
        <v>1660</v>
      </c>
      <c r="K648" s="366" t="s">
        <v>1661</v>
      </c>
      <c r="L648" s="366" t="s">
        <v>1662</v>
      </c>
      <c r="M648" s="366" t="s">
        <v>1663</v>
      </c>
      <c r="N648" s="366" t="s">
        <v>1664</v>
      </c>
      <c r="O648" s="366" t="s">
        <v>1665</v>
      </c>
      <c r="P648" s="366" t="s">
        <v>1666</v>
      </c>
      <c r="Q648" s="366" t="s">
        <v>1667</v>
      </c>
      <c r="R648" s="366" t="s">
        <v>1668</v>
      </c>
      <c r="S648" s="366" t="s">
        <v>1669</v>
      </c>
      <c r="T648" s="718"/>
      <c r="U648" s="718"/>
      <c r="V648" s="718"/>
      <c r="W648" s="362"/>
      <c r="X648" s="107"/>
      <c r="Y648" s="362"/>
      <c r="Z648" s="362"/>
      <c r="AA648" s="362"/>
      <c r="AB648" s="362"/>
      <c r="AC648" s="362"/>
      <c r="AD648" s="362"/>
      <c r="AE648" s="362"/>
      <c r="AF648" s="362"/>
      <c r="AG648" s="362"/>
      <c r="AH648" s="362"/>
      <c r="AI648" s="362"/>
      <c r="AJ648" s="362"/>
      <c r="AK648" s="362"/>
      <c r="AL648" s="362"/>
      <c r="AM648" s="363"/>
      <c r="AN648" s="363"/>
      <c r="AO648" s="363"/>
      <c r="AP648" s="363"/>
      <c r="AQ648" s="363"/>
      <c r="AR648" s="363"/>
    </row>
    <row r="649" spans="1:44" s="364" customFormat="1" hidden="1" x14ac:dyDescent="0.25">
      <c r="A649" s="564" t="s">
        <v>173</v>
      </c>
      <c r="C649" s="365">
        <f>$B$2</f>
        <v>20180328</v>
      </c>
      <c r="D649" s="365">
        <f>$B$2</f>
        <v>20180328</v>
      </c>
      <c r="E649" s="365" t="str">
        <f>$F$5</f>
        <v>9999</v>
      </c>
      <c r="F649" s="365" t="s">
        <v>1681</v>
      </c>
      <c r="G649" s="366">
        <v>0</v>
      </c>
      <c r="H649" s="366">
        <v>0</v>
      </c>
      <c r="I649" s="366">
        <v>0</v>
      </c>
      <c r="J649" s="366">
        <v>0</v>
      </c>
      <c r="K649" s="366">
        <f>K644</f>
        <v>20180327</v>
      </c>
      <c r="L649" s="366">
        <v>7</v>
      </c>
      <c r="M649" s="366">
        <v>2</v>
      </c>
      <c r="N649" s="366">
        <v>2</v>
      </c>
      <c r="O649" s="366">
        <v>2</v>
      </c>
      <c r="P649" s="366">
        <v>1</v>
      </c>
      <c r="Q649" s="367" t="s">
        <v>1128</v>
      </c>
      <c r="R649" s="367">
        <f>$B$2</f>
        <v>20180328</v>
      </c>
      <c r="S649" s="368">
        <v>0.53385416666666663</v>
      </c>
      <c r="T649" s="368" t="s">
        <v>1128</v>
      </c>
      <c r="U649" s="367"/>
      <c r="V649" s="367"/>
      <c r="W649" s="362"/>
      <c r="X649" s="107"/>
      <c r="Y649" s="362"/>
      <c r="Z649" s="362"/>
      <c r="AA649" s="362"/>
      <c r="AB649" s="362"/>
      <c r="AC649" s="362"/>
      <c r="AD649" s="362"/>
      <c r="AE649" s="362"/>
      <c r="AF649" s="362"/>
      <c r="AG649" s="362"/>
      <c r="AH649" s="362"/>
      <c r="AI649" s="362"/>
      <c r="AJ649" s="362"/>
      <c r="AK649" s="362"/>
      <c r="AL649" s="362"/>
      <c r="AM649" s="363"/>
      <c r="AN649" s="363"/>
      <c r="AO649" s="363"/>
      <c r="AP649" s="363"/>
      <c r="AQ649" s="363"/>
      <c r="AR649" s="363"/>
    </row>
    <row r="650" spans="1:44" s="9" customFormat="1" ht="13.95" hidden="1" customHeight="1" x14ac:dyDescent="0.25">
      <c r="A650" s="564" t="s">
        <v>173</v>
      </c>
      <c r="B650" s="361" t="s">
        <v>359</v>
      </c>
      <c r="C650" s="361" t="s">
        <v>1627</v>
      </c>
    </row>
    <row r="651" spans="1:44" s="9" customFormat="1" ht="13.95" hidden="1" customHeight="1" x14ac:dyDescent="0.25">
      <c r="A651" s="564" t="s">
        <v>173</v>
      </c>
      <c r="B651" s="369" t="s">
        <v>970</v>
      </c>
      <c r="C651" s="369" t="s">
        <v>1957</v>
      </c>
      <c r="D651" s="44"/>
    </row>
    <row r="652" spans="1:44" s="364" customFormat="1" hidden="1" x14ac:dyDescent="0.15">
      <c r="A652" s="564" t="s">
        <v>173</v>
      </c>
      <c r="B652" s="361" t="s">
        <v>1348</v>
      </c>
      <c r="C652" s="704" t="s">
        <v>1958</v>
      </c>
      <c r="D652" s="705"/>
      <c r="E652" s="705"/>
      <c r="F652" s="705"/>
      <c r="G652" s="705"/>
      <c r="H652" s="705"/>
      <c r="I652" s="705"/>
      <c r="J652" s="705"/>
      <c r="K652" s="705"/>
      <c r="L652" s="705"/>
      <c r="M652" s="705"/>
      <c r="N652" s="705"/>
      <c r="O652" s="705"/>
      <c r="P652" s="705"/>
      <c r="Q652" s="705"/>
      <c r="R652" s="705"/>
      <c r="S652" s="708"/>
      <c r="T652" s="717" t="s">
        <v>1946</v>
      </c>
      <c r="U652" s="717" t="s">
        <v>1959</v>
      </c>
      <c r="V652" s="717" t="s">
        <v>1947</v>
      </c>
      <c r="W652" s="362"/>
      <c r="X652" s="107"/>
      <c r="Y652" s="362"/>
      <c r="Z652" s="362"/>
      <c r="AA652" s="362"/>
      <c r="AB652" s="362"/>
      <c r="AC652" s="362"/>
      <c r="AD652" s="362"/>
      <c r="AE652" s="362"/>
      <c r="AF652" s="362"/>
      <c r="AG652" s="362"/>
      <c r="AH652" s="362"/>
      <c r="AI652" s="362"/>
      <c r="AJ652" s="362"/>
      <c r="AK652" s="362"/>
      <c r="AL652" s="362"/>
      <c r="AM652" s="363"/>
      <c r="AN652" s="363"/>
      <c r="AO652" s="363"/>
      <c r="AP652" s="363"/>
      <c r="AQ652" s="363"/>
      <c r="AR652" s="363"/>
    </row>
    <row r="653" spans="1:44" s="364" customFormat="1" hidden="1" x14ac:dyDescent="0.25">
      <c r="A653" s="564" t="s">
        <v>173</v>
      </c>
      <c r="C653" s="365" t="s">
        <v>1960</v>
      </c>
      <c r="D653" s="365" t="s">
        <v>1961</v>
      </c>
      <c r="E653" s="365" t="s">
        <v>1962</v>
      </c>
      <c r="F653" s="365" t="s">
        <v>1963</v>
      </c>
      <c r="G653" s="366" t="s">
        <v>1964</v>
      </c>
      <c r="H653" s="366" t="s">
        <v>1965</v>
      </c>
      <c r="I653" s="366" t="s">
        <v>1966</v>
      </c>
      <c r="J653" s="366" t="s">
        <v>1967</v>
      </c>
      <c r="K653" s="366" t="s">
        <v>1968</v>
      </c>
      <c r="L653" s="366" t="s">
        <v>1969</v>
      </c>
      <c r="M653" s="366" t="s">
        <v>1970</v>
      </c>
      <c r="N653" s="366" t="s">
        <v>1971</v>
      </c>
      <c r="O653" s="366" t="s">
        <v>1972</v>
      </c>
      <c r="P653" s="366" t="s">
        <v>1973</v>
      </c>
      <c r="Q653" s="366" t="s">
        <v>1974</v>
      </c>
      <c r="R653" s="366" t="s">
        <v>1975</v>
      </c>
      <c r="S653" s="366" t="s">
        <v>1976</v>
      </c>
      <c r="T653" s="718"/>
      <c r="U653" s="718"/>
      <c r="V653" s="718"/>
      <c r="W653" s="362"/>
      <c r="X653" s="107"/>
      <c r="Y653" s="362"/>
      <c r="Z653" s="362"/>
      <c r="AA653" s="362"/>
      <c r="AB653" s="362"/>
      <c r="AC653" s="362"/>
      <c r="AD653" s="362"/>
      <c r="AE653" s="362"/>
      <c r="AF653" s="362"/>
      <c r="AG653" s="362"/>
      <c r="AH653" s="362"/>
      <c r="AI653" s="362"/>
      <c r="AJ653" s="362"/>
      <c r="AK653" s="362"/>
      <c r="AL653" s="362"/>
      <c r="AM653" s="363"/>
      <c r="AN653" s="363"/>
      <c r="AO653" s="363"/>
      <c r="AP653" s="363"/>
      <c r="AQ653" s="363"/>
      <c r="AR653" s="363"/>
    </row>
    <row r="654" spans="1:44" s="364" customFormat="1" hidden="1" x14ac:dyDescent="0.25">
      <c r="A654" s="564" t="s">
        <v>173</v>
      </c>
      <c r="C654" s="365">
        <f>$B$2</f>
        <v>20180328</v>
      </c>
      <c r="D654" s="365">
        <f>$B$2</f>
        <v>20180328</v>
      </c>
      <c r="E654" s="365" t="str">
        <f>$F$5</f>
        <v>9999</v>
      </c>
      <c r="F654" s="365" t="s">
        <v>1979</v>
      </c>
      <c r="G654" s="366">
        <v>0</v>
      </c>
      <c r="H654" s="366">
        <v>0</v>
      </c>
      <c r="I654" s="366">
        <v>0</v>
      </c>
      <c r="J654" s="366">
        <v>0</v>
      </c>
      <c r="K654" s="366">
        <f>K649</f>
        <v>20180327</v>
      </c>
      <c r="L654" s="366">
        <v>7</v>
      </c>
      <c r="M654" s="366">
        <v>2</v>
      </c>
      <c r="N654" s="366">
        <v>2</v>
      </c>
      <c r="O654" s="366">
        <v>2</v>
      </c>
      <c r="P654" s="366">
        <v>1</v>
      </c>
      <c r="Q654" s="367" t="s">
        <v>1948</v>
      </c>
      <c r="R654" s="367">
        <f>$B$2</f>
        <v>20180328</v>
      </c>
      <c r="S654" s="368">
        <v>0.53385416666666663</v>
      </c>
      <c r="T654" s="368" t="s">
        <v>1948</v>
      </c>
      <c r="U654" s="367"/>
      <c r="V654" s="367"/>
      <c r="W654" s="362"/>
      <c r="X654" s="107"/>
      <c r="Y654" s="362"/>
      <c r="Z654" s="362"/>
      <c r="AA654" s="362"/>
      <c r="AB654" s="362"/>
      <c r="AC654" s="362"/>
      <c r="AD654" s="362"/>
      <c r="AE654" s="362"/>
      <c r="AF654" s="362"/>
      <c r="AG654" s="362"/>
      <c r="AH654" s="362"/>
      <c r="AI654" s="362"/>
      <c r="AJ654" s="362"/>
      <c r="AK654" s="362"/>
      <c r="AL654" s="362"/>
      <c r="AM654" s="363"/>
      <c r="AN654" s="363"/>
      <c r="AO654" s="363"/>
      <c r="AP654" s="363"/>
      <c r="AQ654" s="363"/>
      <c r="AR654" s="363"/>
    </row>
    <row r="655" spans="1:44" x14ac:dyDescent="0.25">
      <c r="A655" t="s">
        <v>359</v>
      </c>
      <c r="B655" t="s">
        <v>358</v>
      </c>
    </row>
    <row r="656" spans="1:44" x14ac:dyDescent="0.25">
      <c r="A656" t="s">
        <v>173</v>
      </c>
      <c r="B656" t="s">
        <v>1383</v>
      </c>
    </row>
    <row r="657" spans="1:43" x14ac:dyDescent="0.25">
      <c r="A657" t="s">
        <v>173</v>
      </c>
      <c r="B657" t="s">
        <v>1375</v>
      </c>
    </row>
    <row r="658" spans="1:43" x14ac:dyDescent="0.25">
      <c r="A658" s="157" t="s">
        <v>970</v>
      </c>
      <c r="B658" s="157" t="s">
        <v>971</v>
      </c>
    </row>
    <row r="659" spans="1:43" x14ac:dyDescent="0.25">
      <c r="A659" t="s">
        <v>306</v>
      </c>
      <c r="B659" s="719" t="s">
        <v>1081</v>
      </c>
      <c r="C659" s="719"/>
      <c r="D659" s="719"/>
      <c r="E659" s="719"/>
      <c r="F659" s="719"/>
      <c r="G659" s="719"/>
      <c r="H659" s="719"/>
      <c r="I659" s="719"/>
      <c r="J659" s="719"/>
      <c r="K659" s="719"/>
      <c r="L659" s="719"/>
      <c r="M659" s="719"/>
      <c r="N659" s="719"/>
      <c r="O659" s="719"/>
      <c r="P659" s="719"/>
      <c r="Q659" s="719"/>
      <c r="R659" s="719"/>
      <c r="S659" s="719"/>
      <c r="T659" s="719"/>
      <c r="U659" s="719"/>
      <c r="V659" s="719"/>
      <c r="W659" s="719"/>
      <c r="X659" s="719"/>
      <c r="Y659" s="719"/>
      <c r="Z659" s="719"/>
      <c r="AA659" s="719"/>
      <c r="AB659" s="719"/>
      <c r="AC659" s="719"/>
      <c r="AD659" s="719"/>
      <c r="AE659" s="719"/>
      <c r="AF659" s="719"/>
      <c r="AG659" s="719"/>
      <c r="AH659" s="719"/>
      <c r="AI659" s="719"/>
      <c r="AJ659" s="719"/>
      <c r="AK659" s="719"/>
      <c r="AL659" s="719"/>
      <c r="AM659" s="719"/>
      <c r="AN659" s="719"/>
      <c r="AO659" s="719"/>
      <c r="AP659" s="719"/>
      <c r="AQ659" s="719"/>
    </row>
    <row r="660" spans="1:43" x14ac:dyDescent="0.25">
      <c r="A660" t="s">
        <v>359</v>
      </c>
      <c r="B660" s="7" t="s">
        <v>369</v>
      </c>
      <c r="C660" s="7" t="s">
        <v>289</v>
      </c>
      <c r="D660" s="7" t="s">
        <v>308</v>
      </c>
      <c r="E660" s="7" t="s">
        <v>286</v>
      </c>
      <c r="F660" s="7" t="s">
        <v>287</v>
      </c>
      <c r="G660" s="7" t="s">
        <v>120</v>
      </c>
      <c r="H660" s="7" t="s">
        <v>309</v>
      </c>
      <c r="I660" s="29" t="s">
        <v>365</v>
      </c>
      <c r="J660" s="7" t="s">
        <v>326</v>
      </c>
      <c r="K660" s="12" t="s">
        <v>290</v>
      </c>
      <c r="L660" s="7" t="s">
        <v>52</v>
      </c>
      <c r="M660" s="7" t="s">
        <v>7</v>
      </c>
      <c r="N660" s="7" t="s">
        <v>8</v>
      </c>
      <c r="O660" s="12" t="s">
        <v>294</v>
      </c>
      <c r="P660" s="7" t="s">
        <v>9</v>
      </c>
      <c r="Q660" s="100" t="s">
        <v>10</v>
      </c>
      <c r="R660" s="7" t="s">
        <v>335</v>
      </c>
      <c r="S660" s="100" t="s">
        <v>11</v>
      </c>
      <c r="T660" s="7" t="s">
        <v>310</v>
      </c>
      <c r="U660" s="7" t="s">
        <v>339</v>
      </c>
      <c r="V660" s="7" t="s">
        <v>340</v>
      </c>
      <c r="W660" s="7" t="s">
        <v>341</v>
      </c>
      <c r="X660" s="7" t="s">
        <v>342</v>
      </c>
      <c r="Y660" s="7" t="s">
        <v>297</v>
      </c>
      <c r="Z660" s="7" t="s">
        <v>298</v>
      </c>
      <c r="AA660" s="7" t="s">
        <v>316</v>
      </c>
      <c r="AB660" s="7" t="s">
        <v>315</v>
      </c>
      <c r="AC660" s="7" t="s">
        <v>318</v>
      </c>
      <c r="AD660" s="7" t="s">
        <v>319</v>
      </c>
      <c r="AE660" s="7" t="s">
        <v>343</v>
      </c>
      <c r="AF660" s="7" t="s">
        <v>314</v>
      </c>
      <c r="AG660" s="7" t="s">
        <v>313</v>
      </c>
      <c r="AH660" s="7" t="s">
        <v>191</v>
      </c>
      <c r="AI660" s="7" t="s">
        <v>347</v>
      </c>
      <c r="AJ660" s="7" t="s">
        <v>351</v>
      </c>
      <c r="AK660" s="7" t="s">
        <v>352</v>
      </c>
      <c r="AL660" s="7" t="s">
        <v>355</v>
      </c>
      <c r="AM660" s="7" t="s">
        <v>1013</v>
      </c>
      <c r="AN660" s="7" t="s">
        <v>226</v>
      </c>
      <c r="AO660" s="123" t="s">
        <v>1090</v>
      </c>
      <c r="AP660" s="123" t="s">
        <v>1091</v>
      </c>
      <c r="AQ660" s="123" t="s">
        <v>1092</v>
      </c>
    </row>
    <row r="661" spans="1:43" x14ac:dyDescent="0.25">
      <c r="B661" s="7" t="s">
        <v>370</v>
      </c>
      <c r="C661" s="7" t="s">
        <v>324</v>
      </c>
      <c r="D661" s="7" t="s">
        <v>308</v>
      </c>
      <c r="E661" s="7" t="s">
        <v>321</v>
      </c>
      <c r="F661" s="7" t="s">
        <v>322</v>
      </c>
      <c r="G661" s="7" t="s">
        <v>323</v>
      </c>
      <c r="H661" s="7" t="s">
        <v>309</v>
      </c>
      <c r="I661" s="29" t="s">
        <v>325</v>
      </c>
      <c r="J661" s="7" t="s">
        <v>326</v>
      </c>
      <c r="K661" s="12" t="s">
        <v>327</v>
      </c>
      <c r="L661" s="7" t="s">
        <v>328</v>
      </c>
      <c r="M661" s="7" t="s">
        <v>329</v>
      </c>
      <c r="N661" s="7" t="s">
        <v>330</v>
      </c>
      <c r="O661" s="12" t="s">
        <v>331</v>
      </c>
      <c r="P661" s="7" t="s">
        <v>332</v>
      </c>
      <c r="Q661" s="100" t="s">
        <v>333</v>
      </c>
      <c r="R661" s="7" t="s">
        <v>335</v>
      </c>
      <c r="S661" s="100" t="s">
        <v>334</v>
      </c>
      <c r="T661" s="7" t="s">
        <v>310</v>
      </c>
      <c r="U661" s="7" t="s">
        <v>339</v>
      </c>
      <c r="V661" s="7" t="s">
        <v>340</v>
      </c>
      <c r="W661" s="7" t="s">
        <v>341</v>
      </c>
      <c r="X661" s="7" t="s">
        <v>342</v>
      </c>
      <c r="Y661" s="7" t="s">
        <v>337</v>
      </c>
      <c r="Z661" s="7" t="s">
        <v>338</v>
      </c>
      <c r="AA661" s="7" t="s">
        <v>316</v>
      </c>
      <c r="AB661" s="7" t="s">
        <v>315</v>
      </c>
      <c r="AC661" s="7" t="s">
        <v>318</v>
      </c>
      <c r="AD661" s="7" t="s">
        <v>319</v>
      </c>
      <c r="AE661" s="7" t="s">
        <v>343</v>
      </c>
      <c r="AF661" s="7" t="s">
        <v>344</v>
      </c>
      <c r="AG661" s="7" t="s">
        <v>313</v>
      </c>
      <c r="AH661" s="7" t="s">
        <v>346</v>
      </c>
      <c r="AI661" s="7" t="s">
        <v>345</v>
      </c>
      <c r="AJ661" s="7" t="s">
        <v>353</v>
      </c>
      <c r="AK661" s="7" t="s">
        <v>354</v>
      </c>
      <c r="AL661" s="7" t="s">
        <v>355</v>
      </c>
      <c r="AM661" s="7" t="s">
        <v>1012</v>
      </c>
      <c r="AN661" s="7" t="s">
        <v>362</v>
      </c>
      <c r="AO661" s="123" t="s">
        <v>1090</v>
      </c>
      <c r="AP661" s="123" t="s">
        <v>1091</v>
      </c>
      <c r="AQ661" s="123" t="s">
        <v>1092</v>
      </c>
    </row>
    <row r="662" spans="1:43" s="6" customFormat="1" x14ac:dyDescent="0.25">
      <c r="A662" s="6" t="str">
        <f>IF(Q662=0,"comment","")</f>
        <v/>
      </c>
      <c r="B662" s="111" t="str">
        <f t="shared" ref="B662:B709" si="73">IF(AND(D662&lt;&gt;"",Q662&lt;&gt;0),CONCATENATE(C662,D662),"")</f>
        <v/>
      </c>
      <c r="C662" s="101" t="str">
        <f t="shared" ref="C662:C697" si="74">CONCATENATE(I662,H662)</f>
        <v>2018032810000010</v>
      </c>
      <c r="D662" s="247"/>
      <c r="E662" s="111" t="str">
        <f t="shared" ref="E662:E697" si="75">$B$5</f>
        <v>6001</v>
      </c>
      <c r="F662" s="111" t="str">
        <f>VLOOKUP(E662,$B$5:$C$5,2)</f>
        <v>B00101</v>
      </c>
      <c r="G662" s="111" t="str">
        <f t="shared" ref="G662:G680" si="76">VLOOKUP(F662,$C$5:$D$6,2)</f>
        <v>6001</v>
      </c>
      <c r="H662" s="111">
        <v>10000010</v>
      </c>
      <c r="I662" s="104">
        <f t="shared" ref="I662:I697" si="77">$B$2</f>
        <v>20180328</v>
      </c>
      <c r="J662" s="113">
        <f>I662</f>
        <v>20180328</v>
      </c>
      <c r="K662" s="111" t="str">
        <f t="shared" ref="K662:K697" si="78">$B$19</f>
        <v>CZCE</v>
      </c>
      <c r="L662" s="111" t="str">
        <f>$C$19</f>
        <v>SR807</v>
      </c>
      <c r="M662" s="111">
        <f t="shared" ref="M662:M697" si="79">VLOOKUP(L662,$C$19:$E$29,3,FALSE)</f>
        <v>10</v>
      </c>
      <c r="N662" s="111">
        <v>0</v>
      </c>
      <c r="O662" s="111">
        <v>0</v>
      </c>
      <c r="P662" s="111">
        <f>'day1'!L709</f>
        <v>1</v>
      </c>
      <c r="Q662" s="111">
        <v>1</v>
      </c>
      <c r="R662" s="111">
        <f>S662</f>
        <v>6110</v>
      </c>
      <c r="S662" s="111">
        <v>6110</v>
      </c>
      <c r="T662" s="111">
        <f t="shared" ref="T662:T697" si="80">VLOOKUP(L662,$C$230:$I$242,2,FALSE)</f>
        <v>6155</v>
      </c>
      <c r="U662" s="12">
        <f t="shared" ref="U662:U679" si="81">VLOOKUP(AF662,$G$75:$K$114,2,FALSE)</f>
        <v>5.0000000000000001E-4</v>
      </c>
      <c r="V662" s="111">
        <f t="shared" ref="V662:V679" si="82">VLOOKUP(AF662,$G$75:$K$114,3,FALSE)</f>
        <v>5</v>
      </c>
      <c r="W662" s="111">
        <f t="shared" ref="W662:W679" si="83">VLOOKUP(AF662,$G$75:$K$114,4,FALSE)</f>
        <v>4.0000000000000002E-4</v>
      </c>
      <c r="X662" s="111">
        <f t="shared" ref="X662:X679" si="84">VLOOKUP(AF662,$G$75:$K$114,5,FALSE)</f>
        <v>4</v>
      </c>
      <c r="Y662" s="12">
        <f>IF(AND(N662=0,P662=3),0,M662*Q662*S662*U662+Q662*V662)</f>
        <v>35.549999999999997</v>
      </c>
      <c r="Z662" s="12">
        <f>IF(AND(N662=0,P662=3),0,M662*Q662*S662*W662+Q662*X662)</f>
        <v>28.44</v>
      </c>
      <c r="AA662" s="248">
        <f>ROUND(Y662,2)</f>
        <v>35.549999999999997</v>
      </c>
      <c r="AB662" s="248">
        <f>ROUND(Z662,3)</f>
        <v>28.44</v>
      </c>
      <c r="AC662" s="12">
        <f>IF(N662=0,0,IF(I662=J662,IF(O662=1,M662*Q662*(S662-R662),-M662*Q662*(S662-R662)),IF(O662=1,M662*Q662*(S662-T662),-M662*Q662*(S662-T662))))</f>
        <v>0</v>
      </c>
      <c r="AD662" s="12">
        <f>IF(N662=0,0,(IF(O662=1,M662*Q662*(S662-R662),-M662*Q662*(S662-R662))))</f>
        <v>0</v>
      </c>
      <c r="AE662" s="111">
        <f>M662*Q662*S662</f>
        <v>61100</v>
      </c>
      <c r="AF662" s="101" t="str">
        <f t="shared" ref="AF662:AF709" si="85">L662&amp;INT(P662)&amp;INT(N662)</f>
        <v>SR80710</v>
      </c>
      <c r="AG662" s="12" t="s">
        <v>311</v>
      </c>
      <c r="AH662" s="111" t="str">
        <f t="shared" ref="AH662:AH679" si="86">$F$5</f>
        <v>9999</v>
      </c>
      <c r="AI662" s="111" t="str">
        <f t="shared" ref="AI662:AI679" si="87">VLOOKUP(F662,$C$5:$G$6,5,FALSE)</f>
        <v>50010001</v>
      </c>
      <c r="AJ662" s="111">
        <f>IF(AM662=0,0,IF(O662=1,M662*Q662*S662,0))</f>
        <v>0</v>
      </c>
      <c r="AK662" s="111">
        <f>IF(AM662=0,0,IF(O662=0,M662*Q662*S662,0))</f>
        <v>0</v>
      </c>
      <c r="AL662" s="111">
        <f t="shared" ref="AL662:AL679" si="88" xml:space="preserve"> VLOOKUP(L662,$C$19:$K$29,9,FALSE)</f>
        <v>0</v>
      </c>
      <c r="AM662" s="111">
        <f t="shared" ref="AM662:AM679" si="89">VLOOKUP(L662,$C$19:$L$29,10,FALSE)</f>
        <v>0</v>
      </c>
      <c r="AN662" s="111" t="str">
        <f t="shared" ref="AN662:AN679" si="90">$D$9</f>
        <v>CNY</v>
      </c>
      <c r="AO662" s="6">
        <f t="shared" ref="AO662:AO679" si="91">VLOOKUP(AF662,$G$75:$M$114,6,FALSE)</f>
        <v>2.0000000000000001E-4</v>
      </c>
      <c r="AP662" s="6">
        <f t="shared" ref="AP662:AP679" si="92">VLOOKUP(AF662,$G$75:$M$114,7,FALSE)</f>
        <v>2</v>
      </c>
      <c r="AQ662" s="6">
        <f>ROUND(M662*Q662*S662*AO662+Q662*AP662,2)</f>
        <v>14.22</v>
      </c>
    </row>
    <row r="663" spans="1:43" s="6" customFormat="1" x14ac:dyDescent="0.25">
      <c r="A663" s="6" t="str">
        <f t="shared" ref="A663:A709" si="93">IF(Q663=0,"comment","")</f>
        <v/>
      </c>
      <c r="B663" s="111" t="str">
        <f t="shared" si="73"/>
        <v/>
      </c>
      <c r="C663" s="101" t="str">
        <f>CONCATENATE(I663,H663)</f>
        <v>2018032810000011</v>
      </c>
      <c r="D663" s="247"/>
      <c r="E663" s="111" t="str">
        <f t="shared" si="75"/>
        <v>6001</v>
      </c>
      <c r="F663" s="111" t="str">
        <f>VLOOKUP(E663,$B$5:$C$5,2)</f>
        <v>B00101</v>
      </c>
      <c r="G663" s="111" t="str">
        <f t="shared" si="76"/>
        <v>6001</v>
      </c>
      <c r="H663" s="111">
        <v>10000011</v>
      </c>
      <c r="I663" s="104">
        <f t="shared" si="77"/>
        <v>20180328</v>
      </c>
      <c r="J663" s="113">
        <f>'day1'!G710</f>
        <v>20180326</v>
      </c>
      <c r="K663" s="111" t="str">
        <f t="shared" si="78"/>
        <v>CZCE</v>
      </c>
      <c r="L663" s="111" t="str">
        <f>$C$19</f>
        <v>SR807</v>
      </c>
      <c r="M663" s="111">
        <f t="shared" si="79"/>
        <v>10</v>
      </c>
      <c r="N663" s="111">
        <v>0</v>
      </c>
      <c r="O663" s="111">
        <v>1</v>
      </c>
      <c r="P663" s="111">
        <f>'day1'!L710</f>
        <v>1</v>
      </c>
      <c r="Q663" s="111">
        <v>1</v>
      </c>
      <c r="R663" s="111">
        <f t="shared" ref="R663:R665" si="94">S663</f>
        <v>6111</v>
      </c>
      <c r="S663" s="111">
        <v>6111</v>
      </c>
      <c r="T663" s="111">
        <f t="shared" si="80"/>
        <v>6155</v>
      </c>
      <c r="U663" s="12">
        <f t="shared" si="81"/>
        <v>5.0000000000000001E-4</v>
      </c>
      <c r="V663" s="111">
        <f t="shared" si="82"/>
        <v>5</v>
      </c>
      <c r="W663" s="111">
        <f t="shared" si="83"/>
        <v>4.0000000000000002E-4</v>
      </c>
      <c r="X663" s="111">
        <f t="shared" si="84"/>
        <v>4</v>
      </c>
      <c r="Y663" s="12">
        <f t="shared" ref="Y663:Y698" si="95">IF(AND(N663=0,P663=3),0,M663*Q663*S663*U663+Q663*V663)</f>
        <v>35.555</v>
      </c>
      <c r="Z663" s="12">
        <f t="shared" ref="Z663:Z698" si="96">IF(AND(N663=0,P663=3),0,M663*Q663*S663*W663+Q663*X663)</f>
        <v>28.444000000000003</v>
      </c>
      <c r="AA663" s="248">
        <f t="shared" ref="AA663:AA709" si="97">ROUND(Y663,2)</f>
        <v>35.56</v>
      </c>
      <c r="AB663" s="248">
        <f t="shared" ref="AB663:AB709" si="98">ROUND(Z663,3)</f>
        <v>28.443999999999999</v>
      </c>
      <c r="AC663" s="12">
        <f t="shared" ref="AC663:AC698" si="99">IF(N663=0,0,IF(I663=J663,IF(O663=1,M663*Q663*(S663-R663),-M663*Q663*(S663-R663)),IF(O663=1,M663*Q663*(S663-T663),-M663*Q663*(S663-T663))))</f>
        <v>0</v>
      </c>
      <c r="AD663" s="12">
        <f t="shared" ref="AD663:AD698" si="100">IF(N663=0,0,(IF(O663=1,M663*Q663*(S663-R663),-M663*Q663*(S663-R663))))</f>
        <v>0</v>
      </c>
      <c r="AE663" s="111">
        <f t="shared" ref="AE663:AE709" si="101">M663*Q663*S663</f>
        <v>61110</v>
      </c>
      <c r="AF663" s="101" t="str">
        <f t="shared" si="85"/>
        <v>SR80710</v>
      </c>
      <c r="AG663" s="12" t="s">
        <v>311</v>
      </c>
      <c r="AH663" s="111" t="str">
        <f t="shared" si="86"/>
        <v>9999</v>
      </c>
      <c r="AI663" s="111" t="str">
        <f t="shared" si="87"/>
        <v>50010001</v>
      </c>
      <c r="AJ663" s="111">
        <f t="shared" ref="AJ663:AJ709" si="102">IF(AM663=0,0,IF(O663=1,M663*Q663*S663,0))</f>
        <v>0</v>
      </c>
      <c r="AK663" s="111">
        <f t="shared" ref="AK663:AK709" si="103">IF(AM663=0,0,IF(O663=0,M663*Q663*S663,0))</f>
        <v>0</v>
      </c>
      <c r="AL663" s="111">
        <f t="shared" si="88"/>
        <v>0</v>
      </c>
      <c r="AM663" s="111">
        <f t="shared" si="89"/>
        <v>0</v>
      </c>
      <c r="AN663" s="111" t="str">
        <f t="shared" si="90"/>
        <v>CNY</v>
      </c>
      <c r="AO663" s="6">
        <f t="shared" si="91"/>
        <v>2.0000000000000001E-4</v>
      </c>
      <c r="AP663" s="6">
        <f t="shared" si="92"/>
        <v>2</v>
      </c>
      <c r="AQ663" s="6">
        <f t="shared" ref="AQ663:AQ709" si="104">ROUND(M663*Q663*S663*AO663+Q663*AP663,2)</f>
        <v>14.22</v>
      </c>
    </row>
    <row r="664" spans="1:43" s="6" customFormat="1" x14ac:dyDescent="0.25">
      <c r="A664" s="6" t="str">
        <f t="shared" si="93"/>
        <v/>
      </c>
      <c r="B664" s="111" t="str">
        <f t="shared" si="73"/>
        <v/>
      </c>
      <c r="C664" s="101" t="str">
        <f t="shared" si="74"/>
        <v>2018032810000012</v>
      </c>
      <c r="D664" s="247"/>
      <c r="E664" s="111" t="str">
        <f t="shared" si="75"/>
        <v>6001</v>
      </c>
      <c r="F664" s="111" t="str">
        <f>VLOOKUP(E664,$B$5:$C$6,2)</f>
        <v>B00102</v>
      </c>
      <c r="G664" s="111" t="str">
        <f t="shared" si="76"/>
        <v>6001</v>
      </c>
      <c r="H664" s="111">
        <v>10000012</v>
      </c>
      <c r="I664" s="104">
        <f t="shared" si="77"/>
        <v>20180328</v>
      </c>
      <c r="J664" s="113">
        <f>'day1'!G721</f>
        <v>20180326</v>
      </c>
      <c r="K664" s="111" t="str">
        <f t="shared" si="78"/>
        <v>CZCE</v>
      </c>
      <c r="L664" s="111" t="str">
        <f>$C$22</f>
        <v>PTA807</v>
      </c>
      <c r="M664" s="111">
        <f t="shared" si="79"/>
        <v>5</v>
      </c>
      <c r="N664" s="111">
        <v>0</v>
      </c>
      <c r="O664" s="111">
        <v>0</v>
      </c>
      <c r="P664" s="111">
        <v>1</v>
      </c>
      <c r="Q664" s="111">
        <v>1</v>
      </c>
      <c r="R664" s="111">
        <f t="shared" si="94"/>
        <v>6112</v>
      </c>
      <c r="S664" s="111">
        <v>6112</v>
      </c>
      <c r="T664" s="111">
        <f t="shared" si="80"/>
        <v>6160</v>
      </c>
      <c r="U664" s="12">
        <f t="shared" si="81"/>
        <v>5.0000000000000001E-4</v>
      </c>
      <c r="V664" s="111">
        <f t="shared" si="82"/>
        <v>5</v>
      </c>
      <c r="W664" s="111">
        <f t="shared" si="83"/>
        <v>4.0000000000000002E-4</v>
      </c>
      <c r="X664" s="111">
        <f t="shared" si="84"/>
        <v>4</v>
      </c>
      <c r="Y664" s="12">
        <f t="shared" si="95"/>
        <v>20.28</v>
      </c>
      <c r="Z664" s="12">
        <f t="shared" si="96"/>
        <v>16.224</v>
      </c>
      <c r="AA664" s="248">
        <f t="shared" si="97"/>
        <v>20.28</v>
      </c>
      <c r="AB664" s="248">
        <f t="shared" si="98"/>
        <v>16.224</v>
      </c>
      <c r="AC664" s="12">
        <f t="shared" si="99"/>
        <v>0</v>
      </c>
      <c r="AD664" s="12">
        <f t="shared" si="100"/>
        <v>0</v>
      </c>
      <c r="AE664" s="111">
        <f t="shared" si="101"/>
        <v>30560</v>
      </c>
      <c r="AF664" s="101" t="str">
        <f t="shared" si="85"/>
        <v>PTA80710</v>
      </c>
      <c r="AG664" s="12" t="s">
        <v>311</v>
      </c>
      <c r="AH664" s="111" t="str">
        <f t="shared" si="86"/>
        <v>9999</v>
      </c>
      <c r="AI664" s="111" t="str">
        <f t="shared" si="87"/>
        <v>50010002</v>
      </c>
      <c r="AJ664" s="111">
        <f t="shared" si="102"/>
        <v>0</v>
      </c>
      <c r="AK664" s="111">
        <f t="shared" si="103"/>
        <v>0</v>
      </c>
      <c r="AL664" s="111">
        <f t="shared" si="88"/>
        <v>1</v>
      </c>
      <c r="AM664" s="111">
        <f t="shared" si="89"/>
        <v>0</v>
      </c>
      <c r="AN664" s="111" t="str">
        <f t="shared" si="90"/>
        <v>CNY</v>
      </c>
      <c r="AO664" s="6">
        <f t="shared" si="91"/>
        <v>2.0000000000000001E-4</v>
      </c>
      <c r="AP664" s="6">
        <f t="shared" si="92"/>
        <v>2</v>
      </c>
      <c r="AQ664" s="6">
        <f t="shared" si="104"/>
        <v>8.11</v>
      </c>
    </row>
    <row r="665" spans="1:43" s="6" customFormat="1" x14ac:dyDescent="0.25">
      <c r="A665" s="6" t="str">
        <f t="shared" si="93"/>
        <v/>
      </c>
      <c r="B665" s="111" t="str">
        <f t="shared" si="73"/>
        <v/>
      </c>
      <c r="C665" s="101" t="str">
        <f t="shared" si="74"/>
        <v>2018032810000013</v>
      </c>
      <c r="D665" s="247"/>
      <c r="E665" s="111" t="str">
        <f t="shared" si="75"/>
        <v>6001</v>
      </c>
      <c r="F665" s="111" t="str">
        <f>VLOOKUP(E665,$B$5:$C$6,2)</f>
        <v>B00102</v>
      </c>
      <c r="G665" s="111" t="str">
        <f t="shared" si="76"/>
        <v>6001</v>
      </c>
      <c r="H665" s="111">
        <v>10000013</v>
      </c>
      <c r="I665" s="104">
        <f t="shared" si="77"/>
        <v>20180328</v>
      </c>
      <c r="J665" s="113">
        <f>'day1'!G725</f>
        <v>20180326</v>
      </c>
      <c r="K665" s="111" t="str">
        <f t="shared" si="78"/>
        <v>CZCE</v>
      </c>
      <c r="L665" s="111" t="str">
        <f>$C$22</f>
        <v>PTA807</v>
      </c>
      <c r="M665" s="111">
        <f t="shared" si="79"/>
        <v>5</v>
      </c>
      <c r="N665" s="111">
        <v>0</v>
      </c>
      <c r="O665" s="111">
        <v>1</v>
      </c>
      <c r="P665" s="111">
        <v>1</v>
      </c>
      <c r="Q665" s="111">
        <v>1</v>
      </c>
      <c r="R665" s="111">
        <f t="shared" si="94"/>
        <v>6113</v>
      </c>
      <c r="S665" s="111">
        <v>6113</v>
      </c>
      <c r="T665" s="111">
        <f t="shared" si="80"/>
        <v>6160</v>
      </c>
      <c r="U665" s="12">
        <f t="shared" si="81"/>
        <v>5.0000000000000001E-4</v>
      </c>
      <c r="V665" s="111">
        <f t="shared" si="82"/>
        <v>5</v>
      </c>
      <c r="W665" s="111">
        <f t="shared" si="83"/>
        <v>4.0000000000000002E-4</v>
      </c>
      <c r="X665" s="111">
        <f t="shared" si="84"/>
        <v>4</v>
      </c>
      <c r="Y665" s="12">
        <f t="shared" si="95"/>
        <v>20.282499999999999</v>
      </c>
      <c r="Z665" s="12">
        <f t="shared" si="96"/>
        <v>16.225999999999999</v>
      </c>
      <c r="AA665" s="248">
        <f t="shared" si="97"/>
        <v>20.28</v>
      </c>
      <c r="AB665" s="248">
        <f t="shared" si="98"/>
        <v>16.225999999999999</v>
      </c>
      <c r="AC665" s="12">
        <f t="shared" si="99"/>
        <v>0</v>
      </c>
      <c r="AD665" s="12">
        <f t="shared" si="100"/>
        <v>0</v>
      </c>
      <c r="AE665" s="111">
        <f t="shared" si="101"/>
        <v>30565</v>
      </c>
      <c r="AF665" s="101" t="str">
        <f t="shared" si="85"/>
        <v>PTA80710</v>
      </c>
      <c r="AG665" s="12" t="s">
        <v>311</v>
      </c>
      <c r="AH665" s="111" t="str">
        <f t="shared" si="86"/>
        <v>9999</v>
      </c>
      <c r="AI665" s="111" t="str">
        <f t="shared" si="87"/>
        <v>50010002</v>
      </c>
      <c r="AJ665" s="111">
        <f t="shared" si="102"/>
        <v>0</v>
      </c>
      <c r="AK665" s="111">
        <f t="shared" si="103"/>
        <v>0</v>
      </c>
      <c r="AL665" s="111">
        <f t="shared" si="88"/>
        <v>1</v>
      </c>
      <c r="AM665" s="111">
        <f t="shared" si="89"/>
        <v>0</v>
      </c>
      <c r="AN665" s="111" t="str">
        <f t="shared" si="90"/>
        <v>CNY</v>
      </c>
      <c r="AO665" s="6">
        <f t="shared" si="91"/>
        <v>2.0000000000000001E-4</v>
      </c>
      <c r="AP665" s="6">
        <f t="shared" si="92"/>
        <v>2</v>
      </c>
      <c r="AQ665" s="6">
        <f t="shared" si="104"/>
        <v>8.11</v>
      </c>
    </row>
    <row r="666" spans="1:43" s="6" customFormat="1" x14ac:dyDescent="0.25">
      <c r="A666" s="6" t="str">
        <f t="shared" si="93"/>
        <v>comment</v>
      </c>
      <c r="B666" s="111" t="str">
        <f t="shared" si="73"/>
        <v/>
      </c>
      <c r="C666" s="101" t="str">
        <f t="shared" si="74"/>
        <v>2018032810000014</v>
      </c>
      <c r="D666" s="247"/>
      <c r="E666" s="111" t="str">
        <f t="shared" si="75"/>
        <v>6001</v>
      </c>
      <c r="F666" s="111" t="str">
        <f t="shared" ref="F666:F680" si="105">VLOOKUP(E666,$B$5:$C$5,2)</f>
        <v>B00101</v>
      </c>
      <c r="G666" s="111" t="str">
        <f t="shared" si="76"/>
        <v>6001</v>
      </c>
      <c r="H666" s="111">
        <v>10000014</v>
      </c>
      <c r="I666" s="104">
        <f t="shared" si="77"/>
        <v>20180328</v>
      </c>
      <c r="J666" s="113">
        <f>'day1'!G708</f>
        <v>20180326</v>
      </c>
      <c r="K666" s="111" t="str">
        <f t="shared" si="78"/>
        <v>CZCE</v>
      </c>
      <c r="L666" s="111" t="str">
        <f t="shared" ref="L666:L680" si="106">$C$19</f>
        <v>SR807</v>
      </c>
      <c r="M666" s="111">
        <f t="shared" si="79"/>
        <v>10</v>
      </c>
      <c r="N666" s="111">
        <v>1</v>
      </c>
      <c r="O666" s="111">
        <v>1</v>
      </c>
      <c r="P666" s="111">
        <v>3</v>
      </c>
      <c r="Q666" s="111">
        <v>0</v>
      </c>
      <c r="R666" s="111">
        <f>'day1'!Y708</f>
        <v>6108</v>
      </c>
      <c r="S666" s="111">
        <v>6110</v>
      </c>
      <c r="T666" s="111">
        <f t="shared" si="80"/>
        <v>6155</v>
      </c>
      <c r="U666" s="12">
        <f t="shared" si="81"/>
        <v>4.0000000000000002E-4</v>
      </c>
      <c r="V666" s="111">
        <f t="shared" si="82"/>
        <v>4</v>
      </c>
      <c r="W666" s="111">
        <f t="shared" si="83"/>
        <v>3.9999999999999996E-4</v>
      </c>
      <c r="X666" s="111">
        <f t="shared" si="84"/>
        <v>4</v>
      </c>
      <c r="Y666" s="12">
        <f t="shared" si="95"/>
        <v>0</v>
      </c>
      <c r="Z666" s="12">
        <f t="shared" si="96"/>
        <v>0</v>
      </c>
      <c r="AA666" s="248">
        <f t="shared" si="97"/>
        <v>0</v>
      </c>
      <c r="AB666" s="248">
        <f t="shared" si="98"/>
        <v>0</v>
      </c>
      <c r="AC666" s="12">
        <f t="shared" si="99"/>
        <v>0</v>
      </c>
      <c r="AD666" s="12">
        <f t="shared" si="100"/>
        <v>0</v>
      </c>
      <c r="AE666" s="111">
        <f t="shared" si="101"/>
        <v>0</v>
      </c>
      <c r="AF666" s="101" t="str">
        <f t="shared" si="85"/>
        <v>SR80731</v>
      </c>
      <c r="AG666" s="12" t="s">
        <v>311</v>
      </c>
      <c r="AH666" s="111" t="str">
        <f t="shared" si="86"/>
        <v>9999</v>
      </c>
      <c r="AI666" s="111" t="str">
        <f t="shared" si="87"/>
        <v>50010001</v>
      </c>
      <c r="AJ666" s="111">
        <f t="shared" si="102"/>
        <v>0</v>
      </c>
      <c r="AK666" s="111">
        <f t="shared" si="103"/>
        <v>0</v>
      </c>
      <c r="AL666" s="111">
        <f t="shared" si="88"/>
        <v>0</v>
      </c>
      <c r="AM666" s="111">
        <f t="shared" si="89"/>
        <v>0</v>
      </c>
      <c r="AN666" s="111" t="str">
        <f t="shared" si="90"/>
        <v>CNY</v>
      </c>
      <c r="AO666" s="6">
        <f t="shared" si="91"/>
        <v>2.0000000000000001E-4</v>
      </c>
      <c r="AP666" s="6">
        <f t="shared" si="92"/>
        <v>2</v>
      </c>
      <c r="AQ666" s="6">
        <f t="shared" si="104"/>
        <v>0</v>
      </c>
    </row>
    <row r="667" spans="1:43" s="6" customFormat="1" x14ac:dyDescent="0.25">
      <c r="A667" s="6" t="str">
        <f t="shared" si="93"/>
        <v>comment</v>
      </c>
      <c r="B667" s="111" t="str">
        <f t="shared" si="73"/>
        <v/>
      </c>
      <c r="C667" s="101" t="str">
        <f t="shared" si="74"/>
        <v>2018032810000015</v>
      </c>
      <c r="D667" s="247"/>
      <c r="E667" s="111" t="str">
        <f t="shared" si="75"/>
        <v>6001</v>
      </c>
      <c r="F667" s="111" t="str">
        <f t="shared" si="105"/>
        <v>B00101</v>
      </c>
      <c r="G667" s="111" t="str">
        <f t="shared" si="76"/>
        <v>6001</v>
      </c>
      <c r="H667" s="111">
        <v>10000015</v>
      </c>
      <c r="I667" s="104">
        <f t="shared" si="77"/>
        <v>20180328</v>
      </c>
      <c r="J667" s="113">
        <f>'day1'!G722</f>
        <v>20180326</v>
      </c>
      <c r="K667" s="111" t="str">
        <f t="shared" si="78"/>
        <v>CZCE</v>
      </c>
      <c r="L667" s="111" t="str">
        <f t="shared" si="106"/>
        <v>SR807</v>
      </c>
      <c r="M667" s="111">
        <f t="shared" si="79"/>
        <v>10</v>
      </c>
      <c r="N667" s="111">
        <v>1</v>
      </c>
      <c r="O667" s="111">
        <v>1</v>
      </c>
      <c r="P667" s="111">
        <v>3</v>
      </c>
      <c r="Q667" s="111">
        <v>0</v>
      </c>
      <c r="R667" s="111">
        <f>'day1'!Y722</f>
        <v>6400</v>
      </c>
      <c r="S667" s="111">
        <v>6110</v>
      </c>
      <c r="T667" s="111">
        <f t="shared" si="80"/>
        <v>6155</v>
      </c>
      <c r="U667" s="12">
        <f t="shared" si="81"/>
        <v>4.0000000000000002E-4</v>
      </c>
      <c r="V667" s="111">
        <f t="shared" si="82"/>
        <v>4</v>
      </c>
      <c r="W667" s="111">
        <f t="shared" si="83"/>
        <v>3.9999999999999996E-4</v>
      </c>
      <c r="X667" s="111">
        <f t="shared" si="84"/>
        <v>4</v>
      </c>
      <c r="Y667" s="12">
        <f t="shared" si="95"/>
        <v>0</v>
      </c>
      <c r="Z667" s="12">
        <f t="shared" si="96"/>
        <v>0</v>
      </c>
      <c r="AA667" s="248">
        <f t="shared" si="97"/>
        <v>0</v>
      </c>
      <c r="AB667" s="248">
        <f t="shared" si="98"/>
        <v>0</v>
      </c>
      <c r="AC667" s="12">
        <f t="shared" si="99"/>
        <v>0</v>
      </c>
      <c r="AD667" s="12">
        <f t="shared" si="100"/>
        <v>0</v>
      </c>
      <c r="AE667" s="111">
        <f t="shared" si="101"/>
        <v>0</v>
      </c>
      <c r="AF667" s="101" t="str">
        <f t="shared" si="85"/>
        <v>SR80731</v>
      </c>
      <c r="AG667" s="12" t="s">
        <v>311</v>
      </c>
      <c r="AH667" s="111" t="str">
        <f t="shared" si="86"/>
        <v>9999</v>
      </c>
      <c r="AI667" s="111" t="str">
        <f t="shared" si="87"/>
        <v>50010001</v>
      </c>
      <c r="AJ667" s="111">
        <f t="shared" si="102"/>
        <v>0</v>
      </c>
      <c r="AK667" s="111">
        <f t="shared" si="103"/>
        <v>0</v>
      </c>
      <c r="AL667" s="111">
        <f t="shared" si="88"/>
        <v>0</v>
      </c>
      <c r="AM667" s="111">
        <f t="shared" si="89"/>
        <v>0</v>
      </c>
      <c r="AN667" s="111" t="str">
        <f t="shared" si="90"/>
        <v>CNY</v>
      </c>
      <c r="AO667" s="6">
        <f t="shared" si="91"/>
        <v>2.0000000000000001E-4</v>
      </c>
      <c r="AP667" s="6">
        <f t="shared" si="92"/>
        <v>2</v>
      </c>
      <c r="AQ667" s="6">
        <f t="shared" si="104"/>
        <v>0</v>
      </c>
    </row>
    <row r="668" spans="1:43" s="6" customFormat="1" x14ac:dyDescent="0.25">
      <c r="A668" s="6" t="str">
        <f t="shared" si="93"/>
        <v>comment</v>
      </c>
      <c r="B668" s="111" t="str">
        <f t="shared" si="73"/>
        <v/>
      </c>
      <c r="C668" s="101" t="str">
        <f t="shared" si="74"/>
        <v>2018032810000016</v>
      </c>
      <c r="D668" s="247"/>
      <c r="E668" s="111" t="str">
        <f t="shared" si="75"/>
        <v>6001</v>
      </c>
      <c r="F668" s="111" t="str">
        <f t="shared" si="105"/>
        <v>B00101</v>
      </c>
      <c r="G668" s="111" t="str">
        <f t="shared" si="76"/>
        <v>6001</v>
      </c>
      <c r="H668" s="111">
        <v>10000016</v>
      </c>
      <c r="I668" s="104">
        <f t="shared" si="77"/>
        <v>20180328</v>
      </c>
      <c r="J668" s="113">
        <f>'day1'!G726</f>
        <v>20180326</v>
      </c>
      <c r="K668" s="111" t="str">
        <f t="shared" si="78"/>
        <v>CZCE</v>
      </c>
      <c r="L668" s="111" t="str">
        <f t="shared" si="106"/>
        <v>SR807</v>
      </c>
      <c r="M668" s="111">
        <f t="shared" si="79"/>
        <v>10</v>
      </c>
      <c r="N668" s="111">
        <v>1</v>
      </c>
      <c r="O668" s="111">
        <v>1</v>
      </c>
      <c r="P668" s="111">
        <v>3</v>
      </c>
      <c r="Q668" s="111">
        <v>0</v>
      </c>
      <c r="R668" s="111">
        <f>'day1'!Y726</f>
        <v>6500</v>
      </c>
      <c r="S668" s="111">
        <v>6110</v>
      </c>
      <c r="T668" s="111">
        <f t="shared" si="80"/>
        <v>6155</v>
      </c>
      <c r="U668" s="12">
        <f t="shared" si="81"/>
        <v>4.0000000000000002E-4</v>
      </c>
      <c r="V668" s="111">
        <f t="shared" si="82"/>
        <v>4</v>
      </c>
      <c r="W668" s="111">
        <f t="shared" si="83"/>
        <v>3.9999999999999996E-4</v>
      </c>
      <c r="X668" s="111">
        <f t="shared" si="84"/>
        <v>4</v>
      </c>
      <c r="Y668" s="12">
        <f t="shared" si="95"/>
        <v>0</v>
      </c>
      <c r="Z668" s="12">
        <f t="shared" si="96"/>
        <v>0</v>
      </c>
      <c r="AA668" s="248">
        <f t="shared" si="97"/>
        <v>0</v>
      </c>
      <c r="AB668" s="248">
        <f t="shared" si="98"/>
        <v>0</v>
      </c>
      <c r="AC668" s="12">
        <f t="shared" si="99"/>
        <v>0</v>
      </c>
      <c r="AD668" s="12">
        <f t="shared" si="100"/>
        <v>0</v>
      </c>
      <c r="AE668" s="111">
        <f t="shared" si="101"/>
        <v>0</v>
      </c>
      <c r="AF668" s="101" t="str">
        <f t="shared" si="85"/>
        <v>SR80731</v>
      </c>
      <c r="AG668" s="12" t="s">
        <v>311</v>
      </c>
      <c r="AH668" s="111" t="str">
        <f t="shared" si="86"/>
        <v>9999</v>
      </c>
      <c r="AI668" s="111" t="str">
        <f t="shared" si="87"/>
        <v>50010001</v>
      </c>
      <c r="AJ668" s="111">
        <f t="shared" si="102"/>
        <v>0</v>
      </c>
      <c r="AK668" s="111">
        <f t="shared" si="103"/>
        <v>0</v>
      </c>
      <c r="AL668" s="111">
        <f t="shared" si="88"/>
        <v>0</v>
      </c>
      <c r="AM668" s="111">
        <f t="shared" si="89"/>
        <v>0</v>
      </c>
      <c r="AN668" s="111" t="str">
        <f t="shared" si="90"/>
        <v>CNY</v>
      </c>
      <c r="AO668" s="6">
        <f t="shared" si="91"/>
        <v>2.0000000000000001E-4</v>
      </c>
      <c r="AP668" s="6">
        <f t="shared" si="92"/>
        <v>2</v>
      </c>
      <c r="AQ668" s="6">
        <f t="shared" si="104"/>
        <v>0</v>
      </c>
    </row>
    <row r="669" spans="1:43" s="6" customFormat="1" x14ac:dyDescent="0.25">
      <c r="A669" s="6" t="str">
        <f t="shared" si="93"/>
        <v>comment</v>
      </c>
      <c r="B669" s="111" t="str">
        <f t="shared" si="73"/>
        <v/>
      </c>
      <c r="C669" s="101" t="str">
        <f t="shared" si="74"/>
        <v>2018032810000017</v>
      </c>
      <c r="D669" s="247"/>
      <c r="E669" s="111" t="str">
        <f t="shared" si="75"/>
        <v>6001</v>
      </c>
      <c r="F669" s="111" t="str">
        <f t="shared" si="105"/>
        <v>B00101</v>
      </c>
      <c r="G669" s="111" t="str">
        <f t="shared" si="76"/>
        <v>6001</v>
      </c>
      <c r="H669" s="111">
        <v>10000017</v>
      </c>
      <c r="I669" s="104">
        <f t="shared" si="77"/>
        <v>20180328</v>
      </c>
      <c r="J669" s="113">
        <f t="shared" ref="J669:J709" si="107">I669</f>
        <v>20180328</v>
      </c>
      <c r="K669" s="111" t="str">
        <f t="shared" si="78"/>
        <v>CZCE</v>
      </c>
      <c r="L669" s="111" t="str">
        <f t="shared" si="106"/>
        <v>SR807</v>
      </c>
      <c r="M669" s="111">
        <f t="shared" si="79"/>
        <v>10</v>
      </c>
      <c r="N669" s="111">
        <v>0</v>
      </c>
      <c r="O669" s="111">
        <v>0</v>
      </c>
      <c r="P669" s="111">
        <v>1</v>
      </c>
      <c r="Q669" s="111">
        <v>0</v>
      </c>
      <c r="R669" s="111">
        <f>S669</f>
        <v>6111</v>
      </c>
      <c r="S669" s="111">
        <v>6111</v>
      </c>
      <c r="T669" s="111">
        <f t="shared" si="80"/>
        <v>6155</v>
      </c>
      <c r="U669" s="12">
        <f t="shared" si="81"/>
        <v>5.0000000000000001E-4</v>
      </c>
      <c r="V669" s="111">
        <f t="shared" si="82"/>
        <v>5</v>
      </c>
      <c r="W669" s="111">
        <f t="shared" si="83"/>
        <v>4.0000000000000002E-4</v>
      </c>
      <c r="X669" s="111">
        <f t="shared" si="84"/>
        <v>4</v>
      </c>
      <c r="Y669" s="12">
        <f t="shared" si="95"/>
        <v>0</v>
      </c>
      <c r="Z669" s="12">
        <f t="shared" si="96"/>
        <v>0</v>
      </c>
      <c r="AA669" s="248">
        <f t="shared" si="97"/>
        <v>0</v>
      </c>
      <c r="AB669" s="248">
        <f t="shared" si="98"/>
        <v>0</v>
      </c>
      <c r="AC669" s="12">
        <f t="shared" si="99"/>
        <v>0</v>
      </c>
      <c r="AD669" s="12">
        <f t="shared" si="100"/>
        <v>0</v>
      </c>
      <c r="AE669" s="111">
        <f t="shared" si="101"/>
        <v>0</v>
      </c>
      <c r="AF669" s="101" t="str">
        <f t="shared" si="85"/>
        <v>SR80710</v>
      </c>
      <c r="AG669" s="12" t="s">
        <v>311</v>
      </c>
      <c r="AH669" s="111" t="str">
        <f t="shared" si="86"/>
        <v>9999</v>
      </c>
      <c r="AI669" s="111" t="str">
        <f t="shared" si="87"/>
        <v>50010001</v>
      </c>
      <c r="AJ669" s="111">
        <f t="shared" si="102"/>
        <v>0</v>
      </c>
      <c r="AK669" s="111">
        <f t="shared" si="103"/>
        <v>0</v>
      </c>
      <c r="AL669" s="111">
        <f t="shared" si="88"/>
        <v>0</v>
      </c>
      <c r="AM669" s="111">
        <f t="shared" si="89"/>
        <v>0</v>
      </c>
      <c r="AN669" s="111" t="str">
        <f t="shared" si="90"/>
        <v>CNY</v>
      </c>
      <c r="AO669" s="6">
        <f t="shared" si="91"/>
        <v>2.0000000000000001E-4</v>
      </c>
      <c r="AP669" s="6">
        <f t="shared" si="92"/>
        <v>2</v>
      </c>
      <c r="AQ669" s="6">
        <f t="shared" si="104"/>
        <v>0</v>
      </c>
    </row>
    <row r="670" spans="1:43" s="6" customFormat="1" x14ac:dyDescent="0.25">
      <c r="A670" s="6" t="str">
        <f t="shared" si="93"/>
        <v>comment</v>
      </c>
      <c r="B670" s="111" t="str">
        <f t="shared" si="73"/>
        <v/>
      </c>
      <c r="C670" s="101" t="str">
        <f t="shared" si="74"/>
        <v>2018032810000018</v>
      </c>
      <c r="D670" s="247"/>
      <c r="E670" s="111" t="str">
        <f t="shared" si="75"/>
        <v>6001</v>
      </c>
      <c r="F670" s="111" t="str">
        <f t="shared" si="105"/>
        <v>B00101</v>
      </c>
      <c r="G670" s="111" t="str">
        <f t="shared" si="76"/>
        <v>6001</v>
      </c>
      <c r="H670" s="111">
        <v>10000018</v>
      </c>
      <c r="I670" s="104">
        <f t="shared" si="77"/>
        <v>20180328</v>
      </c>
      <c r="J670" s="113">
        <f t="shared" si="107"/>
        <v>20180328</v>
      </c>
      <c r="K670" s="111" t="str">
        <f t="shared" si="78"/>
        <v>CZCE</v>
      </c>
      <c r="L670" s="111" t="str">
        <f t="shared" si="106"/>
        <v>SR807</v>
      </c>
      <c r="M670" s="111">
        <f t="shared" si="79"/>
        <v>10</v>
      </c>
      <c r="N670" s="111">
        <v>0</v>
      </c>
      <c r="O670" s="111">
        <v>0</v>
      </c>
      <c r="P670" s="111">
        <v>3</v>
      </c>
      <c r="Q670" s="111">
        <v>0</v>
      </c>
      <c r="R670" s="111">
        <f>IF(N670=0,S670,VLOOKUP(D670,$C$662:$S$709,16,FALSE))</f>
        <v>6112</v>
      </c>
      <c r="S670" s="111">
        <v>6112</v>
      </c>
      <c r="T670" s="111">
        <f t="shared" si="80"/>
        <v>6155</v>
      </c>
      <c r="U670" s="12">
        <f t="shared" si="81"/>
        <v>5.0000000000000001E-4</v>
      </c>
      <c r="V670" s="111">
        <f t="shared" si="82"/>
        <v>5</v>
      </c>
      <c r="W670" s="111">
        <f t="shared" si="83"/>
        <v>5.0000000000000001E-4</v>
      </c>
      <c r="X670" s="111">
        <f t="shared" si="84"/>
        <v>5</v>
      </c>
      <c r="Y670" s="12">
        <f t="shared" si="95"/>
        <v>0</v>
      </c>
      <c r="Z670" s="12">
        <f t="shared" si="96"/>
        <v>0</v>
      </c>
      <c r="AA670" s="248">
        <f t="shared" si="97"/>
        <v>0</v>
      </c>
      <c r="AB670" s="248">
        <f t="shared" si="98"/>
        <v>0</v>
      </c>
      <c r="AC670" s="12">
        <f t="shared" si="99"/>
        <v>0</v>
      </c>
      <c r="AD670" s="12">
        <f t="shared" si="100"/>
        <v>0</v>
      </c>
      <c r="AE670" s="111">
        <f t="shared" si="101"/>
        <v>0</v>
      </c>
      <c r="AF670" s="101" t="str">
        <f t="shared" si="85"/>
        <v>SR80730</v>
      </c>
      <c r="AG670" s="12" t="s">
        <v>311</v>
      </c>
      <c r="AH670" s="111" t="str">
        <f t="shared" si="86"/>
        <v>9999</v>
      </c>
      <c r="AI670" s="111" t="str">
        <f t="shared" si="87"/>
        <v>50010001</v>
      </c>
      <c r="AJ670" s="111">
        <f t="shared" si="102"/>
        <v>0</v>
      </c>
      <c r="AK670" s="111">
        <f t="shared" si="103"/>
        <v>0</v>
      </c>
      <c r="AL670" s="111">
        <f t="shared" si="88"/>
        <v>0</v>
      </c>
      <c r="AM670" s="111">
        <f t="shared" si="89"/>
        <v>0</v>
      </c>
      <c r="AN670" s="111" t="str">
        <f t="shared" si="90"/>
        <v>CNY</v>
      </c>
      <c r="AO670" s="6">
        <f t="shared" si="91"/>
        <v>2.0000000000000001E-4</v>
      </c>
      <c r="AP670" s="6">
        <f t="shared" si="92"/>
        <v>2</v>
      </c>
      <c r="AQ670" s="6">
        <f t="shared" si="104"/>
        <v>0</v>
      </c>
    </row>
    <row r="671" spans="1:43" s="6" customFormat="1" x14ac:dyDescent="0.25">
      <c r="A671" s="6" t="str">
        <f t="shared" si="93"/>
        <v>comment</v>
      </c>
      <c r="B671" s="111" t="str">
        <f t="shared" si="73"/>
        <v/>
      </c>
      <c r="C671" s="101" t="str">
        <f t="shared" si="74"/>
        <v>2018032810000030</v>
      </c>
      <c r="D671" s="111"/>
      <c r="E671" s="111" t="str">
        <f t="shared" si="75"/>
        <v>6001</v>
      </c>
      <c r="F671" s="111" t="str">
        <f t="shared" si="105"/>
        <v>B00101</v>
      </c>
      <c r="G671" s="111" t="str">
        <f t="shared" si="76"/>
        <v>6001</v>
      </c>
      <c r="H671" s="111">
        <v>10000030</v>
      </c>
      <c r="I671" s="104">
        <f t="shared" si="77"/>
        <v>20180328</v>
      </c>
      <c r="J671" s="113">
        <f>J662</f>
        <v>20180328</v>
      </c>
      <c r="K671" s="111" t="str">
        <f t="shared" si="78"/>
        <v>CZCE</v>
      </c>
      <c r="L671" s="111" t="str">
        <f t="shared" si="106"/>
        <v>SR807</v>
      </c>
      <c r="M671" s="111">
        <f t="shared" si="79"/>
        <v>10</v>
      </c>
      <c r="N671" s="111">
        <v>1</v>
      </c>
      <c r="O671" s="111">
        <v>1</v>
      </c>
      <c r="P671" s="111">
        <f>P662</f>
        <v>1</v>
      </c>
      <c r="Q671" s="111">
        <v>0</v>
      </c>
      <c r="R671" s="111">
        <f>R662</f>
        <v>6110</v>
      </c>
      <c r="S671" s="111">
        <v>6113</v>
      </c>
      <c r="T671" s="111">
        <f t="shared" si="80"/>
        <v>6155</v>
      </c>
      <c r="U671" s="12">
        <f t="shared" si="81"/>
        <v>4.0000000000000002E-4</v>
      </c>
      <c r="V671" s="111">
        <f t="shared" si="82"/>
        <v>4</v>
      </c>
      <c r="W671" s="111">
        <f t="shared" si="83"/>
        <v>2.9999999999999997E-4</v>
      </c>
      <c r="X671" s="111">
        <f t="shared" si="84"/>
        <v>3</v>
      </c>
      <c r="Y671" s="12">
        <f t="shared" si="95"/>
        <v>0</v>
      </c>
      <c r="Z671" s="12">
        <f t="shared" si="96"/>
        <v>0</v>
      </c>
      <c r="AA671" s="248">
        <f t="shared" si="97"/>
        <v>0</v>
      </c>
      <c r="AB671" s="248">
        <f t="shared" si="98"/>
        <v>0</v>
      </c>
      <c r="AC671" s="12">
        <f t="shared" si="99"/>
        <v>0</v>
      </c>
      <c r="AD671" s="12">
        <f t="shared" si="100"/>
        <v>0</v>
      </c>
      <c r="AE671" s="111">
        <f t="shared" si="101"/>
        <v>0</v>
      </c>
      <c r="AF671" s="101" t="str">
        <f t="shared" si="85"/>
        <v>SR80711</v>
      </c>
      <c r="AG671" s="12" t="s">
        <v>311</v>
      </c>
      <c r="AH671" s="111" t="str">
        <f t="shared" si="86"/>
        <v>9999</v>
      </c>
      <c r="AI671" s="111" t="str">
        <f t="shared" si="87"/>
        <v>50010001</v>
      </c>
      <c r="AJ671" s="111">
        <f t="shared" si="102"/>
        <v>0</v>
      </c>
      <c r="AK671" s="111">
        <f t="shared" si="103"/>
        <v>0</v>
      </c>
      <c r="AL671" s="111">
        <f t="shared" si="88"/>
        <v>0</v>
      </c>
      <c r="AM671" s="111">
        <f t="shared" si="89"/>
        <v>0</v>
      </c>
      <c r="AN671" s="111" t="str">
        <f t="shared" si="90"/>
        <v>CNY</v>
      </c>
      <c r="AO671" s="6">
        <f t="shared" si="91"/>
        <v>2.0000000000000001E-4</v>
      </c>
      <c r="AP671" s="6">
        <f t="shared" si="92"/>
        <v>2</v>
      </c>
      <c r="AQ671" s="6">
        <f t="shared" si="104"/>
        <v>0</v>
      </c>
    </row>
    <row r="672" spans="1:43" s="6" customFormat="1" x14ac:dyDescent="0.25">
      <c r="A672" s="6" t="str">
        <f t="shared" si="93"/>
        <v>comment</v>
      </c>
      <c r="B672" s="111" t="str">
        <f t="shared" si="73"/>
        <v/>
      </c>
      <c r="C672" s="101" t="str">
        <f t="shared" si="74"/>
        <v>2018032810000031</v>
      </c>
      <c r="D672" s="111"/>
      <c r="E672" s="111" t="str">
        <f t="shared" si="75"/>
        <v>6001</v>
      </c>
      <c r="F672" s="111" t="str">
        <f t="shared" si="105"/>
        <v>B00101</v>
      </c>
      <c r="G672" s="111" t="str">
        <f t="shared" si="76"/>
        <v>6001</v>
      </c>
      <c r="H672" s="111">
        <v>10000031</v>
      </c>
      <c r="I672" s="104">
        <f t="shared" si="77"/>
        <v>20180328</v>
      </c>
      <c r="J672" s="113">
        <f t="shared" ref="J672:J674" si="108">J663</f>
        <v>20180326</v>
      </c>
      <c r="K672" s="111" t="str">
        <f t="shared" si="78"/>
        <v>CZCE</v>
      </c>
      <c r="L672" s="111" t="str">
        <f t="shared" si="106"/>
        <v>SR807</v>
      </c>
      <c r="M672" s="111">
        <f t="shared" si="79"/>
        <v>10</v>
      </c>
      <c r="N672" s="111">
        <v>1</v>
      </c>
      <c r="O672" s="111">
        <v>1</v>
      </c>
      <c r="P672" s="111">
        <f t="shared" ref="P672:P674" si="109">P663</f>
        <v>1</v>
      </c>
      <c r="Q672" s="111">
        <v>0</v>
      </c>
      <c r="R672" s="111">
        <f t="shared" ref="R672:R674" si="110">R663</f>
        <v>6111</v>
      </c>
      <c r="S672" s="111">
        <v>6113</v>
      </c>
      <c r="T672" s="111">
        <f t="shared" si="80"/>
        <v>6155</v>
      </c>
      <c r="U672" s="12">
        <f t="shared" si="81"/>
        <v>4.0000000000000002E-4</v>
      </c>
      <c r="V672" s="111">
        <f t="shared" si="82"/>
        <v>4</v>
      </c>
      <c r="W672" s="111">
        <f t="shared" si="83"/>
        <v>2.9999999999999997E-4</v>
      </c>
      <c r="X672" s="111">
        <f t="shared" si="84"/>
        <v>3</v>
      </c>
      <c r="Y672" s="12">
        <f t="shared" si="95"/>
        <v>0</v>
      </c>
      <c r="Z672" s="12">
        <f t="shared" si="96"/>
        <v>0</v>
      </c>
      <c r="AA672" s="248">
        <f t="shared" si="97"/>
        <v>0</v>
      </c>
      <c r="AB672" s="248">
        <f t="shared" si="98"/>
        <v>0</v>
      </c>
      <c r="AC672" s="12">
        <f t="shared" si="99"/>
        <v>0</v>
      </c>
      <c r="AD672" s="12">
        <f t="shared" si="100"/>
        <v>0</v>
      </c>
      <c r="AE672" s="111">
        <f t="shared" si="101"/>
        <v>0</v>
      </c>
      <c r="AF672" s="101" t="str">
        <f t="shared" si="85"/>
        <v>SR80711</v>
      </c>
      <c r="AG672" s="12" t="s">
        <v>311</v>
      </c>
      <c r="AH672" s="111" t="str">
        <f t="shared" si="86"/>
        <v>9999</v>
      </c>
      <c r="AI672" s="111" t="str">
        <f t="shared" si="87"/>
        <v>50010001</v>
      </c>
      <c r="AJ672" s="111">
        <f t="shared" si="102"/>
        <v>0</v>
      </c>
      <c r="AK672" s="111">
        <f t="shared" si="103"/>
        <v>0</v>
      </c>
      <c r="AL672" s="111">
        <f t="shared" si="88"/>
        <v>0</v>
      </c>
      <c r="AM672" s="111">
        <f t="shared" si="89"/>
        <v>0</v>
      </c>
      <c r="AN672" s="111" t="str">
        <f t="shared" si="90"/>
        <v>CNY</v>
      </c>
      <c r="AO672" s="6">
        <f t="shared" si="91"/>
        <v>2.0000000000000001E-4</v>
      </c>
      <c r="AP672" s="6">
        <f t="shared" si="92"/>
        <v>2</v>
      </c>
      <c r="AQ672" s="6">
        <f t="shared" si="104"/>
        <v>0</v>
      </c>
    </row>
    <row r="673" spans="1:43" s="6" customFormat="1" x14ac:dyDescent="0.25">
      <c r="A673" s="6" t="str">
        <f t="shared" si="93"/>
        <v>comment</v>
      </c>
      <c r="B673" s="111" t="str">
        <f t="shared" si="73"/>
        <v/>
      </c>
      <c r="C673" s="101" t="str">
        <f t="shared" si="74"/>
        <v>2018032810000032</v>
      </c>
      <c r="D673" s="111"/>
      <c r="E673" s="111" t="str">
        <f t="shared" si="75"/>
        <v>6001</v>
      </c>
      <c r="F673" s="111" t="str">
        <f t="shared" si="105"/>
        <v>B00101</v>
      </c>
      <c r="G673" s="111" t="str">
        <f t="shared" si="76"/>
        <v>6001</v>
      </c>
      <c r="H673" s="111">
        <v>10000032</v>
      </c>
      <c r="I673" s="104">
        <f t="shared" si="77"/>
        <v>20180328</v>
      </c>
      <c r="J673" s="113">
        <f t="shared" si="108"/>
        <v>20180326</v>
      </c>
      <c r="K673" s="111" t="str">
        <f t="shared" si="78"/>
        <v>CZCE</v>
      </c>
      <c r="L673" s="111" t="str">
        <f t="shared" si="106"/>
        <v>SR807</v>
      </c>
      <c r="M673" s="111">
        <f t="shared" si="79"/>
        <v>10</v>
      </c>
      <c r="N673" s="111">
        <v>1</v>
      </c>
      <c r="O673" s="111">
        <v>1</v>
      </c>
      <c r="P673" s="111">
        <f t="shared" si="109"/>
        <v>1</v>
      </c>
      <c r="Q673" s="111">
        <v>0</v>
      </c>
      <c r="R673" s="111">
        <f t="shared" si="110"/>
        <v>6112</v>
      </c>
      <c r="S673" s="111">
        <v>6113</v>
      </c>
      <c r="T673" s="111">
        <f t="shared" si="80"/>
        <v>6155</v>
      </c>
      <c r="U673" s="12">
        <f t="shared" si="81"/>
        <v>4.0000000000000002E-4</v>
      </c>
      <c r="V673" s="111">
        <f t="shared" si="82"/>
        <v>4</v>
      </c>
      <c r="W673" s="111">
        <f t="shared" si="83"/>
        <v>2.9999999999999997E-4</v>
      </c>
      <c r="X673" s="111">
        <f t="shared" si="84"/>
        <v>3</v>
      </c>
      <c r="Y673" s="12">
        <f t="shared" si="95"/>
        <v>0</v>
      </c>
      <c r="Z673" s="12">
        <f t="shared" si="96"/>
        <v>0</v>
      </c>
      <c r="AA673" s="248">
        <f t="shared" si="97"/>
        <v>0</v>
      </c>
      <c r="AB673" s="248">
        <f t="shared" si="98"/>
        <v>0</v>
      </c>
      <c r="AC673" s="12">
        <f t="shared" si="99"/>
        <v>0</v>
      </c>
      <c r="AD673" s="12">
        <f t="shared" si="100"/>
        <v>0</v>
      </c>
      <c r="AE673" s="111">
        <f t="shared" si="101"/>
        <v>0</v>
      </c>
      <c r="AF673" s="101" t="str">
        <f t="shared" si="85"/>
        <v>SR80711</v>
      </c>
      <c r="AG673" s="12" t="s">
        <v>311</v>
      </c>
      <c r="AH673" s="111" t="str">
        <f t="shared" si="86"/>
        <v>9999</v>
      </c>
      <c r="AI673" s="111" t="str">
        <f t="shared" si="87"/>
        <v>50010001</v>
      </c>
      <c r="AJ673" s="111">
        <f t="shared" si="102"/>
        <v>0</v>
      </c>
      <c r="AK673" s="111">
        <f t="shared" si="103"/>
        <v>0</v>
      </c>
      <c r="AL673" s="111">
        <f t="shared" si="88"/>
        <v>0</v>
      </c>
      <c r="AM673" s="111">
        <f t="shared" si="89"/>
        <v>0</v>
      </c>
      <c r="AN673" s="111" t="str">
        <f t="shared" si="90"/>
        <v>CNY</v>
      </c>
      <c r="AO673" s="6">
        <f t="shared" si="91"/>
        <v>2.0000000000000001E-4</v>
      </c>
      <c r="AP673" s="6">
        <f t="shared" si="92"/>
        <v>2</v>
      </c>
      <c r="AQ673" s="6">
        <f t="shared" si="104"/>
        <v>0</v>
      </c>
    </row>
    <row r="674" spans="1:43" s="6" customFormat="1" x14ac:dyDescent="0.25">
      <c r="A674" s="6" t="str">
        <f t="shared" si="93"/>
        <v>comment</v>
      </c>
      <c r="B674" s="111" t="str">
        <f t="shared" si="73"/>
        <v/>
      </c>
      <c r="C674" s="101" t="str">
        <f t="shared" si="74"/>
        <v>2018032810000033</v>
      </c>
      <c r="D674" s="111"/>
      <c r="E674" s="111" t="str">
        <f t="shared" si="75"/>
        <v>6001</v>
      </c>
      <c r="F674" s="111" t="str">
        <f t="shared" si="105"/>
        <v>B00101</v>
      </c>
      <c r="G674" s="111" t="str">
        <f t="shared" si="76"/>
        <v>6001</v>
      </c>
      <c r="H674" s="111">
        <v>10000033</v>
      </c>
      <c r="I674" s="104">
        <f t="shared" si="77"/>
        <v>20180328</v>
      </c>
      <c r="J674" s="113">
        <f t="shared" si="108"/>
        <v>20180326</v>
      </c>
      <c r="K674" s="111" t="str">
        <f t="shared" si="78"/>
        <v>CZCE</v>
      </c>
      <c r="L674" s="111" t="str">
        <f t="shared" si="106"/>
        <v>SR807</v>
      </c>
      <c r="M674" s="111">
        <f t="shared" si="79"/>
        <v>10</v>
      </c>
      <c r="N674" s="111">
        <v>1</v>
      </c>
      <c r="O674" s="111">
        <v>1</v>
      </c>
      <c r="P674" s="111">
        <f t="shared" si="109"/>
        <v>1</v>
      </c>
      <c r="Q674" s="111">
        <v>0</v>
      </c>
      <c r="R674" s="111">
        <f t="shared" si="110"/>
        <v>6113</v>
      </c>
      <c r="S674" s="111">
        <v>6113</v>
      </c>
      <c r="T674" s="111">
        <f t="shared" si="80"/>
        <v>6155</v>
      </c>
      <c r="U674" s="12">
        <f t="shared" si="81"/>
        <v>4.0000000000000002E-4</v>
      </c>
      <c r="V674" s="111">
        <f t="shared" si="82"/>
        <v>4</v>
      </c>
      <c r="W674" s="111">
        <f t="shared" si="83"/>
        <v>2.9999999999999997E-4</v>
      </c>
      <c r="X674" s="111">
        <f t="shared" si="84"/>
        <v>3</v>
      </c>
      <c r="Y674" s="12">
        <f t="shared" si="95"/>
        <v>0</v>
      </c>
      <c r="Z674" s="12">
        <f t="shared" si="96"/>
        <v>0</v>
      </c>
      <c r="AA674" s="248">
        <f t="shared" si="97"/>
        <v>0</v>
      </c>
      <c r="AB674" s="248">
        <f t="shared" si="98"/>
        <v>0</v>
      </c>
      <c r="AC674" s="12">
        <f t="shared" si="99"/>
        <v>0</v>
      </c>
      <c r="AD674" s="12">
        <f t="shared" si="100"/>
        <v>0</v>
      </c>
      <c r="AE674" s="111">
        <f t="shared" si="101"/>
        <v>0</v>
      </c>
      <c r="AF674" s="101" t="str">
        <f t="shared" si="85"/>
        <v>SR80711</v>
      </c>
      <c r="AG674" s="12" t="s">
        <v>311</v>
      </c>
      <c r="AH674" s="111" t="str">
        <f t="shared" si="86"/>
        <v>9999</v>
      </c>
      <c r="AI674" s="111" t="str">
        <f t="shared" si="87"/>
        <v>50010001</v>
      </c>
      <c r="AJ674" s="111">
        <f t="shared" si="102"/>
        <v>0</v>
      </c>
      <c r="AK674" s="111">
        <f t="shared" si="103"/>
        <v>0</v>
      </c>
      <c r="AL674" s="111">
        <f t="shared" si="88"/>
        <v>0</v>
      </c>
      <c r="AM674" s="111">
        <f t="shared" si="89"/>
        <v>0</v>
      </c>
      <c r="AN674" s="111" t="str">
        <f t="shared" si="90"/>
        <v>CNY</v>
      </c>
      <c r="AO674" s="6">
        <f t="shared" si="91"/>
        <v>2.0000000000000001E-4</v>
      </c>
      <c r="AP674" s="6">
        <f t="shared" si="92"/>
        <v>2</v>
      </c>
      <c r="AQ674" s="6">
        <f t="shared" si="104"/>
        <v>0</v>
      </c>
    </row>
    <row r="675" spans="1:43" s="6" customFormat="1" x14ac:dyDescent="0.25">
      <c r="A675" s="6" t="str">
        <f t="shared" si="93"/>
        <v>comment</v>
      </c>
      <c r="B675" s="111" t="str">
        <f t="shared" si="73"/>
        <v/>
      </c>
      <c r="C675" s="101" t="str">
        <f t="shared" si="74"/>
        <v>2018032810000034</v>
      </c>
      <c r="D675" s="113"/>
      <c r="E675" s="111" t="str">
        <f t="shared" si="75"/>
        <v>6001</v>
      </c>
      <c r="F675" s="111" t="str">
        <f t="shared" si="105"/>
        <v>B00101</v>
      </c>
      <c r="G675" s="111" t="str">
        <f t="shared" si="76"/>
        <v>6001</v>
      </c>
      <c r="H675" s="111">
        <v>10000034</v>
      </c>
      <c r="I675" s="104">
        <f t="shared" si="77"/>
        <v>20180328</v>
      </c>
      <c r="J675" s="113">
        <f t="shared" si="107"/>
        <v>20180328</v>
      </c>
      <c r="K675" s="111" t="str">
        <f t="shared" si="78"/>
        <v>CZCE</v>
      </c>
      <c r="L675" s="111" t="str">
        <f t="shared" si="106"/>
        <v>SR807</v>
      </c>
      <c r="M675" s="111">
        <f t="shared" si="79"/>
        <v>10</v>
      </c>
      <c r="N675" s="111">
        <v>3</v>
      </c>
      <c r="O675" s="111">
        <v>1</v>
      </c>
      <c r="P675" s="111">
        <v>1</v>
      </c>
      <c r="Q675" s="111">
        <v>0</v>
      </c>
      <c r="R675" s="111">
        <f>R669</f>
        <v>6111</v>
      </c>
      <c r="S675" s="111">
        <v>6113</v>
      </c>
      <c r="T675" s="111">
        <f t="shared" si="80"/>
        <v>6155</v>
      </c>
      <c r="U675" s="12">
        <f t="shared" si="81"/>
        <v>2.0000000000000001E-4</v>
      </c>
      <c r="V675" s="111">
        <f t="shared" si="82"/>
        <v>2</v>
      </c>
      <c r="W675" s="111">
        <f t="shared" si="83"/>
        <v>1E-4</v>
      </c>
      <c r="X675" s="111">
        <f t="shared" si="84"/>
        <v>1</v>
      </c>
      <c r="Y675" s="12">
        <f t="shared" si="95"/>
        <v>0</v>
      </c>
      <c r="Z675" s="12">
        <f t="shared" si="96"/>
        <v>0</v>
      </c>
      <c r="AA675" s="248">
        <f t="shared" si="97"/>
        <v>0</v>
      </c>
      <c r="AB675" s="248">
        <f t="shared" si="98"/>
        <v>0</v>
      </c>
      <c r="AC675" s="12">
        <f t="shared" si="99"/>
        <v>0</v>
      </c>
      <c r="AD675" s="12">
        <f t="shared" si="100"/>
        <v>0</v>
      </c>
      <c r="AE675" s="111">
        <f t="shared" si="101"/>
        <v>0</v>
      </c>
      <c r="AF675" s="101" t="str">
        <f t="shared" si="85"/>
        <v>SR80713</v>
      </c>
      <c r="AG675" s="12" t="s">
        <v>311</v>
      </c>
      <c r="AH675" s="111" t="str">
        <f t="shared" si="86"/>
        <v>9999</v>
      </c>
      <c r="AI675" s="111" t="str">
        <f t="shared" si="87"/>
        <v>50010001</v>
      </c>
      <c r="AJ675" s="111">
        <f t="shared" si="102"/>
        <v>0</v>
      </c>
      <c r="AK675" s="111">
        <f t="shared" si="103"/>
        <v>0</v>
      </c>
      <c r="AL675" s="111">
        <f t="shared" si="88"/>
        <v>0</v>
      </c>
      <c r="AM675" s="111">
        <f t="shared" si="89"/>
        <v>0</v>
      </c>
      <c r="AN675" s="111" t="str">
        <f t="shared" si="90"/>
        <v>CNY</v>
      </c>
      <c r="AO675" s="6">
        <f t="shared" si="91"/>
        <v>2.0000000000000001E-4</v>
      </c>
      <c r="AP675" s="6">
        <f t="shared" si="92"/>
        <v>2</v>
      </c>
      <c r="AQ675" s="6">
        <f t="shared" si="104"/>
        <v>0</v>
      </c>
    </row>
    <row r="676" spans="1:43" s="156" customFormat="1" x14ac:dyDescent="0.25">
      <c r="A676" s="6" t="str">
        <f t="shared" si="93"/>
        <v>comment</v>
      </c>
      <c r="B676" s="111" t="str">
        <f t="shared" si="73"/>
        <v/>
      </c>
      <c r="C676" s="154" t="str">
        <f t="shared" si="74"/>
        <v>2018032810000035</v>
      </c>
      <c r="D676" s="111"/>
      <c r="E676" s="112" t="str">
        <f t="shared" si="75"/>
        <v>6001</v>
      </c>
      <c r="F676" s="112" t="str">
        <f t="shared" si="105"/>
        <v>B00101</v>
      </c>
      <c r="G676" s="112" t="str">
        <f t="shared" si="76"/>
        <v>6001</v>
      </c>
      <c r="H676" s="111">
        <v>10000035</v>
      </c>
      <c r="I676" s="104">
        <f t="shared" si="77"/>
        <v>20180328</v>
      </c>
      <c r="J676" s="155">
        <f>J666</f>
        <v>20180326</v>
      </c>
      <c r="K676" s="111" t="str">
        <f t="shared" si="78"/>
        <v>CZCE</v>
      </c>
      <c r="L676" s="111" t="str">
        <f t="shared" si="106"/>
        <v>SR807</v>
      </c>
      <c r="M676" s="111">
        <f t="shared" si="79"/>
        <v>10</v>
      </c>
      <c r="N676" s="112">
        <v>3</v>
      </c>
      <c r="O676" s="111">
        <v>1</v>
      </c>
      <c r="P676" s="111">
        <f>P666</f>
        <v>3</v>
      </c>
      <c r="Q676" s="111">
        <v>0</v>
      </c>
      <c r="R676" s="111">
        <f>R666</f>
        <v>6108</v>
      </c>
      <c r="S676" s="111">
        <v>6113</v>
      </c>
      <c r="T676" s="111">
        <f t="shared" si="80"/>
        <v>6155</v>
      </c>
      <c r="U676" s="12">
        <f t="shared" si="81"/>
        <v>2.0000000000000001E-4</v>
      </c>
      <c r="V676" s="111">
        <f t="shared" si="82"/>
        <v>2</v>
      </c>
      <c r="W676" s="111">
        <f t="shared" si="83"/>
        <v>2.0000000000000001E-4</v>
      </c>
      <c r="X676" s="111">
        <f t="shared" si="84"/>
        <v>2</v>
      </c>
      <c r="Y676" s="12">
        <f t="shared" si="95"/>
        <v>0</v>
      </c>
      <c r="Z676" s="12">
        <f t="shared" si="96"/>
        <v>0</v>
      </c>
      <c r="AA676" s="248">
        <f t="shared" si="97"/>
        <v>0</v>
      </c>
      <c r="AB676" s="248">
        <f t="shared" si="98"/>
        <v>0</v>
      </c>
      <c r="AC676" s="12">
        <f t="shared" si="99"/>
        <v>0</v>
      </c>
      <c r="AD676" s="12">
        <f t="shared" si="100"/>
        <v>0</v>
      </c>
      <c r="AE676" s="111">
        <f t="shared" si="101"/>
        <v>0</v>
      </c>
      <c r="AF676" s="101" t="str">
        <f t="shared" si="85"/>
        <v>SR80733</v>
      </c>
      <c r="AG676" s="12" t="s">
        <v>311</v>
      </c>
      <c r="AH676" s="111" t="str">
        <f t="shared" si="86"/>
        <v>9999</v>
      </c>
      <c r="AI676" s="111" t="str">
        <f t="shared" si="87"/>
        <v>50010001</v>
      </c>
      <c r="AJ676" s="111">
        <f t="shared" si="102"/>
        <v>0</v>
      </c>
      <c r="AK676" s="111">
        <f t="shared" si="103"/>
        <v>0</v>
      </c>
      <c r="AL676" s="111">
        <f t="shared" si="88"/>
        <v>0</v>
      </c>
      <c r="AM676" s="111">
        <f t="shared" si="89"/>
        <v>0</v>
      </c>
      <c r="AN676" s="111" t="str">
        <f t="shared" si="90"/>
        <v>CNY</v>
      </c>
      <c r="AO676" s="6">
        <f t="shared" si="91"/>
        <v>2.0000000000000001E-4</v>
      </c>
      <c r="AP676" s="6">
        <f t="shared" si="92"/>
        <v>2</v>
      </c>
      <c r="AQ676" s="6">
        <f t="shared" si="104"/>
        <v>0</v>
      </c>
    </row>
    <row r="677" spans="1:43" s="156" customFormat="1" x14ac:dyDescent="0.25">
      <c r="A677" s="6" t="str">
        <f t="shared" si="93"/>
        <v>comment</v>
      </c>
      <c r="B677" s="111" t="str">
        <f t="shared" si="73"/>
        <v/>
      </c>
      <c r="C677" s="154" t="str">
        <f t="shared" si="74"/>
        <v>2018032810000036</v>
      </c>
      <c r="D677" s="111"/>
      <c r="E677" s="112" t="str">
        <f t="shared" si="75"/>
        <v>6001</v>
      </c>
      <c r="F677" s="112" t="str">
        <f t="shared" si="105"/>
        <v>B00101</v>
      </c>
      <c r="G677" s="112" t="str">
        <f t="shared" si="76"/>
        <v>6001</v>
      </c>
      <c r="H677" s="111">
        <v>10000036</v>
      </c>
      <c r="I677" s="104">
        <f t="shared" si="77"/>
        <v>20180328</v>
      </c>
      <c r="J677" s="155">
        <f t="shared" ref="J677:J678" si="111">J667</f>
        <v>20180326</v>
      </c>
      <c r="K677" s="111" t="str">
        <f t="shared" si="78"/>
        <v>CZCE</v>
      </c>
      <c r="L677" s="111" t="str">
        <f t="shared" si="106"/>
        <v>SR807</v>
      </c>
      <c r="M677" s="111">
        <f t="shared" si="79"/>
        <v>10</v>
      </c>
      <c r="N677" s="112">
        <v>1</v>
      </c>
      <c r="O677" s="111">
        <v>1</v>
      </c>
      <c r="P677" s="111">
        <f t="shared" ref="P677" si="112">P667</f>
        <v>3</v>
      </c>
      <c r="Q677" s="111">
        <v>0</v>
      </c>
      <c r="R677" s="111">
        <f>R667</f>
        <v>6400</v>
      </c>
      <c r="S677" s="111">
        <v>6113</v>
      </c>
      <c r="T677" s="111">
        <f t="shared" si="80"/>
        <v>6155</v>
      </c>
      <c r="U677" s="12">
        <f t="shared" si="81"/>
        <v>4.0000000000000002E-4</v>
      </c>
      <c r="V677" s="111">
        <f t="shared" si="82"/>
        <v>4</v>
      </c>
      <c r="W677" s="111">
        <f t="shared" si="83"/>
        <v>3.9999999999999996E-4</v>
      </c>
      <c r="X677" s="111">
        <f t="shared" si="84"/>
        <v>4</v>
      </c>
      <c r="Y677" s="12">
        <f t="shared" si="95"/>
        <v>0</v>
      </c>
      <c r="Z677" s="12">
        <f t="shared" si="96"/>
        <v>0</v>
      </c>
      <c r="AA677" s="248">
        <f t="shared" si="97"/>
        <v>0</v>
      </c>
      <c r="AB677" s="248">
        <f t="shared" si="98"/>
        <v>0</v>
      </c>
      <c r="AC677" s="12">
        <f t="shared" si="99"/>
        <v>0</v>
      </c>
      <c r="AD677" s="12">
        <f t="shared" si="100"/>
        <v>0</v>
      </c>
      <c r="AE677" s="111">
        <f t="shared" si="101"/>
        <v>0</v>
      </c>
      <c r="AF677" s="101" t="str">
        <f t="shared" si="85"/>
        <v>SR80731</v>
      </c>
      <c r="AG677" s="12" t="s">
        <v>311</v>
      </c>
      <c r="AH677" s="111" t="str">
        <f t="shared" si="86"/>
        <v>9999</v>
      </c>
      <c r="AI677" s="111" t="str">
        <f t="shared" si="87"/>
        <v>50010001</v>
      </c>
      <c r="AJ677" s="111">
        <f t="shared" si="102"/>
        <v>0</v>
      </c>
      <c r="AK677" s="111">
        <f t="shared" si="103"/>
        <v>0</v>
      </c>
      <c r="AL677" s="111">
        <f t="shared" si="88"/>
        <v>0</v>
      </c>
      <c r="AM677" s="111">
        <f t="shared" si="89"/>
        <v>0</v>
      </c>
      <c r="AN677" s="111" t="str">
        <f t="shared" si="90"/>
        <v>CNY</v>
      </c>
      <c r="AO677" s="6">
        <f t="shared" si="91"/>
        <v>2.0000000000000001E-4</v>
      </c>
      <c r="AP677" s="6">
        <f t="shared" si="92"/>
        <v>2</v>
      </c>
      <c r="AQ677" s="6">
        <f t="shared" si="104"/>
        <v>0</v>
      </c>
    </row>
    <row r="678" spans="1:43" s="156" customFormat="1" x14ac:dyDescent="0.25">
      <c r="A678" s="6" t="str">
        <f t="shared" si="93"/>
        <v>comment</v>
      </c>
      <c r="B678" s="111" t="str">
        <f t="shared" si="73"/>
        <v/>
      </c>
      <c r="C678" s="154" t="str">
        <f t="shared" si="74"/>
        <v>2018032810000037</v>
      </c>
      <c r="D678" s="155"/>
      <c r="E678" s="112" t="str">
        <f t="shared" si="75"/>
        <v>6001</v>
      </c>
      <c r="F678" s="112" t="str">
        <f t="shared" si="105"/>
        <v>B00101</v>
      </c>
      <c r="G678" s="112" t="str">
        <f t="shared" si="76"/>
        <v>6001</v>
      </c>
      <c r="H678" s="111">
        <v>10000037</v>
      </c>
      <c r="I678" s="104">
        <f t="shared" si="77"/>
        <v>20180328</v>
      </c>
      <c r="J678" s="155">
        <f t="shared" si="111"/>
        <v>20180326</v>
      </c>
      <c r="K678" s="111" t="str">
        <f t="shared" si="78"/>
        <v>CZCE</v>
      </c>
      <c r="L678" s="111" t="str">
        <f t="shared" si="106"/>
        <v>SR807</v>
      </c>
      <c r="M678" s="111">
        <f t="shared" si="79"/>
        <v>10</v>
      </c>
      <c r="N678" s="112">
        <v>3</v>
      </c>
      <c r="O678" s="112">
        <v>1</v>
      </c>
      <c r="P678" s="111">
        <f>P668</f>
        <v>3</v>
      </c>
      <c r="Q678" s="111">
        <v>0</v>
      </c>
      <c r="R678" s="111">
        <f>R668</f>
        <v>6500</v>
      </c>
      <c r="S678" s="111">
        <v>6113</v>
      </c>
      <c r="T678" s="111">
        <f t="shared" si="80"/>
        <v>6155</v>
      </c>
      <c r="U678" s="12">
        <f t="shared" si="81"/>
        <v>2.0000000000000001E-4</v>
      </c>
      <c r="V678" s="111">
        <f t="shared" si="82"/>
        <v>2</v>
      </c>
      <c r="W678" s="111">
        <f t="shared" si="83"/>
        <v>2.0000000000000001E-4</v>
      </c>
      <c r="X678" s="111">
        <f t="shared" si="84"/>
        <v>2</v>
      </c>
      <c r="Y678" s="12">
        <f t="shared" si="95"/>
        <v>0</v>
      </c>
      <c r="Z678" s="12">
        <f t="shared" si="96"/>
        <v>0</v>
      </c>
      <c r="AA678" s="248">
        <f t="shared" si="97"/>
        <v>0</v>
      </c>
      <c r="AB678" s="248">
        <f t="shared" si="98"/>
        <v>0</v>
      </c>
      <c r="AC678" s="12">
        <f t="shared" si="99"/>
        <v>0</v>
      </c>
      <c r="AD678" s="12">
        <f t="shared" si="100"/>
        <v>0</v>
      </c>
      <c r="AE678" s="111">
        <f t="shared" si="101"/>
        <v>0</v>
      </c>
      <c r="AF678" s="101" t="str">
        <f t="shared" si="85"/>
        <v>SR80733</v>
      </c>
      <c r="AG678" s="12" t="s">
        <v>311</v>
      </c>
      <c r="AH678" s="111" t="str">
        <f t="shared" si="86"/>
        <v>9999</v>
      </c>
      <c r="AI678" s="111" t="str">
        <f t="shared" si="87"/>
        <v>50010001</v>
      </c>
      <c r="AJ678" s="111">
        <f t="shared" si="102"/>
        <v>0</v>
      </c>
      <c r="AK678" s="111">
        <f t="shared" si="103"/>
        <v>0</v>
      </c>
      <c r="AL678" s="111">
        <f t="shared" si="88"/>
        <v>0</v>
      </c>
      <c r="AM678" s="111">
        <f t="shared" si="89"/>
        <v>0</v>
      </c>
      <c r="AN678" s="111" t="str">
        <f t="shared" si="90"/>
        <v>CNY</v>
      </c>
      <c r="AO678" s="6">
        <f t="shared" si="91"/>
        <v>2.0000000000000001E-4</v>
      </c>
      <c r="AP678" s="6">
        <f t="shared" si="92"/>
        <v>2</v>
      </c>
      <c r="AQ678" s="6">
        <f t="shared" si="104"/>
        <v>0</v>
      </c>
    </row>
    <row r="679" spans="1:43" s="156" customFormat="1" x14ac:dyDescent="0.25">
      <c r="A679" s="6" t="str">
        <f t="shared" si="93"/>
        <v>comment</v>
      </c>
      <c r="B679" s="111" t="str">
        <f t="shared" si="73"/>
        <v/>
      </c>
      <c r="C679" s="154" t="str">
        <f t="shared" si="74"/>
        <v>2018032810000037</v>
      </c>
      <c r="D679" s="155"/>
      <c r="E679" s="112" t="str">
        <f t="shared" si="75"/>
        <v>6001</v>
      </c>
      <c r="F679" s="112" t="str">
        <f t="shared" si="105"/>
        <v>B00101</v>
      </c>
      <c r="G679" s="112" t="str">
        <f t="shared" si="76"/>
        <v>6001</v>
      </c>
      <c r="H679" s="111">
        <v>10000037</v>
      </c>
      <c r="I679" s="104">
        <f t="shared" si="77"/>
        <v>20180328</v>
      </c>
      <c r="J679" s="155">
        <f>J678</f>
        <v>20180326</v>
      </c>
      <c r="K679" s="111" t="str">
        <f t="shared" si="78"/>
        <v>CZCE</v>
      </c>
      <c r="L679" s="111" t="str">
        <f t="shared" si="106"/>
        <v>SR807</v>
      </c>
      <c r="M679" s="111">
        <f t="shared" si="79"/>
        <v>10</v>
      </c>
      <c r="N679" s="112">
        <v>1</v>
      </c>
      <c r="O679" s="112">
        <v>1</v>
      </c>
      <c r="P679" s="112">
        <f>P670</f>
        <v>3</v>
      </c>
      <c r="Q679" s="111">
        <v>0</v>
      </c>
      <c r="R679" s="111">
        <f>R668</f>
        <v>6500</v>
      </c>
      <c r="S679" s="111">
        <v>6113</v>
      </c>
      <c r="T679" s="111">
        <f t="shared" si="80"/>
        <v>6155</v>
      </c>
      <c r="U679" s="12">
        <f t="shared" si="81"/>
        <v>4.0000000000000002E-4</v>
      </c>
      <c r="V679" s="111">
        <f t="shared" si="82"/>
        <v>4</v>
      </c>
      <c r="W679" s="111">
        <f t="shared" si="83"/>
        <v>3.9999999999999996E-4</v>
      </c>
      <c r="X679" s="111">
        <f t="shared" si="84"/>
        <v>4</v>
      </c>
      <c r="Y679" s="12">
        <f t="shared" si="95"/>
        <v>0</v>
      </c>
      <c r="Z679" s="12">
        <f t="shared" si="96"/>
        <v>0</v>
      </c>
      <c r="AA679" s="248">
        <f t="shared" si="97"/>
        <v>0</v>
      </c>
      <c r="AB679" s="248">
        <f t="shared" si="98"/>
        <v>0</v>
      </c>
      <c r="AC679" s="12">
        <f t="shared" si="99"/>
        <v>0</v>
      </c>
      <c r="AD679" s="12">
        <f t="shared" si="100"/>
        <v>0</v>
      </c>
      <c r="AE679" s="111">
        <f t="shared" si="101"/>
        <v>0</v>
      </c>
      <c r="AF679" s="101" t="str">
        <f t="shared" si="85"/>
        <v>SR80731</v>
      </c>
      <c r="AG679" s="12" t="s">
        <v>311</v>
      </c>
      <c r="AH679" s="111" t="str">
        <f t="shared" si="86"/>
        <v>9999</v>
      </c>
      <c r="AI679" s="111" t="str">
        <f t="shared" si="87"/>
        <v>50010001</v>
      </c>
      <c r="AJ679" s="111">
        <f t="shared" si="102"/>
        <v>0</v>
      </c>
      <c r="AK679" s="111">
        <f t="shared" si="103"/>
        <v>0</v>
      </c>
      <c r="AL679" s="111">
        <f t="shared" si="88"/>
        <v>0</v>
      </c>
      <c r="AM679" s="111">
        <f t="shared" si="89"/>
        <v>0</v>
      </c>
      <c r="AN679" s="111" t="str">
        <f t="shared" si="90"/>
        <v>CNY</v>
      </c>
      <c r="AO679" s="6">
        <f t="shared" si="91"/>
        <v>2.0000000000000001E-4</v>
      </c>
      <c r="AP679" s="6">
        <f t="shared" si="92"/>
        <v>2</v>
      </c>
      <c r="AQ679" s="6">
        <f t="shared" si="104"/>
        <v>0</v>
      </c>
    </row>
    <row r="680" spans="1:43" s="156" customFormat="1" x14ac:dyDescent="0.25">
      <c r="A680" s="6" t="str">
        <f t="shared" si="93"/>
        <v>comment</v>
      </c>
      <c r="B680" s="111" t="str">
        <f t="shared" si="73"/>
        <v/>
      </c>
      <c r="C680" s="154" t="str">
        <f t="shared" si="74"/>
        <v>2018032810000038</v>
      </c>
      <c r="D680" s="155"/>
      <c r="E680" s="112" t="str">
        <f t="shared" si="75"/>
        <v>6001</v>
      </c>
      <c r="F680" s="112" t="str">
        <f t="shared" si="105"/>
        <v>B00101</v>
      </c>
      <c r="G680" s="112" t="str">
        <f t="shared" si="76"/>
        <v>6001</v>
      </c>
      <c r="H680" s="111">
        <v>10000038</v>
      </c>
      <c r="I680" s="104">
        <f t="shared" si="77"/>
        <v>20180328</v>
      </c>
      <c r="J680" s="155">
        <f t="shared" si="107"/>
        <v>20180328</v>
      </c>
      <c r="K680" s="111" t="str">
        <f t="shared" si="78"/>
        <v>CZCE</v>
      </c>
      <c r="L680" s="111" t="str">
        <f t="shared" si="106"/>
        <v>SR807</v>
      </c>
      <c r="M680" s="111">
        <f t="shared" si="79"/>
        <v>10</v>
      </c>
      <c r="N680" s="112">
        <v>1</v>
      </c>
      <c r="O680" s="112">
        <v>1</v>
      </c>
      <c r="P680" s="112">
        <f>P670</f>
        <v>3</v>
      </c>
      <c r="Q680" s="111">
        <v>0</v>
      </c>
      <c r="R680" s="111">
        <f>R670</f>
        <v>6112</v>
      </c>
      <c r="S680" s="111">
        <v>6113</v>
      </c>
      <c r="T680" s="111">
        <f t="shared" si="80"/>
        <v>6155</v>
      </c>
      <c r="U680" s="12"/>
      <c r="V680" s="111"/>
      <c r="W680" s="111"/>
      <c r="X680" s="111"/>
      <c r="Y680" s="12"/>
      <c r="Z680" s="12"/>
      <c r="AA680" s="248">
        <f t="shared" si="97"/>
        <v>0</v>
      </c>
      <c r="AB680" s="248"/>
      <c r="AC680" s="12">
        <f t="shared" si="99"/>
        <v>0</v>
      </c>
      <c r="AD680" s="12">
        <f t="shared" si="100"/>
        <v>0</v>
      </c>
      <c r="AE680" s="111"/>
      <c r="AF680" s="101"/>
      <c r="AG680" s="12"/>
      <c r="AH680" s="111"/>
      <c r="AI680" s="111"/>
      <c r="AJ680" s="111"/>
      <c r="AK680" s="111"/>
      <c r="AL680" s="111"/>
      <c r="AM680" s="111"/>
      <c r="AN680" s="111"/>
      <c r="AO680" s="6"/>
      <c r="AP680" s="6"/>
      <c r="AQ680" s="6">
        <f t="shared" si="104"/>
        <v>0</v>
      </c>
    </row>
    <row r="681" spans="1:43" s="6" customFormat="1" x14ac:dyDescent="0.25">
      <c r="A681" s="6" t="str">
        <f>IF(Q681=0,"comment","")</f>
        <v>comment</v>
      </c>
      <c r="B681" s="111" t="str">
        <f t="shared" si="73"/>
        <v/>
      </c>
      <c r="C681" s="101" t="str">
        <f t="shared" si="74"/>
        <v>2018032810000050</v>
      </c>
      <c r="D681" s="111"/>
      <c r="E681" s="111" t="str">
        <f t="shared" si="75"/>
        <v>6001</v>
      </c>
      <c r="F681" s="111" t="str">
        <f t="shared" ref="F681:F689" si="113">VLOOKUP(E681,$B$6:$C$6,2)</f>
        <v>B00102</v>
      </c>
      <c r="G681" s="111" t="str">
        <f t="shared" ref="G681:G686" si="114">VLOOKUP(F681,$C$6:$D$6,2)</f>
        <v>6001</v>
      </c>
      <c r="H681" s="111">
        <v>10000050</v>
      </c>
      <c r="I681" s="104">
        <f t="shared" si="77"/>
        <v>20180328</v>
      </c>
      <c r="J681" s="155">
        <f>'day1'!G718</f>
        <v>20180326</v>
      </c>
      <c r="K681" s="111" t="str">
        <f t="shared" si="78"/>
        <v>CZCE</v>
      </c>
      <c r="L681" s="111" t="str">
        <f t="shared" ref="L681:L689" si="115">$C$22</f>
        <v>PTA807</v>
      </c>
      <c r="M681" s="111">
        <f t="shared" si="79"/>
        <v>5</v>
      </c>
      <c r="N681" s="111">
        <v>1</v>
      </c>
      <c r="O681" s="111">
        <v>0</v>
      </c>
      <c r="P681" s="111">
        <v>1</v>
      </c>
      <c r="Q681" s="111">
        <v>0</v>
      </c>
      <c r="R681" s="111">
        <f>'day1'!Y718</f>
        <v>6121</v>
      </c>
      <c r="S681" s="111">
        <v>6114</v>
      </c>
      <c r="T681" s="111">
        <f t="shared" si="80"/>
        <v>6160</v>
      </c>
      <c r="U681" s="12">
        <f t="shared" ref="U681:U697" si="116">VLOOKUP(AF681,$G$75:$K$114,2,FALSE)</f>
        <v>4.0000000000000002E-4</v>
      </c>
      <c r="V681" s="111">
        <f t="shared" ref="V681:V697" si="117">VLOOKUP(AF681,$G$75:$K$114,3,FALSE)</f>
        <v>4</v>
      </c>
      <c r="W681" s="111">
        <f t="shared" ref="W681:W697" si="118">VLOOKUP(AF681,$G$75:$K$114,4,FALSE)</f>
        <v>2.9999999999999997E-4</v>
      </c>
      <c r="X681" s="111">
        <f t="shared" ref="X681:X697" si="119">VLOOKUP(AF681,$G$75:$K$114,5,FALSE)</f>
        <v>3</v>
      </c>
      <c r="Y681" s="12">
        <f t="shared" si="95"/>
        <v>0</v>
      </c>
      <c r="Z681" s="12">
        <f t="shared" si="96"/>
        <v>0</v>
      </c>
      <c r="AA681" s="248">
        <f t="shared" si="97"/>
        <v>0</v>
      </c>
      <c r="AB681" s="248">
        <f t="shared" si="98"/>
        <v>0</v>
      </c>
      <c r="AC681" s="12">
        <f t="shared" si="99"/>
        <v>0</v>
      </c>
      <c r="AD681" s="12">
        <f t="shared" si="100"/>
        <v>0</v>
      </c>
      <c r="AE681" s="111">
        <f t="shared" si="101"/>
        <v>0</v>
      </c>
      <c r="AF681" s="101" t="str">
        <f t="shared" si="85"/>
        <v>PTA80711</v>
      </c>
      <c r="AG681" s="12" t="s">
        <v>311</v>
      </c>
      <c r="AH681" s="111" t="str">
        <f t="shared" ref="AH681:AH697" si="120">$F$5</f>
        <v>9999</v>
      </c>
      <c r="AI681" s="111" t="str">
        <f t="shared" ref="AI681:AI697" si="121">VLOOKUP(F681,$C$5:$G$6,5,FALSE)</f>
        <v>50010002</v>
      </c>
      <c r="AJ681" s="111">
        <f t="shared" si="102"/>
        <v>0</v>
      </c>
      <c r="AK681" s="111">
        <f t="shared" si="103"/>
        <v>0</v>
      </c>
      <c r="AL681" s="111">
        <f t="shared" ref="AL681:AL697" si="122" xml:space="preserve"> VLOOKUP(L681,$C$19:$K$29,9,FALSE)</f>
        <v>1</v>
      </c>
      <c r="AM681" s="111">
        <f t="shared" ref="AM681:AM697" si="123">VLOOKUP(L681,$C$19:$L$29,10,FALSE)</f>
        <v>0</v>
      </c>
      <c r="AN681" s="111" t="str">
        <f t="shared" ref="AN681:AN697" si="124">$D$9</f>
        <v>CNY</v>
      </c>
      <c r="AO681" s="6">
        <f t="shared" ref="AO681:AO697" si="125">VLOOKUP(AF681,$G$75:$M$114,6,FALSE)</f>
        <v>2.0000000000000001E-4</v>
      </c>
      <c r="AP681" s="6">
        <f t="shared" ref="AP681:AP697" si="126">VLOOKUP(AF681,$G$75:$M$114,7,FALSE)</f>
        <v>2</v>
      </c>
      <c r="AQ681" s="6">
        <f t="shared" si="104"/>
        <v>0</v>
      </c>
    </row>
    <row r="682" spans="1:43" s="6" customFormat="1" x14ac:dyDescent="0.25">
      <c r="A682" s="6" t="str">
        <f t="shared" si="93"/>
        <v>comment</v>
      </c>
      <c r="B682" s="111" t="str">
        <f t="shared" si="73"/>
        <v/>
      </c>
      <c r="C682" s="101" t="str">
        <f t="shared" si="74"/>
        <v>2018032810000051</v>
      </c>
      <c r="D682" s="111"/>
      <c r="E682" s="111" t="str">
        <f t="shared" si="75"/>
        <v>6001</v>
      </c>
      <c r="F682" s="111" t="str">
        <f t="shared" si="113"/>
        <v>B00102</v>
      </c>
      <c r="G682" s="111" t="str">
        <f t="shared" si="114"/>
        <v>6001</v>
      </c>
      <c r="H682" s="111">
        <v>10000051</v>
      </c>
      <c r="I682" s="104">
        <f t="shared" si="77"/>
        <v>20180328</v>
      </c>
      <c r="J682" s="155">
        <f>'day1'!G716</f>
        <v>20180326</v>
      </c>
      <c r="K682" s="111" t="str">
        <f t="shared" si="78"/>
        <v>CZCE</v>
      </c>
      <c r="L682" s="111" t="str">
        <f t="shared" si="115"/>
        <v>PTA807</v>
      </c>
      <c r="M682" s="111">
        <f t="shared" si="79"/>
        <v>5</v>
      </c>
      <c r="N682" s="111">
        <v>1</v>
      </c>
      <c r="O682" s="111">
        <v>0</v>
      </c>
      <c r="P682" s="111">
        <v>3</v>
      </c>
      <c r="Q682" s="111">
        <v>0</v>
      </c>
      <c r="R682" s="111">
        <f>'day1'!Y716</f>
        <v>6119</v>
      </c>
      <c r="S682" s="111">
        <v>6114</v>
      </c>
      <c r="T682" s="111">
        <f t="shared" si="80"/>
        <v>6160</v>
      </c>
      <c r="U682" s="12">
        <f t="shared" si="116"/>
        <v>4.0000000000000002E-4</v>
      </c>
      <c r="V682" s="111">
        <f t="shared" si="117"/>
        <v>4</v>
      </c>
      <c r="W682" s="111">
        <f t="shared" si="118"/>
        <v>3.9999999999999996E-4</v>
      </c>
      <c r="X682" s="111">
        <f t="shared" si="119"/>
        <v>4</v>
      </c>
      <c r="Y682" s="12">
        <f t="shared" si="95"/>
        <v>0</v>
      </c>
      <c r="Z682" s="12">
        <f t="shared" si="96"/>
        <v>0</v>
      </c>
      <c r="AA682" s="248">
        <f t="shared" si="97"/>
        <v>0</v>
      </c>
      <c r="AB682" s="248">
        <f t="shared" si="98"/>
        <v>0</v>
      </c>
      <c r="AC682" s="12">
        <f t="shared" si="99"/>
        <v>0</v>
      </c>
      <c r="AD682" s="12">
        <f t="shared" si="100"/>
        <v>0</v>
      </c>
      <c r="AE682" s="111">
        <f t="shared" si="101"/>
        <v>0</v>
      </c>
      <c r="AF682" s="101" t="str">
        <f t="shared" si="85"/>
        <v>PTA80731</v>
      </c>
      <c r="AG682" s="12" t="s">
        <v>311</v>
      </c>
      <c r="AH682" s="111" t="str">
        <f t="shared" si="120"/>
        <v>9999</v>
      </c>
      <c r="AI682" s="111" t="str">
        <f t="shared" si="121"/>
        <v>50010002</v>
      </c>
      <c r="AJ682" s="111">
        <f t="shared" si="102"/>
        <v>0</v>
      </c>
      <c r="AK682" s="111">
        <f t="shared" si="103"/>
        <v>0</v>
      </c>
      <c r="AL682" s="111">
        <f t="shared" si="122"/>
        <v>1</v>
      </c>
      <c r="AM682" s="111">
        <f t="shared" si="123"/>
        <v>0</v>
      </c>
      <c r="AN682" s="111" t="str">
        <f t="shared" si="124"/>
        <v>CNY</v>
      </c>
      <c r="AO682" s="6">
        <f t="shared" si="125"/>
        <v>2.0000000000000001E-4</v>
      </c>
      <c r="AP682" s="6">
        <f t="shared" si="126"/>
        <v>2</v>
      </c>
      <c r="AQ682" s="6">
        <f t="shared" si="104"/>
        <v>0</v>
      </c>
    </row>
    <row r="683" spans="1:43" s="6" customFormat="1" x14ac:dyDescent="0.25">
      <c r="A683" s="6" t="str">
        <f t="shared" si="93"/>
        <v>comment</v>
      </c>
      <c r="B683" s="111" t="str">
        <f t="shared" si="73"/>
        <v/>
      </c>
      <c r="C683" s="101" t="str">
        <f t="shared" si="74"/>
        <v>2018032810000052</v>
      </c>
      <c r="D683" s="111"/>
      <c r="E683" s="111" t="str">
        <f t="shared" si="75"/>
        <v>6001</v>
      </c>
      <c r="F683" s="111" t="str">
        <f t="shared" si="113"/>
        <v>B00102</v>
      </c>
      <c r="G683" s="111" t="str">
        <f t="shared" si="114"/>
        <v>6001</v>
      </c>
      <c r="H683" s="112">
        <v>10000052</v>
      </c>
      <c r="I683" s="104">
        <f t="shared" si="77"/>
        <v>20180328</v>
      </c>
      <c r="J683" s="113">
        <f t="shared" si="107"/>
        <v>20180328</v>
      </c>
      <c r="K683" s="111" t="str">
        <f t="shared" si="78"/>
        <v>CZCE</v>
      </c>
      <c r="L683" s="111" t="str">
        <f t="shared" si="115"/>
        <v>PTA807</v>
      </c>
      <c r="M683" s="111">
        <f t="shared" si="79"/>
        <v>5</v>
      </c>
      <c r="N683" s="111">
        <v>0</v>
      </c>
      <c r="O683" s="111">
        <v>1</v>
      </c>
      <c r="P683" s="111">
        <v>1</v>
      </c>
      <c r="Q683" s="111">
        <v>0</v>
      </c>
      <c r="R683" s="111">
        <f>IF(N683=0,S683,VLOOKUP(D683,$C$662:$S$709,16,FALSE))</f>
        <v>6115</v>
      </c>
      <c r="S683" s="111">
        <v>6115</v>
      </c>
      <c r="T683" s="111">
        <f t="shared" si="80"/>
        <v>6160</v>
      </c>
      <c r="U683" s="12">
        <f t="shared" si="116"/>
        <v>5.0000000000000001E-4</v>
      </c>
      <c r="V683" s="111">
        <f t="shared" si="117"/>
        <v>5</v>
      </c>
      <c r="W683" s="111">
        <f t="shared" si="118"/>
        <v>4.0000000000000002E-4</v>
      </c>
      <c r="X683" s="111">
        <f t="shared" si="119"/>
        <v>4</v>
      </c>
      <c r="Y683" s="12">
        <f t="shared" si="95"/>
        <v>0</v>
      </c>
      <c r="Z683" s="12">
        <f t="shared" si="96"/>
        <v>0</v>
      </c>
      <c r="AA683" s="248">
        <f t="shared" si="97"/>
        <v>0</v>
      </c>
      <c r="AB683" s="248">
        <f t="shared" si="98"/>
        <v>0</v>
      </c>
      <c r="AC683" s="12">
        <f t="shared" si="99"/>
        <v>0</v>
      </c>
      <c r="AD683" s="12">
        <f t="shared" si="100"/>
        <v>0</v>
      </c>
      <c r="AE683" s="111">
        <f t="shared" si="101"/>
        <v>0</v>
      </c>
      <c r="AF683" s="101" t="str">
        <f t="shared" si="85"/>
        <v>PTA80710</v>
      </c>
      <c r="AG683" s="12" t="s">
        <v>311</v>
      </c>
      <c r="AH683" s="111" t="str">
        <f t="shared" si="120"/>
        <v>9999</v>
      </c>
      <c r="AI683" s="111" t="str">
        <f t="shared" si="121"/>
        <v>50010002</v>
      </c>
      <c r="AJ683" s="111">
        <f t="shared" si="102"/>
        <v>0</v>
      </c>
      <c r="AK683" s="111">
        <f t="shared" si="103"/>
        <v>0</v>
      </c>
      <c r="AL683" s="111">
        <f t="shared" si="122"/>
        <v>1</v>
      </c>
      <c r="AM683" s="111">
        <f t="shared" si="123"/>
        <v>0</v>
      </c>
      <c r="AN683" s="111" t="str">
        <f t="shared" si="124"/>
        <v>CNY</v>
      </c>
      <c r="AO683" s="6">
        <f t="shared" si="125"/>
        <v>2.0000000000000001E-4</v>
      </c>
      <c r="AP683" s="6">
        <f t="shared" si="126"/>
        <v>2</v>
      </c>
      <c r="AQ683" s="6">
        <f t="shared" si="104"/>
        <v>0</v>
      </c>
    </row>
    <row r="684" spans="1:43" s="6" customFormat="1" x14ac:dyDescent="0.25">
      <c r="A684" s="6" t="str">
        <f t="shared" si="93"/>
        <v>comment</v>
      </c>
      <c r="B684" s="111" t="str">
        <f t="shared" si="73"/>
        <v/>
      </c>
      <c r="C684" s="101" t="str">
        <f t="shared" si="74"/>
        <v>2018032810000053</v>
      </c>
      <c r="D684" s="111"/>
      <c r="E684" s="111" t="str">
        <f t="shared" si="75"/>
        <v>6001</v>
      </c>
      <c r="F684" s="111" t="str">
        <f t="shared" si="113"/>
        <v>B00102</v>
      </c>
      <c r="G684" s="111" t="str">
        <f t="shared" si="114"/>
        <v>6001</v>
      </c>
      <c r="H684" s="112">
        <v>10000053</v>
      </c>
      <c r="I684" s="104">
        <f t="shared" si="77"/>
        <v>20180328</v>
      </c>
      <c r="J684" s="113">
        <f t="shared" si="107"/>
        <v>20180328</v>
      </c>
      <c r="K684" s="111" t="str">
        <f t="shared" si="78"/>
        <v>CZCE</v>
      </c>
      <c r="L684" s="111" t="str">
        <f t="shared" si="115"/>
        <v>PTA807</v>
      </c>
      <c r="M684" s="111">
        <f t="shared" si="79"/>
        <v>5</v>
      </c>
      <c r="N684" s="111">
        <v>0</v>
      </c>
      <c r="O684" s="111">
        <v>1</v>
      </c>
      <c r="P684" s="111">
        <v>3</v>
      </c>
      <c r="Q684" s="111">
        <v>0</v>
      </c>
      <c r="R684" s="111">
        <f>IF(N684=0,S684,VLOOKUP(D684,$C$662:$S$709,16,FALSE))</f>
        <v>6116</v>
      </c>
      <c r="S684" s="111">
        <v>6116</v>
      </c>
      <c r="T684" s="111">
        <f t="shared" si="80"/>
        <v>6160</v>
      </c>
      <c r="U684" s="12">
        <f t="shared" si="116"/>
        <v>5.0000000000000001E-4</v>
      </c>
      <c r="V684" s="111">
        <f t="shared" si="117"/>
        <v>5</v>
      </c>
      <c r="W684" s="111">
        <f t="shared" si="118"/>
        <v>5.0000000000000001E-4</v>
      </c>
      <c r="X684" s="111">
        <f t="shared" si="119"/>
        <v>5</v>
      </c>
      <c r="Y684" s="12">
        <f t="shared" si="95"/>
        <v>0</v>
      </c>
      <c r="Z684" s="12">
        <f t="shared" si="96"/>
        <v>0</v>
      </c>
      <c r="AA684" s="248">
        <f t="shared" si="97"/>
        <v>0</v>
      </c>
      <c r="AB684" s="248">
        <f t="shared" si="98"/>
        <v>0</v>
      </c>
      <c r="AC684" s="12">
        <f t="shared" si="99"/>
        <v>0</v>
      </c>
      <c r="AD684" s="12">
        <f t="shared" si="100"/>
        <v>0</v>
      </c>
      <c r="AE684" s="111">
        <f t="shared" si="101"/>
        <v>0</v>
      </c>
      <c r="AF684" s="101" t="str">
        <f t="shared" si="85"/>
        <v>PTA80730</v>
      </c>
      <c r="AG684" s="12" t="s">
        <v>311</v>
      </c>
      <c r="AH684" s="111" t="str">
        <f t="shared" si="120"/>
        <v>9999</v>
      </c>
      <c r="AI684" s="111" t="str">
        <f t="shared" si="121"/>
        <v>50010002</v>
      </c>
      <c r="AJ684" s="111">
        <f t="shared" si="102"/>
        <v>0</v>
      </c>
      <c r="AK684" s="111">
        <f t="shared" si="103"/>
        <v>0</v>
      </c>
      <c r="AL684" s="111">
        <f t="shared" si="122"/>
        <v>1</v>
      </c>
      <c r="AM684" s="111">
        <f t="shared" si="123"/>
        <v>0</v>
      </c>
      <c r="AN684" s="111" t="str">
        <f t="shared" si="124"/>
        <v>CNY</v>
      </c>
      <c r="AO684" s="6">
        <f t="shared" si="125"/>
        <v>2.0000000000000001E-4</v>
      </c>
      <c r="AP684" s="6">
        <f t="shared" si="126"/>
        <v>2</v>
      </c>
      <c r="AQ684" s="6">
        <f t="shared" si="104"/>
        <v>0</v>
      </c>
    </row>
    <row r="685" spans="1:43" s="6" customFormat="1" x14ac:dyDescent="0.25">
      <c r="A685" s="6" t="str">
        <f t="shared" si="93"/>
        <v>comment</v>
      </c>
      <c r="B685" s="111" t="str">
        <f t="shared" si="73"/>
        <v/>
      </c>
      <c r="C685" s="101" t="str">
        <f t="shared" si="74"/>
        <v>2018032810000060</v>
      </c>
      <c r="D685" s="113"/>
      <c r="E685" s="111" t="str">
        <f t="shared" si="75"/>
        <v>6001</v>
      </c>
      <c r="F685" s="111" t="str">
        <f t="shared" si="113"/>
        <v>B00102</v>
      </c>
      <c r="G685" s="111" t="str">
        <f t="shared" si="114"/>
        <v>6001</v>
      </c>
      <c r="H685" s="112">
        <v>10000060</v>
      </c>
      <c r="I685" s="104">
        <f t="shared" si="77"/>
        <v>20180328</v>
      </c>
      <c r="J685" s="113">
        <f>'day1'!G718</f>
        <v>20180326</v>
      </c>
      <c r="K685" s="111" t="str">
        <f t="shared" si="78"/>
        <v>CZCE</v>
      </c>
      <c r="L685" s="111" t="str">
        <f t="shared" si="115"/>
        <v>PTA807</v>
      </c>
      <c r="M685" s="111">
        <f t="shared" si="79"/>
        <v>5</v>
      </c>
      <c r="N685" s="111">
        <v>3</v>
      </c>
      <c r="O685" s="111">
        <v>0</v>
      </c>
      <c r="P685" s="111">
        <v>1</v>
      </c>
      <c r="Q685" s="111">
        <v>0</v>
      </c>
      <c r="R685" s="111">
        <f>R681</f>
        <v>6121</v>
      </c>
      <c r="S685" s="111">
        <v>6122</v>
      </c>
      <c r="T685" s="111">
        <f t="shared" si="80"/>
        <v>6160</v>
      </c>
      <c r="U685" s="12">
        <f t="shared" si="116"/>
        <v>2.0000000000000001E-4</v>
      </c>
      <c r="V685" s="111">
        <f t="shared" si="117"/>
        <v>2</v>
      </c>
      <c r="W685" s="111">
        <f t="shared" si="118"/>
        <v>1E-4</v>
      </c>
      <c r="X685" s="111">
        <f t="shared" si="119"/>
        <v>1</v>
      </c>
      <c r="Y685" s="12">
        <f t="shared" si="95"/>
        <v>0</v>
      </c>
      <c r="Z685" s="12">
        <f t="shared" si="96"/>
        <v>0</v>
      </c>
      <c r="AA685" s="248">
        <f t="shared" si="97"/>
        <v>0</v>
      </c>
      <c r="AB685" s="248">
        <f t="shared" si="98"/>
        <v>0</v>
      </c>
      <c r="AC685" s="12">
        <f t="shared" si="99"/>
        <v>0</v>
      </c>
      <c r="AD685" s="12">
        <f t="shared" si="100"/>
        <v>0</v>
      </c>
      <c r="AE685" s="111">
        <f t="shared" si="101"/>
        <v>0</v>
      </c>
      <c r="AF685" s="101" t="str">
        <f t="shared" si="85"/>
        <v>PTA80713</v>
      </c>
      <c r="AG685" s="12" t="s">
        <v>311</v>
      </c>
      <c r="AH685" s="111" t="str">
        <f t="shared" si="120"/>
        <v>9999</v>
      </c>
      <c r="AI685" s="111" t="str">
        <f t="shared" si="121"/>
        <v>50010002</v>
      </c>
      <c r="AJ685" s="111">
        <f t="shared" si="102"/>
        <v>0</v>
      </c>
      <c r="AK685" s="111">
        <f t="shared" si="103"/>
        <v>0</v>
      </c>
      <c r="AL685" s="111">
        <f t="shared" si="122"/>
        <v>1</v>
      </c>
      <c r="AM685" s="111">
        <f t="shared" si="123"/>
        <v>0</v>
      </c>
      <c r="AN685" s="111" t="str">
        <f t="shared" si="124"/>
        <v>CNY</v>
      </c>
      <c r="AO685" s="6">
        <f t="shared" si="125"/>
        <v>2.0000000000000001E-4</v>
      </c>
      <c r="AP685" s="6">
        <f t="shared" si="126"/>
        <v>2</v>
      </c>
      <c r="AQ685" s="6">
        <f t="shared" si="104"/>
        <v>0</v>
      </c>
    </row>
    <row r="686" spans="1:43" s="6" customFormat="1" x14ac:dyDescent="0.25">
      <c r="A686" s="6" t="str">
        <f t="shared" si="93"/>
        <v>comment</v>
      </c>
      <c r="B686" s="111" t="str">
        <f t="shared" si="73"/>
        <v/>
      </c>
      <c r="C686" s="101" t="str">
        <f t="shared" si="74"/>
        <v>2018032810000060</v>
      </c>
      <c r="D686" s="113"/>
      <c r="E686" s="111" t="str">
        <f t="shared" si="75"/>
        <v>6001</v>
      </c>
      <c r="F686" s="111" t="str">
        <f t="shared" si="113"/>
        <v>B00102</v>
      </c>
      <c r="G686" s="111" t="str">
        <f t="shared" si="114"/>
        <v>6001</v>
      </c>
      <c r="H686" s="112">
        <v>10000060</v>
      </c>
      <c r="I686" s="104">
        <f t="shared" si="77"/>
        <v>20180328</v>
      </c>
      <c r="J686" s="113">
        <f>'day1'!G718</f>
        <v>20180326</v>
      </c>
      <c r="K686" s="111" t="str">
        <f t="shared" si="78"/>
        <v>CZCE</v>
      </c>
      <c r="L686" s="111" t="str">
        <f t="shared" si="115"/>
        <v>PTA807</v>
      </c>
      <c r="M686" s="111">
        <f t="shared" si="79"/>
        <v>5</v>
      </c>
      <c r="N686" s="111">
        <v>1</v>
      </c>
      <c r="O686" s="111">
        <v>0</v>
      </c>
      <c r="P686" s="111">
        <v>1</v>
      </c>
      <c r="Q686" s="111">
        <v>0</v>
      </c>
      <c r="R686" s="111">
        <f>R681</f>
        <v>6121</v>
      </c>
      <c r="S686" s="111">
        <v>6122</v>
      </c>
      <c r="T686" s="111">
        <f t="shared" si="80"/>
        <v>6160</v>
      </c>
      <c r="U686" s="12">
        <f t="shared" si="116"/>
        <v>4.0000000000000002E-4</v>
      </c>
      <c r="V686" s="111">
        <f t="shared" si="117"/>
        <v>4</v>
      </c>
      <c r="W686" s="111">
        <f t="shared" si="118"/>
        <v>2.9999999999999997E-4</v>
      </c>
      <c r="X686" s="111">
        <f t="shared" si="119"/>
        <v>3</v>
      </c>
      <c r="Y686" s="12">
        <f t="shared" si="95"/>
        <v>0</v>
      </c>
      <c r="Z686" s="12">
        <f t="shared" si="96"/>
        <v>0</v>
      </c>
      <c r="AA686" s="248">
        <f t="shared" si="97"/>
        <v>0</v>
      </c>
      <c r="AB686" s="248">
        <f t="shared" si="98"/>
        <v>0</v>
      </c>
      <c r="AC686" s="12">
        <f t="shared" si="99"/>
        <v>0</v>
      </c>
      <c r="AD686" s="12">
        <f t="shared" si="100"/>
        <v>0</v>
      </c>
      <c r="AE686" s="111">
        <f t="shared" si="101"/>
        <v>0</v>
      </c>
      <c r="AF686" s="101" t="str">
        <f t="shared" si="85"/>
        <v>PTA80711</v>
      </c>
      <c r="AG686" s="12" t="s">
        <v>311</v>
      </c>
      <c r="AH686" s="111" t="str">
        <f t="shared" si="120"/>
        <v>9999</v>
      </c>
      <c r="AI686" s="111" t="str">
        <f t="shared" si="121"/>
        <v>50010002</v>
      </c>
      <c r="AJ686" s="111">
        <f t="shared" si="102"/>
        <v>0</v>
      </c>
      <c r="AK686" s="111">
        <f t="shared" si="103"/>
        <v>0</v>
      </c>
      <c r="AL686" s="111">
        <f t="shared" si="122"/>
        <v>1</v>
      </c>
      <c r="AM686" s="111">
        <f t="shared" si="123"/>
        <v>0</v>
      </c>
      <c r="AN686" s="111" t="str">
        <f t="shared" si="124"/>
        <v>CNY</v>
      </c>
      <c r="AO686" s="6">
        <f t="shared" si="125"/>
        <v>2.0000000000000001E-4</v>
      </c>
      <c r="AP686" s="6">
        <f t="shared" si="126"/>
        <v>2</v>
      </c>
      <c r="AQ686" s="6">
        <f t="shared" si="104"/>
        <v>0</v>
      </c>
    </row>
    <row r="687" spans="1:43" s="6" customFormat="1" x14ac:dyDescent="0.25">
      <c r="A687" s="6" t="str">
        <f t="shared" si="93"/>
        <v>comment</v>
      </c>
      <c r="B687" s="111" t="str">
        <f t="shared" si="73"/>
        <v/>
      </c>
      <c r="C687" s="101" t="str">
        <f t="shared" si="74"/>
        <v>2018032810000061</v>
      </c>
      <c r="D687" s="113"/>
      <c r="E687" s="111" t="str">
        <f t="shared" si="75"/>
        <v>6001</v>
      </c>
      <c r="F687" s="111" t="str">
        <f t="shared" si="113"/>
        <v>B00102</v>
      </c>
      <c r="G687" s="111" t="str">
        <f t="shared" ref="G687:G697" si="127">VLOOKUP(F687,$C$5:$D$6,2)</f>
        <v>6001</v>
      </c>
      <c r="H687" s="112">
        <v>10000061</v>
      </c>
      <c r="I687" s="104">
        <f t="shared" si="77"/>
        <v>20180328</v>
      </c>
      <c r="J687" s="113">
        <f t="shared" si="107"/>
        <v>20180328</v>
      </c>
      <c r="K687" s="111" t="str">
        <f t="shared" si="78"/>
        <v>CZCE</v>
      </c>
      <c r="L687" s="111" t="str">
        <f t="shared" si="115"/>
        <v>PTA807</v>
      </c>
      <c r="M687" s="111">
        <f t="shared" si="79"/>
        <v>5</v>
      </c>
      <c r="N687" s="111">
        <v>1</v>
      </c>
      <c r="O687" s="111">
        <v>0</v>
      </c>
      <c r="P687" s="111">
        <v>1</v>
      </c>
      <c r="Q687" s="111">
        <v>0</v>
      </c>
      <c r="R687" s="111">
        <f>S687</f>
        <v>6122</v>
      </c>
      <c r="S687" s="111">
        <v>6122</v>
      </c>
      <c r="T687" s="111">
        <f t="shared" si="80"/>
        <v>6160</v>
      </c>
      <c r="U687" s="12">
        <f t="shared" si="116"/>
        <v>4.0000000000000002E-4</v>
      </c>
      <c r="V687" s="111">
        <f t="shared" si="117"/>
        <v>4</v>
      </c>
      <c r="W687" s="111">
        <f t="shared" si="118"/>
        <v>2.9999999999999997E-4</v>
      </c>
      <c r="X687" s="111">
        <f t="shared" si="119"/>
        <v>3</v>
      </c>
      <c r="Y687" s="12">
        <f t="shared" si="95"/>
        <v>0</v>
      </c>
      <c r="Z687" s="12">
        <f t="shared" si="96"/>
        <v>0</v>
      </c>
      <c r="AA687" s="248">
        <f t="shared" si="97"/>
        <v>0</v>
      </c>
      <c r="AB687" s="248">
        <f t="shared" si="98"/>
        <v>0</v>
      </c>
      <c r="AC687" s="12">
        <f t="shared" si="99"/>
        <v>0</v>
      </c>
      <c r="AD687" s="12">
        <f t="shared" si="100"/>
        <v>0</v>
      </c>
      <c r="AE687" s="111">
        <f t="shared" si="101"/>
        <v>0</v>
      </c>
      <c r="AF687" s="101" t="str">
        <f t="shared" si="85"/>
        <v>PTA80711</v>
      </c>
      <c r="AG687" s="12" t="s">
        <v>317</v>
      </c>
      <c r="AH687" s="111" t="str">
        <f t="shared" si="120"/>
        <v>9999</v>
      </c>
      <c r="AI687" s="111" t="str">
        <f t="shared" si="121"/>
        <v>50010002</v>
      </c>
      <c r="AJ687" s="111">
        <f t="shared" si="102"/>
        <v>0</v>
      </c>
      <c r="AK687" s="111">
        <f t="shared" si="103"/>
        <v>0</v>
      </c>
      <c r="AL687" s="111">
        <f t="shared" si="122"/>
        <v>1</v>
      </c>
      <c r="AM687" s="111">
        <f t="shared" si="123"/>
        <v>0</v>
      </c>
      <c r="AN687" s="111" t="str">
        <f t="shared" si="124"/>
        <v>CNY</v>
      </c>
      <c r="AO687" s="6">
        <f t="shared" si="125"/>
        <v>2.0000000000000001E-4</v>
      </c>
      <c r="AP687" s="6">
        <f t="shared" si="126"/>
        <v>2</v>
      </c>
      <c r="AQ687" s="6">
        <f t="shared" si="104"/>
        <v>0</v>
      </c>
    </row>
    <row r="688" spans="1:43" s="6" customFormat="1" x14ac:dyDescent="0.25">
      <c r="A688" s="6" t="str">
        <f t="shared" si="93"/>
        <v>comment</v>
      </c>
      <c r="B688" s="111" t="str">
        <f t="shared" si="73"/>
        <v/>
      </c>
      <c r="C688" s="101" t="str">
        <f t="shared" si="74"/>
        <v>2018032810000062</v>
      </c>
      <c r="D688" s="113"/>
      <c r="E688" s="111" t="str">
        <f t="shared" si="75"/>
        <v>6001</v>
      </c>
      <c r="F688" s="111" t="str">
        <f t="shared" si="113"/>
        <v>B00102</v>
      </c>
      <c r="G688" s="111" t="str">
        <f t="shared" si="127"/>
        <v>6001</v>
      </c>
      <c r="H688" s="112">
        <v>10000062</v>
      </c>
      <c r="I688" s="104">
        <f t="shared" si="77"/>
        <v>20180328</v>
      </c>
      <c r="J688" s="113">
        <f>'day1'!G716</f>
        <v>20180326</v>
      </c>
      <c r="K688" s="111" t="str">
        <f t="shared" si="78"/>
        <v>CZCE</v>
      </c>
      <c r="L688" s="111" t="str">
        <f t="shared" si="115"/>
        <v>PTA807</v>
      </c>
      <c r="M688" s="111">
        <f t="shared" si="79"/>
        <v>5</v>
      </c>
      <c r="N688" s="111">
        <v>1</v>
      </c>
      <c r="O688" s="111">
        <v>0</v>
      </c>
      <c r="P688" s="111">
        <v>1</v>
      </c>
      <c r="Q688" s="111">
        <v>0</v>
      </c>
      <c r="R688" s="111">
        <f>R682</f>
        <v>6119</v>
      </c>
      <c r="S688" s="111">
        <v>6122</v>
      </c>
      <c r="T688" s="111">
        <f t="shared" si="80"/>
        <v>6160</v>
      </c>
      <c r="U688" s="12">
        <f t="shared" si="116"/>
        <v>4.0000000000000002E-4</v>
      </c>
      <c r="V688" s="111">
        <f t="shared" si="117"/>
        <v>4</v>
      </c>
      <c r="W688" s="111">
        <f t="shared" si="118"/>
        <v>2.9999999999999997E-4</v>
      </c>
      <c r="X688" s="111">
        <f t="shared" si="119"/>
        <v>3</v>
      </c>
      <c r="Y688" s="12">
        <f t="shared" si="95"/>
        <v>0</v>
      </c>
      <c r="Z688" s="12">
        <f t="shared" si="96"/>
        <v>0</v>
      </c>
      <c r="AA688" s="248">
        <f t="shared" si="97"/>
        <v>0</v>
      </c>
      <c r="AB688" s="248">
        <f t="shared" si="98"/>
        <v>0</v>
      </c>
      <c r="AC688" s="12">
        <f t="shared" si="99"/>
        <v>0</v>
      </c>
      <c r="AD688" s="12">
        <f t="shared" si="100"/>
        <v>0</v>
      </c>
      <c r="AE688" s="111">
        <f t="shared" si="101"/>
        <v>0</v>
      </c>
      <c r="AF688" s="101" t="str">
        <f t="shared" si="85"/>
        <v>PTA80711</v>
      </c>
      <c r="AG688" s="12" t="s">
        <v>317</v>
      </c>
      <c r="AH688" s="111" t="str">
        <f t="shared" si="120"/>
        <v>9999</v>
      </c>
      <c r="AI688" s="111" t="str">
        <f t="shared" si="121"/>
        <v>50010002</v>
      </c>
      <c r="AJ688" s="111">
        <f t="shared" si="102"/>
        <v>0</v>
      </c>
      <c r="AK688" s="111">
        <f t="shared" si="103"/>
        <v>0</v>
      </c>
      <c r="AL688" s="111">
        <f t="shared" si="122"/>
        <v>1</v>
      </c>
      <c r="AM688" s="111">
        <f t="shared" si="123"/>
        <v>0</v>
      </c>
      <c r="AN688" s="111" t="str">
        <f t="shared" si="124"/>
        <v>CNY</v>
      </c>
      <c r="AO688" s="6">
        <f t="shared" si="125"/>
        <v>2.0000000000000001E-4</v>
      </c>
      <c r="AP688" s="6">
        <f t="shared" si="126"/>
        <v>2</v>
      </c>
      <c r="AQ688" s="6">
        <f t="shared" si="104"/>
        <v>0</v>
      </c>
    </row>
    <row r="689" spans="1:43" s="6" customFormat="1" x14ac:dyDescent="0.25">
      <c r="A689" s="6" t="str">
        <f t="shared" si="93"/>
        <v>comment</v>
      </c>
      <c r="B689" s="111" t="str">
        <f>IF(AND(D689&lt;&gt;"",Q689&lt;&gt;0),CONCATENATE(C689,D689),"")</f>
        <v/>
      </c>
      <c r="C689" s="101" t="str">
        <f t="shared" si="74"/>
        <v>2018032810000063</v>
      </c>
      <c r="D689" s="113"/>
      <c r="E689" s="111" t="str">
        <f t="shared" si="75"/>
        <v>6001</v>
      </c>
      <c r="F689" s="111" t="str">
        <f t="shared" si="113"/>
        <v>B00102</v>
      </c>
      <c r="G689" s="111" t="str">
        <f t="shared" si="127"/>
        <v>6001</v>
      </c>
      <c r="H689" s="112">
        <v>10000063</v>
      </c>
      <c r="I689" s="104">
        <f t="shared" si="77"/>
        <v>20180328</v>
      </c>
      <c r="J689" s="113">
        <f t="shared" si="107"/>
        <v>20180328</v>
      </c>
      <c r="K689" s="111" t="str">
        <f t="shared" si="78"/>
        <v>CZCE</v>
      </c>
      <c r="L689" s="111" t="str">
        <f t="shared" si="115"/>
        <v>PTA807</v>
      </c>
      <c r="M689" s="111">
        <f t="shared" si="79"/>
        <v>5</v>
      </c>
      <c r="N689" s="111">
        <v>1</v>
      </c>
      <c r="O689" s="111">
        <v>0</v>
      </c>
      <c r="P689" s="111">
        <v>3</v>
      </c>
      <c r="Q689" s="111">
        <v>0</v>
      </c>
      <c r="R689" s="111">
        <f>R684</f>
        <v>6116</v>
      </c>
      <c r="S689" s="111">
        <v>6122</v>
      </c>
      <c r="T689" s="111">
        <f t="shared" si="80"/>
        <v>6160</v>
      </c>
      <c r="U689" s="12">
        <f t="shared" si="116"/>
        <v>4.0000000000000002E-4</v>
      </c>
      <c r="V689" s="111">
        <f t="shared" si="117"/>
        <v>4</v>
      </c>
      <c r="W689" s="111">
        <f t="shared" si="118"/>
        <v>3.9999999999999996E-4</v>
      </c>
      <c r="X689" s="111">
        <f t="shared" si="119"/>
        <v>4</v>
      </c>
      <c r="Y689" s="12">
        <f t="shared" si="95"/>
        <v>0</v>
      </c>
      <c r="Z689" s="12">
        <f t="shared" si="96"/>
        <v>0</v>
      </c>
      <c r="AA689" s="248">
        <f t="shared" si="97"/>
        <v>0</v>
      </c>
      <c r="AB689" s="248">
        <f t="shared" si="98"/>
        <v>0</v>
      </c>
      <c r="AC689" s="12">
        <f t="shared" si="99"/>
        <v>0</v>
      </c>
      <c r="AD689" s="12">
        <f t="shared" si="100"/>
        <v>0</v>
      </c>
      <c r="AE689" s="111">
        <f t="shared" si="101"/>
        <v>0</v>
      </c>
      <c r="AF689" s="101" t="str">
        <f t="shared" si="85"/>
        <v>PTA80731</v>
      </c>
      <c r="AG689" s="12" t="s">
        <v>317</v>
      </c>
      <c r="AH689" s="111" t="str">
        <f t="shared" si="120"/>
        <v>9999</v>
      </c>
      <c r="AI689" s="111" t="str">
        <f t="shared" si="121"/>
        <v>50010002</v>
      </c>
      <c r="AJ689" s="111">
        <f t="shared" si="102"/>
        <v>0</v>
      </c>
      <c r="AK689" s="111">
        <f t="shared" si="103"/>
        <v>0</v>
      </c>
      <c r="AL689" s="111">
        <f t="shared" si="122"/>
        <v>1</v>
      </c>
      <c r="AM689" s="111">
        <f t="shared" si="123"/>
        <v>0</v>
      </c>
      <c r="AN689" s="111" t="str">
        <f t="shared" si="124"/>
        <v>CNY</v>
      </c>
      <c r="AO689" s="6">
        <f t="shared" si="125"/>
        <v>2.0000000000000001E-4</v>
      </c>
      <c r="AP689" s="6">
        <f t="shared" si="126"/>
        <v>2</v>
      </c>
      <c r="AQ689" s="6">
        <f t="shared" si="104"/>
        <v>0</v>
      </c>
    </row>
    <row r="690" spans="1:43" s="6" customFormat="1" x14ac:dyDescent="0.25">
      <c r="A690" s="6" t="str">
        <f t="shared" si="93"/>
        <v>comment</v>
      </c>
      <c r="B690" s="111" t="str">
        <f>IF(AND(D690&lt;&gt;"",Q690&lt;&gt;0),CONCATENATE(C690,D690),"")</f>
        <v/>
      </c>
      <c r="C690" s="101" t="str">
        <f t="shared" si="74"/>
        <v>2018032810000070</v>
      </c>
      <c r="D690" s="114"/>
      <c r="E690" s="111" t="str">
        <f t="shared" si="75"/>
        <v>6001</v>
      </c>
      <c r="F690" s="111" t="str">
        <f t="shared" ref="F690:F697" si="128">VLOOKUP(E690,$B$5:$C$5,2)</f>
        <v>B00101</v>
      </c>
      <c r="G690" s="111" t="str">
        <f t="shared" si="127"/>
        <v>6001</v>
      </c>
      <c r="H690" s="111">
        <v>10000070</v>
      </c>
      <c r="I690" s="104">
        <f t="shared" si="77"/>
        <v>20180328</v>
      </c>
      <c r="J690" s="113">
        <f t="shared" si="107"/>
        <v>20180328</v>
      </c>
      <c r="K690" s="111" t="str">
        <f t="shared" si="78"/>
        <v>CZCE</v>
      </c>
      <c r="L690" s="111" t="str">
        <f t="shared" ref="L690:L697" si="129">$C$19</f>
        <v>SR807</v>
      </c>
      <c r="M690" s="111">
        <f t="shared" si="79"/>
        <v>10</v>
      </c>
      <c r="N690" s="111">
        <v>0</v>
      </c>
      <c r="O690" s="111">
        <v>0</v>
      </c>
      <c r="P690" s="111">
        <v>1</v>
      </c>
      <c r="Q690" s="111">
        <v>0</v>
      </c>
      <c r="R690" s="111">
        <f t="shared" ref="R690:R698" si="130">IF(N690=0,S690,VLOOKUP(D690,$C$662:$S$709,16,FALSE))</f>
        <v>6400</v>
      </c>
      <c r="S690" s="111">
        <f>J29</f>
        <v>6400</v>
      </c>
      <c r="T690" s="111">
        <f t="shared" si="80"/>
        <v>6155</v>
      </c>
      <c r="U690" s="12">
        <f t="shared" si="116"/>
        <v>5.0000000000000001E-4</v>
      </c>
      <c r="V690" s="111">
        <f t="shared" si="117"/>
        <v>5</v>
      </c>
      <c r="W690" s="111">
        <f t="shared" si="118"/>
        <v>4.0000000000000002E-4</v>
      </c>
      <c r="X690" s="111">
        <f t="shared" si="119"/>
        <v>4</v>
      </c>
      <c r="Y690" s="12">
        <f t="shared" si="95"/>
        <v>0</v>
      </c>
      <c r="Z690" s="12">
        <f t="shared" si="96"/>
        <v>0</v>
      </c>
      <c r="AA690" s="248">
        <f t="shared" si="97"/>
        <v>0</v>
      </c>
      <c r="AB690" s="248">
        <f t="shared" si="98"/>
        <v>0</v>
      </c>
      <c r="AC690" s="12">
        <f t="shared" si="99"/>
        <v>0</v>
      </c>
      <c r="AD690" s="12">
        <f t="shared" si="100"/>
        <v>0</v>
      </c>
      <c r="AE690" s="111">
        <f t="shared" si="101"/>
        <v>0</v>
      </c>
      <c r="AF690" s="101" t="str">
        <f t="shared" si="85"/>
        <v>SR80710</v>
      </c>
      <c r="AG690" s="111" t="s">
        <v>312</v>
      </c>
      <c r="AH690" s="111" t="str">
        <f t="shared" si="120"/>
        <v>9999</v>
      </c>
      <c r="AI690" s="111" t="str">
        <f t="shared" si="121"/>
        <v>50010001</v>
      </c>
      <c r="AJ690" s="111">
        <f t="shared" si="102"/>
        <v>0</v>
      </c>
      <c r="AK690" s="111">
        <f t="shared" si="103"/>
        <v>0</v>
      </c>
      <c r="AL690" s="111">
        <f t="shared" si="122"/>
        <v>0</v>
      </c>
      <c r="AM690" s="111">
        <f t="shared" si="123"/>
        <v>0</v>
      </c>
      <c r="AN690" s="111" t="str">
        <f t="shared" si="124"/>
        <v>CNY</v>
      </c>
      <c r="AO690" s="6">
        <f t="shared" si="125"/>
        <v>2.0000000000000001E-4</v>
      </c>
      <c r="AP690" s="6">
        <f t="shared" si="126"/>
        <v>2</v>
      </c>
      <c r="AQ690" s="6">
        <f t="shared" si="104"/>
        <v>0</v>
      </c>
    </row>
    <row r="691" spans="1:43" s="6" customFormat="1" x14ac:dyDescent="0.25">
      <c r="A691" s="6" t="str">
        <f t="shared" si="93"/>
        <v>comment</v>
      </c>
      <c r="B691" s="111" t="str">
        <f t="shared" si="73"/>
        <v/>
      </c>
      <c r="C691" s="101" t="str">
        <f t="shared" si="74"/>
        <v>2018032810000071</v>
      </c>
      <c r="D691" s="111"/>
      <c r="E691" s="111" t="str">
        <f t="shared" si="75"/>
        <v>6001</v>
      </c>
      <c r="F691" s="111" t="str">
        <f t="shared" si="128"/>
        <v>B00101</v>
      </c>
      <c r="G691" s="111" t="str">
        <f t="shared" si="127"/>
        <v>6001</v>
      </c>
      <c r="H691" s="111">
        <v>10000071</v>
      </c>
      <c r="I691" s="104">
        <f t="shared" si="77"/>
        <v>20180328</v>
      </c>
      <c r="J691" s="113">
        <f t="shared" si="107"/>
        <v>20180328</v>
      </c>
      <c r="K691" s="111" t="str">
        <f t="shared" si="78"/>
        <v>CZCE</v>
      </c>
      <c r="L691" s="111" t="str">
        <f t="shared" si="129"/>
        <v>SR807</v>
      </c>
      <c r="M691" s="111">
        <f t="shared" si="79"/>
        <v>10</v>
      </c>
      <c r="N691" s="111">
        <v>0</v>
      </c>
      <c r="O691" s="111">
        <v>0</v>
      </c>
      <c r="P691" s="111">
        <v>3</v>
      </c>
      <c r="Q691" s="111">
        <v>0</v>
      </c>
      <c r="R691" s="111">
        <f t="shared" si="130"/>
        <v>6400</v>
      </c>
      <c r="S691" s="111">
        <f>S690</f>
        <v>6400</v>
      </c>
      <c r="T691" s="111">
        <f t="shared" si="80"/>
        <v>6155</v>
      </c>
      <c r="U691" s="12">
        <f t="shared" si="116"/>
        <v>5.0000000000000001E-4</v>
      </c>
      <c r="V691" s="111">
        <f t="shared" si="117"/>
        <v>5</v>
      </c>
      <c r="W691" s="111">
        <f t="shared" si="118"/>
        <v>5.0000000000000001E-4</v>
      </c>
      <c r="X691" s="111">
        <f t="shared" si="119"/>
        <v>5</v>
      </c>
      <c r="Y691" s="12">
        <f t="shared" si="95"/>
        <v>0</v>
      </c>
      <c r="Z691" s="12">
        <f t="shared" si="96"/>
        <v>0</v>
      </c>
      <c r="AA691" s="248">
        <f t="shared" si="97"/>
        <v>0</v>
      </c>
      <c r="AB691" s="248">
        <f t="shared" si="98"/>
        <v>0</v>
      </c>
      <c r="AC691" s="12">
        <f t="shared" si="99"/>
        <v>0</v>
      </c>
      <c r="AD691" s="12">
        <f t="shared" si="100"/>
        <v>0</v>
      </c>
      <c r="AE691" s="111">
        <f t="shared" si="101"/>
        <v>0</v>
      </c>
      <c r="AF691" s="101" t="str">
        <f t="shared" si="85"/>
        <v>SR80730</v>
      </c>
      <c r="AG691" s="111" t="s">
        <v>312</v>
      </c>
      <c r="AH691" s="111" t="str">
        <f t="shared" si="120"/>
        <v>9999</v>
      </c>
      <c r="AI691" s="111" t="str">
        <f t="shared" si="121"/>
        <v>50010001</v>
      </c>
      <c r="AJ691" s="111">
        <f t="shared" si="102"/>
        <v>0</v>
      </c>
      <c r="AK691" s="111">
        <f t="shared" si="103"/>
        <v>0</v>
      </c>
      <c r="AL691" s="111">
        <f t="shared" si="122"/>
        <v>0</v>
      </c>
      <c r="AM691" s="111">
        <f t="shared" si="123"/>
        <v>0</v>
      </c>
      <c r="AN691" s="111" t="str">
        <f t="shared" si="124"/>
        <v>CNY</v>
      </c>
      <c r="AO691" s="6">
        <f t="shared" si="125"/>
        <v>2.0000000000000001E-4</v>
      </c>
      <c r="AP691" s="6">
        <f t="shared" si="126"/>
        <v>2</v>
      </c>
      <c r="AQ691" s="6">
        <f t="shared" si="104"/>
        <v>0</v>
      </c>
    </row>
    <row r="692" spans="1:43" s="6" customFormat="1" x14ac:dyDescent="0.25">
      <c r="A692" s="6" t="str">
        <f t="shared" si="93"/>
        <v>comment</v>
      </c>
      <c r="B692" s="111" t="str">
        <f t="shared" si="73"/>
        <v/>
      </c>
      <c r="C692" s="101" t="str">
        <f t="shared" si="74"/>
        <v>2018032810000072</v>
      </c>
      <c r="D692" s="111"/>
      <c r="E692" s="111" t="str">
        <f t="shared" si="75"/>
        <v>6001</v>
      </c>
      <c r="F692" s="111" t="str">
        <f t="shared" si="128"/>
        <v>B00101</v>
      </c>
      <c r="G692" s="111" t="str">
        <f t="shared" si="127"/>
        <v>6001</v>
      </c>
      <c r="H692" s="111">
        <v>10000072</v>
      </c>
      <c r="I692" s="104">
        <f t="shared" si="77"/>
        <v>20180328</v>
      </c>
      <c r="J692" s="113">
        <f t="shared" si="107"/>
        <v>20180328</v>
      </c>
      <c r="K692" s="111" t="str">
        <f t="shared" si="78"/>
        <v>CZCE</v>
      </c>
      <c r="L692" s="111" t="str">
        <f t="shared" si="129"/>
        <v>SR807</v>
      </c>
      <c r="M692" s="111">
        <f t="shared" si="79"/>
        <v>10</v>
      </c>
      <c r="N692" s="111">
        <v>0</v>
      </c>
      <c r="O692" s="111">
        <v>1</v>
      </c>
      <c r="P692" s="111">
        <v>1</v>
      </c>
      <c r="Q692" s="111">
        <v>0</v>
      </c>
      <c r="R692" s="111">
        <f t="shared" si="130"/>
        <v>6400</v>
      </c>
      <c r="S692" s="111">
        <f>S690</f>
        <v>6400</v>
      </c>
      <c r="T692" s="111">
        <f t="shared" si="80"/>
        <v>6155</v>
      </c>
      <c r="U692" s="12">
        <f t="shared" si="116"/>
        <v>5.0000000000000001E-4</v>
      </c>
      <c r="V692" s="111">
        <f t="shared" si="117"/>
        <v>5</v>
      </c>
      <c r="W692" s="111">
        <f t="shared" si="118"/>
        <v>4.0000000000000002E-4</v>
      </c>
      <c r="X692" s="111">
        <f t="shared" si="119"/>
        <v>4</v>
      </c>
      <c r="Y692" s="12">
        <f t="shared" si="95"/>
        <v>0</v>
      </c>
      <c r="Z692" s="12">
        <f t="shared" si="96"/>
        <v>0</v>
      </c>
      <c r="AA692" s="248">
        <f t="shared" si="97"/>
        <v>0</v>
      </c>
      <c r="AB692" s="248">
        <f t="shared" si="98"/>
        <v>0</v>
      </c>
      <c r="AC692" s="12">
        <f t="shared" si="99"/>
        <v>0</v>
      </c>
      <c r="AD692" s="12">
        <f t="shared" si="100"/>
        <v>0</v>
      </c>
      <c r="AE692" s="111">
        <f t="shared" si="101"/>
        <v>0</v>
      </c>
      <c r="AF692" s="101" t="str">
        <f t="shared" si="85"/>
        <v>SR80710</v>
      </c>
      <c r="AG692" s="111" t="s">
        <v>312</v>
      </c>
      <c r="AH692" s="111" t="str">
        <f t="shared" si="120"/>
        <v>9999</v>
      </c>
      <c r="AI692" s="111" t="str">
        <f t="shared" si="121"/>
        <v>50010001</v>
      </c>
      <c r="AJ692" s="111">
        <f t="shared" si="102"/>
        <v>0</v>
      </c>
      <c r="AK692" s="111">
        <f t="shared" si="103"/>
        <v>0</v>
      </c>
      <c r="AL692" s="111">
        <f t="shared" si="122"/>
        <v>0</v>
      </c>
      <c r="AM692" s="111">
        <f t="shared" si="123"/>
        <v>0</v>
      </c>
      <c r="AN692" s="111" t="str">
        <f t="shared" si="124"/>
        <v>CNY</v>
      </c>
      <c r="AO692" s="6">
        <f t="shared" si="125"/>
        <v>2.0000000000000001E-4</v>
      </c>
      <c r="AP692" s="6">
        <f t="shared" si="126"/>
        <v>2</v>
      </c>
      <c r="AQ692" s="6">
        <f t="shared" si="104"/>
        <v>0</v>
      </c>
    </row>
    <row r="693" spans="1:43" s="6" customFormat="1" x14ac:dyDescent="0.25">
      <c r="A693" s="6" t="str">
        <f t="shared" si="93"/>
        <v>comment</v>
      </c>
      <c r="B693" s="111" t="str">
        <f t="shared" si="73"/>
        <v/>
      </c>
      <c r="C693" s="101" t="str">
        <f t="shared" si="74"/>
        <v>2018032810000073</v>
      </c>
      <c r="D693" s="111"/>
      <c r="E693" s="111" t="str">
        <f t="shared" si="75"/>
        <v>6001</v>
      </c>
      <c r="F693" s="111" t="str">
        <f t="shared" si="128"/>
        <v>B00101</v>
      </c>
      <c r="G693" s="111" t="str">
        <f t="shared" si="127"/>
        <v>6001</v>
      </c>
      <c r="H693" s="111">
        <v>10000073</v>
      </c>
      <c r="I693" s="104">
        <f t="shared" si="77"/>
        <v>20180328</v>
      </c>
      <c r="J693" s="113">
        <f t="shared" si="107"/>
        <v>20180328</v>
      </c>
      <c r="K693" s="111" t="str">
        <f t="shared" si="78"/>
        <v>CZCE</v>
      </c>
      <c r="L693" s="111" t="str">
        <f t="shared" si="129"/>
        <v>SR807</v>
      </c>
      <c r="M693" s="111">
        <f t="shared" si="79"/>
        <v>10</v>
      </c>
      <c r="N693" s="111">
        <v>0</v>
      </c>
      <c r="O693" s="111">
        <v>1</v>
      </c>
      <c r="P693" s="111">
        <v>3</v>
      </c>
      <c r="Q693" s="111">
        <v>0</v>
      </c>
      <c r="R693" s="111">
        <f t="shared" si="130"/>
        <v>6400</v>
      </c>
      <c r="S693" s="111">
        <f>S690</f>
        <v>6400</v>
      </c>
      <c r="T693" s="111">
        <f t="shared" si="80"/>
        <v>6155</v>
      </c>
      <c r="U693" s="12">
        <f t="shared" si="116"/>
        <v>5.0000000000000001E-4</v>
      </c>
      <c r="V693" s="111">
        <f t="shared" si="117"/>
        <v>5</v>
      </c>
      <c r="W693" s="111">
        <f t="shared" si="118"/>
        <v>5.0000000000000001E-4</v>
      </c>
      <c r="X693" s="111">
        <f t="shared" si="119"/>
        <v>5</v>
      </c>
      <c r="Y693" s="12">
        <f t="shared" si="95"/>
        <v>0</v>
      </c>
      <c r="Z693" s="12">
        <f t="shared" si="96"/>
        <v>0</v>
      </c>
      <c r="AA693" s="248">
        <f t="shared" si="97"/>
        <v>0</v>
      </c>
      <c r="AB693" s="248">
        <f t="shared" si="98"/>
        <v>0</v>
      </c>
      <c r="AC693" s="12">
        <f t="shared" si="99"/>
        <v>0</v>
      </c>
      <c r="AD693" s="12">
        <f t="shared" si="100"/>
        <v>0</v>
      </c>
      <c r="AE693" s="111">
        <f t="shared" si="101"/>
        <v>0</v>
      </c>
      <c r="AF693" s="101" t="str">
        <f t="shared" si="85"/>
        <v>SR80730</v>
      </c>
      <c r="AG693" s="111" t="s">
        <v>312</v>
      </c>
      <c r="AH693" s="111" t="str">
        <f t="shared" si="120"/>
        <v>9999</v>
      </c>
      <c r="AI693" s="111" t="str">
        <f t="shared" si="121"/>
        <v>50010001</v>
      </c>
      <c r="AJ693" s="111">
        <f t="shared" si="102"/>
        <v>0</v>
      </c>
      <c r="AK693" s="111">
        <f t="shared" si="103"/>
        <v>0</v>
      </c>
      <c r="AL693" s="111">
        <f t="shared" si="122"/>
        <v>0</v>
      </c>
      <c r="AM693" s="111">
        <f t="shared" si="123"/>
        <v>0</v>
      </c>
      <c r="AN693" s="111" t="str">
        <f t="shared" si="124"/>
        <v>CNY</v>
      </c>
      <c r="AO693" s="6">
        <f t="shared" si="125"/>
        <v>2.0000000000000001E-4</v>
      </c>
      <c r="AP693" s="6">
        <f t="shared" si="126"/>
        <v>2</v>
      </c>
      <c r="AQ693" s="6">
        <f t="shared" si="104"/>
        <v>0</v>
      </c>
    </row>
    <row r="694" spans="1:43" s="6" customFormat="1" x14ac:dyDescent="0.25">
      <c r="A694" s="6" t="str">
        <f t="shared" si="93"/>
        <v>comment</v>
      </c>
      <c r="B694" s="111" t="str">
        <f t="shared" si="73"/>
        <v/>
      </c>
      <c r="C694" s="101" t="str">
        <f t="shared" si="74"/>
        <v>2018032810000074</v>
      </c>
      <c r="D694" s="111"/>
      <c r="E694" s="111" t="str">
        <f t="shared" si="75"/>
        <v>6001</v>
      </c>
      <c r="F694" s="111" t="str">
        <f t="shared" si="128"/>
        <v>B00101</v>
      </c>
      <c r="G694" s="111" t="str">
        <f t="shared" si="127"/>
        <v>6001</v>
      </c>
      <c r="H694" s="111">
        <v>10000074</v>
      </c>
      <c r="I694" s="104">
        <f t="shared" si="77"/>
        <v>20180328</v>
      </c>
      <c r="J694" s="113">
        <f t="shared" si="107"/>
        <v>20180328</v>
      </c>
      <c r="K694" s="111" t="str">
        <f t="shared" si="78"/>
        <v>CZCE</v>
      </c>
      <c r="L694" s="111" t="str">
        <f t="shared" si="129"/>
        <v>SR807</v>
      </c>
      <c r="M694" s="111">
        <f t="shared" si="79"/>
        <v>10</v>
      </c>
      <c r="N694" s="111">
        <v>0</v>
      </c>
      <c r="O694" s="111">
        <v>0</v>
      </c>
      <c r="P694" s="111">
        <v>1</v>
      </c>
      <c r="Q694" s="111">
        <v>0</v>
      </c>
      <c r="R694" s="111">
        <f t="shared" si="130"/>
        <v>6500</v>
      </c>
      <c r="S694" s="111">
        <f>$J$28</f>
        <v>6500</v>
      </c>
      <c r="T694" s="111">
        <f t="shared" si="80"/>
        <v>6155</v>
      </c>
      <c r="U694" s="12">
        <f t="shared" si="116"/>
        <v>5.0000000000000001E-4</v>
      </c>
      <c r="V694" s="111">
        <f t="shared" si="117"/>
        <v>5</v>
      </c>
      <c r="W694" s="111">
        <f t="shared" si="118"/>
        <v>4.0000000000000002E-4</v>
      </c>
      <c r="X694" s="111">
        <f t="shared" si="119"/>
        <v>4</v>
      </c>
      <c r="Y694" s="12">
        <f t="shared" si="95"/>
        <v>0</v>
      </c>
      <c r="Z694" s="12">
        <f t="shared" si="96"/>
        <v>0</v>
      </c>
      <c r="AA694" s="248">
        <f t="shared" si="97"/>
        <v>0</v>
      </c>
      <c r="AB694" s="248">
        <f t="shared" si="98"/>
        <v>0</v>
      </c>
      <c r="AC694" s="12">
        <f t="shared" si="99"/>
        <v>0</v>
      </c>
      <c r="AD694" s="12">
        <f t="shared" si="100"/>
        <v>0</v>
      </c>
      <c r="AE694" s="111">
        <f t="shared" si="101"/>
        <v>0</v>
      </c>
      <c r="AF694" s="101" t="str">
        <f t="shared" si="85"/>
        <v>SR80710</v>
      </c>
      <c r="AG694" s="111" t="s">
        <v>312</v>
      </c>
      <c r="AH694" s="111" t="str">
        <f t="shared" si="120"/>
        <v>9999</v>
      </c>
      <c r="AI694" s="111" t="str">
        <f t="shared" si="121"/>
        <v>50010001</v>
      </c>
      <c r="AJ694" s="111">
        <f t="shared" si="102"/>
        <v>0</v>
      </c>
      <c r="AK694" s="111">
        <f t="shared" si="103"/>
        <v>0</v>
      </c>
      <c r="AL694" s="111">
        <f t="shared" si="122"/>
        <v>0</v>
      </c>
      <c r="AM694" s="111">
        <f t="shared" si="123"/>
        <v>0</v>
      </c>
      <c r="AN694" s="111" t="str">
        <f t="shared" si="124"/>
        <v>CNY</v>
      </c>
      <c r="AO694" s="6">
        <f t="shared" si="125"/>
        <v>2.0000000000000001E-4</v>
      </c>
      <c r="AP694" s="6">
        <f t="shared" si="126"/>
        <v>2</v>
      </c>
      <c r="AQ694" s="6">
        <f t="shared" si="104"/>
        <v>0</v>
      </c>
    </row>
    <row r="695" spans="1:43" s="6" customFormat="1" x14ac:dyDescent="0.25">
      <c r="A695" s="6" t="str">
        <f t="shared" si="93"/>
        <v>comment</v>
      </c>
      <c r="B695" s="111" t="str">
        <f t="shared" si="73"/>
        <v/>
      </c>
      <c r="C695" s="101" t="str">
        <f t="shared" si="74"/>
        <v>2018032810000075</v>
      </c>
      <c r="D695" s="111"/>
      <c r="E695" s="111" t="str">
        <f t="shared" si="75"/>
        <v>6001</v>
      </c>
      <c r="F695" s="111" t="str">
        <f t="shared" si="128"/>
        <v>B00101</v>
      </c>
      <c r="G695" s="111" t="str">
        <f t="shared" si="127"/>
        <v>6001</v>
      </c>
      <c r="H695" s="111">
        <v>10000075</v>
      </c>
      <c r="I695" s="104">
        <f t="shared" si="77"/>
        <v>20180328</v>
      </c>
      <c r="J695" s="113">
        <f t="shared" si="107"/>
        <v>20180328</v>
      </c>
      <c r="K695" s="111" t="str">
        <f t="shared" si="78"/>
        <v>CZCE</v>
      </c>
      <c r="L695" s="111" t="str">
        <f t="shared" si="129"/>
        <v>SR807</v>
      </c>
      <c r="M695" s="111">
        <f t="shared" si="79"/>
        <v>10</v>
      </c>
      <c r="N695" s="111">
        <v>0</v>
      </c>
      <c r="O695" s="111">
        <v>0</v>
      </c>
      <c r="P695" s="111">
        <v>3</v>
      </c>
      <c r="Q695" s="111">
        <v>0</v>
      </c>
      <c r="R695" s="111">
        <f t="shared" si="130"/>
        <v>6500</v>
      </c>
      <c r="S695" s="111">
        <f>$J$28</f>
        <v>6500</v>
      </c>
      <c r="T695" s="111">
        <f t="shared" si="80"/>
        <v>6155</v>
      </c>
      <c r="U695" s="12">
        <f t="shared" si="116"/>
        <v>5.0000000000000001E-4</v>
      </c>
      <c r="V695" s="111">
        <f t="shared" si="117"/>
        <v>5</v>
      </c>
      <c r="W695" s="111">
        <f t="shared" si="118"/>
        <v>5.0000000000000001E-4</v>
      </c>
      <c r="X695" s="111">
        <f t="shared" si="119"/>
        <v>5</v>
      </c>
      <c r="Y695" s="12">
        <f t="shared" si="95"/>
        <v>0</v>
      </c>
      <c r="Z695" s="12">
        <f t="shared" si="96"/>
        <v>0</v>
      </c>
      <c r="AA695" s="248">
        <f t="shared" si="97"/>
        <v>0</v>
      </c>
      <c r="AB695" s="248">
        <f t="shared" si="98"/>
        <v>0</v>
      </c>
      <c r="AC695" s="12">
        <f t="shared" si="99"/>
        <v>0</v>
      </c>
      <c r="AD695" s="12">
        <f t="shared" si="100"/>
        <v>0</v>
      </c>
      <c r="AE695" s="111">
        <f t="shared" si="101"/>
        <v>0</v>
      </c>
      <c r="AF695" s="101" t="str">
        <f t="shared" si="85"/>
        <v>SR80730</v>
      </c>
      <c r="AG695" s="111" t="s">
        <v>312</v>
      </c>
      <c r="AH695" s="111" t="str">
        <f t="shared" si="120"/>
        <v>9999</v>
      </c>
      <c r="AI695" s="111" t="str">
        <f t="shared" si="121"/>
        <v>50010001</v>
      </c>
      <c r="AJ695" s="111">
        <f t="shared" si="102"/>
        <v>0</v>
      </c>
      <c r="AK695" s="111">
        <f t="shared" si="103"/>
        <v>0</v>
      </c>
      <c r="AL695" s="111">
        <f t="shared" si="122"/>
        <v>0</v>
      </c>
      <c r="AM695" s="111">
        <f t="shared" si="123"/>
        <v>0</v>
      </c>
      <c r="AN695" s="111" t="str">
        <f t="shared" si="124"/>
        <v>CNY</v>
      </c>
      <c r="AO695" s="6">
        <f t="shared" si="125"/>
        <v>2.0000000000000001E-4</v>
      </c>
      <c r="AP695" s="6">
        <f t="shared" si="126"/>
        <v>2</v>
      </c>
      <c r="AQ695" s="6">
        <f t="shared" si="104"/>
        <v>0</v>
      </c>
    </row>
    <row r="696" spans="1:43" s="6" customFormat="1" x14ac:dyDescent="0.25">
      <c r="A696" s="6" t="str">
        <f t="shared" si="93"/>
        <v>comment</v>
      </c>
      <c r="B696" s="111" t="str">
        <f t="shared" si="73"/>
        <v/>
      </c>
      <c r="C696" s="101" t="str">
        <f t="shared" si="74"/>
        <v>2018032810000076</v>
      </c>
      <c r="D696" s="111"/>
      <c r="E696" s="111" t="str">
        <f t="shared" si="75"/>
        <v>6001</v>
      </c>
      <c r="F696" s="111" t="str">
        <f t="shared" si="128"/>
        <v>B00101</v>
      </c>
      <c r="G696" s="111" t="str">
        <f t="shared" si="127"/>
        <v>6001</v>
      </c>
      <c r="H696" s="111">
        <v>10000076</v>
      </c>
      <c r="I696" s="104">
        <f t="shared" si="77"/>
        <v>20180328</v>
      </c>
      <c r="J696" s="113">
        <f t="shared" si="107"/>
        <v>20180328</v>
      </c>
      <c r="K696" s="111" t="str">
        <f t="shared" si="78"/>
        <v>CZCE</v>
      </c>
      <c r="L696" s="111" t="str">
        <f t="shared" si="129"/>
        <v>SR807</v>
      </c>
      <c r="M696" s="111">
        <f t="shared" si="79"/>
        <v>10</v>
      </c>
      <c r="N696" s="111">
        <v>0</v>
      </c>
      <c r="O696" s="111">
        <v>1</v>
      </c>
      <c r="P696" s="111">
        <v>1</v>
      </c>
      <c r="Q696" s="111">
        <v>0</v>
      </c>
      <c r="R696" s="111">
        <f t="shared" si="130"/>
        <v>6500</v>
      </c>
      <c r="S696" s="111">
        <f>$J$28</f>
        <v>6500</v>
      </c>
      <c r="T696" s="111">
        <f t="shared" si="80"/>
        <v>6155</v>
      </c>
      <c r="U696" s="12">
        <f t="shared" si="116"/>
        <v>5.0000000000000001E-4</v>
      </c>
      <c r="V696" s="111">
        <f t="shared" si="117"/>
        <v>5</v>
      </c>
      <c r="W696" s="111">
        <f t="shared" si="118"/>
        <v>4.0000000000000002E-4</v>
      </c>
      <c r="X696" s="111">
        <f t="shared" si="119"/>
        <v>4</v>
      </c>
      <c r="Y696" s="12">
        <f t="shared" si="95"/>
        <v>0</v>
      </c>
      <c r="Z696" s="12">
        <f t="shared" si="96"/>
        <v>0</v>
      </c>
      <c r="AA696" s="248">
        <f t="shared" si="97"/>
        <v>0</v>
      </c>
      <c r="AB696" s="248">
        <f t="shared" si="98"/>
        <v>0</v>
      </c>
      <c r="AC696" s="12">
        <f t="shared" si="99"/>
        <v>0</v>
      </c>
      <c r="AD696" s="12">
        <f t="shared" si="100"/>
        <v>0</v>
      </c>
      <c r="AE696" s="111">
        <f t="shared" si="101"/>
        <v>0</v>
      </c>
      <c r="AF696" s="101" t="str">
        <f t="shared" si="85"/>
        <v>SR80710</v>
      </c>
      <c r="AG696" s="111" t="s">
        <v>312</v>
      </c>
      <c r="AH696" s="111" t="str">
        <f t="shared" si="120"/>
        <v>9999</v>
      </c>
      <c r="AI696" s="111" t="str">
        <f t="shared" si="121"/>
        <v>50010001</v>
      </c>
      <c r="AJ696" s="111">
        <f t="shared" si="102"/>
        <v>0</v>
      </c>
      <c r="AK696" s="111">
        <f t="shared" si="103"/>
        <v>0</v>
      </c>
      <c r="AL696" s="111">
        <f t="shared" si="122"/>
        <v>0</v>
      </c>
      <c r="AM696" s="111">
        <f t="shared" si="123"/>
        <v>0</v>
      </c>
      <c r="AN696" s="111" t="str">
        <f t="shared" si="124"/>
        <v>CNY</v>
      </c>
      <c r="AO696" s="6">
        <f t="shared" si="125"/>
        <v>2.0000000000000001E-4</v>
      </c>
      <c r="AP696" s="6">
        <f t="shared" si="126"/>
        <v>2</v>
      </c>
      <c r="AQ696" s="6">
        <f t="shared" si="104"/>
        <v>0</v>
      </c>
    </row>
    <row r="697" spans="1:43" s="6" customFormat="1" x14ac:dyDescent="0.25">
      <c r="A697" s="6" t="str">
        <f t="shared" si="93"/>
        <v>comment</v>
      </c>
      <c r="B697" s="111" t="str">
        <f t="shared" si="73"/>
        <v/>
      </c>
      <c r="C697" s="101" t="str">
        <f t="shared" si="74"/>
        <v>2018032810000077</v>
      </c>
      <c r="D697" s="111"/>
      <c r="E697" s="111" t="str">
        <f t="shared" si="75"/>
        <v>6001</v>
      </c>
      <c r="F697" s="111" t="str">
        <f t="shared" si="128"/>
        <v>B00101</v>
      </c>
      <c r="G697" s="111" t="str">
        <f t="shared" si="127"/>
        <v>6001</v>
      </c>
      <c r="H697" s="111">
        <v>10000077</v>
      </c>
      <c r="I697" s="104">
        <f t="shared" si="77"/>
        <v>20180328</v>
      </c>
      <c r="J697" s="113">
        <f t="shared" si="107"/>
        <v>20180328</v>
      </c>
      <c r="K697" s="111" t="str">
        <f t="shared" si="78"/>
        <v>CZCE</v>
      </c>
      <c r="L697" s="111" t="str">
        <f t="shared" si="129"/>
        <v>SR807</v>
      </c>
      <c r="M697" s="111">
        <f t="shared" si="79"/>
        <v>10</v>
      </c>
      <c r="N697" s="111">
        <v>0</v>
      </c>
      <c r="O697" s="111">
        <v>1</v>
      </c>
      <c r="P697" s="111">
        <v>3</v>
      </c>
      <c r="Q697" s="111">
        <v>0</v>
      </c>
      <c r="R697" s="111">
        <f t="shared" si="130"/>
        <v>6500</v>
      </c>
      <c r="S697" s="111">
        <f t="shared" ref="S697" si="131">S694</f>
        <v>6500</v>
      </c>
      <c r="T697" s="111">
        <f t="shared" si="80"/>
        <v>6155</v>
      </c>
      <c r="U697" s="12">
        <f t="shared" si="116"/>
        <v>5.0000000000000001E-4</v>
      </c>
      <c r="V697" s="111">
        <f t="shared" si="117"/>
        <v>5</v>
      </c>
      <c r="W697" s="111">
        <f t="shared" si="118"/>
        <v>5.0000000000000001E-4</v>
      </c>
      <c r="X697" s="111">
        <f t="shared" si="119"/>
        <v>5</v>
      </c>
      <c r="Y697" s="12">
        <f t="shared" si="95"/>
        <v>0</v>
      </c>
      <c r="Z697" s="12">
        <f t="shared" si="96"/>
        <v>0</v>
      </c>
      <c r="AA697" s="248">
        <f t="shared" si="97"/>
        <v>0</v>
      </c>
      <c r="AB697" s="248">
        <f t="shared" si="98"/>
        <v>0</v>
      </c>
      <c r="AC697" s="12">
        <f t="shared" si="99"/>
        <v>0</v>
      </c>
      <c r="AD697" s="12">
        <f t="shared" si="100"/>
        <v>0</v>
      </c>
      <c r="AE697" s="111">
        <f t="shared" si="101"/>
        <v>0</v>
      </c>
      <c r="AF697" s="101" t="str">
        <f t="shared" si="85"/>
        <v>SR80730</v>
      </c>
      <c r="AG697" s="111" t="s">
        <v>312</v>
      </c>
      <c r="AH697" s="111" t="str">
        <f t="shared" si="120"/>
        <v>9999</v>
      </c>
      <c r="AI697" s="111" t="str">
        <f t="shared" si="121"/>
        <v>50010001</v>
      </c>
      <c r="AJ697" s="111">
        <f t="shared" si="102"/>
        <v>0</v>
      </c>
      <c r="AK697" s="111">
        <f t="shared" si="103"/>
        <v>0</v>
      </c>
      <c r="AL697" s="111">
        <f t="shared" si="122"/>
        <v>0</v>
      </c>
      <c r="AM697" s="111">
        <f t="shared" si="123"/>
        <v>0</v>
      </c>
      <c r="AN697" s="111" t="str">
        <f t="shared" si="124"/>
        <v>CNY</v>
      </c>
      <c r="AO697" s="6">
        <f t="shared" si="125"/>
        <v>2.0000000000000001E-4</v>
      </c>
      <c r="AP697" s="6">
        <f t="shared" si="126"/>
        <v>2</v>
      </c>
      <c r="AQ697" s="6">
        <f t="shared" si="104"/>
        <v>0</v>
      </c>
    </row>
    <row r="698" spans="1:43" s="6" customFormat="1" x14ac:dyDescent="0.25">
      <c r="A698" s="6" t="str">
        <f t="shared" si="93"/>
        <v>comment</v>
      </c>
      <c r="B698" s="111" t="str">
        <f t="shared" si="73"/>
        <v/>
      </c>
      <c r="C698" s="101"/>
      <c r="D698" s="111"/>
      <c r="E698" s="111"/>
      <c r="F698" s="111"/>
      <c r="G698" s="111"/>
      <c r="H698" s="111"/>
      <c r="I698" s="104"/>
      <c r="J698" s="113"/>
      <c r="K698" s="111"/>
      <c r="L698" s="111"/>
      <c r="M698" s="111"/>
      <c r="N698" s="111"/>
      <c r="O698" s="111"/>
      <c r="P698" s="111"/>
      <c r="Q698" s="111">
        <v>0</v>
      </c>
      <c r="R698" s="111">
        <f t="shared" si="130"/>
        <v>0</v>
      </c>
      <c r="S698" s="111"/>
      <c r="T698" s="111"/>
      <c r="U698" s="12"/>
      <c r="V698" s="111"/>
      <c r="W698" s="111"/>
      <c r="X698" s="111"/>
      <c r="Y698" s="12">
        <f t="shared" si="95"/>
        <v>0</v>
      </c>
      <c r="Z698" s="12">
        <f t="shared" si="96"/>
        <v>0</v>
      </c>
      <c r="AA698" s="248">
        <f t="shared" si="97"/>
        <v>0</v>
      </c>
      <c r="AB698" s="248">
        <f t="shared" si="98"/>
        <v>0</v>
      </c>
      <c r="AC698" s="12">
        <f t="shared" si="99"/>
        <v>0</v>
      </c>
      <c r="AD698" s="12">
        <f t="shared" si="100"/>
        <v>0</v>
      </c>
      <c r="AE698" s="111">
        <f t="shared" si="101"/>
        <v>0</v>
      </c>
      <c r="AF698" s="101"/>
      <c r="AG698" s="111"/>
      <c r="AH698" s="111"/>
      <c r="AI698" s="111"/>
      <c r="AJ698" s="111">
        <f t="shared" si="102"/>
        <v>0</v>
      </c>
      <c r="AK698" s="111">
        <f t="shared" si="103"/>
        <v>0</v>
      </c>
      <c r="AL698" s="111"/>
      <c r="AM698" s="111"/>
      <c r="AN698" s="111"/>
      <c r="AQ698" s="6">
        <f t="shared" si="104"/>
        <v>0</v>
      </c>
    </row>
    <row r="699" spans="1:43" s="6" customFormat="1" x14ac:dyDescent="0.25">
      <c r="A699" s="6" t="str">
        <f t="shared" si="93"/>
        <v>comment</v>
      </c>
      <c r="B699" s="111" t="str">
        <f t="shared" si="73"/>
        <v/>
      </c>
      <c r="C699" s="111" t="str">
        <f t="shared" ref="C699:C709" si="132">CONCATENATE(I699,H699)</f>
        <v>2018032810000080</v>
      </c>
      <c r="D699" s="111"/>
      <c r="E699" s="111" t="str">
        <f t="shared" ref="E699:E709" si="133">$B$5</f>
        <v>6001</v>
      </c>
      <c r="F699" s="111" t="str">
        <f t="shared" ref="F699:F709" si="134">VLOOKUP(E699,$B$5:$C$5,2)</f>
        <v>B00101</v>
      </c>
      <c r="G699" s="111" t="str">
        <f t="shared" ref="G699:G709" si="135">VLOOKUP(F699,$C$5:$D$6,2)</f>
        <v>6001</v>
      </c>
      <c r="H699" s="111">
        <v>10000080</v>
      </c>
      <c r="I699" s="104">
        <f t="shared" ref="I699:I709" si="136">$B$2</f>
        <v>20180328</v>
      </c>
      <c r="J699" s="113">
        <f>'day1'!G737</f>
        <v>20180326</v>
      </c>
      <c r="K699" s="111" t="str">
        <f t="shared" ref="K699:K709" si="137">$B$19</f>
        <v>CZCE</v>
      </c>
      <c r="L699" s="111" t="str">
        <f t="shared" ref="L699:L709" si="138">$C$27</f>
        <v>SR807C6500</v>
      </c>
      <c r="M699" s="111">
        <f t="shared" ref="M699:M709" si="139">VLOOKUP(L699,$C$19:$E$29,3,FALSE)</f>
        <v>10</v>
      </c>
      <c r="N699" s="111">
        <v>1</v>
      </c>
      <c r="O699" s="111">
        <v>0</v>
      </c>
      <c r="P699" s="111">
        <v>1</v>
      </c>
      <c r="Q699" s="111">
        <v>0</v>
      </c>
      <c r="R699" s="111">
        <f>'day1'!Y737</f>
        <v>611</v>
      </c>
      <c r="S699" s="111">
        <v>600</v>
      </c>
      <c r="T699" s="111">
        <f t="shared" ref="T699:T709" si="140">VLOOKUP(L699,$C$230:$I$242,2,FALSE)</f>
        <v>610</v>
      </c>
      <c r="U699" s="12">
        <f t="shared" ref="U699:U709" si="141">VLOOKUP(AF699,$G$117:$K$146,2,FALSE)</f>
        <v>4.0000000000000002E-4</v>
      </c>
      <c r="V699" s="111">
        <f t="shared" ref="V699:V709" si="142">VLOOKUP(AF699,$G$117:$K$146,3,FALSE)</f>
        <v>4</v>
      </c>
      <c r="W699" s="111">
        <f t="shared" ref="W699:W709" si="143">VLOOKUP(AF699,$G$117:$K$146,4,FALSE)</f>
        <v>2.9999999999999997E-4</v>
      </c>
      <c r="X699" s="111">
        <f t="shared" ref="X699:X709" si="144">VLOOKUP(AF699,$G$117:$K$146,5,FALSE)</f>
        <v>3</v>
      </c>
      <c r="Y699" s="12">
        <f>M699*Q699*S699*U699+Q699*V699</f>
        <v>0</v>
      </c>
      <c r="Z699" s="12">
        <f>M699*Q699*S699*W699+Q699*X699</f>
        <v>0</v>
      </c>
      <c r="AA699" s="248">
        <f t="shared" si="97"/>
        <v>0</v>
      </c>
      <c r="AB699" s="248">
        <f t="shared" si="98"/>
        <v>0</v>
      </c>
      <c r="AC699" s="12"/>
      <c r="AD699" s="12"/>
      <c r="AE699" s="111">
        <f t="shared" si="101"/>
        <v>0</v>
      </c>
      <c r="AF699" s="101" t="str">
        <f t="shared" si="85"/>
        <v>SR807C650011</v>
      </c>
      <c r="AG699" s="111" t="s">
        <v>311</v>
      </c>
      <c r="AH699" s="111" t="str">
        <f t="shared" ref="AH699:AH709" si="145">$F$5</f>
        <v>9999</v>
      </c>
      <c r="AI699" s="111" t="str">
        <f t="shared" ref="AI699:AI709" si="146">VLOOKUP(F699,$C$5:$G$6,5,FALSE)</f>
        <v>50010001</v>
      </c>
      <c r="AJ699" s="111">
        <f t="shared" si="102"/>
        <v>0</v>
      </c>
      <c r="AK699" s="111">
        <f t="shared" si="103"/>
        <v>0</v>
      </c>
      <c r="AL699" s="111">
        <f t="shared" ref="AL699:AL709" si="147" xml:space="preserve"> VLOOKUP(L699,$C$19:$K$29,9,FALSE)</f>
        <v>0</v>
      </c>
      <c r="AM699" s="111">
        <f t="shared" ref="AM699:AM709" si="148">VLOOKUP(L699,$C$19:$L$29,10,FALSE)</f>
        <v>1</v>
      </c>
      <c r="AN699" s="111" t="str">
        <f t="shared" ref="AN699:AN709" si="149">$D$9</f>
        <v>CNY</v>
      </c>
      <c r="AO699" s="6">
        <f t="shared" ref="AO699:AO709" si="150">VLOOKUP(AF699,$G$117:$M$146,6,FALSE)</f>
        <v>2.0000000000000001E-4</v>
      </c>
      <c r="AP699" s="6">
        <f t="shared" ref="AP699:AP709" si="151">VLOOKUP(AF699,$G$117:$M$146,7,FALSE)</f>
        <v>2</v>
      </c>
      <c r="AQ699" s="6">
        <f t="shared" si="104"/>
        <v>0</v>
      </c>
    </row>
    <row r="700" spans="1:43" s="6" customFormat="1" x14ac:dyDescent="0.25">
      <c r="A700" s="6" t="str">
        <f t="shared" si="93"/>
        <v>comment</v>
      </c>
      <c r="B700" s="111" t="str">
        <f t="shared" si="73"/>
        <v/>
      </c>
      <c r="C700" s="111" t="str">
        <f t="shared" si="132"/>
        <v>2018032810000081</v>
      </c>
      <c r="D700" s="111"/>
      <c r="E700" s="111" t="str">
        <f t="shared" si="133"/>
        <v>6001</v>
      </c>
      <c r="F700" s="111" t="str">
        <f t="shared" si="134"/>
        <v>B00101</v>
      </c>
      <c r="G700" s="111" t="str">
        <f t="shared" si="135"/>
        <v>6001</v>
      </c>
      <c r="H700" s="111">
        <v>10000081</v>
      </c>
      <c r="I700" s="104">
        <f t="shared" si="136"/>
        <v>20180328</v>
      </c>
      <c r="J700" s="113">
        <f>'day1'!G738</f>
        <v>20180326</v>
      </c>
      <c r="K700" s="111" t="str">
        <f t="shared" si="137"/>
        <v>CZCE</v>
      </c>
      <c r="L700" s="111" t="str">
        <f t="shared" si="138"/>
        <v>SR807C6500</v>
      </c>
      <c r="M700" s="111">
        <f t="shared" si="139"/>
        <v>10</v>
      </c>
      <c r="N700" s="111">
        <v>1</v>
      </c>
      <c r="O700" s="111">
        <v>0</v>
      </c>
      <c r="P700" s="111">
        <v>1</v>
      </c>
      <c r="Q700" s="111">
        <v>0</v>
      </c>
      <c r="R700" s="111">
        <f>'day1'!Y738</f>
        <v>612</v>
      </c>
      <c r="S700" s="111">
        <v>601</v>
      </c>
      <c r="T700" s="111">
        <f t="shared" si="140"/>
        <v>610</v>
      </c>
      <c r="U700" s="12">
        <f t="shared" si="141"/>
        <v>4.0000000000000002E-4</v>
      </c>
      <c r="V700" s="111">
        <f t="shared" si="142"/>
        <v>4</v>
      </c>
      <c r="W700" s="111">
        <f t="shared" si="143"/>
        <v>2.9999999999999997E-4</v>
      </c>
      <c r="X700" s="111">
        <f t="shared" si="144"/>
        <v>3</v>
      </c>
      <c r="Y700" s="12">
        <f t="shared" ref="Y700:Y709" si="152">M700*Q700*S700*U700+Q700*V700</f>
        <v>0</v>
      </c>
      <c r="Z700" s="12">
        <f t="shared" ref="Z700:Z709" si="153">M700*Q700*S700*W700+Q700*X700</f>
        <v>0</v>
      </c>
      <c r="AA700" s="248">
        <f t="shared" si="97"/>
        <v>0</v>
      </c>
      <c r="AB700" s="248">
        <f t="shared" si="98"/>
        <v>0</v>
      </c>
      <c r="AC700" s="12"/>
      <c r="AD700" s="12"/>
      <c r="AE700" s="111">
        <f t="shared" si="101"/>
        <v>0</v>
      </c>
      <c r="AF700" s="101" t="str">
        <f t="shared" si="85"/>
        <v>SR807C650011</v>
      </c>
      <c r="AG700" s="111" t="s">
        <v>311</v>
      </c>
      <c r="AH700" s="111" t="str">
        <f t="shared" si="145"/>
        <v>9999</v>
      </c>
      <c r="AI700" s="111" t="str">
        <f t="shared" si="146"/>
        <v>50010001</v>
      </c>
      <c r="AJ700" s="111">
        <f t="shared" si="102"/>
        <v>0</v>
      </c>
      <c r="AK700" s="111">
        <f t="shared" si="103"/>
        <v>0</v>
      </c>
      <c r="AL700" s="111">
        <f t="shared" si="147"/>
        <v>0</v>
      </c>
      <c r="AM700" s="111">
        <f t="shared" si="148"/>
        <v>1</v>
      </c>
      <c r="AN700" s="111" t="str">
        <f t="shared" si="149"/>
        <v>CNY</v>
      </c>
      <c r="AO700" s="6">
        <f t="shared" si="150"/>
        <v>2.0000000000000001E-4</v>
      </c>
      <c r="AP700" s="6">
        <f t="shared" si="151"/>
        <v>2</v>
      </c>
      <c r="AQ700" s="6">
        <f t="shared" si="104"/>
        <v>0</v>
      </c>
    </row>
    <row r="701" spans="1:43" s="6" customFormat="1" x14ac:dyDescent="0.25">
      <c r="A701" s="6" t="str">
        <f t="shared" si="93"/>
        <v>comment</v>
      </c>
      <c r="B701" s="111" t="str">
        <f t="shared" si="73"/>
        <v/>
      </c>
      <c r="C701" s="111" t="str">
        <f t="shared" si="132"/>
        <v>2018032810000082</v>
      </c>
      <c r="D701" s="111"/>
      <c r="E701" s="111" t="str">
        <f t="shared" si="133"/>
        <v>6001</v>
      </c>
      <c r="F701" s="111" t="str">
        <f t="shared" si="134"/>
        <v>B00101</v>
      </c>
      <c r="G701" s="111" t="str">
        <f t="shared" si="135"/>
        <v>6001</v>
      </c>
      <c r="H701" s="111">
        <v>10000082</v>
      </c>
      <c r="I701" s="104">
        <f t="shared" si="136"/>
        <v>20180328</v>
      </c>
      <c r="J701" s="113">
        <f>'day1'!G736</f>
        <v>20180326</v>
      </c>
      <c r="K701" s="111" t="str">
        <f t="shared" si="137"/>
        <v>CZCE</v>
      </c>
      <c r="L701" s="111" t="str">
        <f t="shared" si="138"/>
        <v>SR807C6500</v>
      </c>
      <c r="M701" s="111">
        <f t="shared" si="139"/>
        <v>10</v>
      </c>
      <c r="N701" s="111">
        <v>1</v>
      </c>
      <c r="O701" s="111">
        <v>0</v>
      </c>
      <c r="P701" s="111">
        <v>3</v>
      </c>
      <c r="Q701" s="111">
        <v>0</v>
      </c>
      <c r="R701" s="111">
        <f>'day1'!Y736</f>
        <v>610</v>
      </c>
      <c r="S701" s="111">
        <v>602</v>
      </c>
      <c r="T701" s="111">
        <f t="shared" si="140"/>
        <v>610</v>
      </c>
      <c r="U701" s="12">
        <f t="shared" si="141"/>
        <v>4.0000000000000002E-4</v>
      </c>
      <c r="V701" s="111">
        <f t="shared" si="142"/>
        <v>4</v>
      </c>
      <c r="W701" s="111">
        <f t="shared" si="143"/>
        <v>3.9999999999999996E-4</v>
      </c>
      <c r="X701" s="111">
        <f t="shared" si="144"/>
        <v>4</v>
      </c>
      <c r="Y701" s="12">
        <f t="shared" si="152"/>
        <v>0</v>
      </c>
      <c r="Z701" s="12">
        <f t="shared" si="153"/>
        <v>0</v>
      </c>
      <c r="AA701" s="248">
        <f t="shared" si="97"/>
        <v>0</v>
      </c>
      <c r="AB701" s="248">
        <f t="shared" si="98"/>
        <v>0</v>
      </c>
      <c r="AC701" s="12"/>
      <c r="AD701" s="12"/>
      <c r="AE701" s="111">
        <f t="shared" si="101"/>
        <v>0</v>
      </c>
      <c r="AF701" s="101" t="str">
        <f t="shared" si="85"/>
        <v>SR807C650031</v>
      </c>
      <c r="AG701" s="111" t="s">
        <v>311</v>
      </c>
      <c r="AH701" s="111" t="str">
        <f t="shared" si="145"/>
        <v>9999</v>
      </c>
      <c r="AI701" s="111" t="str">
        <f t="shared" si="146"/>
        <v>50010001</v>
      </c>
      <c r="AJ701" s="111">
        <f t="shared" si="102"/>
        <v>0</v>
      </c>
      <c r="AK701" s="111">
        <f t="shared" si="103"/>
        <v>0</v>
      </c>
      <c r="AL701" s="111">
        <f t="shared" si="147"/>
        <v>0</v>
      </c>
      <c r="AM701" s="111">
        <f t="shared" si="148"/>
        <v>1</v>
      </c>
      <c r="AN701" s="111" t="str">
        <f t="shared" si="149"/>
        <v>CNY</v>
      </c>
      <c r="AO701" s="6">
        <f t="shared" si="150"/>
        <v>2.0000000000000001E-4</v>
      </c>
      <c r="AP701" s="6">
        <f t="shared" si="151"/>
        <v>2</v>
      </c>
      <c r="AQ701" s="6">
        <f t="shared" si="104"/>
        <v>0</v>
      </c>
    </row>
    <row r="702" spans="1:43" s="6" customFormat="1" x14ac:dyDescent="0.25">
      <c r="A702" s="6" t="str">
        <f t="shared" si="93"/>
        <v>comment</v>
      </c>
      <c r="B702" s="111" t="str">
        <f t="shared" si="73"/>
        <v/>
      </c>
      <c r="C702" s="111" t="str">
        <f t="shared" si="132"/>
        <v>2018032810000083</v>
      </c>
      <c r="D702" s="111"/>
      <c r="E702" s="111" t="str">
        <f t="shared" si="133"/>
        <v>6001</v>
      </c>
      <c r="F702" s="111" t="str">
        <f t="shared" si="134"/>
        <v>B00101</v>
      </c>
      <c r="G702" s="111" t="str">
        <f t="shared" si="135"/>
        <v>6001</v>
      </c>
      <c r="H702" s="111">
        <v>10000083</v>
      </c>
      <c r="I702" s="104">
        <f t="shared" si="136"/>
        <v>20180328</v>
      </c>
      <c r="J702" s="113">
        <f t="shared" si="107"/>
        <v>20180328</v>
      </c>
      <c r="K702" s="111" t="str">
        <f t="shared" si="137"/>
        <v>CZCE</v>
      </c>
      <c r="L702" s="111" t="str">
        <f t="shared" si="138"/>
        <v>SR807C6500</v>
      </c>
      <c r="M702" s="111">
        <f t="shared" si="139"/>
        <v>10</v>
      </c>
      <c r="N702" s="111">
        <v>0</v>
      </c>
      <c r="O702" s="111">
        <v>1</v>
      </c>
      <c r="P702" s="111">
        <v>1</v>
      </c>
      <c r="Q702" s="111">
        <v>0</v>
      </c>
      <c r="R702" s="111">
        <f>IF(N702=0,S702,VLOOKUP(D702,$C$662:$S$709,16,FALSE))</f>
        <v>603</v>
      </c>
      <c r="S702" s="111">
        <v>603</v>
      </c>
      <c r="T702" s="111">
        <f t="shared" si="140"/>
        <v>610</v>
      </c>
      <c r="U702" s="12">
        <f t="shared" si="141"/>
        <v>5.0000000000000001E-4</v>
      </c>
      <c r="V702" s="111">
        <f t="shared" si="142"/>
        <v>5</v>
      </c>
      <c r="W702" s="111">
        <f t="shared" si="143"/>
        <v>4.0000000000000002E-4</v>
      </c>
      <c r="X702" s="111">
        <f t="shared" si="144"/>
        <v>4</v>
      </c>
      <c r="Y702" s="12">
        <f t="shared" si="152"/>
        <v>0</v>
      </c>
      <c r="Z702" s="12">
        <f t="shared" si="153"/>
        <v>0</v>
      </c>
      <c r="AA702" s="248">
        <f t="shared" si="97"/>
        <v>0</v>
      </c>
      <c r="AB702" s="248">
        <f t="shared" si="98"/>
        <v>0</v>
      </c>
      <c r="AC702" s="12"/>
      <c r="AD702" s="12"/>
      <c r="AE702" s="111">
        <f t="shared" si="101"/>
        <v>0</v>
      </c>
      <c r="AF702" s="101" t="str">
        <f t="shared" si="85"/>
        <v>SR807C650010</v>
      </c>
      <c r="AG702" s="111" t="s">
        <v>311</v>
      </c>
      <c r="AH702" s="111" t="str">
        <f t="shared" si="145"/>
        <v>9999</v>
      </c>
      <c r="AI702" s="111" t="str">
        <f t="shared" si="146"/>
        <v>50010001</v>
      </c>
      <c r="AJ702" s="111">
        <f t="shared" si="102"/>
        <v>0</v>
      </c>
      <c r="AK702" s="111">
        <f t="shared" si="103"/>
        <v>0</v>
      </c>
      <c r="AL702" s="111">
        <f t="shared" si="147"/>
        <v>0</v>
      </c>
      <c r="AM702" s="111">
        <f t="shared" si="148"/>
        <v>1</v>
      </c>
      <c r="AN702" s="111" t="str">
        <f t="shared" si="149"/>
        <v>CNY</v>
      </c>
      <c r="AO702" s="6">
        <f t="shared" si="150"/>
        <v>2.0000000000000001E-4</v>
      </c>
      <c r="AP702" s="6">
        <f t="shared" si="151"/>
        <v>2</v>
      </c>
      <c r="AQ702" s="6">
        <f t="shared" si="104"/>
        <v>0</v>
      </c>
    </row>
    <row r="703" spans="1:43" s="6" customFormat="1" ht="20.399999999999999" customHeight="1" x14ac:dyDescent="0.25">
      <c r="A703" s="6" t="str">
        <f t="shared" si="93"/>
        <v>comment</v>
      </c>
      <c r="B703" s="111" t="str">
        <f t="shared" si="73"/>
        <v/>
      </c>
      <c r="C703" s="111" t="str">
        <f t="shared" si="132"/>
        <v>2018032810000084</v>
      </c>
      <c r="D703" s="111"/>
      <c r="E703" s="111" t="str">
        <f t="shared" si="133"/>
        <v>6001</v>
      </c>
      <c r="F703" s="111" t="str">
        <f t="shared" si="134"/>
        <v>B00101</v>
      </c>
      <c r="G703" s="111" t="str">
        <f t="shared" si="135"/>
        <v>6001</v>
      </c>
      <c r="H703" s="111">
        <v>10000084</v>
      </c>
      <c r="I703" s="104">
        <f t="shared" si="136"/>
        <v>20180328</v>
      </c>
      <c r="J703" s="113">
        <f t="shared" si="107"/>
        <v>20180328</v>
      </c>
      <c r="K703" s="111" t="str">
        <f t="shared" si="137"/>
        <v>CZCE</v>
      </c>
      <c r="L703" s="111" t="str">
        <f t="shared" si="138"/>
        <v>SR807C6500</v>
      </c>
      <c r="M703" s="111">
        <f t="shared" si="139"/>
        <v>10</v>
      </c>
      <c r="N703" s="111">
        <v>0</v>
      </c>
      <c r="O703" s="111">
        <v>1</v>
      </c>
      <c r="P703" s="111">
        <v>3</v>
      </c>
      <c r="Q703" s="111">
        <v>0</v>
      </c>
      <c r="R703" s="111">
        <f>IF(N703=0,S703,VLOOKUP(D703,$C$662:$S$709,16,FALSE))</f>
        <v>604</v>
      </c>
      <c r="S703" s="111">
        <v>604</v>
      </c>
      <c r="T703" s="111">
        <f t="shared" si="140"/>
        <v>610</v>
      </c>
      <c r="U703" s="12">
        <f t="shared" si="141"/>
        <v>5.0000000000000001E-4</v>
      </c>
      <c r="V703" s="111">
        <f t="shared" si="142"/>
        <v>5</v>
      </c>
      <c r="W703" s="111">
        <f t="shared" si="143"/>
        <v>5.0000000000000001E-4</v>
      </c>
      <c r="X703" s="111">
        <f t="shared" si="144"/>
        <v>5</v>
      </c>
      <c r="Y703" s="12">
        <f t="shared" si="152"/>
        <v>0</v>
      </c>
      <c r="Z703" s="12">
        <f t="shared" si="153"/>
        <v>0</v>
      </c>
      <c r="AA703" s="248">
        <f t="shared" si="97"/>
        <v>0</v>
      </c>
      <c r="AB703" s="248">
        <f t="shared" si="98"/>
        <v>0</v>
      </c>
      <c r="AC703" s="12"/>
      <c r="AD703" s="12"/>
      <c r="AE703" s="111">
        <f t="shared" si="101"/>
        <v>0</v>
      </c>
      <c r="AF703" s="101" t="str">
        <f t="shared" si="85"/>
        <v>SR807C650030</v>
      </c>
      <c r="AG703" s="111" t="s">
        <v>311</v>
      </c>
      <c r="AH703" s="111" t="str">
        <f t="shared" si="145"/>
        <v>9999</v>
      </c>
      <c r="AI703" s="111" t="str">
        <f t="shared" si="146"/>
        <v>50010001</v>
      </c>
      <c r="AJ703" s="111">
        <f t="shared" si="102"/>
        <v>0</v>
      </c>
      <c r="AK703" s="111">
        <f t="shared" si="103"/>
        <v>0</v>
      </c>
      <c r="AL703" s="111">
        <f t="shared" si="147"/>
        <v>0</v>
      </c>
      <c r="AM703" s="111">
        <f t="shared" si="148"/>
        <v>1</v>
      </c>
      <c r="AN703" s="111" t="str">
        <f t="shared" si="149"/>
        <v>CNY</v>
      </c>
      <c r="AO703" s="6">
        <f t="shared" si="150"/>
        <v>2.0000000000000001E-4</v>
      </c>
      <c r="AP703" s="6">
        <f t="shared" si="151"/>
        <v>2</v>
      </c>
      <c r="AQ703" s="6">
        <f t="shared" si="104"/>
        <v>0</v>
      </c>
    </row>
    <row r="704" spans="1:43" s="6" customFormat="1" x14ac:dyDescent="0.25">
      <c r="A704" s="6" t="str">
        <f t="shared" si="93"/>
        <v>comment</v>
      </c>
      <c r="B704" s="111" t="str">
        <f t="shared" si="73"/>
        <v/>
      </c>
      <c r="C704" s="111" t="str">
        <f t="shared" si="132"/>
        <v>2018032810000085</v>
      </c>
      <c r="D704" s="111"/>
      <c r="E704" s="111" t="str">
        <f t="shared" si="133"/>
        <v>6001</v>
      </c>
      <c r="F704" s="111" t="str">
        <f t="shared" si="134"/>
        <v>B00101</v>
      </c>
      <c r="G704" s="111" t="str">
        <f t="shared" si="135"/>
        <v>6001</v>
      </c>
      <c r="H704" s="111">
        <v>10000085</v>
      </c>
      <c r="I704" s="104">
        <f t="shared" si="136"/>
        <v>20180328</v>
      </c>
      <c r="J704" s="113">
        <f>'day1'!G737</f>
        <v>20180326</v>
      </c>
      <c r="K704" s="111" t="str">
        <f t="shared" si="137"/>
        <v>CZCE</v>
      </c>
      <c r="L704" s="111" t="str">
        <f t="shared" si="138"/>
        <v>SR807C6500</v>
      </c>
      <c r="M704" s="111">
        <f t="shared" si="139"/>
        <v>10</v>
      </c>
      <c r="N704" s="111">
        <v>3</v>
      </c>
      <c r="O704" s="111">
        <v>0</v>
      </c>
      <c r="P704" s="111">
        <v>1</v>
      </c>
      <c r="Q704" s="111">
        <v>0</v>
      </c>
      <c r="R704" s="111">
        <f>R699</f>
        <v>611</v>
      </c>
      <c r="S704" s="111">
        <v>605</v>
      </c>
      <c r="T704" s="111">
        <f t="shared" si="140"/>
        <v>610</v>
      </c>
      <c r="U704" s="12">
        <f t="shared" si="141"/>
        <v>2.0000000000000001E-4</v>
      </c>
      <c r="V704" s="111">
        <f t="shared" si="142"/>
        <v>2</v>
      </c>
      <c r="W704" s="111">
        <f t="shared" si="143"/>
        <v>1E-4</v>
      </c>
      <c r="X704" s="111">
        <f t="shared" si="144"/>
        <v>1</v>
      </c>
      <c r="Y704" s="12">
        <f t="shared" si="152"/>
        <v>0</v>
      </c>
      <c r="Z704" s="12">
        <f t="shared" si="153"/>
        <v>0</v>
      </c>
      <c r="AA704" s="248">
        <f t="shared" si="97"/>
        <v>0</v>
      </c>
      <c r="AB704" s="248">
        <f t="shared" si="98"/>
        <v>0</v>
      </c>
      <c r="AC704" s="12"/>
      <c r="AD704" s="12"/>
      <c r="AE704" s="111">
        <f t="shared" si="101"/>
        <v>0</v>
      </c>
      <c r="AF704" s="101" t="str">
        <f t="shared" si="85"/>
        <v>SR807C650013</v>
      </c>
      <c r="AG704" s="111" t="s">
        <v>311</v>
      </c>
      <c r="AH704" s="111" t="str">
        <f t="shared" si="145"/>
        <v>9999</v>
      </c>
      <c r="AI704" s="111" t="str">
        <f t="shared" si="146"/>
        <v>50010001</v>
      </c>
      <c r="AJ704" s="111">
        <f t="shared" si="102"/>
        <v>0</v>
      </c>
      <c r="AK704" s="111">
        <f t="shared" si="103"/>
        <v>0</v>
      </c>
      <c r="AL704" s="111">
        <f t="shared" si="147"/>
        <v>0</v>
      </c>
      <c r="AM704" s="111">
        <f t="shared" si="148"/>
        <v>1</v>
      </c>
      <c r="AN704" s="111" t="str">
        <f t="shared" si="149"/>
        <v>CNY</v>
      </c>
      <c r="AO704" s="6">
        <f t="shared" si="150"/>
        <v>2.0000000000000001E-4</v>
      </c>
      <c r="AP704" s="6">
        <f t="shared" si="151"/>
        <v>2</v>
      </c>
      <c r="AQ704" s="6">
        <f t="shared" si="104"/>
        <v>0</v>
      </c>
    </row>
    <row r="705" spans="1:221" s="6" customFormat="1" x14ac:dyDescent="0.25">
      <c r="A705" s="6" t="str">
        <f t="shared" si="93"/>
        <v>comment</v>
      </c>
      <c r="B705" s="111" t="str">
        <f t="shared" si="73"/>
        <v/>
      </c>
      <c r="C705" s="111" t="str">
        <f t="shared" si="132"/>
        <v>2018032810000090</v>
      </c>
      <c r="D705" s="111"/>
      <c r="E705" s="111" t="str">
        <f t="shared" si="133"/>
        <v>6001</v>
      </c>
      <c r="F705" s="111" t="str">
        <f t="shared" si="134"/>
        <v>B00101</v>
      </c>
      <c r="G705" s="111" t="str">
        <f t="shared" si="135"/>
        <v>6001</v>
      </c>
      <c r="H705" s="111">
        <v>10000090</v>
      </c>
      <c r="I705" s="104">
        <f t="shared" si="136"/>
        <v>20180328</v>
      </c>
      <c r="J705" s="113">
        <f>'day1'!G738</f>
        <v>20180326</v>
      </c>
      <c r="K705" s="111" t="str">
        <f t="shared" si="137"/>
        <v>CZCE</v>
      </c>
      <c r="L705" s="111" t="str">
        <f t="shared" si="138"/>
        <v>SR807C6500</v>
      </c>
      <c r="M705" s="111">
        <f t="shared" si="139"/>
        <v>10</v>
      </c>
      <c r="N705" s="111">
        <v>3</v>
      </c>
      <c r="O705" s="111">
        <v>0</v>
      </c>
      <c r="P705" s="111">
        <v>1</v>
      </c>
      <c r="Q705" s="111">
        <v>0</v>
      </c>
      <c r="R705" s="111">
        <f>R700</f>
        <v>612</v>
      </c>
      <c r="S705" s="111">
        <v>605</v>
      </c>
      <c r="T705" s="111">
        <f t="shared" si="140"/>
        <v>610</v>
      </c>
      <c r="U705" s="12">
        <f t="shared" si="141"/>
        <v>2.0000000000000001E-4</v>
      </c>
      <c r="V705" s="111">
        <f t="shared" si="142"/>
        <v>2</v>
      </c>
      <c r="W705" s="111">
        <f t="shared" si="143"/>
        <v>1E-4</v>
      </c>
      <c r="X705" s="111">
        <f t="shared" si="144"/>
        <v>1</v>
      </c>
      <c r="Y705" s="12">
        <f t="shared" si="152"/>
        <v>0</v>
      </c>
      <c r="Z705" s="12">
        <f t="shared" si="153"/>
        <v>0</v>
      </c>
      <c r="AA705" s="248">
        <f t="shared" si="97"/>
        <v>0</v>
      </c>
      <c r="AB705" s="248">
        <f t="shared" si="98"/>
        <v>0</v>
      </c>
      <c r="AC705" s="12"/>
      <c r="AD705" s="12"/>
      <c r="AE705" s="111">
        <f t="shared" si="101"/>
        <v>0</v>
      </c>
      <c r="AF705" s="101" t="str">
        <f t="shared" si="85"/>
        <v>SR807C650013</v>
      </c>
      <c r="AG705" s="111" t="s">
        <v>311</v>
      </c>
      <c r="AH705" s="111" t="str">
        <f t="shared" si="145"/>
        <v>9999</v>
      </c>
      <c r="AI705" s="111" t="str">
        <f t="shared" si="146"/>
        <v>50010001</v>
      </c>
      <c r="AJ705" s="111">
        <f t="shared" si="102"/>
        <v>0</v>
      </c>
      <c r="AK705" s="111">
        <f t="shared" si="103"/>
        <v>0</v>
      </c>
      <c r="AL705" s="111">
        <f t="shared" si="147"/>
        <v>0</v>
      </c>
      <c r="AM705" s="111">
        <f t="shared" si="148"/>
        <v>1</v>
      </c>
      <c r="AN705" s="111" t="str">
        <f t="shared" si="149"/>
        <v>CNY</v>
      </c>
      <c r="AO705" s="6">
        <f t="shared" si="150"/>
        <v>2.0000000000000001E-4</v>
      </c>
      <c r="AP705" s="6">
        <f t="shared" si="151"/>
        <v>2</v>
      </c>
      <c r="AQ705" s="6">
        <f t="shared" si="104"/>
        <v>0</v>
      </c>
    </row>
    <row r="706" spans="1:221" s="6" customFormat="1" x14ac:dyDescent="0.25">
      <c r="A706" s="6" t="str">
        <f t="shared" si="93"/>
        <v>comment</v>
      </c>
      <c r="B706" s="111" t="str">
        <f t="shared" si="73"/>
        <v/>
      </c>
      <c r="C706" s="111" t="str">
        <f t="shared" si="132"/>
        <v>2018032810000090</v>
      </c>
      <c r="D706" s="111"/>
      <c r="E706" s="111" t="str">
        <f t="shared" si="133"/>
        <v>6001</v>
      </c>
      <c r="F706" s="111" t="str">
        <f t="shared" si="134"/>
        <v>B00101</v>
      </c>
      <c r="G706" s="111" t="str">
        <f t="shared" si="135"/>
        <v>6001</v>
      </c>
      <c r="H706" s="111">
        <v>10000090</v>
      </c>
      <c r="I706" s="104">
        <f t="shared" si="136"/>
        <v>20180328</v>
      </c>
      <c r="J706" s="113">
        <f>'day1'!G738</f>
        <v>20180326</v>
      </c>
      <c r="K706" s="111" t="str">
        <f t="shared" si="137"/>
        <v>CZCE</v>
      </c>
      <c r="L706" s="111" t="str">
        <f t="shared" si="138"/>
        <v>SR807C6500</v>
      </c>
      <c r="M706" s="111">
        <f t="shared" si="139"/>
        <v>10</v>
      </c>
      <c r="N706" s="111">
        <v>1</v>
      </c>
      <c r="O706" s="111">
        <v>0</v>
      </c>
      <c r="P706" s="111">
        <v>1</v>
      </c>
      <c r="Q706" s="111">
        <v>0</v>
      </c>
      <c r="R706" s="111">
        <f>R705</f>
        <v>612</v>
      </c>
      <c r="S706" s="111">
        <v>605</v>
      </c>
      <c r="T706" s="111">
        <f t="shared" si="140"/>
        <v>610</v>
      </c>
      <c r="U706" s="12">
        <f t="shared" si="141"/>
        <v>4.0000000000000002E-4</v>
      </c>
      <c r="V706" s="111">
        <f t="shared" si="142"/>
        <v>4</v>
      </c>
      <c r="W706" s="111">
        <f t="shared" si="143"/>
        <v>2.9999999999999997E-4</v>
      </c>
      <c r="X706" s="111">
        <f t="shared" si="144"/>
        <v>3</v>
      </c>
      <c r="Y706" s="12">
        <f t="shared" si="152"/>
        <v>0</v>
      </c>
      <c r="Z706" s="12">
        <f t="shared" si="153"/>
        <v>0</v>
      </c>
      <c r="AA706" s="248">
        <f t="shared" si="97"/>
        <v>0</v>
      </c>
      <c r="AB706" s="248">
        <f t="shared" si="98"/>
        <v>0</v>
      </c>
      <c r="AC706" s="12"/>
      <c r="AD706" s="12"/>
      <c r="AE706" s="111">
        <f t="shared" si="101"/>
        <v>0</v>
      </c>
      <c r="AF706" s="101" t="str">
        <f t="shared" si="85"/>
        <v>SR807C650011</v>
      </c>
      <c r="AG706" s="111" t="s">
        <v>311</v>
      </c>
      <c r="AH706" s="111" t="str">
        <f t="shared" si="145"/>
        <v>9999</v>
      </c>
      <c r="AI706" s="111" t="str">
        <f t="shared" si="146"/>
        <v>50010001</v>
      </c>
      <c r="AJ706" s="111">
        <f t="shared" si="102"/>
        <v>0</v>
      </c>
      <c r="AK706" s="111">
        <f t="shared" si="103"/>
        <v>0</v>
      </c>
      <c r="AL706" s="111">
        <f t="shared" si="147"/>
        <v>0</v>
      </c>
      <c r="AM706" s="111">
        <f t="shared" si="148"/>
        <v>1</v>
      </c>
      <c r="AN706" s="111" t="str">
        <f t="shared" si="149"/>
        <v>CNY</v>
      </c>
      <c r="AO706" s="6">
        <f t="shared" si="150"/>
        <v>2.0000000000000001E-4</v>
      </c>
      <c r="AP706" s="6">
        <f t="shared" si="151"/>
        <v>2</v>
      </c>
      <c r="AQ706" s="6">
        <f t="shared" si="104"/>
        <v>0</v>
      </c>
    </row>
    <row r="707" spans="1:221" s="6" customFormat="1" x14ac:dyDescent="0.25">
      <c r="A707" s="6" t="str">
        <f t="shared" si="93"/>
        <v>comment</v>
      </c>
      <c r="B707" s="111" t="str">
        <f t="shared" si="73"/>
        <v/>
      </c>
      <c r="C707" s="111" t="str">
        <f t="shared" si="132"/>
        <v>2018032810000091</v>
      </c>
      <c r="D707" s="111"/>
      <c r="E707" s="111" t="str">
        <f t="shared" si="133"/>
        <v>6001</v>
      </c>
      <c r="F707" s="111" t="str">
        <f t="shared" si="134"/>
        <v>B00101</v>
      </c>
      <c r="G707" s="111" t="str">
        <f t="shared" si="135"/>
        <v>6001</v>
      </c>
      <c r="H707" s="111">
        <v>10000091</v>
      </c>
      <c r="I707" s="104">
        <f t="shared" si="136"/>
        <v>20180328</v>
      </c>
      <c r="J707" s="113">
        <f t="shared" si="107"/>
        <v>20180328</v>
      </c>
      <c r="K707" s="111" t="str">
        <f t="shared" si="137"/>
        <v>CZCE</v>
      </c>
      <c r="L707" s="111" t="str">
        <f t="shared" si="138"/>
        <v>SR807C6500</v>
      </c>
      <c r="M707" s="111">
        <f t="shared" si="139"/>
        <v>10</v>
      </c>
      <c r="N707" s="111">
        <v>1</v>
      </c>
      <c r="O707" s="111">
        <v>0</v>
      </c>
      <c r="P707" s="111">
        <v>1</v>
      </c>
      <c r="Q707" s="111">
        <v>0</v>
      </c>
      <c r="R707" s="111">
        <f>R702</f>
        <v>603</v>
      </c>
      <c r="S707" s="111">
        <v>605</v>
      </c>
      <c r="T707" s="111">
        <f t="shared" si="140"/>
        <v>610</v>
      </c>
      <c r="U707" s="12">
        <f t="shared" si="141"/>
        <v>4.0000000000000002E-4</v>
      </c>
      <c r="V707" s="111">
        <f t="shared" si="142"/>
        <v>4</v>
      </c>
      <c r="W707" s="111">
        <f t="shared" si="143"/>
        <v>2.9999999999999997E-4</v>
      </c>
      <c r="X707" s="111">
        <f t="shared" si="144"/>
        <v>3</v>
      </c>
      <c r="Y707" s="12">
        <f t="shared" si="152"/>
        <v>0</v>
      </c>
      <c r="Z707" s="12">
        <f t="shared" si="153"/>
        <v>0</v>
      </c>
      <c r="AA707" s="248">
        <f t="shared" si="97"/>
        <v>0</v>
      </c>
      <c r="AB707" s="248">
        <f t="shared" si="98"/>
        <v>0</v>
      </c>
      <c r="AC707" s="12"/>
      <c r="AD707" s="12"/>
      <c r="AE707" s="111">
        <f t="shared" si="101"/>
        <v>0</v>
      </c>
      <c r="AF707" s="101" t="str">
        <f t="shared" si="85"/>
        <v>SR807C650011</v>
      </c>
      <c r="AG707" s="111" t="s">
        <v>311</v>
      </c>
      <c r="AH707" s="111" t="str">
        <f t="shared" si="145"/>
        <v>9999</v>
      </c>
      <c r="AI707" s="111" t="str">
        <f t="shared" si="146"/>
        <v>50010001</v>
      </c>
      <c r="AJ707" s="111">
        <f t="shared" si="102"/>
        <v>0</v>
      </c>
      <c r="AK707" s="111">
        <f t="shared" si="103"/>
        <v>0</v>
      </c>
      <c r="AL707" s="111">
        <f t="shared" si="147"/>
        <v>0</v>
      </c>
      <c r="AM707" s="111">
        <f t="shared" si="148"/>
        <v>1</v>
      </c>
      <c r="AN707" s="111" t="str">
        <f t="shared" si="149"/>
        <v>CNY</v>
      </c>
      <c r="AO707" s="6">
        <f t="shared" si="150"/>
        <v>2.0000000000000001E-4</v>
      </c>
      <c r="AP707" s="6">
        <f t="shared" si="151"/>
        <v>2</v>
      </c>
      <c r="AQ707" s="6">
        <f t="shared" si="104"/>
        <v>0</v>
      </c>
    </row>
    <row r="708" spans="1:221" s="6" customFormat="1" x14ac:dyDescent="0.25">
      <c r="A708" s="6" t="str">
        <f t="shared" si="93"/>
        <v>comment</v>
      </c>
      <c r="B708" s="111" t="str">
        <f t="shared" si="73"/>
        <v/>
      </c>
      <c r="C708" s="111" t="str">
        <f t="shared" si="132"/>
        <v>2018032810000092</v>
      </c>
      <c r="D708" s="111"/>
      <c r="E708" s="111" t="str">
        <f t="shared" si="133"/>
        <v>6001</v>
      </c>
      <c r="F708" s="111" t="str">
        <f t="shared" si="134"/>
        <v>B00101</v>
      </c>
      <c r="G708" s="111" t="str">
        <f t="shared" si="135"/>
        <v>6001</v>
      </c>
      <c r="H708" s="111">
        <v>10000092</v>
      </c>
      <c r="I708" s="104">
        <f t="shared" si="136"/>
        <v>20180328</v>
      </c>
      <c r="J708" s="113">
        <f>'day1'!G736</f>
        <v>20180326</v>
      </c>
      <c r="K708" s="111" t="str">
        <f t="shared" si="137"/>
        <v>CZCE</v>
      </c>
      <c r="L708" s="111" t="str">
        <f t="shared" si="138"/>
        <v>SR807C6500</v>
      </c>
      <c r="M708" s="111">
        <f t="shared" si="139"/>
        <v>10</v>
      </c>
      <c r="N708" s="111">
        <v>1</v>
      </c>
      <c r="O708" s="111">
        <v>0</v>
      </c>
      <c r="P708" s="111">
        <v>3</v>
      </c>
      <c r="Q708" s="111">
        <v>0</v>
      </c>
      <c r="R708" s="111">
        <f>R701</f>
        <v>610</v>
      </c>
      <c r="S708" s="111">
        <v>605</v>
      </c>
      <c r="T708" s="111">
        <f t="shared" si="140"/>
        <v>610</v>
      </c>
      <c r="U708" s="12">
        <f t="shared" si="141"/>
        <v>4.0000000000000002E-4</v>
      </c>
      <c r="V708" s="111">
        <f t="shared" si="142"/>
        <v>4</v>
      </c>
      <c r="W708" s="111">
        <f t="shared" si="143"/>
        <v>3.9999999999999996E-4</v>
      </c>
      <c r="X708" s="111">
        <f t="shared" si="144"/>
        <v>4</v>
      </c>
      <c r="Y708" s="12">
        <f t="shared" si="152"/>
        <v>0</v>
      </c>
      <c r="Z708" s="12">
        <f t="shared" si="153"/>
        <v>0</v>
      </c>
      <c r="AA708" s="248">
        <f t="shared" si="97"/>
        <v>0</v>
      </c>
      <c r="AB708" s="248">
        <f t="shared" si="98"/>
        <v>0</v>
      </c>
      <c r="AC708" s="12"/>
      <c r="AD708" s="12"/>
      <c r="AE708" s="111">
        <f t="shared" si="101"/>
        <v>0</v>
      </c>
      <c r="AF708" s="101" t="str">
        <f t="shared" si="85"/>
        <v>SR807C650031</v>
      </c>
      <c r="AG708" s="111" t="s">
        <v>311</v>
      </c>
      <c r="AH708" s="111" t="str">
        <f t="shared" si="145"/>
        <v>9999</v>
      </c>
      <c r="AI708" s="111" t="str">
        <f t="shared" si="146"/>
        <v>50010001</v>
      </c>
      <c r="AJ708" s="111">
        <f t="shared" si="102"/>
        <v>0</v>
      </c>
      <c r="AK708" s="111">
        <f t="shared" si="103"/>
        <v>0</v>
      </c>
      <c r="AL708" s="111">
        <f t="shared" si="147"/>
        <v>0</v>
      </c>
      <c r="AM708" s="111">
        <f t="shared" si="148"/>
        <v>1</v>
      </c>
      <c r="AN708" s="111" t="str">
        <f t="shared" si="149"/>
        <v>CNY</v>
      </c>
      <c r="AO708" s="6">
        <f t="shared" si="150"/>
        <v>2.0000000000000001E-4</v>
      </c>
      <c r="AP708" s="6">
        <f t="shared" si="151"/>
        <v>2</v>
      </c>
      <c r="AQ708" s="6">
        <f t="shared" si="104"/>
        <v>0</v>
      </c>
    </row>
    <row r="709" spans="1:221" s="6" customFormat="1" x14ac:dyDescent="0.25">
      <c r="A709" s="6" t="str">
        <f t="shared" si="93"/>
        <v>comment</v>
      </c>
      <c r="B709" s="111" t="str">
        <f t="shared" si="73"/>
        <v/>
      </c>
      <c r="C709" s="111" t="str">
        <f t="shared" si="132"/>
        <v>2018032810000093</v>
      </c>
      <c r="D709" s="111"/>
      <c r="E709" s="111" t="str">
        <f t="shared" si="133"/>
        <v>6001</v>
      </c>
      <c r="F709" s="111" t="str">
        <f t="shared" si="134"/>
        <v>B00101</v>
      </c>
      <c r="G709" s="111" t="str">
        <f t="shared" si="135"/>
        <v>6001</v>
      </c>
      <c r="H709" s="111">
        <v>10000093</v>
      </c>
      <c r="I709" s="104">
        <f t="shared" si="136"/>
        <v>20180328</v>
      </c>
      <c r="J709" s="113">
        <f t="shared" si="107"/>
        <v>20180328</v>
      </c>
      <c r="K709" s="111" t="str">
        <f t="shared" si="137"/>
        <v>CZCE</v>
      </c>
      <c r="L709" s="111" t="str">
        <f t="shared" si="138"/>
        <v>SR807C6500</v>
      </c>
      <c r="M709" s="111">
        <f t="shared" si="139"/>
        <v>10</v>
      </c>
      <c r="N709" s="111">
        <v>1</v>
      </c>
      <c r="O709" s="111">
        <v>0</v>
      </c>
      <c r="P709" s="111">
        <v>3</v>
      </c>
      <c r="Q709" s="111">
        <v>0</v>
      </c>
      <c r="R709" s="111">
        <f>R703</f>
        <v>604</v>
      </c>
      <c r="S709" s="111">
        <v>605</v>
      </c>
      <c r="T709" s="111">
        <f t="shared" si="140"/>
        <v>610</v>
      </c>
      <c r="U709" s="12">
        <f t="shared" si="141"/>
        <v>4.0000000000000002E-4</v>
      </c>
      <c r="V709" s="111">
        <f t="shared" si="142"/>
        <v>4</v>
      </c>
      <c r="W709" s="111">
        <f t="shared" si="143"/>
        <v>3.9999999999999996E-4</v>
      </c>
      <c r="X709" s="111">
        <f t="shared" si="144"/>
        <v>4</v>
      </c>
      <c r="Y709" s="12">
        <f t="shared" si="152"/>
        <v>0</v>
      </c>
      <c r="Z709" s="12">
        <f t="shared" si="153"/>
        <v>0</v>
      </c>
      <c r="AA709" s="248">
        <f t="shared" si="97"/>
        <v>0</v>
      </c>
      <c r="AB709" s="248">
        <f t="shared" si="98"/>
        <v>0</v>
      </c>
      <c r="AC709" s="12"/>
      <c r="AD709" s="12"/>
      <c r="AE709" s="111">
        <f t="shared" si="101"/>
        <v>0</v>
      </c>
      <c r="AF709" s="101" t="str">
        <f t="shared" si="85"/>
        <v>SR807C650031</v>
      </c>
      <c r="AG709" s="111" t="s">
        <v>311</v>
      </c>
      <c r="AH709" s="111" t="str">
        <f t="shared" si="145"/>
        <v>9999</v>
      </c>
      <c r="AI709" s="111" t="str">
        <f t="shared" si="146"/>
        <v>50010001</v>
      </c>
      <c r="AJ709" s="111">
        <f t="shared" si="102"/>
        <v>0</v>
      </c>
      <c r="AK709" s="111">
        <f t="shared" si="103"/>
        <v>0</v>
      </c>
      <c r="AL709" s="111">
        <f t="shared" si="147"/>
        <v>0</v>
      </c>
      <c r="AM709" s="111">
        <f t="shared" si="148"/>
        <v>1</v>
      </c>
      <c r="AN709" s="111" t="str">
        <f t="shared" si="149"/>
        <v>CNY</v>
      </c>
      <c r="AO709" s="6">
        <f t="shared" si="150"/>
        <v>2.0000000000000001E-4</v>
      </c>
      <c r="AP709" s="6">
        <f t="shared" si="151"/>
        <v>2</v>
      </c>
      <c r="AQ709" s="6">
        <f t="shared" si="104"/>
        <v>0</v>
      </c>
    </row>
    <row r="710" spans="1:221" x14ac:dyDescent="0.25">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10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c r="DJ710" s="6"/>
      <c r="DK710" s="6"/>
      <c r="DL710" s="6"/>
      <c r="DM710" s="6"/>
      <c r="DN710" s="6"/>
      <c r="DO710" s="6"/>
      <c r="DP710" s="6"/>
      <c r="DQ710" s="6"/>
      <c r="DR710" s="6"/>
      <c r="DS710" s="6"/>
      <c r="DT710" s="6"/>
      <c r="DU710" s="6"/>
      <c r="DV710" s="6"/>
      <c r="DW710" s="6"/>
      <c r="DX710" s="6"/>
      <c r="DY710" s="6"/>
      <c r="DZ710" s="6"/>
      <c r="EA710" s="6"/>
      <c r="EB710" s="6"/>
      <c r="EC710" s="6"/>
      <c r="ED710" s="6"/>
      <c r="EE710" s="6"/>
      <c r="EF710" s="6"/>
      <c r="EG710" s="6"/>
      <c r="EH710" s="6"/>
      <c r="EI710" s="6"/>
      <c r="EJ710" s="6"/>
      <c r="EK710" s="6"/>
      <c r="EL710" s="6"/>
      <c r="EM710" s="6"/>
      <c r="EN710" s="6"/>
      <c r="EO710" s="6"/>
      <c r="EP710" s="6"/>
      <c r="EQ710" s="6"/>
      <c r="ER710" s="6"/>
      <c r="ES710" s="6"/>
      <c r="ET710" s="6"/>
      <c r="EU710" s="6"/>
      <c r="EV710" s="6"/>
      <c r="EW710" s="6"/>
      <c r="EX710" s="6"/>
      <c r="EY710" s="6"/>
      <c r="EZ710" s="6"/>
      <c r="FA710" s="6"/>
      <c r="FB710" s="6"/>
      <c r="FC710" s="6"/>
      <c r="FD710" s="6"/>
      <c r="FE710" s="6"/>
      <c r="FF710" s="6"/>
      <c r="FG710" s="6"/>
      <c r="FH710" s="6"/>
      <c r="FI710" s="6"/>
      <c r="FJ710" s="6"/>
      <c r="FK710" s="6"/>
      <c r="FL710" s="6"/>
      <c r="FM710" s="6"/>
      <c r="FN710" s="6"/>
      <c r="FO710" s="6"/>
      <c r="FP710" s="6"/>
      <c r="FQ710" s="6"/>
      <c r="FR710" s="6"/>
      <c r="FS710" s="6"/>
      <c r="FT710" s="6"/>
      <c r="FU710" s="6"/>
      <c r="FV710" s="6"/>
      <c r="FW710" s="6"/>
      <c r="FX710" s="6"/>
      <c r="FY710" s="6"/>
      <c r="FZ710" s="6"/>
      <c r="GA710" s="6"/>
      <c r="GB710" s="6"/>
      <c r="GC710" s="6"/>
      <c r="GD710" s="6"/>
      <c r="GE710" s="6"/>
      <c r="GF710" s="6"/>
      <c r="GG710" s="6"/>
      <c r="GH710" s="6"/>
      <c r="GI710" s="6"/>
      <c r="GJ710" s="6"/>
      <c r="GK710" s="6"/>
      <c r="GL710" s="6"/>
      <c r="GM710" s="6"/>
      <c r="GN710" s="6"/>
      <c r="GO710" s="6"/>
      <c r="GP710" s="6"/>
      <c r="GQ710" s="6"/>
      <c r="GR710" s="6"/>
      <c r="GS710" s="6"/>
      <c r="GT710" s="6"/>
      <c r="GU710" s="6"/>
      <c r="GV710" s="6"/>
      <c r="GW710" s="6"/>
      <c r="GX710" s="6"/>
      <c r="GY710" s="6"/>
      <c r="GZ710" s="6"/>
      <c r="HA710" s="6"/>
      <c r="HB710" s="6"/>
      <c r="HC710" s="6"/>
      <c r="HD710" s="6"/>
      <c r="HE710" s="6"/>
      <c r="HF710" s="6"/>
      <c r="HG710" s="6"/>
      <c r="HH710" s="6"/>
      <c r="HI710" s="6"/>
      <c r="HJ710" s="6"/>
      <c r="HK710" s="6"/>
      <c r="HL710" s="6"/>
    </row>
    <row r="711" spans="1:221" x14ac:dyDescent="0.25">
      <c r="A711" s="6" t="s">
        <v>173</v>
      </c>
      <c r="B711" s="6" t="s">
        <v>1386</v>
      </c>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107"/>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c r="DJ711" s="6"/>
      <c r="DK711" s="6"/>
      <c r="DL711" s="6"/>
      <c r="DM711" s="6"/>
      <c r="DN711" s="6"/>
      <c r="DO711" s="6"/>
      <c r="DP711" s="6"/>
      <c r="DQ711" s="6"/>
      <c r="DR711" s="6"/>
      <c r="DS711" s="6"/>
      <c r="DT711" s="6"/>
      <c r="DU711" s="6"/>
      <c r="DV711" s="6"/>
      <c r="DW711" s="6"/>
      <c r="DX711" s="6"/>
      <c r="DY711" s="6"/>
      <c r="DZ711" s="6"/>
      <c r="EA711" s="6"/>
      <c r="EB711" s="6"/>
      <c r="EC711" s="6"/>
      <c r="ED711" s="6"/>
      <c r="EE711" s="6"/>
      <c r="EF711" s="6"/>
      <c r="EG711" s="6"/>
      <c r="EH711" s="6"/>
      <c r="EI711" s="6"/>
      <c r="EJ711" s="6"/>
      <c r="EK711" s="6"/>
      <c r="EL711" s="6"/>
      <c r="EM711" s="6"/>
      <c r="EN711" s="6"/>
      <c r="EO711" s="6"/>
      <c r="EP711" s="6"/>
      <c r="EQ711" s="6"/>
      <c r="ER711" s="6"/>
      <c r="ES711" s="6"/>
      <c r="ET711" s="6"/>
      <c r="EU711" s="6"/>
      <c r="EV711" s="6"/>
      <c r="EW711" s="6"/>
      <c r="EX711" s="6"/>
      <c r="EY711" s="6"/>
      <c r="EZ711" s="6"/>
      <c r="FA711" s="6"/>
      <c r="FB711" s="6"/>
      <c r="FC711" s="6"/>
      <c r="FD711" s="6"/>
      <c r="FE711" s="6"/>
      <c r="FF711" s="6"/>
      <c r="FG711" s="6"/>
      <c r="FH711" s="6"/>
      <c r="FI711" s="6"/>
      <c r="FJ711" s="6"/>
      <c r="FK711" s="6"/>
      <c r="FL711" s="6"/>
      <c r="FM711" s="6"/>
      <c r="FN711" s="6"/>
      <c r="FO711" s="6"/>
      <c r="FP711" s="6"/>
      <c r="FQ711" s="6"/>
      <c r="FR711" s="6"/>
      <c r="FS711" s="6"/>
      <c r="FT711" s="6"/>
      <c r="FU711" s="6"/>
      <c r="FV711" s="6"/>
      <c r="FW711" s="6"/>
      <c r="FX711" s="6"/>
      <c r="FY711" s="6"/>
      <c r="FZ711" s="6"/>
      <c r="GA711" s="6"/>
      <c r="GB711" s="6"/>
      <c r="GC711" s="6"/>
      <c r="GD711" s="6"/>
      <c r="GE711" s="6"/>
      <c r="GF711" s="6"/>
      <c r="GG711" s="6"/>
      <c r="GH711" s="6"/>
      <c r="GI711" s="6"/>
      <c r="GJ711" s="6"/>
      <c r="GK711" s="6"/>
      <c r="GL711" s="6"/>
      <c r="GM711" s="6"/>
      <c r="GN711" s="6"/>
      <c r="GO711" s="6"/>
      <c r="GP711" s="6"/>
      <c r="GQ711" s="6"/>
      <c r="GR711" s="6"/>
      <c r="GS711" s="6"/>
      <c r="GT711" s="6"/>
      <c r="GU711" s="6"/>
      <c r="GV711" s="6"/>
      <c r="GW711" s="6"/>
      <c r="GX711" s="6"/>
      <c r="GY711" s="6"/>
      <c r="GZ711" s="6"/>
      <c r="HA711" s="6"/>
      <c r="HB711" s="6"/>
      <c r="HC711" s="6"/>
      <c r="HD711" s="6"/>
      <c r="HE711" s="6"/>
      <c r="HF711" s="6"/>
      <c r="HG711" s="6"/>
      <c r="HH711" s="6"/>
      <c r="HI711" s="6"/>
      <c r="HJ711" s="6"/>
      <c r="HK711" s="6"/>
      <c r="HL711" s="6"/>
    </row>
    <row r="712" spans="1:221" x14ac:dyDescent="0.25">
      <c r="A712" s="6" t="s">
        <v>173</v>
      </c>
      <c r="B712" s="157" t="s">
        <v>970</v>
      </c>
      <c r="C712" s="157" t="s">
        <v>971</v>
      </c>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107"/>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c r="DJ712" s="6"/>
      <c r="DK712" s="6"/>
      <c r="DL712" s="6"/>
      <c r="DM712" s="6"/>
      <c r="DN712" s="6"/>
      <c r="DO712" s="6"/>
      <c r="DP712" s="6"/>
      <c r="DQ712" s="6"/>
      <c r="DR712" s="6"/>
      <c r="DS712" s="6"/>
      <c r="DT712" s="6"/>
      <c r="DU712" s="6"/>
      <c r="DV712" s="6"/>
      <c r="DW712" s="6"/>
      <c r="DX712" s="6"/>
      <c r="DY712" s="6"/>
      <c r="DZ712" s="6"/>
      <c r="EA712" s="6"/>
      <c r="EB712" s="6"/>
      <c r="EC712" s="6"/>
      <c r="ED712" s="6"/>
      <c r="EE712" s="6"/>
      <c r="EF712" s="6"/>
      <c r="EG712" s="6"/>
      <c r="EH712" s="6"/>
      <c r="EI712" s="6"/>
      <c r="EJ712" s="6"/>
      <c r="EK712" s="6"/>
      <c r="EL712" s="6"/>
      <c r="EM712" s="6"/>
      <c r="EN712" s="6"/>
      <c r="EO712" s="6"/>
      <c r="EP712" s="6"/>
      <c r="EQ712" s="6"/>
      <c r="ER712" s="6"/>
      <c r="ES712" s="6"/>
      <c r="ET712" s="6"/>
      <c r="EU712" s="6"/>
      <c r="EV712" s="6"/>
      <c r="EW712" s="6"/>
      <c r="EX712" s="6"/>
      <c r="EY712" s="6"/>
      <c r="EZ712" s="6"/>
      <c r="FA712" s="6"/>
      <c r="FB712" s="6"/>
      <c r="FC712" s="6"/>
      <c r="FD712" s="6"/>
      <c r="FE712" s="6"/>
      <c r="FF712" s="6"/>
      <c r="FG712" s="6"/>
      <c r="FH712" s="6"/>
      <c r="FI712" s="6"/>
      <c r="FJ712" s="6"/>
      <c r="FK712" s="6"/>
      <c r="FL712" s="6"/>
      <c r="FM712" s="6"/>
      <c r="FN712" s="6"/>
      <c r="FO712" s="6"/>
      <c r="FP712" s="6"/>
      <c r="FQ712" s="6"/>
      <c r="FR712" s="6"/>
      <c r="FS712" s="6"/>
      <c r="FT712" s="6"/>
      <c r="FU712" s="6"/>
      <c r="FV712" s="6"/>
      <c r="FW712" s="6"/>
      <c r="FX712" s="6"/>
      <c r="FY712" s="6"/>
      <c r="FZ712" s="6"/>
      <c r="GA712" s="6"/>
      <c r="GB712" s="6"/>
      <c r="GC712" s="6"/>
      <c r="GD712" s="6"/>
      <c r="GE712" s="6"/>
      <c r="GF712" s="6"/>
      <c r="GG712" s="6"/>
      <c r="GH712" s="6"/>
      <c r="GI712" s="6"/>
      <c r="GJ712" s="6"/>
      <c r="GK712" s="6"/>
      <c r="GL712" s="6"/>
      <c r="GM712" s="6"/>
      <c r="GN712" s="6"/>
      <c r="GO712" s="6"/>
      <c r="GP712" s="6"/>
      <c r="GQ712" s="6"/>
      <c r="GR712" s="6"/>
      <c r="GS712" s="6"/>
      <c r="GT712" s="6"/>
      <c r="GU712" s="6"/>
      <c r="GV712" s="6"/>
      <c r="GW712" s="6"/>
      <c r="GX712" s="6"/>
      <c r="GY712" s="6"/>
      <c r="GZ712" s="6"/>
      <c r="HA712" s="6"/>
      <c r="HB712" s="6"/>
      <c r="HC712" s="6"/>
      <c r="HD712" s="6"/>
      <c r="HE712" s="6"/>
      <c r="HF712" s="6"/>
      <c r="HG712" s="6"/>
      <c r="HH712" s="6"/>
      <c r="HI712" s="6"/>
      <c r="HJ712" s="6"/>
      <c r="HK712" s="6"/>
      <c r="HL712" s="6"/>
      <c r="HM712" s="6"/>
    </row>
    <row r="713" spans="1:221" x14ac:dyDescent="0.25">
      <c r="A713" s="6" t="s">
        <v>173</v>
      </c>
      <c r="B713" s="6" t="s">
        <v>306</v>
      </c>
      <c r="C713" s="732" t="s">
        <v>1082</v>
      </c>
      <c r="D713" s="721"/>
      <c r="E713" s="721"/>
      <c r="F713" s="721"/>
      <c r="G713" s="721"/>
      <c r="H713" s="721"/>
      <c r="I713" s="721"/>
      <c r="J713" s="721"/>
      <c r="K713" s="721"/>
      <c r="L713" s="721"/>
      <c r="M713" s="721"/>
      <c r="N713" s="721"/>
      <c r="O713" s="721"/>
      <c r="P713" s="721"/>
      <c r="Q713" s="721"/>
      <c r="R713" s="721"/>
      <c r="S713" s="721"/>
      <c r="T713" s="721"/>
      <c r="U713" s="721"/>
      <c r="V713" s="721"/>
      <c r="W713" s="721"/>
      <c r="X713" s="721"/>
      <c r="Y713" s="721"/>
      <c r="Z713" s="721"/>
      <c r="AA713" s="6"/>
      <c r="AB713" s="6"/>
      <c r="AC713" s="6"/>
      <c r="AD713" s="6"/>
      <c r="AE713" s="6"/>
      <c r="AF713" s="6"/>
      <c r="AG713" s="107"/>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c r="DJ713" s="6"/>
      <c r="DK713" s="6"/>
      <c r="DL713" s="6"/>
      <c r="DM713" s="6"/>
      <c r="DN713" s="6"/>
      <c r="DO713" s="6"/>
      <c r="DP713" s="6"/>
      <c r="DQ713" s="6"/>
      <c r="DR713" s="6"/>
      <c r="DS713" s="6"/>
      <c r="DT713" s="6"/>
      <c r="DU713" s="6"/>
      <c r="DV713" s="6"/>
      <c r="DW713" s="6"/>
      <c r="DX713" s="6"/>
      <c r="DY713" s="6"/>
      <c r="DZ713" s="6"/>
      <c r="EA713" s="6"/>
      <c r="EB713" s="6"/>
      <c r="EC713" s="6"/>
      <c r="ED713" s="6"/>
      <c r="EE713" s="6"/>
      <c r="EF713" s="6"/>
      <c r="EG713" s="6"/>
      <c r="EH713" s="6"/>
      <c r="EI713" s="6"/>
      <c r="EJ713" s="6"/>
      <c r="EK713" s="6"/>
      <c r="EL713" s="6"/>
      <c r="EM713" s="6"/>
      <c r="EN713" s="6"/>
      <c r="EO713" s="6"/>
      <c r="EP713" s="6"/>
      <c r="EQ713" s="6"/>
      <c r="ER713" s="6"/>
      <c r="ES713" s="6"/>
      <c r="ET713" s="6"/>
      <c r="EU713" s="6"/>
      <c r="EV713" s="6"/>
      <c r="EW713" s="6"/>
      <c r="EX713" s="6"/>
      <c r="EY713" s="6"/>
      <c r="EZ713" s="6"/>
      <c r="FA713" s="6"/>
      <c r="FB713" s="6"/>
      <c r="FC713" s="6"/>
      <c r="FD713" s="6"/>
      <c r="FE713" s="6"/>
      <c r="FF713" s="6"/>
      <c r="FG713" s="6"/>
      <c r="FH713" s="6"/>
      <c r="FI713" s="6"/>
      <c r="FJ713" s="6"/>
      <c r="FK713" s="6"/>
      <c r="FL713" s="6"/>
      <c r="FM713" s="6"/>
      <c r="FN713" s="6"/>
      <c r="FO713" s="6"/>
      <c r="FP713" s="6"/>
      <c r="FQ713" s="6"/>
      <c r="FR713" s="6"/>
      <c r="FS713" s="6"/>
      <c r="FT713" s="6"/>
      <c r="FU713" s="6"/>
      <c r="FV713" s="6"/>
      <c r="FW713" s="6"/>
      <c r="FX713" s="6"/>
      <c r="FY713" s="6"/>
      <c r="FZ713" s="6"/>
      <c r="GA713" s="6"/>
      <c r="GB713" s="6"/>
      <c r="GC713" s="6"/>
      <c r="GD713" s="6"/>
      <c r="GE713" s="6"/>
      <c r="GF713" s="6"/>
      <c r="GG713" s="6"/>
      <c r="GH713" s="6"/>
      <c r="GI713" s="6"/>
      <c r="GJ713" s="6"/>
      <c r="GK713" s="6"/>
      <c r="GL713" s="6"/>
      <c r="GM713" s="6"/>
      <c r="GN713" s="6"/>
      <c r="GO713" s="6"/>
      <c r="GP713" s="6"/>
      <c r="GQ713" s="6"/>
      <c r="GR713" s="6"/>
      <c r="GS713" s="6"/>
      <c r="GT713" s="6"/>
      <c r="GU713" s="6"/>
      <c r="GV713" s="6"/>
      <c r="GW713" s="6"/>
      <c r="GX713" s="6"/>
      <c r="GY713" s="6"/>
      <c r="GZ713" s="6"/>
      <c r="HA713" s="6"/>
      <c r="HB713" s="6"/>
      <c r="HC713" s="6"/>
      <c r="HD713" s="6"/>
      <c r="HE713" s="6"/>
      <c r="HF713" s="6"/>
      <c r="HG713" s="6"/>
      <c r="HH713" s="6"/>
      <c r="HI713" s="6"/>
      <c r="HJ713" s="6"/>
      <c r="HK713" s="6"/>
      <c r="HL713" s="6"/>
      <c r="HM713" s="6"/>
    </row>
    <row r="714" spans="1:221" x14ac:dyDescent="0.25">
      <c r="A714" s="6" t="s">
        <v>173</v>
      </c>
      <c r="B714" s="6" t="s">
        <v>173</v>
      </c>
      <c r="C714" s="7" t="s">
        <v>371</v>
      </c>
      <c r="D714" s="7" t="s">
        <v>364</v>
      </c>
      <c r="E714" s="7" t="s">
        <v>363</v>
      </c>
      <c r="F714" s="7" t="s">
        <v>19</v>
      </c>
      <c r="G714" s="7" t="s">
        <v>287</v>
      </c>
      <c r="H714" s="7" t="s">
        <v>118</v>
      </c>
      <c r="I714" s="7" t="s">
        <v>365</v>
      </c>
      <c r="J714" s="7" t="s">
        <v>676</v>
      </c>
      <c r="K714" s="7" t="s">
        <v>198</v>
      </c>
      <c r="L714" s="7" t="s">
        <v>52</v>
      </c>
      <c r="M714" s="7" t="s">
        <v>7</v>
      </c>
      <c r="N714" s="7" t="s">
        <v>8</v>
      </c>
      <c r="O714" s="7" t="s">
        <v>294</v>
      </c>
      <c r="P714" s="7" t="s">
        <v>9</v>
      </c>
      <c r="Q714" s="7" t="s">
        <v>10</v>
      </c>
      <c r="R714" s="7" t="s">
        <v>1027</v>
      </c>
      <c r="S714" s="7" t="s">
        <v>11</v>
      </c>
      <c r="T714" s="7" t="s">
        <v>12</v>
      </c>
      <c r="U714" s="7" t="s">
        <v>13</v>
      </c>
      <c r="V714" s="7" t="s">
        <v>1028</v>
      </c>
      <c r="W714" s="7" t="s">
        <v>1029</v>
      </c>
      <c r="X714" s="7" t="s">
        <v>191</v>
      </c>
      <c r="Y714" s="7" t="s">
        <v>347</v>
      </c>
      <c r="Z714" s="7" t="s">
        <v>1031</v>
      </c>
      <c r="AA714" s="6"/>
      <c r="AB714" s="6"/>
      <c r="AC714" s="6"/>
      <c r="AD714" s="6"/>
      <c r="AE714" s="6"/>
      <c r="AF714" s="6"/>
      <c r="AG714" s="6"/>
      <c r="AH714" s="10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c r="DJ714" s="6"/>
      <c r="DK714" s="6"/>
      <c r="DL714" s="6"/>
      <c r="DM714" s="6"/>
      <c r="DN714" s="6"/>
      <c r="DO714" s="6"/>
      <c r="DP714" s="6"/>
      <c r="DQ714" s="6"/>
      <c r="DR714" s="6"/>
      <c r="DS714" s="6"/>
      <c r="DT714" s="6"/>
      <c r="DU714" s="6"/>
      <c r="DV714" s="6"/>
      <c r="DW714" s="6"/>
      <c r="DX714" s="6"/>
      <c r="DY714" s="6"/>
      <c r="DZ714" s="6"/>
      <c r="EA714" s="6"/>
      <c r="EB714" s="6"/>
      <c r="EC714" s="6"/>
      <c r="ED714" s="6"/>
      <c r="EE714" s="6"/>
      <c r="EF714" s="6"/>
      <c r="EG714" s="6"/>
      <c r="EH714" s="6"/>
      <c r="EI714" s="6"/>
      <c r="EJ714" s="6"/>
      <c r="EK714" s="6"/>
      <c r="EL714" s="6"/>
      <c r="EM714" s="6"/>
      <c r="EN714" s="6"/>
      <c r="EO714" s="6"/>
      <c r="EP714" s="6"/>
      <c r="EQ714" s="6"/>
      <c r="ER714" s="6"/>
      <c r="ES714" s="6"/>
      <c r="ET714" s="6"/>
      <c r="EU714" s="6"/>
      <c r="EV714" s="6"/>
      <c r="EW714" s="6"/>
      <c r="EX714" s="6"/>
      <c r="EY714" s="6"/>
      <c r="EZ714" s="6"/>
      <c r="FA714" s="6"/>
      <c r="FB714" s="6"/>
      <c r="FC714" s="6"/>
      <c r="FD714" s="6"/>
      <c r="FE714" s="6"/>
      <c r="FF714" s="6"/>
      <c r="FG714" s="6"/>
      <c r="FH714" s="6"/>
      <c r="FI714" s="6"/>
      <c r="FJ714" s="6"/>
      <c r="FK714" s="6"/>
      <c r="FL714" s="6"/>
      <c r="FM714" s="6"/>
      <c r="FN714" s="6"/>
      <c r="FO714" s="6"/>
      <c r="FP714" s="6"/>
      <c r="FQ714" s="6"/>
      <c r="FR714" s="6"/>
      <c r="FS714" s="6"/>
      <c r="FT714" s="6"/>
      <c r="FU714" s="6"/>
      <c r="FV714" s="6"/>
      <c r="FW714" s="6"/>
      <c r="FX714" s="6"/>
      <c r="FY714" s="6"/>
      <c r="FZ714" s="6"/>
      <c r="GA714" s="6"/>
      <c r="GB714" s="6"/>
      <c r="GC714" s="6"/>
      <c r="GD714" s="6"/>
      <c r="GE714" s="6"/>
      <c r="GF714" s="6"/>
      <c r="GG714" s="6"/>
      <c r="GH714" s="6"/>
      <c r="GI714" s="6"/>
      <c r="GJ714" s="6"/>
      <c r="GK714" s="6"/>
      <c r="GL714" s="6"/>
      <c r="GM714" s="6"/>
      <c r="GN714" s="6"/>
      <c r="GO714" s="6"/>
      <c r="GP714" s="6"/>
      <c r="GQ714" s="6"/>
      <c r="GR714" s="6"/>
      <c r="GS714" s="6"/>
      <c r="GT714" s="6"/>
      <c r="GU714" s="6"/>
      <c r="GV714" s="6"/>
      <c r="GW714" s="6"/>
      <c r="GX714" s="6"/>
      <c r="GY714" s="6"/>
      <c r="GZ714" s="6"/>
      <c r="HA714" s="6"/>
      <c r="HB714" s="6"/>
      <c r="HC714" s="6"/>
      <c r="HD714" s="6"/>
      <c r="HE714" s="6"/>
      <c r="HF714" s="6"/>
      <c r="HG714" s="6"/>
      <c r="HH714" s="6"/>
      <c r="HI714" s="6"/>
      <c r="HJ714" s="6"/>
      <c r="HK714" s="6"/>
      <c r="HL714" s="6"/>
      <c r="HM714" s="6"/>
    </row>
    <row r="715" spans="1:221" x14ac:dyDescent="0.25">
      <c r="A715" s="6" t="s">
        <v>173</v>
      </c>
      <c r="B715" s="6" t="s">
        <v>173</v>
      </c>
      <c r="C715" s="7" t="s">
        <v>370</v>
      </c>
      <c r="D715" s="7" t="s">
        <v>324</v>
      </c>
      <c r="E715" s="7" t="s">
        <v>1032</v>
      </c>
      <c r="F715" s="7" t="s">
        <v>321</v>
      </c>
      <c r="G715" s="7" t="s">
        <v>322</v>
      </c>
      <c r="H715" s="7" t="s">
        <v>323</v>
      </c>
      <c r="I715" s="7" t="s">
        <v>325</v>
      </c>
      <c r="J715" s="7" t="s">
        <v>1033</v>
      </c>
      <c r="K715" s="7" t="s">
        <v>327</v>
      </c>
      <c r="L715" s="7" t="s">
        <v>328</v>
      </c>
      <c r="M715" s="7" t="s">
        <v>329</v>
      </c>
      <c r="N715" s="7" t="s">
        <v>330</v>
      </c>
      <c r="O715" s="7" t="s">
        <v>331</v>
      </c>
      <c r="P715" s="7" t="s">
        <v>332</v>
      </c>
      <c r="Q715" s="7" t="s">
        <v>333</v>
      </c>
      <c r="R715" s="7" t="s">
        <v>1039</v>
      </c>
      <c r="S715" s="7" t="s">
        <v>366</v>
      </c>
      <c r="T715" s="7" t="s">
        <v>1041</v>
      </c>
      <c r="U715" s="7" t="s">
        <v>1042</v>
      </c>
      <c r="V715" s="7" t="s">
        <v>1043</v>
      </c>
      <c r="W715" s="7" t="s">
        <v>1044</v>
      </c>
      <c r="X715" s="7" t="s">
        <v>346</v>
      </c>
      <c r="Y715" s="7" t="s">
        <v>345</v>
      </c>
      <c r="Z715" s="7" t="s">
        <v>1031</v>
      </c>
      <c r="AH715" s="106"/>
    </row>
    <row r="716" spans="1:221" x14ac:dyDescent="0.25">
      <c r="A716" s="6" t="s">
        <v>173</v>
      </c>
      <c r="B716" s="6" t="s">
        <v>173</v>
      </c>
      <c r="C716" s="92" t="str">
        <f>B663</f>
        <v/>
      </c>
      <c r="D716" s="109" t="str">
        <f>VLOOKUP(C716,$B$662:$AN$709,2,FALSE)</f>
        <v>2018032810000010</v>
      </c>
      <c r="E716" s="109">
        <f>VLOOKUP(C716,$B$662:$AN$709,3,FALSE)</f>
        <v>0</v>
      </c>
      <c r="F716" s="92" t="str">
        <f>VLOOKUP(C716,$B$662:$AN$709,4,FALSE)</f>
        <v>6001</v>
      </c>
      <c r="G716" s="92" t="str">
        <f t="shared" ref="G716:G729" si="154">VLOOKUP(C716,$B$662:$AN$709,5,FALSE)</f>
        <v>B00101</v>
      </c>
      <c r="H716" s="92" t="str">
        <f t="shared" ref="H716:H729" si="155">VLOOKUP(C716,$B$662:$AN$709,6,FALSE)</f>
        <v>6001</v>
      </c>
      <c r="I716" s="92">
        <f t="shared" ref="I716:I729" si="156">$B$2</f>
        <v>20180328</v>
      </c>
      <c r="J716" s="92">
        <f>VLOOKUP(C716,$B$662:$AN$709,8,FALSE)</f>
        <v>20180328</v>
      </c>
      <c r="K716" s="92" t="str">
        <f t="shared" ref="K716:K729" si="157">$B$19</f>
        <v>CZCE</v>
      </c>
      <c r="L716" s="92" t="str">
        <f t="shared" ref="L716:L729" si="158">VLOOKUP(C716,$B$662:$AN$709,11,FALSE)</f>
        <v>SR807</v>
      </c>
      <c r="M716" s="92">
        <f>VLOOKUP(C716,$B$662:$AN$709,12,FALSE)</f>
        <v>10</v>
      </c>
      <c r="N716" s="92">
        <f>VLOOKUP(C716,$B$662:$AN$709,13,FALSE)</f>
        <v>0</v>
      </c>
      <c r="O716" s="92">
        <f t="shared" ref="O716:O729" si="159">VLOOKUP(C716,$B$662:$AN$709,14,FALSE)</f>
        <v>0</v>
      </c>
      <c r="P716" s="92">
        <f t="shared" ref="P716:P729" si="160">VLOOKUP(C716,$B$662:$AN$709,15,FALSE)</f>
        <v>1</v>
      </c>
      <c r="Q716" s="92">
        <f>VLOOKUP(C716,$B$662:$AN$709,16,FALSE)</f>
        <v>1</v>
      </c>
      <c r="R716" s="92">
        <f>VLOOKUP(C716,$B$662:$AN$709,17,FALSE)</f>
        <v>6110</v>
      </c>
      <c r="S716" s="92">
        <f t="shared" ref="S716:S729" si="161">VLOOKUP(C716,$B$662:$AN$709,18,FALSE)</f>
        <v>6110</v>
      </c>
      <c r="T716" s="92">
        <f>VLOOKUP(C716,$B$662:$AN$709,19,FALSE)</f>
        <v>6155</v>
      </c>
      <c r="U716" s="92"/>
      <c r="V716" s="92">
        <f>VLOOKUP(C716,$B$662:$AN$709,28,FALSE)</f>
        <v>0</v>
      </c>
      <c r="W716" s="92">
        <f>VLOOKUP(C716,$B$662:$AN$709,29,FALSE)</f>
        <v>0</v>
      </c>
      <c r="X716" s="92" t="str">
        <f t="shared" ref="X716:X729" si="162">$F$5</f>
        <v>9999</v>
      </c>
      <c r="Y716" s="92" t="str">
        <f t="shared" ref="Y716:Y729" si="163">VLOOKUP(C716,$B$662:$AN$709,34,FALSE)</f>
        <v>50010001</v>
      </c>
      <c r="Z716" s="92" t="str">
        <f t="shared" ref="Z716:Z729" si="164">VLOOKUP(C716,$B$662:$AN$709,32,FALSE)</f>
        <v>N</v>
      </c>
      <c r="AG716" s="106"/>
    </row>
    <row r="717" spans="1:221" x14ac:dyDescent="0.25">
      <c r="A717" s="6" t="s">
        <v>173</v>
      </c>
      <c r="B717" s="6" t="s">
        <v>173</v>
      </c>
      <c r="C717" s="92" t="str">
        <f>B666</f>
        <v/>
      </c>
      <c r="D717" s="109" t="str">
        <f t="shared" ref="D717:D729" si="165">VLOOKUP(C717,$B$662:$AN$709,2,FALSE)</f>
        <v>2018032810000010</v>
      </c>
      <c r="E717" s="109">
        <f t="shared" ref="E717:E729" si="166">VLOOKUP(C717,$B$662:$AN$709,3,FALSE)</f>
        <v>0</v>
      </c>
      <c r="F717" s="92" t="str">
        <f t="shared" ref="F717:F729" si="167">VLOOKUP(C717,$B$662:$AN$709,4,FALSE)</f>
        <v>6001</v>
      </c>
      <c r="G717" s="92" t="str">
        <f t="shared" si="154"/>
        <v>B00101</v>
      </c>
      <c r="H717" s="92" t="str">
        <f t="shared" si="155"/>
        <v>6001</v>
      </c>
      <c r="I717" s="92">
        <f t="shared" si="156"/>
        <v>20180328</v>
      </c>
      <c r="J717" s="92">
        <f t="shared" ref="J717:J729" si="168">VLOOKUP(C717,$B$662:$AN$709,8,FALSE)</f>
        <v>20180328</v>
      </c>
      <c r="K717" s="92" t="str">
        <f t="shared" si="157"/>
        <v>CZCE</v>
      </c>
      <c r="L717" s="92" t="str">
        <f t="shared" si="158"/>
        <v>SR807</v>
      </c>
      <c r="M717" s="92">
        <f t="shared" ref="M717:M729" si="169">VLOOKUP(L717,$C$19:$E$29,3,FALSE)</f>
        <v>10</v>
      </c>
      <c r="N717" s="92">
        <f t="shared" ref="N717:N729" si="170">VLOOKUP(C717,$B$662:$AN$709,13,FALSE)</f>
        <v>0</v>
      </c>
      <c r="O717" s="92">
        <f t="shared" si="159"/>
        <v>0</v>
      </c>
      <c r="P717" s="92">
        <f t="shared" si="160"/>
        <v>1</v>
      </c>
      <c r="Q717" s="92">
        <f>VLOOKUP(C717,$B$662:$AN$709,16,FALSE)</f>
        <v>1</v>
      </c>
      <c r="R717" s="92">
        <f t="shared" ref="R717:R729" si="171">VLOOKUP(C717,$B$662:$AN$709,17,FALSE)</f>
        <v>6110</v>
      </c>
      <c r="S717" s="92">
        <f t="shared" si="161"/>
        <v>6110</v>
      </c>
      <c r="T717" s="92">
        <f t="shared" ref="T717:T729" si="172">VLOOKUP(C717,$B$662:$AN$709,19,FALSE)</f>
        <v>6155</v>
      </c>
      <c r="U717" s="92"/>
      <c r="V717" s="92">
        <f>VLOOKUP(C717,$B$662:$AN$709,28,FALSE)</f>
        <v>0</v>
      </c>
      <c r="W717" s="92">
        <f>VLOOKUP(C717,$B$662:$AN$709,29,FALSE)</f>
        <v>0</v>
      </c>
      <c r="X717" s="92" t="str">
        <f t="shared" si="162"/>
        <v>9999</v>
      </c>
      <c r="Y717" s="92" t="str">
        <f t="shared" si="163"/>
        <v>50010001</v>
      </c>
      <c r="Z717" s="92" t="str">
        <f t="shared" si="164"/>
        <v>N</v>
      </c>
      <c r="AG717" s="106"/>
    </row>
    <row r="718" spans="1:221" x14ac:dyDescent="0.25">
      <c r="A718" s="6" t="s">
        <v>173</v>
      </c>
      <c r="B718" s="6" t="s">
        <v>173</v>
      </c>
      <c r="C718" s="92" t="str">
        <f>B675</f>
        <v/>
      </c>
      <c r="D718" s="109" t="str">
        <f t="shared" si="165"/>
        <v>2018032810000010</v>
      </c>
      <c r="E718" s="109">
        <f t="shared" si="166"/>
        <v>0</v>
      </c>
      <c r="F718" s="92" t="str">
        <f t="shared" si="167"/>
        <v>6001</v>
      </c>
      <c r="G718" s="92" t="str">
        <f t="shared" si="154"/>
        <v>B00101</v>
      </c>
      <c r="H718" s="92" t="str">
        <f t="shared" si="155"/>
        <v>6001</v>
      </c>
      <c r="I718" s="92">
        <f t="shared" si="156"/>
        <v>20180328</v>
      </c>
      <c r="J718" s="92">
        <f t="shared" si="168"/>
        <v>20180328</v>
      </c>
      <c r="K718" s="92" t="str">
        <f t="shared" si="157"/>
        <v>CZCE</v>
      </c>
      <c r="L718" s="92" t="str">
        <f t="shared" si="158"/>
        <v>SR807</v>
      </c>
      <c r="M718" s="92">
        <f t="shared" si="169"/>
        <v>10</v>
      </c>
      <c r="N718" s="92">
        <f t="shared" si="170"/>
        <v>0</v>
      </c>
      <c r="O718" s="92">
        <f t="shared" si="159"/>
        <v>0</v>
      </c>
      <c r="P718" s="92">
        <f t="shared" si="160"/>
        <v>1</v>
      </c>
      <c r="Q718" s="92">
        <f>VLOOKUP(C718,$B$662:$AN$709,16,FALSE)</f>
        <v>1</v>
      </c>
      <c r="R718" s="92">
        <f t="shared" si="171"/>
        <v>6110</v>
      </c>
      <c r="S718" s="92">
        <f t="shared" si="161"/>
        <v>6110</v>
      </c>
      <c r="T718" s="92">
        <f t="shared" si="172"/>
        <v>6155</v>
      </c>
      <c r="U718" s="92"/>
      <c r="V718" s="92">
        <f>VLOOKUP(C718,$B$662:$AN$709,28,FALSE)</f>
        <v>0</v>
      </c>
      <c r="W718" s="92">
        <f>VLOOKUP(C718,$B$662:$AN$709,29,FALSE)</f>
        <v>0</v>
      </c>
      <c r="X718" s="92" t="str">
        <f t="shared" si="162"/>
        <v>9999</v>
      </c>
      <c r="Y718" s="92" t="str">
        <f t="shared" si="163"/>
        <v>50010001</v>
      </c>
      <c r="Z718" s="92" t="str">
        <f t="shared" si="164"/>
        <v>N</v>
      </c>
      <c r="AG718" s="106"/>
    </row>
    <row r="719" spans="1:221" x14ac:dyDescent="0.25">
      <c r="A719" s="6" t="s">
        <v>173</v>
      </c>
      <c r="B719" s="6" t="s">
        <v>173</v>
      </c>
      <c r="C719" s="92" t="str">
        <f>B676</f>
        <v/>
      </c>
      <c r="D719" s="109" t="str">
        <f t="shared" si="165"/>
        <v>2018032810000010</v>
      </c>
      <c r="E719" s="109">
        <f t="shared" si="166"/>
        <v>0</v>
      </c>
      <c r="F719" s="92" t="str">
        <f t="shared" si="167"/>
        <v>6001</v>
      </c>
      <c r="G719" s="92" t="str">
        <f t="shared" si="154"/>
        <v>B00101</v>
      </c>
      <c r="H719" s="92" t="str">
        <f t="shared" si="155"/>
        <v>6001</v>
      </c>
      <c r="I719" s="92">
        <f t="shared" si="156"/>
        <v>20180328</v>
      </c>
      <c r="J719" s="92">
        <f t="shared" si="168"/>
        <v>20180328</v>
      </c>
      <c r="K719" s="92" t="str">
        <f t="shared" si="157"/>
        <v>CZCE</v>
      </c>
      <c r="L719" s="92" t="str">
        <f t="shared" si="158"/>
        <v>SR807</v>
      </c>
      <c r="M719" s="92">
        <f t="shared" si="169"/>
        <v>10</v>
      </c>
      <c r="N719" s="92">
        <f t="shared" si="170"/>
        <v>0</v>
      </c>
      <c r="O719" s="92">
        <f t="shared" si="159"/>
        <v>0</v>
      </c>
      <c r="P719" s="92">
        <f t="shared" si="160"/>
        <v>1</v>
      </c>
      <c r="Q719" s="92">
        <f>VLOOKUP(C719,$B$662:$AN$709,16,FALSE)</f>
        <v>1</v>
      </c>
      <c r="R719" s="92">
        <f t="shared" si="171"/>
        <v>6110</v>
      </c>
      <c r="S719" s="92">
        <f t="shared" si="161"/>
        <v>6110</v>
      </c>
      <c r="T719" s="92">
        <f t="shared" si="172"/>
        <v>6155</v>
      </c>
      <c r="U719" s="92"/>
      <c r="V719" s="92">
        <f>VLOOKUP(C719,$B$662:$AN$709,28,FALSE)</f>
        <v>0</v>
      </c>
      <c r="W719" s="92">
        <f>VLOOKUP(C719,$B$662:$AN$709,29,FALSE)</f>
        <v>0</v>
      </c>
      <c r="X719" s="92" t="str">
        <f t="shared" si="162"/>
        <v>9999</v>
      </c>
      <c r="Y719" s="92" t="str">
        <f t="shared" si="163"/>
        <v>50010001</v>
      </c>
      <c r="Z719" s="92" t="str">
        <f t="shared" si="164"/>
        <v>N</v>
      </c>
      <c r="AG719" s="106"/>
    </row>
    <row r="720" spans="1:221" s="6" customFormat="1" x14ac:dyDescent="0.25">
      <c r="A720" s="6" t="s">
        <v>173</v>
      </c>
      <c r="B720" s="6" t="s">
        <v>173</v>
      </c>
      <c r="C720" s="111" t="str">
        <f>B678</f>
        <v/>
      </c>
      <c r="D720" s="113" t="str">
        <f t="shared" si="165"/>
        <v>2018032810000010</v>
      </c>
      <c r="E720" s="113">
        <f t="shared" si="166"/>
        <v>0</v>
      </c>
      <c r="F720" s="111" t="str">
        <f t="shared" si="167"/>
        <v>6001</v>
      </c>
      <c r="G720" s="111" t="str">
        <f t="shared" si="154"/>
        <v>B00101</v>
      </c>
      <c r="H720" s="111" t="str">
        <f t="shared" si="155"/>
        <v>6001</v>
      </c>
      <c r="I720" s="111">
        <f t="shared" si="156"/>
        <v>20180328</v>
      </c>
      <c r="J720" s="111">
        <f t="shared" si="168"/>
        <v>20180328</v>
      </c>
      <c r="K720" s="111" t="str">
        <f t="shared" si="157"/>
        <v>CZCE</v>
      </c>
      <c r="L720" s="111" t="str">
        <f t="shared" si="158"/>
        <v>SR807</v>
      </c>
      <c r="M720" s="111">
        <f t="shared" si="169"/>
        <v>10</v>
      </c>
      <c r="N720" s="111">
        <f t="shared" si="170"/>
        <v>0</v>
      </c>
      <c r="O720" s="111">
        <f t="shared" si="159"/>
        <v>0</v>
      </c>
      <c r="P720" s="111">
        <f t="shared" si="160"/>
        <v>1</v>
      </c>
      <c r="Q720" s="111">
        <f>VLOOKUP(C720,$B$662:$AN$709,16,FALSE)+Q721</f>
        <v>3</v>
      </c>
      <c r="R720" s="111">
        <f t="shared" si="171"/>
        <v>6110</v>
      </c>
      <c r="S720" s="111">
        <f t="shared" si="161"/>
        <v>6110</v>
      </c>
      <c r="T720" s="111">
        <f t="shared" si="172"/>
        <v>6155</v>
      </c>
      <c r="U720" s="111"/>
      <c r="V720" s="248">
        <f>VLOOKUP(C720,$B$662:$AN$709,28,FALSE)</f>
        <v>0</v>
      </c>
      <c r="W720" s="248">
        <f>VLOOKUP(C720,$B$662:$AN$709,29,FALSE)</f>
        <v>0</v>
      </c>
      <c r="X720" s="111" t="str">
        <f t="shared" si="162"/>
        <v>9999</v>
      </c>
      <c r="Y720" s="111" t="str">
        <f t="shared" si="163"/>
        <v>50010001</v>
      </c>
      <c r="Z720" s="111" t="str">
        <f t="shared" si="164"/>
        <v>N</v>
      </c>
      <c r="AG720" s="106"/>
    </row>
    <row r="721" spans="1:33" s="6" customFormat="1" x14ac:dyDescent="0.25">
      <c r="A721" s="6" t="s">
        <v>173</v>
      </c>
      <c r="B721" s="6" t="s">
        <v>173</v>
      </c>
      <c r="C721" s="111" t="str">
        <f>B679</f>
        <v/>
      </c>
      <c r="D721" s="113" t="str">
        <f t="shared" si="165"/>
        <v>2018032810000010</v>
      </c>
      <c r="E721" s="113">
        <f t="shared" si="166"/>
        <v>0</v>
      </c>
      <c r="F721" s="111" t="str">
        <f t="shared" si="167"/>
        <v>6001</v>
      </c>
      <c r="G721" s="111" t="str">
        <f t="shared" si="154"/>
        <v>B00101</v>
      </c>
      <c r="H721" s="111" t="str">
        <f t="shared" si="155"/>
        <v>6001</v>
      </c>
      <c r="I721" s="111">
        <f t="shared" si="156"/>
        <v>20180328</v>
      </c>
      <c r="J721" s="111">
        <f t="shared" si="168"/>
        <v>20180328</v>
      </c>
      <c r="K721" s="111" t="str">
        <f t="shared" si="157"/>
        <v>CZCE</v>
      </c>
      <c r="L721" s="111" t="str">
        <f t="shared" si="158"/>
        <v>SR807</v>
      </c>
      <c r="M721" s="111">
        <f t="shared" si="169"/>
        <v>10</v>
      </c>
      <c r="N721" s="111">
        <f t="shared" si="170"/>
        <v>0</v>
      </c>
      <c r="O721" s="111">
        <f t="shared" si="159"/>
        <v>0</v>
      </c>
      <c r="P721" s="111">
        <f t="shared" si="160"/>
        <v>1</v>
      </c>
      <c r="Q721" s="111">
        <v>2</v>
      </c>
      <c r="R721" s="111">
        <f t="shared" si="171"/>
        <v>6110</v>
      </c>
      <c r="S721" s="111">
        <f t="shared" si="161"/>
        <v>6110</v>
      </c>
      <c r="T721" s="111">
        <f t="shared" si="172"/>
        <v>6155</v>
      </c>
      <c r="U721" s="111"/>
      <c r="V721" s="248">
        <f>AC679</f>
        <v>0</v>
      </c>
      <c r="W721" s="248">
        <f>AD679</f>
        <v>0</v>
      </c>
      <c r="X721" s="111" t="str">
        <f t="shared" si="162"/>
        <v>9999</v>
      </c>
      <c r="Y721" s="111" t="str">
        <f t="shared" si="163"/>
        <v>50010001</v>
      </c>
      <c r="Z721" s="111" t="str">
        <f t="shared" si="164"/>
        <v>N</v>
      </c>
      <c r="AG721" s="106"/>
    </row>
    <row r="722" spans="1:33" s="6" customFormat="1" x14ac:dyDescent="0.25">
      <c r="A722" s="6" t="s">
        <v>173</v>
      </c>
      <c r="B722" s="6" t="s">
        <v>173</v>
      </c>
      <c r="C722" s="111" t="str">
        <f>B681</f>
        <v/>
      </c>
      <c r="D722" s="113" t="str">
        <f t="shared" si="165"/>
        <v>2018032810000010</v>
      </c>
      <c r="E722" s="113">
        <f t="shared" si="166"/>
        <v>0</v>
      </c>
      <c r="F722" s="111" t="str">
        <f t="shared" si="167"/>
        <v>6001</v>
      </c>
      <c r="G722" s="111" t="str">
        <f t="shared" si="154"/>
        <v>B00101</v>
      </c>
      <c r="H722" s="111" t="str">
        <f t="shared" si="155"/>
        <v>6001</v>
      </c>
      <c r="I722" s="111">
        <f t="shared" si="156"/>
        <v>20180328</v>
      </c>
      <c r="J722" s="111">
        <f t="shared" si="168"/>
        <v>20180328</v>
      </c>
      <c r="K722" s="111" t="str">
        <f t="shared" si="157"/>
        <v>CZCE</v>
      </c>
      <c r="L722" s="111" t="str">
        <f t="shared" si="158"/>
        <v>SR807</v>
      </c>
      <c r="M722" s="111">
        <f t="shared" si="169"/>
        <v>10</v>
      </c>
      <c r="N722" s="111">
        <f t="shared" si="170"/>
        <v>0</v>
      </c>
      <c r="O722" s="111">
        <f t="shared" si="159"/>
        <v>0</v>
      </c>
      <c r="P722" s="111">
        <f t="shared" si="160"/>
        <v>1</v>
      </c>
      <c r="Q722" s="111">
        <f>VLOOKUP(C722,$B$662:$AN$709,16,FALSE)</f>
        <v>1</v>
      </c>
      <c r="R722" s="111">
        <f t="shared" si="171"/>
        <v>6110</v>
      </c>
      <c r="S722" s="111">
        <f t="shared" si="161"/>
        <v>6110</v>
      </c>
      <c r="T722" s="111">
        <f t="shared" si="172"/>
        <v>6155</v>
      </c>
      <c r="U722" s="111"/>
      <c r="V722" s="111">
        <f>VLOOKUP(C722,$B$662:$AN$709,28,FALSE)</f>
        <v>0</v>
      </c>
      <c r="W722" s="111">
        <f>VLOOKUP(C722,$B$662:$AN$709,29,FALSE)</f>
        <v>0</v>
      </c>
      <c r="X722" s="111" t="str">
        <f t="shared" si="162"/>
        <v>9999</v>
      </c>
      <c r="Y722" s="111" t="str">
        <f t="shared" si="163"/>
        <v>50010001</v>
      </c>
      <c r="Z722" s="111" t="str">
        <f t="shared" si="164"/>
        <v>N</v>
      </c>
      <c r="AG722" s="106"/>
    </row>
    <row r="723" spans="1:33" s="6" customFormat="1" x14ac:dyDescent="0.25">
      <c r="A723" s="6" t="s">
        <v>173</v>
      </c>
      <c r="B723" s="6" t="s">
        <v>173</v>
      </c>
      <c r="C723" s="111" t="str">
        <f>B685</f>
        <v/>
      </c>
      <c r="D723" s="113" t="str">
        <f t="shared" si="165"/>
        <v>2018032810000010</v>
      </c>
      <c r="E723" s="113">
        <f t="shared" si="166"/>
        <v>0</v>
      </c>
      <c r="F723" s="111" t="str">
        <f t="shared" si="167"/>
        <v>6001</v>
      </c>
      <c r="G723" s="111" t="str">
        <f t="shared" si="154"/>
        <v>B00101</v>
      </c>
      <c r="H723" s="111" t="str">
        <f t="shared" si="155"/>
        <v>6001</v>
      </c>
      <c r="I723" s="111">
        <f t="shared" si="156"/>
        <v>20180328</v>
      </c>
      <c r="J723" s="111">
        <f t="shared" si="168"/>
        <v>20180328</v>
      </c>
      <c r="K723" s="111" t="str">
        <f t="shared" si="157"/>
        <v>CZCE</v>
      </c>
      <c r="L723" s="111" t="str">
        <f t="shared" si="158"/>
        <v>SR807</v>
      </c>
      <c r="M723" s="111">
        <f t="shared" si="169"/>
        <v>10</v>
      </c>
      <c r="N723" s="111">
        <f t="shared" si="170"/>
        <v>0</v>
      </c>
      <c r="O723" s="111">
        <f t="shared" si="159"/>
        <v>0</v>
      </c>
      <c r="P723" s="111">
        <f t="shared" si="160"/>
        <v>1</v>
      </c>
      <c r="Q723" s="111">
        <f>VLOOKUP(C723,$B$662:$AN$709,16,FALSE)+Q724</f>
        <v>2</v>
      </c>
      <c r="R723" s="111">
        <f t="shared" si="171"/>
        <v>6110</v>
      </c>
      <c r="S723" s="111">
        <f t="shared" si="161"/>
        <v>6110</v>
      </c>
      <c r="T723" s="111">
        <f t="shared" si="172"/>
        <v>6155</v>
      </c>
      <c r="U723" s="111"/>
      <c r="V723" s="248">
        <f>VLOOKUP(C723,$B$662:$AN$709,28,FALSE)</f>
        <v>0</v>
      </c>
      <c r="W723" s="248">
        <f>VLOOKUP(C723,$B$662:$AN$709,29,FALSE)</f>
        <v>0</v>
      </c>
      <c r="X723" s="111" t="str">
        <f t="shared" si="162"/>
        <v>9999</v>
      </c>
      <c r="Y723" s="111" t="str">
        <f t="shared" si="163"/>
        <v>50010001</v>
      </c>
      <c r="Z723" s="111" t="str">
        <f t="shared" si="164"/>
        <v>N</v>
      </c>
      <c r="AG723" s="106"/>
    </row>
    <row r="724" spans="1:33" s="6" customFormat="1" x14ac:dyDescent="0.25">
      <c r="A724" s="6" t="s">
        <v>173</v>
      </c>
      <c r="B724" s="6" t="s">
        <v>173</v>
      </c>
      <c r="C724" s="111" t="str">
        <f>B686</f>
        <v/>
      </c>
      <c r="D724" s="113" t="str">
        <f t="shared" si="165"/>
        <v>2018032810000010</v>
      </c>
      <c r="E724" s="113">
        <f t="shared" si="166"/>
        <v>0</v>
      </c>
      <c r="F724" s="111" t="str">
        <f t="shared" si="167"/>
        <v>6001</v>
      </c>
      <c r="G724" s="111" t="str">
        <f t="shared" si="154"/>
        <v>B00101</v>
      </c>
      <c r="H724" s="111" t="str">
        <f t="shared" si="155"/>
        <v>6001</v>
      </c>
      <c r="I724" s="111">
        <f t="shared" si="156"/>
        <v>20180328</v>
      </c>
      <c r="J724" s="111">
        <f t="shared" si="168"/>
        <v>20180328</v>
      </c>
      <c r="K724" s="111" t="str">
        <f t="shared" si="157"/>
        <v>CZCE</v>
      </c>
      <c r="L724" s="111" t="str">
        <f t="shared" si="158"/>
        <v>SR807</v>
      </c>
      <c r="M724" s="111">
        <f t="shared" si="169"/>
        <v>10</v>
      </c>
      <c r="N724" s="111">
        <f t="shared" si="170"/>
        <v>0</v>
      </c>
      <c r="O724" s="111">
        <f t="shared" si="159"/>
        <v>0</v>
      </c>
      <c r="P724" s="111">
        <f t="shared" si="160"/>
        <v>1</v>
      </c>
      <c r="Q724" s="111">
        <v>1</v>
      </c>
      <c r="R724" s="111">
        <f t="shared" si="171"/>
        <v>6110</v>
      </c>
      <c r="S724" s="111">
        <f t="shared" si="161"/>
        <v>6110</v>
      </c>
      <c r="T724" s="111">
        <f t="shared" si="172"/>
        <v>6155</v>
      </c>
      <c r="U724" s="111"/>
      <c r="V724" s="248">
        <f>AC686</f>
        <v>0</v>
      </c>
      <c r="W724" s="248">
        <f>AD686</f>
        <v>0</v>
      </c>
      <c r="X724" s="111" t="str">
        <f t="shared" si="162"/>
        <v>9999</v>
      </c>
      <c r="Y724" s="111" t="str">
        <f t="shared" si="163"/>
        <v>50010001</v>
      </c>
      <c r="Z724" s="111" t="str">
        <f t="shared" si="164"/>
        <v>N</v>
      </c>
      <c r="AG724" s="106"/>
    </row>
    <row r="725" spans="1:33" s="6" customFormat="1" x14ac:dyDescent="0.25">
      <c r="A725" s="6" t="s">
        <v>173</v>
      </c>
      <c r="B725" s="6" t="s">
        <v>173</v>
      </c>
      <c r="C725" s="111" t="str">
        <f>B687</f>
        <v/>
      </c>
      <c r="D725" s="113" t="str">
        <f t="shared" si="165"/>
        <v>2018032810000010</v>
      </c>
      <c r="E725" s="113">
        <f t="shared" si="166"/>
        <v>0</v>
      </c>
      <c r="F725" s="111" t="str">
        <f t="shared" si="167"/>
        <v>6001</v>
      </c>
      <c r="G725" s="111" t="str">
        <f t="shared" si="154"/>
        <v>B00101</v>
      </c>
      <c r="H725" s="111" t="str">
        <f t="shared" si="155"/>
        <v>6001</v>
      </c>
      <c r="I725" s="111">
        <f t="shared" si="156"/>
        <v>20180328</v>
      </c>
      <c r="J725" s="111">
        <f t="shared" si="168"/>
        <v>20180328</v>
      </c>
      <c r="K725" s="111" t="str">
        <f t="shared" si="157"/>
        <v>CZCE</v>
      </c>
      <c r="L725" s="111" t="str">
        <f t="shared" si="158"/>
        <v>SR807</v>
      </c>
      <c r="M725" s="111">
        <f t="shared" si="169"/>
        <v>10</v>
      </c>
      <c r="N725" s="111">
        <f t="shared" si="170"/>
        <v>0</v>
      </c>
      <c r="O725" s="111">
        <f t="shared" si="159"/>
        <v>0</v>
      </c>
      <c r="P725" s="111">
        <f t="shared" si="160"/>
        <v>1</v>
      </c>
      <c r="Q725" s="111">
        <f>VLOOKUP(C725,$B$662:$AN$709,16,FALSE)</f>
        <v>1</v>
      </c>
      <c r="R725" s="111">
        <f t="shared" si="171"/>
        <v>6110</v>
      </c>
      <c r="S725" s="111">
        <f t="shared" si="161"/>
        <v>6110</v>
      </c>
      <c r="T725" s="111">
        <f t="shared" si="172"/>
        <v>6155</v>
      </c>
      <c r="U725" s="111"/>
      <c r="V725" s="111">
        <f>VLOOKUP(C725,$B$662:$AN$709,28,FALSE)</f>
        <v>0</v>
      </c>
      <c r="W725" s="111">
        <f>VLOOKUP(C725,$B$662:$AN$709,29,FALSE)</f>
        <v>0</v>
      </c>
      <c r="X725" s="111" t="str">
        <f t="shared" si="162"/>
        <v>9999</v>
      </c>
      <c r="Y725" s="111" t="str">
        <f t="shared" si="163"/>
        <v>50010001</v>
      </c>
      <c r="Z725" s="111" t="str">
        <f>VLOOKUP(C725,$B$662:$AN$709,32,FALSE)</f>
        <v>N</v>
      </c>
      <c r="AG725" s="106"/>
    </row>
    <row r="726" spans="1:33" s="6" customFormat="1" x14ac:dyDescent="0.25">
      <c r="A726" s="6" t="s">
        <v>173</v>
      </c>
      <c r="B726" s="6" t="s">
        <v>173</v>
      </c>
      <c r="C726" s="111" t="str">
        <f>B700</f>
        <v/>
      </c>
      <c r="D726" s="113" t="str">
        <f t="shared" si="165"/>
        <v>2018032810000010</v>
      </c>
      <c r="E726" s="113">
        <f t="shared" si="166"/>
        <v>0</v>
      </c>
      <c r="F726" s="111" t="str">
        <f t="shared" si="167"/>
        <v>6001</v>
      </c>
      <c r="G726" s="111" t="str">
        <f t="shared" si="154"/>
        <v>B00101</v>
      </c>
      <c r="H726" s="111" t="str">
        <f t="shared" si="155"/>
        <v>6001</v>
      </c>
      <c r="I726" s="111">
        <f t="shared" si="156"/>
        <v>20180328</v>
      </c>
      <c r="J726" s="111">
        <f t="shared" si="168"/>
        <v>20180328</v>
      </c>
      <c r="K726" s="111" t="str">
        <f t="shared" si="157"/>
        <v>CZCE</v>
      </c>
      <c r="L726" s="111" t="str">
        <f t="shared" si="158"/>
        <v>SR807</v>
      </c>
      <c r="M726" s="111">
        <f t="shared" si="169"/>
        <v>10</v>
      </c>
      <c r="N726" s="111">
        <f t="shared" si="170"/>
        <v>0</v>
      </c>
      <c r="O726" s="111">
        <f t="shared" si="159"/>
        <v>0</v>
      </c>
      <c r="P726" s="111">
        <f t="shared" si="160"/>
        <v>1</v>
      </c>
      <c r="Q726" s="111">
        <f>VLOOKUP(C726,$B$662:$AN$709,16,FALSE)</f>
        <v>1</v>
      </c>
      <c r="R726" s="111">
        <f t="shared" si="171"/>
        <v>6110</v>
      </c>
      <c r="S726" s="111">
        <f t="shared" si="161"/>
        <v>6110</v>
      </c>
      <c r="T726" s="111">
        <f t="shared" si="172"/>
        <v>6155</v>
      </c>
      <c r="U726" s="111"/>
      <c r="V726" s="111">
        <f>VLOOKUP(C726,$B$662:$AN$709,28,FALSE)</f>
        <v>0</v>
      </c>
      <c r="W726" s="111">
        <f>VLOOKUP(C726,$B$662:$AN$709,29,FALSE)</f>
        <v>0</v>
      </c>
      <c r="X726" s="111" t="str">
        <f t="shared" si="162"/>
        <v>9999</v>
      </c>
      <c r="Y726" s="111" t="str">
        <f t="shared" si="163"/>
        <v>50010001</v>
      </c>
      <c r="Z726" s="111" t="str">
        <f t="shared" si="164"/>
        <v>N</v>
      </c>
      <c r="AG726" s="106"/>
    </row>
    <row r="727" spans="1:33" s="6" customFormat="1" x14ac:dyDescent="0.25">
      <c r="A727" s="6" t="s">
        <v>173</v>
      </c>
      <c r="B727" s="6" t="s">
        <v>173</v>
      </c>
      <c r="C727" s="111" t="str">
        <f>B705</f>
        <v/>
      </c>
      <c r="D727" s="113" t="str">
        <f t="shared" si="165"/>
        <v>2018032810000010</v>
      </c>
      <c r="E727" s="113">
        <f t="shared" si="166"/>
        <v>0</v>
      </c>
      <c r="F727" s="111" t="str">
        <f t="shared" si="167"/>
        <v>6001</v>
      </c>
      <c r="G727" s="111" t="str">
        <f t="shared" si="154"/>
        <v>B00101</v>
      </c>
      <c r="H727" s="111" t="str">
        <f t="shared" si="155"/>
        <v>6001</v>
      </c>
      <c r="I727" s="111">
        <f t="shared" si="156"/>
        <v>20180328</v>
      </c>
      <c r="J727" s="111">
        <f t="shared" si="168"/>
        <v>20180328</v>
      </c>
      <c r="K727" s="111" t="str">
        <f t="shared" si="157"/>
        <v>CZCE</v>
      </c>
      <c r="L727" s="111" t="str">
        <f t="shared" si="158"/>
        <v>SR807</v>
      </c>
      <c r="M727" s="111">
        <f t="shared" si="169"/>
        <v>10</v>
      </c>
      <c r="N727" s="111">
        <f t="shared" si="170"/>
        <v>0</v>
      </c>
      <c r="O727" s="111">
        <f t="shared" si="159"/>
        <v>0</v>
      </c>
      <c r="P727" s="111">
        <f t="shared" si="160"/>
        <v>1</v>
      </c>
      <c r="Q727" s="111">
        <f>VLOOKUP(C727,$B$662:$AN$709,16,FALSE)+Q728</f>
        <v>2</v>
      </c>
      <c r="R727" s="111">
        <f t="shared" si="171"/>
        <v>6110</v>
      </c>
      <c r="S727" s="111">
        <f t="shared" si="161"/>
        <v>6110</v>
      </c>
      <c r="T727" s="111">
        <f t="shared" si="172"/>
        <v>6155</v>
      </c>
      <c r="U727" s="111"/>
      <c r="V727" s="248">
        <f>VLOOKUP(C727,$B$662:$AN$709,28,FALSE)+AC706</f>
        <v>0</v>
      </c>
      <c r="W727" s="248">
        <f>VLOOKUP(C727,$B$662:$AN$709,29,FALSE)+AD706</f>
        <v>0</v>
      </c>
      <c r="X727" s="111" t="str">
        <f t="shared" si="162"/>
        <v>9999</v>
      </c>
      <c r="Y727" s="111" t="str">
        <f t="shared" si="163"/>
        <v>50010001</v>
      </c>
      <c r="Z727" s="111" t="str">
        <f t="shared" si="164"/>
        <v>N</v>
      </c>
      <c r="AG727" s="106"/>
    </row>
    <row r="728" spans="1:33" s="6" customFormat="1" x14ac:dyDescent="0.25">
      <c r="A728" s="6" t="s">
        <v>173</v>
      </c>
      <c r="B728" s="6" t="s">
        <v>173</v>
      </c>
      <c r="C728" s="111" t="str">
        <f>B706</f>
        <v/>
      </c>
      <c r="D728" s="113" t="str">
        <f t="shared" si="165"/>
        <v>2018032810000010</v>
      </c>
      <c r="E728" s="113">
        <f t="shared" si="166"/>
        <v>0</v>
      </c>
      <c r="F728" s="111" t="str">
        <f t="shared" si="167"/>
        <v>6001</v>
      </c>
      <c r="G728" s="111" t="str">
        <f t="shared" si="154"/>
        <v>B00101</v>
      </c>
      <c r="H728" s="111" t="str">
        <f t="shared" si="155"/>
        <v>6001</v>
      </c>
      <c r="I728" s="111">
        <f t="shared" si="156"/>
        <v>20180328</v>
      </c>
      <c r="J728" s="111">
        <f t="shared" si="168"/>
        <v>20180328</v>
      </c>
      <c r="K728" s="111" t="str">
        <f t="shared" si="157"/>
        <v>CZCE</v>
      </c>
      <c r="L728" s="111" t="str">
        <f t="shared" si="158"/>
        <v>SR807</v>
      </c>
      <c r="M728" s="111">
        <f t="shared" si="169"/>
        <v>10</v>
      </c>
      <c r="N728" s="111">
        <f t="shared" si="170"/>
        <v>0</v>
      </c>
      <c r="O728" s="111">
        <f t="shared" si="159"/>
        <v>0</v>
      </c>
      <c r="P728" s="111">
        <f t="shared" si="160"/>
        <v>1</v>
      </c>
      <c r="Q728" s="111">
        <v>1</v>
      </c>
      <c r="R728" s="111">
        <f t="shared" si="171"/>
        <v>6110</v>
      </c>
      <c r="S728" s="111">
        <f t="shared" si="161"/>
        <v>6110</v>
      </c>
      <c r="T728" s="111">
        <f t="shared" si="172"/>
        <v>6155</v>
      </c>
      <c r="U728" s="111"/>
      <c r="V728" s="111">
        <f>VLOOKUP(C728,$B$662:$AN$709,28,FALSE)</f>
        <v>0</v>
      </c>
      <c r="W728" s="111">
        <f>VLOOKUP(C728,$B$662:$AN$709,29,FALSE)</f>
        <v>0</v>
      </c>
      <c r="X728" s="111" t="str">
        <f t="shared" si="162"/>
        <v>9999</v>
      </c>
      <c r="Y728" s="111" t="str">
        <f t="shared" si="163"/>
        <v>50010001</v>
      </c>
      <c r="Z728" s="111" t="str">
        <f t="shared" si="164"/>
        <v>N</v>
      </c>
      <c r="AG728" s="106"/>
    </row>
    <row r="729" spans="1:33" x14ac:dyDescent="0.25">
      <c r="A729" s="6" t="s">
        <v>173</v>
      </c>
      <c r="B729" s="6" t="s">
        <v>173</v>
      </c>
      <c r="C729" s="92" t="str">
        <f>B707</f>
        <v/>
      </c>
      <c r="D729" s="109" t="str">
        <f t="shared" si="165"/>
        <v>2018032810000010</v>
      </c>
      <c r="E729" s="109">
        <f t="shared" si="166"/>
        <v>0</v>
      </c>
      <c r="F729" s="92" t="str">
        <f t="shared" si="167"/>
        <v>6001</v>
      </c>
      <c r="G729" s="92" t="str">
        <f t="shared" si="154"/>
        <v>B00101</v>
      </c>
      <c r="H729" s="92" t="str">
        <f t="shared" si="155"/>
        <v>6001</v>
      </c>
      <c r="I729" s="92">
        <f t="shared" si="156"/>
        <v>20180328</v>
      </c>
      <c r="J729" s="92">
        <f t="shared" si="168"/>
        <v>20180328</v>
      </c>
      <c r="K729" s="115" t="str">
        <f t="shared" si="157"/>
        <v>CZCE</v>
      </c>
      <c r="L729" s="115" t="str">
        <f t="shared" si="158"/>
        <v>SR807</v>
      </c>
      <c r="M729" s="115">
        <f t="shared" si="169"/>
        <v>10</v>
      </c>
      <c r="N729" s="92">
        <f t="shared" si="170"/>
        <v>0</v>
      </c>
      <c r="O729" s="92">
        <f t="shared" si="159"/>
        <v>0</v>
      </c>
      <c r="P729" s="92">
        <f t="shared" si="160"/>
        <v>1</v>
      </c>
      <c r="Q729" s="92">
        <f>VLOOKUP(C729,$B$662:$AN$709,16,FALSE)</f>
        <v>1</v>
      </c>
      <c r="R729" s="92">
        <f t="shared" si="171"/>
        <v>6110</v>
      </c>
      <c r="S729" s="92">
        <f t="shared" si="161"/>
        <v>6110</v>
      </c>
      <c r="T729" s="92">
        <f t="shared" si="172"/>
        <v>6155</v>
      </c>
      <c r="U729" s="92"/>
      <c r="V729" s="92">
        <f>VLOOKUP(C729,$B$662:$AN$709,28,FALSE)</f>
        <v>0</v>
      </c>
      <c r="W729" s="92">
        <f>VLOOKUP(C729,$B$662:$AN$709,29,FALSE)</f>
        <v>0</v>
      </c>
      <c r="X729" s="115" t="str">
        <f t="shared" si="162"/>
        <v>9999</v>
      </c>
      <c r="Y729" s="115" t="str">
        <f t="shared" si="163"/>
        <v>50010001</v>
      </c>
      <c r="Z729" s="115" t="str">
        <f t="shared" si="164"/>
        <v>N</v>
      </c>
      <c r="AG729" s="106"/>
    </row>
    <row r="730" spans="1:33" x14ac:dyDescent="0.25">
      <c r="AF730" s="106"/>
    </row>
    <row r="731" spans="1:33" x14ac:dyDescent="0.25">
      <c r="A731" t="s">
        <v>173</v>
      </c>
      <c r="B731" t="s">
        <v>376</v>
      </c>
      <c r="C731" s="105"/>
      <c r="D731" s="105"/>
      <c r="E731" s="105"/>
      <c r="AF731" s="106"/>
    </row>
    <row r="732" spans="1:33" x14ac:dyDescent="0.25">
      <c r="A732" t="s">
        <v>173</v>
      </c>
      <c r="B732" t="s">
        <v>406</v>
      </c>
      <c r="C732" s="105"/>
      <c r="D732" s="105"/>
      <c r="E732" s="105"/>
      <c r="AF732" s="106"/>
    </row>
    <row r="733" spans="1:33" x14ac:dyDescent="0.25">
      <c r="A733" t="s">
        <v>173</v>
      </c>
      <c r="B733" s="57" t="s">
        <v>124</v>
      </c>
      <c r="C733" s="57" t="s">
        <v>980</v>
      </c>
      <c r="D733" s="105"/>
      <c r="E733" s="105"/>
      <c r="F733" s="105"/>
      <c r="AG733" s="106"/>
    </row>
    <row r="734" spans="1:33" x14ac:dyDescent="0.25">
      <c r="A734" t="s">
        <v>173</v>
      </c>
      <c r="B734" t="s">
        <v>306</v>
      </c>
      <c r="C734" s="4" t="s">
        <v>387</v>
      </c>
      <c r="AG734" s="106"/>
    </row>
    <row r="735" spans="1:33" x14ac:dyDescent="0.25">
      <c r="A735" t="s">
        <v>173</v>
      </c>
      <c r="B735" t="s">
        <v>359</v>
      </c>
      <c r="C735" s="7" t="s">
        <v>407</v>
      </c>
      <c r="D735" s="7" t="s">
        <v>19</v>
      </c>
      <c r="E735" s="7" t="s">
        <v>287</v>
      </c>
      <c r="F735" s="7" t="s">
        <v>118</v>
      </c>
      <c r="G735" s="7" t="s">
        <v>365</v>
      </c>
      <c r="H735" s="7" t="s">
        <v>5</v>
      </c>
      <c r="I735" s="7" t="s">
        <v>52</v>
      </c>
      <c r="J735" s="7" t="s">
        <v>403</v>
      </c>
      <c r="K735" s="7" t="s">
        <v>294</v>
      </c>
      <c r="L735" s="7" t="s">
        <v>9</v>
      </c>
      <c r="M735" s="7" t="s">
        <v>18</v>
      </c>
      <c r="N735" s="7" t="s">
        <v>385</v>
      </c>
      <c r="O735" s="7" t="s">
        <v>386</v>
      </c>
      <c r="P735" s="121" t="s">
        <v>297</v>
      </c>
      <c r="Q735" s="7" t="s">
        <v>298</v>
      </c>
      <c r="R735" s="12" t="s">
        <v>191</v>
      </c>
      <c r="S735" s="7" t="s">
        <v>226</v>
      </c>
      <c r="AG735" s="106"/>
    </row>
    <row r="736" spans="1:33" x14ac:dyDescent="0.25">
      <c r="A736" t="s">
        <v>173</v>
      </c>
      <c r="B736" t="s">
        <v>359</v>
      </c>
      <c r="C736" s="7" t="s">
        <v>400</v>
      </c>
      <c r="D736" s="7" t="s">
        <v>321</v>
      </c>
      <c r="E736" s="7" t="s">
        <v>322</v>
      </c>
      <c r="F736" s="7" t="s">
        <v>322</v>
      </c>
      <c r="G736" s="7" t="s">
        <v>399</v>
      </c>
      <c r="H736" s="7" t="s">
        <v>327</v>
      </c>
      <c r="I736" s="7" t="s">
        <v>328</v>
      </c>
      <c r="J736" s="7" t="s">
        <v>405</v>
      </c>
      <c r="K736" s="7" t="s">
        <v>331</v>
      </c>
      <c r="L736" s="7" t="s">
        <v>332</v>
      </c>
      <c r="M736" s="7" t="s">
        <v>395</v>
      </c>
      <c r="N736" s="7" t="s">
        <v>394</v>
      </c>
      <c r="O736" s="7" t="s">
        <v>393</v>
      </c>
      <c r="P736" s="121" t="s">
        <v>337</v>
      </c>
      <c r="Q736" s="92" t="s">
        <v>338</v>
      </c>
      <c r="R736" s="7" t="s">
        <v>346</v>
      </c>
      <c r="S736" s="7" t="s">
        <v>362</v>
      </c>
      <c r="AG736" s="107"/>
    </row>
    <row r="737" spans="1:21" x14ac:dyDescent="0.25">
      <c r="A737" t="s">
        <v>173</v>
      </c>
      <c r="B737" t="s">
        <v>359</v>
      </c>
      <c r="C737" s="92">
        <f>$B$2</f>
        <v>20180328</v>
      </c>
      <c r="D737" s="34" t="str">
        <f>B5</f>
        <v>6001</v>
      </c>
      <c r="E737" s="34" t="str">
        <f>C5</f>
        <v>B00101</v>
      </c>
      <c r="F737" s="34" t="str">
        <f>D5</f>
        <v>6001</v>
      </c>
      <c r="G737" s="101">
        <f>$B$2</f>
        <v>20180328</v>
      </c>
      <c r="H737" s="101" t="str">
        <f>$B$19</f>
        <v>CZCE</v>
      </c>
      <c r="I737" s="12" t="str">
        <f xml:space="preserve"> $C$19</f>
        <v>SR807</v>
      </c>
      <c r="J737" s="101">
        <f>VLOOKUP(I737,$C$19:$E$29,3,FALSE)</f>
        <v>10</v>
      </c>
      <c r="K737" s="101">
        <v>3</v>
      </c>
      <c r="L737" s="101">
        <v>1</v>
      </c>
      <c r="M737" s="101">
        <v>0</v>
      </c>
      <c r="N737" s="121">
        <v>6130</v>
      </c>
      <c r="O737" s="121">
        <v>1</v>
      </c>
      <c r="P737" s="121">
        <v>0</v>
      </c>
      <c r="Q737" s="121">
        <v>0</v>
      </c>
      <c r="R737" s="92" t="str">
        <f>$F$5</f>
        <v>9999</v>
      </c>
      <c r="S737" s="92" t="str">
        <f>$D$9</f>
        <v>CNY</v>
      </c>
    </row>
    <row r="738" spans="1:21" x14ac:dyDescent="0.25">
      <c r="A738" t="s">
        <v>173</v>
      </c>
      <c r="B738" t="s">
        <v>359</v>
      </c>
      <c r="C738" s="92">
        <f>$B$2</f>
        <v>20180328</v>
      </c>
      <c r="D738" s="34" t="str">
        <f>D737</f>
        <v>6001</v>
      </c>
      <c r="E738" s="34" t="str">
        <f>C6</f>
        <v>B00102</v>
      </c>
      <c r="F738" s="34" t="str">
        <f>D6</f>
        <v>6001</v>
      </c>
      <c r="G738" s="101">
        <f>$B$2</f>
        <v>20180328</v>
      </c>
      <c r="H738" s="101" t="str">
        <f>$B$19</f>
        <v>CZCE</v>
      </c>
      <c r="I738" s="12" t="str">
        <f xml:space="preserve"> $C$22</f>
        <v>PTA807</v>
      </c>
      <c r="J738" s="101">
        <f>VLOOKUP(I738,$C$19:$E$29,3,FALSE)</f>
        <v>5</v>
      </c>
      <c r="K738" s="101">
        <v>2</v>
      </c>
      <c r="L738" s="101">
        <v>1</v>
      </c>
      <c r="M738" s="101">
        <v>0</v>
      </c>
      <c r="N738" s="121">
        <v>6120</v>
      </c>
      <c r="O738" s="121">
        <v>1</v>
      </c>
      <c r="P738" s="121">
        <v>0</v>
      </c>
      <c r="Q738" s="121">
        <v>0</v>
      </c>
      <c r="R738" s="92" t="str">
        <f>$F$5</f>
        <v>9999</v>
      </c>
      <c r="S738" s="92" t="str">
        <f>$D$9</f>
        <v>CNY</v>
      </c>
    </row>
    <row r="739" spans="1:21" x14ac:dyDescent="0.25">
      <c r="A739" t="s">
        <v>173</v>
      </c>
      <c r="B739" t="s">
        <v>359</v>
      </c>
      <c r="C739" s="92">
        <f>$B$2</f>
        <v>20180328</v>
      </c>
      <c r="D739" s="124" t="str">
        <f>D738</f>
        <v>6001</v>
      </c>
      <c r="E739" s="124" t="str">
        <f t="shared" ref="E739:F739" si="173">E738</f>
        <v>B00102</v>
      </c>
      <c r="F739" s="124" t="str">
        <f t="shared" si="173"/>
        <v>6001</v>
      </c>
      <c r="G739" s="101">
        <f>$B$2</f>
        <v>20180328</v>
      </c>
      <c r="H739" s="101" t="str">
        <f>$B$19</f>
        <v>CZCE</v>
      </c>
      <c r="I739" s="12" t="str">
        <f xml:space="preserve"> $C$22</f>
        <v>PTA807</v>
      </c>
      <c r="J739" s="101">
        <f>VLOOKUP(I739,$C$19:$E$29,3,FALSE)</f>
        <v>5</v>
      </c>
      <c r="K739" s="101">
        <v>2</v>
      </c>
      <c r="L739" s="101">
        <v>3</v>
      </c>
      <c r="M739" s="101">
        <v>0</v>
      </c>
      <c r="N739" s="125">
        <v>6120</v>
      </c>
      <c r="O739" s="121">
        <v>1</v>
      </c>
      <c r="P739" s="121">
        <v>0</v>
      </c>
      <c r="Q739" s="121">
        <v>0</v>
      </c>
      <c r="R739" s="92" t="str">
        <f>$F$5</f>
        <v>9999</v>
      </c>
      <c r="S739" s="92" t="str">
        <f>$D$9</f>
        <v>CNY</v>
      </c>
    </row>
    <row r="740" spans="1:21" x14ac:dyDescent="0.25">
      <c r="A740" t="s">
        <v>173</v>
      </c>
      <c r="B740" s="126" t="s">
        <v>1466</v>
      </c>
      <c r="C740" s="127"/>
      <c r="D740" s="127"/>
      <c r="E740" s="127"/>
      <c r="F740" s="107"/>
      <c r="G740" s="107"/>
      <c r="H740" s="3"/>
      <c r="I740" s="107"/>
      <c r="J740" s="107"/>
      <c r="K740" s="107"/>
      <c r="L740" s="107"/>
      <c r="M740" s="122"/>
      <c r="N740" s="128"/>
      <c r="O740" s="128"/>
      <c r="P740" s="128"/>
      <c r="Q740" s="126"/>
      <c r="R740" s="126"/>
      <c r="U740" s="123"/>
    </row>
    <row r="741" spans="1:21" x14ac:dyDescent="0.25">
      <c r="A741" t="s">
        <v>173</v>
      </c>
      <c r="B741" s="7" t="s">
        <v>1467</v>
      </c>
      <c r="C741" s="7" t="s">
        <v>19</v>
      </c>
      <c r="D741" s="7" t="s">
        <v>287</v>
      </c>
      <c r="E741" s="7" t="s">
        <v>118</v>
      </c>
      <c r="F741" s="7" t="s">
        <v>365</v>
      </c>
      <c r="G741" s="7" t="s">
        <v>676</v>
      </c>
      <c r="H741" s="7" t="s">
        <v>198</v>
      </c>
      <c r="I741" s="7" t="s">
        <v>52</v>
      </c>
      <c r="J741" s="7" t="s">
        <v>7</v>
      </c>
      <c r="K741" s="7" t="s">
        <v>8</v>
      </c>
      <c r="L741" s="7" t="s">
        <v>294</v>
      </c>
      <c r="M741" s="7" t="s">
        <v>1468</v>
      </c>
      <c r="N741" s="7" t="s">
        <v>9</v>
      </c>
      <c r="O741" s="7" t="s">
        <v>10</v>
      </c>
      <c r="P741" s="7" t="s">
        <v>1027</v>
      </c>
      <c r="Q741" s="7" t="s">
        <v>12</v>
      </c>
      <c r="R741" s="7" t="s">
        <v>13</v>
      </c>
      <c r="S741" s="7" t="s">
        <v>1028</v>
      </c>
      <c r="T741" s="7" t="s">
        <v>1029</v>
      </c>
      <c r="U741" s="7" t="s">
        <v>1500</v>
      </c>
    </row>
    <row r="742" spans="1:21" s="6" customFormat="1" x14ac:dyDescent="0.25">
      <c r="A742" t="s">
        <v>173</v>
      </c>
      <c r="B742" s="12" t="str">
        <f t="shared" ref="B742:B748" si="174">B926</f>
        <v>2018032610000010</v>
      </c>
      <c r="C742" s="12" t="str">
        <f t="shared" ref="C742:E742" si="175">C926</f>
        <v>6001</v>
      </c>
      <c r="D742" s="12" t="str">
        <f t="shared" si="175"/>
        <v>B00101</v>
      </c>
      <c r="E742" s="12" t="str">
        <f t="shared" si="175"/>
        <v>6001</v>
      </c>
      <c r="F742" s="101">
        <f t="shared" ref="F742:F786" si="176">$B$2</f>
        <v>20180328</v>
      </c>
      <c r="G742" s="101">
        <f>'day3'!G926</f>
        <v>20180326</v>
      </c>
      <c r="H742" s="12" t="str">
        <f>H926</f>
        <v>CZCE</v>
      </c>
      <c r="I742" s="12" t="str">
        <f>I926</f>
        <v>SR807</v>
      </c>
      <c r="J742" s="12">
        <f t="shared" ref="J742:J786" si="177">VLOOKUP(I742,$C$19:$E$29,3,FALSE)</f>
        <v>10</v>
      </c>
      <c r="K742" s="12">
        <v>2</v>
      </c>
      <c r="L742" s="12">
        <f t="shared" ref="L742:L786" si="178">VLOOKUP(B742,$B$926:$Y$1006,9,FALSE)</f>
        <v>1</v>
      </c>
      <c r="M742" s="12">
        <f t="shared" ref="M742:M786" si="179">IF(L742=0,2,3)</f>
        <v>3</v>
      </c>
      <c r="N742" s="12">
        <f t="shared" ref="N742:N786" si="180">VLOOKUP(B742,$B$926:$Y$1006,11,FALSE)</f>
        <v>3</v>
      </c>
      <c r="O742" s="12">
        <f t="shared" ref="O742:O786" si="181">SUMPRODUCT(($B$926:$B$1006=B742)*($C$926:$C$1006=C742)*($D$926:$D$1006=D742)*($E$926:$E$1006=E742)*($I$926:$I$1006=I742)*($J$926:$J$1006=L742)*($L$926:$L$1006=N742)*($M$926:$M$1006))+SUMPRODUCT(($B$926:$B$1006=B742)*($C$926:$C$1006=C742)*($D$926:$D$1006=D742)*($E$926:$E$1006=E742)*($I$926:$I$1006=I742)*($J$926:$J$1006=L742)*($L$926:$L$1006=N742)*($N$926:$N$1006))</f>
        <v>4</v>
      </c>
      <c r="P742" s="12">
        <f t="shared" ref="P742:P786" si="182">VLOOKUP(B742,$B$926:$Y$1006,24,FALSE)</f>
        <v>6100</v>
      </c>
      <c r="Q742" s="12">
        <f t="shared" ref="Q742:Q786" si="183" xml:space="preserve"> VLOOKUP(I742,$C$230:$F$242,2,FALSE)</f>
        <v>6155</v>
      </c>
      <c r="R742" s="12">
        <f t="shared" ref="R742:R786" si="184" xml:space="preserve"> VLOOKUP(I742,$C$230:$F$242,3,FALSE)</f>
        <v>6170</v>
      </c>
      <c r="S742" s="12">
        <f t="shared" ref="S742:S786" si="185">IF(F742=G742,IF(L742=0,(R742-P742)*J742*O742,-(R742-P742)*J742*O742),IF(L742=0,(R742-Q742)*J742*O742,-(R742-Q742)*J742*O742))</f>
        <v>-600</v>
      </c>
      <c r="T742" s="12">
        <f t="shared" ref="T742:T786" si="186">IF(L742=0,(R742-P742)*J742*O742,-(R742-P742)*J742*O742)</f>
        <v>-2800</v>
      </c>
      <c r="U742" s="12">
        <f>J742*O742*P742</f>
        <v>244000</v>
      </c>
    </row>
    <row r="743" spans="1:21" s="6" customFormat="1" x14ac:dyDescent="0.25">
      <c r="A743" t="s">
        <v>173</v>
      </c>
      <c r="B743" s="12" t="str">
        <f t="shared" si="174"/>
        <v>2018032610000011</v>
      </c>
      <c r="C743" s="12" t="str">
        <f t="shared" ref="C743:E748" si="187">C927</f>
        <v>6001</v>
      </c>
      <c r="D743" s="12" t="str">
        <f t="shared" si="187"/>
        <v>B00101</v>
      </c>
      <c r="E743" s="12" t="str">
        <f t="shared" si="187"/>
        <v>6001</v>
      </c>
      <c r="F743" s="101">
        <f t="shared" si="176"/>
        <v>20180328</v>
      </c>
      <c r="G743" s="101">
        <f>'day3'!G927</f>
        <v>20180326</v>
      </c>
      <c r="H743" s="12" t="str">
        <f t="shared" ref="H743:I743" si="188">H927</f>
        <v>CZCE</v>
      </c>
      <c r="I743" s="12" t="str">
        <f t="shared" si="188"/>
        <v>SR807</v>
      </c>
      <c r="J743" s="12">
        <f t="shared" si="177"/>
        <v>10</v>
      </c>
      <c r="K743" s="12">
        <v>2</v>
      </c>
      <c r="L743" s="12">
        <f t="shared" si="178"/>
        <v>1</v>
      </c>
      <c r="M743" s="12">
        <f t="shared" si="179"/>
        <v>3</v>
      </c>
      <c r="N743" s="12">
        <f t="shared" si="180"/>
        <v>3</v>
      </c>
      <c r="O743" s="12">
        <f t="shared" si="181"/>
        <v>5</v>
      </c>
      <c r="P743" s="12">
        <f t="shared" si="182"/>
        <v>6101</v>
      </c>
      <c r="Q743" s="12">
        <f t="shared" si="183"/>
        <v>6155</v>
      </c>
      <c r="R743" s="12">
        <f t="shared" si="184"/>
        <v>6170</v>
      </c>
      <c r="S743" s="12">
        <f t="shared" si="185"/>
        <v>-750</v>
      </c>
      <c r="T743" s="12">
        <f t="shared" si="186"/>
        <v>-3450</v>
      </c>
      <c r="U743" s="12">
        <f t="shared" ref="U743:U786" si="189">J743*O743*P743</f>
        <v>305050</v>
      </c>
    </row>
    <row r="744" spans="1:21" s="6" customFormat="1" x14ac:dyDescent="0.25">
      <c r="A744" t="s">
        <v>173</v>
      </c>
      <c r="B744" s="12" t="str">
        <f t="shared" si="174"/>
        <v>2018032610000012</v>
      </c>
      <c r="C744" s="12" t="str">
        <f t="shared" si="187"/>
        <v>6001</v>
      </c>
      <c r="D744" s="12" t="str">
        <f t="shared" si="187"/>
        <v>B00101</v>
      </c>
      <c r="E744" s="12" t="str">
        <f t="shared" si="187"/>
        <v>6001</v>
      </c>
      <c r="F744" s="101">
        <f t="shared" si="176"/>
        <v>20180328</v>
      </c>
      <c r="G744" s="101">
        <f>'day3'!G928</f>
        <v>20180326</v>
      </c>
      <c r="H744" s="12" t="str">
        <f t="shared" ref="H744:I744" si="190">H928</f>
        <v>CZCE</v>
      </c>
      <c r="I744" s="12" t="str">
        <f t="shared" si="190"/>
        <v>SR807</v>
      </c>
      <c r="J744" s="12">
        <f t="shared" si="177"/>
        <v>10</v>
      </c>
      <c r="K744" s="12">
        <v>2</v>
      </c>
      <c r="L744" s="12">
        <f t="shared" si="178"/>
        <v>1</v>
      </c>
      <c r="M744" s="12">
        <f t="shared" si="179"/>
        <v>3</v>
      </c>
      <c r="N744" s="12">
        <f t="shared" si="180"/>
        <v>1</v>
      </c>
      <c r="O744" s="12">
        <f t="shared" si="181"/>
        <v>1</v>
      </c>
      <c r="P744" s="12">
        <f t="shared" si="182"/>
        <v>6102</v>
      </c>
      <c r="Q744" s="12">
        <f t="shared" si="183"/>
        <v>6155</v>
      </c>
      <c r="R744" s="12">
        <f t="shared" si="184"/>
        <v>6170</v>
      </c>
      <c r="S744" s="12">
        <f t="shared" si="185"/>
        <v>-150</v>
      </c>
      <c r="T744" s="12">
        <f t="shared" si="186"/>
        <v>-680</v>
      </c>
      <c r="U744" s="12">
        <f t="shared" si="189"/>
        <v>61020</v>
      </c>
    </row>
    <row r="745" spans="1:21" s="6" customFormat="1" x14ac:dyDescent="0.25">
      <c r="A745" t="s">
        <v>173</v>
      </c>
      <c r="B745" s="12" t="str">
        <f t="shared" si="174"/>
        <v>2018032610000013</v>
      </c>
      <c r="C745" s="12" t="str">
        <f t="shared" si="187"/>
        <v>6001</v>
      </c>
      <c r="D745" s="12" t="str">
        <f t="shared" si="187"/>
        <v>B00101</v>
      </c>
      <c r="E745" s="12" t="str">
        <f t="shared" si="187"/>
        <v>6001</v>
      </c>
      <c r="F745" s="101">
        <f t="shared" si="176"/>
        <v>20180328</v>
      </c>
      <c r="G745" s="101">
        <f>'day3'!G929</f>
        <v>20180326</v>
      </c>
      <c r="H745" s="12" t="str">
        <f t="shared" ref="H745:I745" si="191">H929</f>
        <v>CZCE</v>
      </c>
      <c r="I745" s="12" t="str">
        <f t="shared" si="191"/>
        <v>SR807</v>
      </c>
      <c r="J745" s="12">
        <f t="shared" si="177"/>
        <v>10</v>
      </c>
      <c r="K745" s="12">
        <v>2</v>
      </c>
      <c r="L745" s="12">
        <f t="shared" si="178"/>
        <v>1</v>
      </c>
      <c r="M745" s="12">
        <f t="shared" si="179"/>
        <v>3</v>
      </c>
      <c r="N745" s="12">
        <f t="shared" si="180"/>
        <v>1</v>
      </c>
      <c r="O745" s="12">
        <f t="shared" si="181"/>
        <v>7</v>
      </c>
      <c r="P745" s="12">
        <f t="shared" si="182"/>
        <v>6103</v>
      </c>
      <c r="Q745" s="12">
        <f t="shared" si="183"/>
        <v>6155</v>
      </c>
      <c r="R745" s="12">
        <f t="shared" si="184"/>
        <v>6170</v>
      </c>
      <c r="S745" s="12">
        <f t="shared" si="185"/>
        <v>-1050</v>
      </c>
      <c r="T745" s="12">
        <f t="shared" si="186"/>
        <v>-4690</v>
      </c>
      <c r="U745" s="12">
        <f t="shared" si="189"/>
        <v>427210</v>
      </c>
    </row>
    <row r="746" spans="1:21" s="6" customFormat="1" x14ac:dyDescent="0.25">
      <c r="A746" t="s">
        <v>173</v>
      </c>
      <c r="B746" s="12" t="str">
        <f t="shared" si="174"/>
        <v>2018032610000018</v>
      </c>
      <c r="C746" s="12" t="str">
        <f t="shared" si="187"/>
        <v>6001</v>
      </c>
      <c r="D746" s="12" t="str">
        <f t="shared" si="187"/>
        <v>B00101</v>
      </c>
      <c r="E746" s="12" t="str">
        <f t="shared" si="187"/>
        <v>6001</v>
      </c>
      <c r="F746" s="101">
        <f t="shared" si="176"/>
        <v>20180328</v>
      </c>
      <c r="G746" s="101">
        <f>'day3'!G930</f>
        <v>20180326</v>
      </c>
      <c r="H746" s="12" t="str">
        <f t="shared" ref="H746:I746" si="192">H930</f>
        <v>CZCE</v>
      </c>
      <c r="I746" s="12" t="str">
        <f t="shared" si="192"/>
        <v>SR807</v>
      </c>
      <c r="J746" s="12">
        <f t="shared" si="177"/>
        <v>10</v>
      </c>
      <c r="K746" s="12">
        <v>2</v>
      </c>
      <c r="L746" s="12">
        <f t="shared" si="178"/>
        <v>0</v>
      </c>
      <c r="M746" s="12">
        <f t="shared" si="179"/>
        <v>2</v>
      </c>
      <c r="N746" s="12">
        <f t="shared" si="180"/>
        <v>3</v>
      </c>
      <c r="O746" s="12">
        <f t="shared" si="181"/>
        <v>0</v>
      </c>
      <c r="P746" s="12">
        <f t="shared" si="182"/>
        <v>6108</v>
      </c>
      <c r="Q746" s="12">
        <f t="shared" si="183"/>
        <v>6155</v>
      </c>
      <c r="R746" s="12">
        <f t="shared" si="184"/>
        <v>6170</v>
      </c>
      <c r="S746" s="12">
        <f t="shared" si="185"/>
        <v>0</v>
      </c>
      <c r="T746" s="12">
        <f t="shared" si="186"/>
        <v>0</v>
      </c>
      <c r="U746" s="12">
        <f t="shared" si="189"/>
        <v>0</v>
      </c>
    </row>
    <row r="747" spans="1:21" s="6" customFormat="1" x14ac:dyDescent="0.25">
      <c r="A747" t="s">
        <v>173</v>
      </c>
      <c r="B747" s="12" t="str">
        <f t="shared" si="174"/>
        <v>2018032610000019</v>
      </c>
      <c r="C747" s="12" t="str">
        <f t="shared" si="187"/>
        <v>6001</v>
      </c>
      <c r="D747" s="12" t="str">
        <f t="shared" si="187"/>
        <v>B00101</v>
      </c>
      <c r="E747" s="12" t="str">
        <f t="shared" si="187"/>
        <v>6001</v>
      </c>
      <c r="F747" s="101">
        <f t="shared" si="176"/>
        <v>20180328</v>
      </c>
      <c r="G747" s="101">
        <f>'day3'!G931</f>
        <v>20180326</v>
      </c>
      <c r="H747" s="12" t="str">
        <f t="shared" ref="H747:I747" si="193">H931</f>
        <v>CZCE</v>
      </c>
      <c r="I747" s="12" t="str">
        <f t="shared" si="193"/>
        <v>SR807</v>
      </c>
      <c r="J747" s="12">
        <f t="shared" si="177"/>
        <v>10</v>
      </c>
      <c r="K747" s="12">
        <v>2</v>
      </c>
      <c r="L747" s="12">
        <f t="shared" si="178"/>
        <v>0</v>
      </c>
      <c r="M747" s="12">
        <f t="shared" si="179"/>
        <v>2</v>
      </c>
      <c r="N747" s="12">
        <f t="shared" si="180"/>
        <v>1</v>
      </c>
      <c r="O747" s="12">
        <f t="shared" si="181"/>
        <v>0</v>
      </c>
      <c r="P747" s="12">
        <f t="shared" si="182"/>
        <v>6109</v>
      </c>
      <c r="Q747" s="12">
        <f t="shared" si="183"/>
        <v>6155</v>
      </c>
      <c r="R747" s="12">
        <f t="shared" si="184"/>
        <v>6170</v>
      </c>
      <c r="S747" s="12">
        <f t="shared" si="185"/>
        <v>0</v>
      </c>
      <c r="T747" s="12">
        <f t="shared" si="186"/>
        <v>0</v>
      </c>
      <c r="U747" s="12">
        <f t="shared" si="189"/>
        <v>0</v>
      </c>
    </row>
    <row r="748" spans="1:21" s="6" customFormat="1" x14ac:dyDescent="0.25">
      <c r="A748" t="s">
        <v>173</v>
      </c>
      <c r="B748" s="12" t="str">
        <f t="shared" si="174"/>
        <v>2018032610000020</v>
      </c>
      <c r="C748" s="12" t="str">
        <f t="shared" si="187"/>
        <v>6001</v>
      </c>
      <c r="D748" s="12" t="str">
        <f t="shared" si="187"/>
        <v>B00101</v>
      </c>
      <c r="E748" s="12" t="str">
        <f t="shared" si="187"/>
        <v>6001</v>
      </c>
      <c r="F748" s="101">
        <f t="shared" si="176"/>
        <v>20180328</v>
      </c>
      <c r="G748" s="101">
        <f>'day3'!G932</f>
        <v>20180326</v>
      </c>
      <c r="H748" s="12" t="str">
        <f>H932</f>
        <v>CZCE</v>
      </c>
      <c r="I748" s="12" t="str">
        <f>I932</f>
        <v>SR807</v>
      </c>
      <c r="J748" s="12">
        <f t="shared" si="177"/>
        <v>10</v>
      </c>
      <c r="K748" s="12">
        <v>2</v>
      </c>
      <c r="L748" s="12">
        <f t="shared" si="178"/>
        <v>0</v>
      </c>
      <c r="M748" s="12">
        <f t="shared" si="179"/>
        <v>2</v>
      </c>
      <c r="N748" s="12">
        <f t="shared" si="180"/>
        <v>1</v>
      </c>
      <c r="O748" s="12">
        <f t="shared" si="181"/>
        <v>0</v>
      </c>
      <c r="P748" s="12">
        <f t="shared" si="182"/>
        <v>6110</v>
      </c>
      <c r="Q748" s="12">
        <f t="shared" si="183"/>
        <v>6155</v>
      </c>
      <c r="R748" s="12">
        <f t="shared" si="184"/>
        <v>6170</v>
      </c>
      <c r="S748" s="12">
        <f t="shared" si="185"/>
        <v>0</v>
      </c>
      <c r="T748" s="12">
        <f t="shared" si="186"/>
        <v>0</v>
      </c>
      <c r="U748" s="12">
        <f t="shared" si="189"/>
        <v>0</v>
      </c>
    </row>
    <row r="749" spans="1:21" s="6" customFormat="1" x14ac:dyDescent="0.25">
      <c r="A749" t="s">
        <v>173</v>
      </c>
      <c r="B749" s="12" t="str">
        <f t="shared" ref="B749:E752" si="194">B937</f>
        <v>2018032610000028</v>
      </c>
      <c r="C749" s="12" t="str">
        <f t="shared" si="194"/>
        <v>6001</v>
      </c>
      <c r="D749" s="12" t="str">
        <f t="shared" si="194"/>
        <v>B00102</v>
      </c>
      <c r="E749" s="12" t="str">
        <f t="shared" si="194"/>
        <v>6001</v>
      </c>
      <c r="F749" s="101">
        <f t="shared" si="176"/>
        <v>20180328</v>
      </c>
      <c r="G749" s="101">
        <f>'day3'!G937</f>
        <v>20180326</v>
      </c>
      <c r="H749" s="12" t="str">
        <f t="shared" ref="H749:I749" si="195">H937</f>
        <v>CZCE</v>
      </c>
      <c r="I749" s="12" t="str">
        <f t="shared" si="195"/>
        <v>PTA807</v>
      </c>
      <c r="J749" s="12">
        <f t="shared" si="177"/>
        <v>5</v>
      </c>
      <c r="K749" s="12">
        <v>2</v>
      </c>
      <c r="L749" s="12">
        <f t="shared" si="178"/>
        <v>0</v>
      </c>
      <c r="M749" s="12">
        <f t="shared" si="179"/>
        <v>2</v>
      </c>
      <c r="N749" s="12">
        <f t="shared" si="180"/>
        <v>3</v>
      </c>
      <c r="O749" s="12">
        <f t="shared" si="181"/>
        <v>2</v>
      </c>
      <c r="P749" s="12">
        <f t="shared" si="182"/>
        <v>6118</v>
      </c>
      <c r="Q749" s="12">
        <f t="shared" si="183"/>
        <v>6160</v>
      </c>
      <c r="R749" s="12">
        <f t="shared" si="184"/>
        <v>6165</v>
      </c>
      <c r="S749" s="12">
        <f t="shared" si="185"/>
        <v>50</v>
      </c>
      <c r="T749" s="12">
        <f t="shared" si="186"/>
        <v>470</v>
      </c>
      <c r="U749" s="12">
        <f t="shared" si="189"/>
        <v>61180</v>
      </c>
    </row>
    <row r="750" spans="1:21" s="6" customFormat="1" x14ac:dyDescent="0.25">
      <c r="A750" t="s">
        <v>173</v>
      </c>
      <c r="B750" s="12" t="str">
        <f t="shared" si="194"/>
        <v>2018032610000029</v>
      </c>
      <c r="C750" s="12" t="str">
        <f t="shared" si="194"/>
        <v>6001</v>
      </c>
      <c r="D750" s="12" t="str">
        <f t="shared" si="194"/>
        <v>B00102</v>
      </c>
      <c r="E750" s="12" t="str">
        <f t="shared" si="194"/>
        <v>6001</v>
      </c>
      <c r="F750" s="101">
        <f t="shared" si="176"/>
        <v>20180328</v>
      </c>
      <c r="G750" s="101">
        <f>'day3'!G938</f>
        <v>20180326</v>
      </c>
      <c r="H750" s="12" t="str">
        <f t="shared" ref="H750:I750" si="196">H938</f>
        <v>CZCE</v>
      </c>
      <c r="I750" s="12" t="str">
        <f t="shared" si="196"/>
        <v>PTA807</v>
      </c>
      <c r="J750" s="12">
        <f t="shared" si="177"/>
        <v>5</v>
      </c>
      <c r="K750" s="12">
        <v>2</v>
      </c>
      <c r="L750" s="12">
        <f t="shared" si="178"/>
        <v>1</v>
      </c>
      <c r="M750" s="12">
        <f t="shared" si="179"/>
        <v>3</v>
      </c>
      <c r="N750" s="12">
        <f t="shared" si="180"/>
        <v>3</v>
      </c>
      <c r="O750" s="12">
        <f t="shared" si="181"/>
        <v>6</v>
      </c>
      <c r="P750" s="12">
        <f t="shared" si="182"/>
        <v>6119</v>
      </c>
      <c r="Q750" s="12">
        <f t="shared" si="183"/>
        <v>6160</v>
      </c>
      <c r="R750" s="12">
        <f t="shared" si="184"/>
        <v>6165</v>
      </c>
      <c r="S750" s="12">
        <f t="shared" si="185"/>
        <v>-150</v>
      </c>
      <c r="T750" s="12">
        <f t="shared" si="186"/>
        <v>-1380</v>
      </c>
      <c r="U750" s="12">
        <f t="shared" si="189"/>
        <v>183570</v>
      </c>
    </row>
    <row r="751" spans="1:21" s="6" customFormat="1" x14ac:dyDescent="0.25">
      <c r="A751" t="s">
        <v>173</v>
      </c>
      <c r="B751" s="12" t="str">
        <f t="shared" si="194"/>
        <v>2018032610000030</v>
      </c>
      <c r="C751" s="12" t="str">
        <f t="shared" si="194"/>
        <v>6001</v>
      </c>
      <c r="D751" s="12" t="str">
        <f t="shared" si="194"/>
        <v>B00102</v>
      </c>
      <c r="E751" s="12" t="str">
        <f t="shared" si="194"/>
        <v>6001</v>
      </c>
      <c r="F751" s="101">
        <f t="shared" si="176"/>
        <v>20180328</v>
      </c>
      <c r="G751" s="101">
        <f>'day3'!G939</f>
        <v>20180326</v>
      </c>
      <c r="H751" s="12" t="str">
        <f t="shared" ref="H751:I751" si="197">H939</f>
        <v>CZCE</v>
      </c>
      <c r="I751" s="12" t="str">
        <f t="shared" si="197"/>
        <v>PTA807</v>
      </c>
      <c r="J751" s="12">
        <f t="shared" si="177"/>
        <v>5</v>
      </c>
      <c r="K751" s="12">
        <v>2</v>
      </c>
      <c r="L751" s="12">
        <f t="shared" si="178"/>
        <v>0</v>
      </c>
      <c r="M751" s="12">
        <f t="shared" si="179"/>
        <v>2</v>
      </c>
      <c r="N751" s="12">
        <f t="shared" si="180"/>
        <v>1</v>
      </c>
      <c r="O751" s="12">
        <f t="shared" si="181"/>
        <v>4</v>
      </c>
      <c r="P751" s="12">
        <f t="shared" si="182"/>
        <v>6120</v>
      </c>
      <c r="Q751" s="12">
        <f t="shared" si="183"/>
        <v>6160</v>
      </c>
      <c r="R751" s="12">
        <f t="shared" si="184"/>
        <v>6165</v>
      </c>
      <c r="S751" s="12">
        <f t="shared" si="185"/>
        <v>100</v>
      </c>
      <c r="T751" s="12">
        <f t="shared" si="186"/>
        <v>900</v>
      </c>
      <c r="U751" s="12">
        <f t="shared" si="189"/>
        <v>122400</v>
      </c>
    </row>
    <row r="752" spans="1:21" s="6" customFormat="1" x14ac:dyDescent="0.25">
      <c r="A752" t="s">
        <v>173</v>
      </c>
      <c r="B752" s="12" t="str">
        <f t="shared" si="194"/>
        <v>2018032610000031</v>
      </c>
      <c r="C752" s="12" t="str">
        <f t="shared" si="194"/>
        <v>6001</v>
      </c>
      <c r="D752" s="12" t="str">
        <f t="shared" si="194"/>
        <v>B00102</v>
      </c>
      <c r="E752" s="12" t="str">
        <f t="shared" si="194"/>
        <v>6001</v>
      </c>
      <c r="F752" s="101">
        <f t="shared" si="176"/>
        <v>20180328</v>
      </c>
      <c r="G752" s="101">
        <f>'day3'!G940</f>
        <v>20180326</v>
      </c>
      <c r="H752" s="12" t="str">
        <f t="shared" ref="H752:I752" si="198">H940</f>
        <v>CZCE</v>
      </c>
      <c r="I752" s="12" t="str">
        <f t="shared" si="198"/>
        <v>PTA807</v>
      </c>
      <c r="J752" s="12">
        <f t="shared" si="177"/>
        <v>5</v>
      </c>
      <c r="K752" s="12">
        <v>2</v>
      </c>
      <c r="L752" s="12">
        <f t="shared" si="178"/>
        <v>1</v>
      </c>
      <c r="M752" s="12">
        <f t="shared" si="179"/>
        <v>3</v>
      </c>
      <c r="N752" s="12">
        <f t="shared" si="180"/>
        <v>1</v>
      </c>
      <c r="O752" s="12">
        <f t="shared" si="181"/>
        <v>0</v>
      </c>
      <c r="P752" s="12">
        <f t="shared" si="182"/>
        <v>6121</v>
      </c>
      <c r="Q752" s="12">
        <f t="shared" si="183"/>
        <v>6160</v>
      </c>
      <c r="R752" s="12">
        <f t="shared" si="184"/>
        <v>6165</v>
      </c>
      <c r="S752" s="12">
        <f t="shared" si="185"/>
        <v>0</v>
      </c>
      <c r="T752" s="12">
        <f t="shared" si="186"/>
        <v>0</v>
      </c>
      <c r="U752" s="12">
        <f t="shared" si="189"/>
        <v>0</v>
      </c>
    </row>
    <row r="753" spans="1:21" s="6" customFormat="1" x14ac:dyDescent="0.25">
      <c r="A753" t="s">
        <v>173</v>
      </c>
      <c r="B753" s="12" t="str">
        <f t="shared" ref="B753:E760" si="199">B943</f>
        <v>2018032610000050</v>
      </c>
      <c r="C753" s="12" t="str">
        <f t="shared" si="199"/>
        <v>6001</v>
      </c>
      <c r="D753" s="12" t="str">
        <f t="shared" si="199"/>
        <v>B00101</v>
      </c>
      <c r="E753" s="12" t="str">
        <f t="shared" si="199"/>
        <v>6001</v>
      </c>
      <c r="F753" s="101">
        <f t="shared" si="176"/>
        <v>20180328</v>
      </c>
      <c r="G753" s="101">
        <f>'day3'!G943</f>
        <v>20180326</v>
      </c>
      <c r="H753" s="12" t="str">
        <f t="shared" ref="H753:I753" si="200">H943</f>
        <v>CZCE</v>
      </c>
      <c r="I753" s="12" t="str">
        <f t="shared" si="200"/>
        <v>SR807</v>
      </c>
      <c r="J753" s="12">
        <f t="shared" si="177"/>
        <v>10</v>
      </c>
      <c r="K753" s="12">
        <v>2</v>
      </c>
      <c r="L753" s="12">
        <f t="shared" si="178"/>
        <v>0</v>
      </c>
      <c r="M753" s="12">
        <f t="shared" si="179"/>
        <v>2</v>
      </c>
      <c r="N753" s="12">
        <f t="shared" si="180"/>
        <v>1</v>
      </c>
      <c r="O753" s="12">
        <f t="shared" si="181"/>
        <v>0</v>
      </c>
      <c r="P753" s="12">
        <f t="shared" si="182"/>
        <v>6400</v>
      </c>
      <c r="Q753" s="12">
        <f t="shared" si="183"/>
        <v>6155</v>
      </c>
      <c r="R753" s="12">
        <f t="shared" si="184"/>
        <v>6170</v>
      </c>
      <c r="S753" s="12">
        <f t="shared" si="185"/>
        <v>0</v>
      </c>
      <c r="T753" s="12">
        <f t="shared" si="186"/>
        <v>0</v>
      </c>
      <c r="U753" s="12">
        <f t="shared" si="189"/>
        <v>0</v>
      </c>
    </row>
    <row r="754" spans="1:21" s="6" customFormat="1" x14ac:dyDescent="0.25">
      <c r="A754" t="s">
        <v>173</v>
      </c>
      <c r="B754" s="12" t="str">
        <f t="shared" si="199"/>
        <v>2018032610000051</v>
      </c>
      <c r="C754" s="12" t="str">
        <f t="shared" si="199"/>
        <v>6001</v>
      </c>
      <c r="D754" s="12" t="str">
        <f t="shared" si="199"/>
        <v>B00101</v>
      </c>
      <c r="E754" s="12" t="str">
        <f t="shared" si="199"/>
        <v>6001</v>
      </c>
      <c r="F754" s="101">
        <f t="shared" si="176"/>
        <v>20180328</v>
      </c>
      <c r="G754" s="101">
        <f>'day3'!G944</f>
        <v>20180326</v>
      </c>
      <c r="H754" s="12" t="str">
        <f t="shared" ref="H754:I754" si="201">H944</f>
        <v>CZCE</v>
      </c>
      <c r="I754" s="12" t="str">
        <f t="shared" si="201"/>
        <v>SR807</v>
      </c>
      <c r="J754" s="12">
        <f t="shared" si="177"/>
        <v>10</v>
      </c>
      <c r="K754" s="12">
        <v>2</v>
      </c>
      <c r="L754" s="12">
        <f t="shared" si="178"/>
        <v>0</v>
      </c>
      <c r="M754" s="12">
        <f t="shared" si="179"/>
        <v>2</v>
      </c>
      <c r="N754" s="12">
        <f t="shared" si="180"/>
        <v>3</v>
      </c>
      <c r="O754" s="12">
        <f t="shared" si="181"/>
        <v>0</v>
      </c>
      <c r="P754" s="12">
        <f t="shared" si="182"/>
        <v>6400</v>
      </c>
      <c r="Q754" s="12">
        <f t="shared" si="183"/>
        <v>6155</v>
      </c>
      <c r="R754" s="12">
        <f t="shared" si="184"/>
        <v>6170</v>
      </c>
      <c r="S754" s="12">
        <f t="shared" si="185"/>
        <v>0</v>
      </c>
      <c r="T754" s="12">
        <f t="shared" si="186"/>
        <v>0</v>
      </c>
      <c r="U754" s="12">
        <f t="shared" si="189"/>
        <v>0</v>
      </c>
    </row>
    <row r="755" spans="1:21" s="6" customFormat="1" x14ac:dyDescent="0.25">
      <c r="A755" t="s">
        <v>173</v>
      </c>
      <c r="B755" s="12" t="str">
        <f t="shared" si="199"/>
        <v>2018032610000052</v>
      </c>
      <c r="C755" s="12" t="str">
        <f t="shared" si="199"/>
        <v>6001</v>
      </c>
      <c r="D755" s="12" t="str">
        <f t="shared" si="199"/>
        <v>B00101</v>
      </c>
      <c r="E755" s="12" t="str">
        <f t="shared" si="199"/>
        <v>6001</v>
      </c>
      <c r="F755" s="101">
        <f t="shared" si="176"/>
        <v>20180328</v>
      </c>
      <c r="G755" s="101">
        <f>'day3'!G945</f>
        <v>20180326</v>
      </c>
      <c r="H755" s="12" t="str">
        <f t="shared" ref="H755:I755" si="202">H945</f>
        <v>CZCE</v>
      </c>
      <c r="I755" s="12" t="str">
        <f t="shared" si="202"/>
        <v>SR807</v>
      </c>
      <c r="J755" s="12">
        <f t="shared" si="177"/>
        <v>10</v>
      </c>
      <c r="K755" s="12">
        <v>2</v>
      </c>
      <c r="L755" s="12">
        <f t="shared" si="178"/>
        <v>1</v>
      </c>
      <c r="M755" s="12">
        <f t="shared" si="179"/>
        <v>3</v>
      </c>
      <c r="N755" s="12">
        <f t="shared" si="180"/>
        <v>1</v>
      </c>
      <c r="O755" s="12">
        <f t="shared" si="181"/>
        <v>0</v>
      </c>
      <c r="P755" s="12">
        <f t="shared" si="182"/>
        <v>6400</v>
      </c>
      <c r="Q755" s="12">
        <f t="shared" si="183"/>
        <v>6155</v>
      </c>
      <c r="R755" s="12">
        <f t="shared" si="184"/>
        <v>6170</v>
      </c>
      <c r="S755" s="12">
        <f t="shared" si="185"/>
        <v>0</v>
      </c>
      <c r="T755" s="12">
        <f t="shared" si="186"/>
        <v>0</v>
      </c>
      <c r="U755" s="12">
        <f t="shared" si="189"/>
        <v>0</v>
      </c>
    </row>
    <row r="756" spans="1:21" s="6" customFormat="1" x14ac:dyDescent="0.25">
      <c r="A756" t="s">
        <v>173</v>
      </c>
      <c r="B756" s="12" t="str">
        <f t="shared" si="199"/>
        <v>2018032610000053</v>
      </c>
      <c r="C756" s="12" t="str">
        <f t="shared" si="199"/>
        <v>6001</v>
      </c>
      <c r="D756" s="12" t="str">
        <f t="shared" si="199"/>
        <v>B00101</v>
      </c>
      <c r="E756" s="12" t="str">
        <f t="shared" si="199"/>
        <v>6001</v>
      </c>
      <c r="F756" s="101">
        <f t="shared" si="176"/>
        <v>20180328</v>
      </c>
      <c r="G756" s="101">
        <f>'day3'!G946</f>
        <v>20180326</v>
      </c>
      <c r="H756" s="12" t="str">
        <f t="shared" ref="H756:I756" si="203">H946</f>
        <v>CZCE</v>
      </c>
      <c r="I756" s="12" t="str">
        <f t="shared" si="203"/>
        <v>SR807</v>
      </c>
      <c r="J756" s="12">
        <f t="shared" si="177"/>
        <v>10</v>
      </c>
      <c r="K756" s="12">
        <v>2</v>
      </c>
      <c r="L756" s="12">
        <f t="shared" si="178"/>
        <v>1</v>
      </c>
      <c r="M756" s="12">
        <f t="shared" si="179"/>
        <v>3</v>
      </c>
      <c r="N756" s="12">
        <f t="shared" si="180"/>
        <v>3</v>
      </c>
      <c r="O756" s="12">
        <f t="shared" si="181"/>
        <v>0</v>
      </c>
      <c r="P756" s="12">
        <f t="shared" si="182"/>
        <v>6400</v>
      </c>
      <c r="Q756" s="12">
        <f t="shared" si="183"/>
        <v>6155</v>
      </c>
      <c r="R756" s="12">
        <f t="shared" si="184"/>
        <v>6170</v>
      </c>
      <c r="S756" s="12">
        <f t="shared" si="185"/>
        <v>0</v>
      </c>
      <c r="T756" s="12">
        <f t="shared" si="186"/>
        <v>0</v>
      </c>
      <c r="U756" s="12">
        <f t="shared" si="189"/>
        <v>0</v>
      </c>
    </row>
    <row r="757" spans="1:21" s="6" customFormat="1" x14ac:dyDescent="0.25">
      <c r="A757" t="s">
        <v>173</v>
      </c>
      <c r="B757" s="12" t="str">
        <f t="shared" si="199"/>
        <v>2018032610000054</v>
      </c>
      <c r="C757" s="12" t="str">
        <f t="shared" si="199"/>
        <v>6001</v>
      </c>
      <c r="D757" s="12" t="str">
        <f t="shared" si="199"/>
        <v>B00101</v>
      </c>
      <c r="E757" s="12" t="str">
        <f t="shared" si="199"/>
        <v>6001</v>
      </c>
      <c r="F757" s="101">
        <f t="shared" si="176"/>
        <v>20180328</v>
      </c>
      <c r="G757" s="101">
        <f>'day3'!G947</f>
        <v>20180326</v>
      </c>
      <c r="H757" s="12" t="str">
        <f t="shared" ref="H757:I757" si="204">H947</f>
        <v>CZCE</v>
      </c>
      <c r="I757" s="12" t="str">
        <f t="shared" si="204"/>
        <v>SR807</v>
      </c>
      <c r="J757" s="12">
        <f t="shared" si="177"/>
        <v>10</v>
      </c>
      <c r="K757" s="12">
        <v>2</v>
      </c>
      <c r="L757" s="12">
        <f t="shared" si="178"/>
        <v>0</v>
      </c>
      <c r="M757" s="12">
        <f t="shared" si="179"/>
        <v>2</v>
      </c>
      <c r="N757" s="12">
        <f t="shared" si="180"/>
        <v>1</v>
      </c>
      <c r="O757" s="12">
        <f t="shared" si="181"/>
        <v>0</v>
      </c>
      <c r="P757" s="12">
        <f t="shared" si="182"/>
        <v>6500</v>
      </c>
      <c r="Q757" s="12">
        <f t="shared" si="183"/>
        <v>6155</v>
      </c>
      <c r="R757" s="12">
        <f t="shared" si="184"/>
        <v>6170</v>
      </c>
      <c r="S757" s="12">
        <f t="shared" si="185"/>
        <v>0</v>
      </c>
      <c r="T757" s="12">
        <f t="shared" si="186"/>
        <v>0</v>
      </c>
      <c r="U757" s="12">
        <f t="shared" si="189"/>
        <v>0</v>
      </c>
    </row>
    <row r="758" spans="1:21" s="6" customFormat="1" x14ac:dyDescent="0.25">
      <c r="A758" t="s">
        <v>173</v>
      </c>
      <c r="B758" s="12" t="str">
        <f t="shared" si="199"/>
        <v>2018032610000055</v>
      </c>
      <c r="C758" s="12" t="str">
        <f t="shared" si="199"/>
        <v>6001</v>
      </c>
      <c r="D758" s="12" t="str">
        <f t="shared" si="199"/>
        <v>B00101</v>
      </c>
      <c r="E758" s="12" t="str">
        <f t="shared" si="199"/>
        <v>6001</v>
      </c>
      <c r="F758" s="101">
        <f t="shared" si="176"/>
        <v>20180328</v>
      </c>
      <c r="G758" s="101">
        <f>'day3'!G948</f>
        <v>20180326</v>
      </c>
      <c r="H758" s="12" t="str">
        <f t="shared" ref="H758:I758" si="205">H948</f>
        <v>CZCE</v>
      </c>
      <c r="I758" s="12" t="str">
        <f t="shared" si="205"/>
        <v>SR807</v>
      </c>
      <c r="J758" s="12">
        <f t="shared" si="177"/>
        <v>10</v>
      </c>
      <c r="K758" s="12">
        <v>2</v>
      </c>
      <c r="L758" s="12">
        <f t="shared" si="178"/>
        <v>0</v>
      </c>
      <c r="M758" s="12">
        <f t="shared" si="179"/>
        <v>2</v>
      </c>
      <c r="N758" s="12">
        <f t="shared" si="180"/>
        <v>3</v>
      </c>
      <c r="O758" s="12">
        <f t="shared" si="181"/>
        <v>1</v>
      </c>
      <c r="P758" s="12">
        <f t="shared" si="182"/>
        <v>6500</v>
      </c>
      <c r="Q758" s="12">
        <f t="shared" si="183"/>
        <v>6155</v>
      </c>
      <c r="R758" s="12">
        <f t="shared" si="184"/>
        <v>6170</v>
      </c>
      <c r="S758" s="12">
        <f t="shared" si="185"/>
        <v>150</v>
      </c>
      <c r="T758" s="12">
        <f t="shared" si="186"/>
        <v>-3300</v>
      </c>
      <c r="U758" s="12">
        <f t="shared" si="189"/>
        <v>65000</v>
      </c>
    </row>
    <row r="759" spans="1:21" s="6" customFormat="1" x14ac:dyDescent="0.25">
      <c r="A759" t="s">
        <v>173</v>
      </c>
      <c r="B759" s="12" t="str">
        <f t="shared" si="199"/>
        <v>2018032610000056</v>
      </c>
      <c r="C759" s="12" t="str">
        <f t="shared" si="199"/>
        <v>6001</v>
      </c>
      <c r="D759" s="12" t="str">
        <f t="shared" si="199"/>
        <v>B00101</v>
      </c>
      <c r="E759" s="12" t="str">
        <f t="shared" si="199"/>
        <v>6001</v>
      </c>
      <c r="F759" s="101">
        <f t="shared" si="176"/>
        <v>20180328</v>
      </c>
      <c r="G759" s="101">
        <f>'day3'!G949</f>
        <v>20180326</v>
      </c>
      <c r="H759" s="12" t="str">
        <f t="shared" ref="H759:I759" si="206">H949</f>
        <v>CZCE</v>
      </c>
      <c r="I759" s="12" t="str">
        <f t="shared" si="206"/>
        <v>SR807</v>
      </c>
      <c r="J759" s="12">
        <f t="shared" si="177"/>
        <v>10</v>
      </c>
      <c r="K759" s="12">
        <v>2</v>
      </c>
      <c r="L759" s="12">
        <f t="shared" si="178"/>
        <v>1</v>
      </c>
      <c r="M759" s="12">
        <f t="shared" si="179"/>
        <v>3</v>
      </c>
      <c r="N759" s="12">
        <f t="shared" si="180"/>
        <v>1</v>
      </c>
      <c r="O759" s="12">
        <f t="shared" si="181"/>
        <v>3</v>
      </c>
      <c r="P759" s="12">
        <f t="shared" si="182"/>
        <v>6500</v>
      </c>
      <c r="Q759" s="12">
        <f t="shared" si="183"/>
        <v>6155</v>
      </c>
      <c r="R759" s="12">
        <f t="shared" si="184"/>
        <v>6170</v>
      </c>
      <c r="S759" s="12">
        <f t="shared" si="185"/>
        <v>-450</v>
      </c>
      <c r="T759" s="12">
        <f t="shared" si="186"/>
        <v>9900</v>
      </c>
      <c r="U759" s="12">
        <f t="shared" si="189"/>
        <v>195000</v>
      </c>
    </row>
    <row r="760" spans="1:21" s="6" customFormat="1" x14ac:dyDescent="0.25">
      <c r="A760" t="s">
        <v>173</v>
      </c>
      <c r="B760" s="12" t="str">
        <f t="shared" si="199"/>
        <v>2018032610000057</v>
      </c>
      <c r="C760" s="12" t="str">
        <f t="shared" si="199"/>
        <v>6001</v>
      </c>
      <c r="D760" s="12" t="str">
        <f t="shared" si="199"/>
        <v>B00101</v>
      </c>
      <c r="E760" s="12" t="str">
        <f t="shared" si="199"/>
        <v>6001</v>
      </c>
      <c r="F760" s="101">
        <f t="shared" si="176"/>
        <v>20180328</v>
      </c>
      <c r="G760" s="101">
        <f>'day3'!G950</f>
        <v>20180326</v>
      </c>
      <c r="H760" s="12" t="str">
        <f t="shared" ref="H760:I760" si="207">H950</f>
        <v>CZCE</v>
      </c>
      <c r="I760" s="12" t="str">
        <f t="shared" si="207"/>
        <v>SR807</v>
      </c>
      <c r="J760" s="12">
        <f t="shared" si="177"/>
        <v>10</v>
      </c>
      <c r="K760" s="12">
        <v>2</v>
      </c>
      <c r="L760" s="12">
        <f t="shared" si="178"/>
        <v>1</v>
      </c>
      <c r="M760" s="12">
        <f t="shared" si="179"/>
        <v>3</v>
      </c>
      <c r="N760" s="12">
        <f t="shared" si="180"/>
        <v>3</v>
      </c>
      <c r="O760" s="12">
        <f t="shared" si="181"/>
        <v>2</v>
      </c>
      <c r="P760" s="12">
        <f t="shared" si="182"/>
        <v>6500</v>
      </c>
      <c r="Q760" s="12">
        <f t="shared" si="183"/>
        <v>6155</v>
      </c>
      <c r="R760" s="12">
        <f t="shared" si="184"/>
        <v>6170</v>
      </c>
      <c r="S760" s="12">
        <f t="shared" si="185"/>
        <v>-300</v>
      </c>
      <c r="T760" s="12">
        <f t="shared" si="186"/>
        <v>6600</v>
      </c>
      <c r="U760" s="12">
        <f t="shared" si="189"/>
        <v>130000</v>
      </c>
    </row>
    <row r="761" spans="1:21" s="6" customFormat="1" x14ac:dyDescent="0.25">
      <c r="A761" s="6" t="s">
        <v>173</v>
      </c>
      <c r="B761" s="12" t="str">
        <f t="shared" ref="B761:E761" si="208">B951</f>
        <v>2018032610000060</v>
      </c>
      <c r="C761" s="12" t="str">
        <f t="shared" si="208"/>
        <v>6001</v>
      </c>
      <c r="D761" s="12" t="str">
        <f t="shared" si="208"/>
        <v>B00102</v>
      </c>
      <c r="E761" s="12" t="str">
        <f t="shared" si="208"/>
        <v>6001</v>
      </c>
      <c r="F761" s="101">
        <f t="shared" si="176"/>
        <v>20180328</v>
      </c>
      <c r="G761" s="101">
        <f>'day3'!G951</f>
        <v>20180326</v>
      </c>
      <c r="H761" s="12" t="str">
        <f t="shared" ref="H761:I761" si="209">H951</f>
        <v>CZCE</v>
      </c>
      <c r="I761" s="12" t="str">
        <f t="shared" si="209"/>
        <v>PTA807</v>
      </c>
      <c r="J761" s="12">
        <f t="shared" si="177"/>
        <v>5</v>
      </c>
      <c r="K761" s="12">
        <v>3</v>
      </c>
      <c r="L761" s="12">
        <f t="shared" si="178"/>
        <v>0</v>
      </c>
      <c r="M761" s="12">
        <f t="shared" ref="M761:M762" si="210">IF(L761=0,2,3)</f>
        <v>2</v>
      </c>
      <c r="N761" s="12">
        <f t="shared" si="180"/>
        <v>3</v>
      </c>
      <c r="O761" s="12">
        <f t="shared" si="181"/>
        <v>5</v>
      </c>
      <c r="P761" s="12">
        <f t="shared" si="182"/>
        <v>6500</v>
      </c>
      <c r="Q761" s="12">
        <f t="shared" si="183"/>
        <v>6160</v>
      </c>
      <c r="R761" s="12">
        <f t="shared" si="184"/>
        <v>6165</v>
      </c>
      <c r="S761" s="12">
        <f t="shared" ref="S761:S762" si="211">IF(F761=G761,IF(L761=0,(R761-P761)*J761*O761,-(R761-P761)*J761*O761),IF(L761=0,(R761-Q761)*J761*O761,-(R761-Q761)*J761*O761))</f>
        <v>125</v>
      </c>
      <c r="T761" s="12">
        <f t="shared" ref="T761:T762" si="212">IF(L761=0,(R761-P761)*J761*O761,-(R761-P761)*J761*O761)</f>
        <v>-8375</v>
      </c>
      <c r="U761" s="12">
        <f t="shared" ref="U761:U762" si="213">J761*O761*P761</f>
        <v>162500</v>
      </c>
    </row>
    <row r="762" spans="1:21" s="6" customFormat="1" x14ac:dyDescent="0.25">
      <c r="A762" s="6" t="s">
        <v>173</v>
      </c>
      <c r="B762" s="12" t="str">
        <f t="shared" ref="B762:E762" si="214">B952</f>
        <v>2018032610000061</v>
      </c>
      <c r="C762" s="12" t="str">
        <f t="shared" si="214"/>
        <v>6001</v>
      </c>
      <c r="D762" s="12" t="str">
        <f t="shared" si="214"/>
        <v>B00102</v>
      </c>
      <c r="E762" s="12" t="str">
        <f t="shared" si="214"/>
        <v>6001</v>
      </c>
      <c r="F762" s="101">
        <f t="shared" si="176"/>
        <v>20180328</v>
      </c>
      <c r="G762" s="101">
        <f>'day3'!G952</f>
        <v>20180326</v>
      </c>
      <c r="H762" s="12" t="str">
        <f t="shared" ref="H762:I762" si="215">H952</f>
        <v>CZCE</v>
      </c>
      <c r="I762" s="12" t="str">
        <f t="shared" si="215"/>
        <v>PTA807</v>
      </c>
      <c r="J762" s="12">
        <f t="shared" si="177"/>
        <v>5</v>
      </c>
      <c r="K762" s="12">
        <v>4</v>
      </c>
      <c r="L762" s="12">
        <f t="shared" si="178"/>
        <v>0</v>
      </c>
      <c r="M762" s="12">
        <f t="shared" si="210"/>
        <v>2</v>
      </c>
      <c r="N762" s="12">
        <f t="shared" si="180"/>
        <v>1</v>
      </c>
      <c r="O762" s="12">
        <f t="shared" si="181"/>
        <v>2</v>
      </c>
      <c r="P762" s="12">
        <f t="shared" si="182"/>
        <v>6500</v>
      </c>
      <c r="Q762" s="12">
        <f t="shared" si="183"/>
        <v>6160</v>
      </c>
      <c r="R762" s="12">
        <f t="shared" si="184"/>
        <v>6165</v>
      </c>
      <c r="S762" s="12">
        <f t="shared" si="211"/>
        <v>50</v>
      </c>
      <c r="T762" s="12">
        <f t="shared" si="212"/>
        <v>-3350</v>
      </c>
      <c r="U762" s="12">
        <f t="shared" si="213"/>
        <v>65000</v>
      </c>
    </row>
    <row r="763" spans="1:21" x14ac:dyDescent="0.25">
      <c r="A763" t="s">
        <v>173</v>
      </c>
      <c r="B763" s="12" t="str">
        <f t="shared" ref="B763:E766" si="216">B977</f>
        <v>2018032710000017</v>
      </c>
      <c r="C763" s="12" t="str">
        <f t="shared" si="216"/>
        <v>6001</v>
      </c>
      <c r="D763" s="12" t="str">
        <f t="shared" si="216"/>
        <v>B00101</v>
      </c>
      <c r="E763" s="12" t="str">
        <f t="shared" si="216"/>
        <v>6001</v>
      </c>
      <c r="F763" s="101">
        <f t="shared" si="176"/>
        <v>20180328</v>
      </c>
      <c r="G763" s="101">
        <f>'day3'!G977</f>
        <v>20180327</v>
      </c>
      <c r="H763" s="12" t="str">
        <f t="shared" ref="H763:I763" si="217">H977</f>
        <v>CZCE</v>
      </c>
      <c r="I763" s="12" t="str">
        <f t="shared" si="217"/>
        <v>SR807</v>
      </c>
      <c r="J763" s="12">
        <f t="shared" si="177"/>
        <v>10</v>
      </c>
      <c r="K763" s="12">
        <v>2</v>
      </c>
      <c r="L763" s="12">
        <f t="shared" si="178"/>
        <v>0</v>
      </c>
      <c r="M763" s="12">
        <f t="shared" si="179"/>
        <v>2</v>
      </c>
      <c r="N763" s="12">
        <f t="shared" si="180"/>
        <v>1</v>
      </c>
      <c r="O763" s="12">
        <f t="shared" si="181"/>
        <v>0</v>
      </c>
      <c r="P763" s="12">
        <f t="shared" si="182"/>
        <v>6111</v>
      </c>
      <c r="Q763" s="12">
        <f t="shared" si="183"/>
        <v>6155</v>
      </c>
      <c r="R763" s="12">
        <f t="shared" si="184"/>
        <v>6170</v>
      </c>
      <c r="S763" s="12">
        <f t="shared" si="185"/>
        <v>0</v>
      </c>
      <c r="T763" s="12">
        <f t="shared" si="186"/>
        <v>0</v>
      </c>
      <c r="U763" s="12">
        <f t="shared" si="189"/>
        <v>0</v>
      </c>
    </row>
    <row r="764" spans="1:21" x14ac:dyDescent="0.25">
      <c r="A764" t="s">
        <v>173</v>
      </c>
      <c r="B764" s="12" t="str">
        <f t="shared" si="216"/>
        <v>2018032710000018</v>
      </c>
      <c r="C764" s="12" t="str">
        <f t="shared" si="216"/>
        <v>6001</v>
      </c>
      <c r="D764" s="12" t="str">
        <f t="shared" si="216"/>
        <v>B00101</v>
      </c>
      <c r="E764" s="12" t="str">
        <f t="shared" si="216"/>
        <v>6001</v>
      </c>
      <c r="F764" s="101">
        <f t="shared" si="176"/>
        <v>20180328</v>
      </c>
      <c r="G764" s="101">
        <f>'day3'!G978</f>
        <v>20180327</v>
      </c>
      <c r="H764" s="12" t="str">
        <f t="shared" ref="H764:I764" si="218">H978</f>
        <v>CZCE</v>
      </c>
      <c r="I764" s="12" t="str">
        <f t="shared" si="218"/>
        <v>SR807</v>
      </c>
      <c r="J764" s="12">
        <f t="shared" si="177"/>
        <v>10</v>
      </c>
      <c r="K764" s="12">
        <v>2</v>
      </c>
      <c r="L764" s="12">
        <f t="shared" si="178"/>
        <v>0</v>
      </c>
      <c r="M764" s="12">
        <f t="shared" si="179"/>
        <v>2</v>
      </c>
      <c r="N764" s="12">
        <f t="shared" si="180"/>
        <v>3</v>
      </c>
      <c r="O764" s="12">
        <f t="shared" si="181"/>
        <v>4</v>
      </c>
      <c r="P764" s="12">
        <f t="shared" si="182"/>
        <v>6112</v>
      </c>
      <c r="Q764" s="12">
        <f t="shared" si="183"/>
        <v>6155</v>
      </c>
      <c r="R764" s="12">
        <f t="shared" si="184"/>
        <v>6170</v>
      </c>
      <c r="S764" s="12">
        <f t="shared" si="185"/>
        <v>600</v>
      </c>
      <c r="T764" s="12">
        <f t="shared" si="186"/>
        <v>2320</v>
      </c>
      <c r="U764" s="12">
        <f t="shared" si="189"/>
        <v>244480</v>
      </c>
    </row>
    <row r="765" spans="1:21" x14ac:dyDescent="0.25">
      <c r="A765" t="s">
        <v>173</v>
      </c>
      <c r="B765" s="12" t="str">
        <f t="shared" si="216"/>
        <v>2018032710000052</v>
      </c>
      <c r="C765" s="12" t="str">
        <f t="shared" si="216"/>
        <v>6001</v>
      </c>
      <c r="D765" s="12" t="str">
        <f t="shared" si="216"/>
        <v>B00102</v>
      </c>
      <c r="E765" s="12" t="str">
        <f t="shared" si="216"/>
        <v>6001</v>
      </c>
      <c r="F765" s="101">
        <f t="shared" si="176"/>
        <v>20180328</v>
      </c>
      <c r="G765" s="101">
        <f>'day3'!G979</f>
        <v>20180327</v>
      </c>
      <c r="H765" s="12" t="str">
        <f t="shared" ref="H765:I765" si="219">H979</f>
        <v>CZCE</v>
      </c>
      <c r="I765" s="12" t="str">
        <f t="shared" si="219"/>
        <v>PTA807</v>
      </c>
      <c r="J765" s="12">
        <f t="shared" si="177"/>
        <v>5</v>
      </c>
      <c r="K765" s="12">
        <v>2</v>
      </c>
      <c r="L765" s="12">
        <f t="shared" si="178"/>
        <v>1</v>
      </c>
      <c r="M765" s="12">
        <f t="shared" si="179"/>
        <v>3</v>
      </c>
      <c r="N765" s="12">
        <f t="shared" si="180"/>
        <v>1</v>
      </c>
      <c r="O765" s="12">
        <f t="shared" si="181"/>
        <v>2</v>
      </c>
      <c r="P765" s="12">
        <f t="shared" si="182"/>
        <v>6115</v>
      </c>
      <c r="Q765" s="12">
        <f t="shared" si="183"/>
        <v>6160</v>
      </c>
      <c r="R765" s="12">
        <f t="shared" si="184"/>
        <v>6165</v>
      </c>
      <c r="S765" s="12">
        <f t="shared" si="185"/>
        <v>-50</v>
      </c>
      <c r="T765" s="12">
        <f t="shared" si="186"/>
        <v>-500</v>
      </c>
      <c r="U765" s="12">
        <f t="shared" si="189"/>
        <v>61150</v>
      </c>
    </row>
    <row r="766" spans="1:21" x14ac:dyDescent="0.25">
      <c r="A766" t="s">
        <v>173</v>
      </c>
      <c r="B766" s="12" t="str">
        <f t="shared" si="216"/>
        <v>2018032710000053</v>
      </c>
      <c r="C766" s="12" t="str">
        <f t="shared" si="216"/>
        <v>6001</v>
      </c>
      <c r="D766" s="12" t="str">
        <f t="shared" si="216"/>
        <v>B00102</v>
      </c>
      <c r="E766" s="12" t="str">
        <f t="shared" si="216"/>
        <v>6001</v>
      </c>
      <c r="F766" s="101">
        <f t="shared" si="176"/>
        <v>20180328</v>
      </c>
      <c r="G766" s="101">
        <f>'day3'!G980</f>
        <v>20180327</v>
      </c>
      <c r="H766" s="12" t="str">
        <f t="shared" ref="H766:I766" si="220">H980</f>
        <v>CZCE</v>
      </c>
      <c r="I766" s="12" t="str">
        <f t="shared" si="220"/>
        <v>PTA807</v>
      </c>
      <c r="J766" s="12">
        <f t="shared" si="177"/>
        <v>5</v>
      </c>
      <c r="K766" s="12">
        <v>2</v>
      </c>
      <c r="L766" s="12">
        <f t="shared" si="178"/>
        <v>1</v>
      </c>
      <c r="M766" s="12">
        <f t="shared" si="179"/>
        <v>3</v>
      </c>
      <c r="N766" s="12">
        <f t="shared" si="180"/>
        <v>3</v>
      </c>
      <c r="O766" s="12">
        <f t="shared" si="181"/>
        <v>1</v>
      </c>
      <c r="P766" s="12">
        <f t="shared" si="182"/>
        <v>6116</v>
      </c>
      <c r="Q766" s="12">
        <f t="shared" si="183"/>
        <v>6160</v>
      </c>
      <c r="R766" s="12">
        <f t="shared" si="184"/>
        <v>6165</v>
      </c>
      <c r="S766" s="12">
        <f t="shared" si="185"/>
        <v>-25</v>
      </c>
      <c r="T766" s="12">
        <f t="shared" si="186"/>
        <v>-245</v>
      </c>
      <c r="U766" s="12">
        <f t="shared" si="189"/>
        <v>30580</v>
      </c>
    </row>
    <row r="767" spans="1:21" x14ac:dyDescent="0.25">
      <c r="A767" t="s">
        <v>173</v>
      </c>
      <c r="B767" s="12" t="str">
        <f t="shared" ref="B767:E774" si="221">B982</f>
        <v>2018032710000070</v>
      </c>
      <c r="C767" s="12" t="str">
        <f t="shared" si="221"/>
        <v>6001</v>
      </c>
      <c r="D767" s="12" t="str">
        <f t="shared" si="221"/>
        <v>B00101</v>
      </c>
      <c r="E767" s="12" t="str">
        <f t="shared" si="221"/>
        <v>6001</v>
      </c>
      <c r="F767" s="101">
        <f t="shared" si="176"/>
        <v>20180328</v>
      </c>
      <c r="G767" s="101">
        <f>'day3'!G982</f>
        <v>20180327</v>
      </c>
      <c r="H767" s="12" t="str">
        <f t="shared" ref="H767:I767" si="222">H982</f>
        <v>CZCE</v>
      </c>
      <c r="I767" s="12" t="str">
        <f t="shared" si="222"/>
        <v>SR807</v>
      </c>
      <c r="J767" s="12">
        <f t="shared" si="177"/>
        <v>10</v>
      </c>
      <c r="K767" s="12">
        <v>2</v>
      </c>
      <c r="L767" s="12">
        <f t="shared" si="178"/>
        <v>0</v>
      </c>
      <c r="M767" s="12">
        <f t="shared" si="179"/>
        <v>2</v>
      </c>
      <c r="N767" s="12">
        <f t="shared" si="180"/>
        <v>1</v>
      </c>
      <c r="O767" s="12">
        <f t="shared" si="181"/>
        <v>0</v>
      </c>
      <c r="P767" s="12">
        <f t="shared" si="182"/>
        <v>6400</v>
      </c>
      <c r="Q767" s="12">
        <f t="shared" si="183"/>
        <v>6155</v>
      </c>
      <c r="R767" s="12">
        <f t="shared" si="184"/>
        <v>6170</v>
      </c>
      <c r="S767" s="12">
        <f t="shared" si="185"/>
        <v>0</v>
      </c>
      <c r="T767" s="12">
        <f t="shared" si="186"/>
        <v>0</v>
      </c>
      <c r="U767" s="12">
        <f t="shared" si="189"/>
        <v>0</v>
      </c>
    </row>
    <row r="768" spans="1:21" x14ac:dyDescent="0.25">
      <c r="A768" t="s">
        <v>173</v>
      </c>
      <c r="B768" s="12" t="str">
        <f t="shared" si="221"/>
        <v>2018032710000071</v>
      </c>
      <c r="C768" s="12" t="str">
        <f t="shared" si="221"/>
        <v>6001</v>
      </c>
      <c r="D768" s="12" t="str">
        <f t="shared" si="221"/>
        <v>B00101</v>
      </c>
      <c r="E768" s="12" t="str">
        <f t="shared" si="221"/>
        <v>6001</v>
      </c>
      <c r="F768" s="101">
        <f t="shared" si="176"/>
        <v>20180328</v>
      </c>
      <c r="G768" s="101">
        <f>'day3'!G983</f>
        <v>20180327</v>
      </c>
      <c r="H768" s="12" t="str">
        <f t="shared" ref="H768:I768" si="223">H983</f>
        <v>CZCE</v>
      </c>
      <c r="I768" s="12" t="str">
        <f t="shared" si="223"/>
        <v>SR807</v>
      </c>
      <c r="J768" s="12">
        <f t="shared" si="177"/>
        <v>10</v>
      </c>
      <c r="K768" s="12">
        <v>2</v>
      </c>
      <c r="L768" s="12">
        <f t="shared" si="178"/>
        <v>0</v>
      </c>
      <c r="M768" s="12">
        <f t="shared" si="179"/>
        <v>2</v>
      </c>
      <c r="N768" s="12">
        <f t="shared" si="180"/>
        <v>3</v>
      </c>
      <c r="O768" s="12">
        <f t="shared" si="181"/>
        <v>0</v>
      </c>
      <c r="P768" s="12">
        <f t="shared" si="182"/>
        <v>6400</v>
      </c>
      <c r="Q768" s="12">
        <f t="shared" si="183"/>
        <v>6155</v>
      </c>
      <c r="R768" s="12">
        <f t="shared" si="184"/>
        <v>6170</v>
      </c>
      <c r="S768" s="12">
        <f t="shared" si="185"/>
        <v>0</v>
      </c>
      <c r="T768" s="12">
        <f t="shared" si="186"/>
        <v>0</v>
      </c>
      <c r="U768" s="12">
        <f t="shared" si="189"/>
        <v>0</v>
      </c>
    </row>
    <row r="769" spans="1:21" x14ac:dyDescent="0.25">
      <c r="A769" t="s">
        <v>173</v>
      </c>
      <c r="B769" s="12" t="str">
        <f t="shared" si="221"/>
        <v>2018032710000072</v>
      </c>
      <c r="C769" s="12" t="str">
        <f t="shared" si="221"/>
        <v>6001</v>
      </c>
      <c r="D769" s="12" t="str">
        <f t="shared" si="221"/>
        <v>B00101</v>
      </c>
      <c r="E769" s="12" t="str">
        <f t="shared" si="221"/>
        <v>6001</v>
      </c>
      <c r="F769" s="101">
        <f t="shared" si="176"/>
        <v>20180328</v>
      </c>
      <c r="G769" s="101">
        <f>'day3'!G984</f>
        <v>20180327</v>
      </c>
      <c r="H769" s="12" t="str">
        <f t="shared" ref="H769:I769" si="224">H984</f>
        <v>CZCE</v>
      </c>
      <c r="I769" s="12" t="str">
        <f t="shared" si="224"/>
        <v>SR807</v>
      </c>
      <c r="J769" s="12">
        <f t="shared" si="177"/>
        <v>10</v>
      </c>
      <c r="K769" s="12">
        <v>2</v>
      </c>
      <c r="L769" s="12">
        <f t="shared" si="178"/>
        <v>1</v>
      </c>
      <c r="M769" s="12">
        <f t="shared" si="179"/>
        <v>3</v>
      </c>
      <c r="N769" s="12">
        <f t="shared" si="180"/>
        <v>1</v>
      </c>
      <c r="O769" s="12">
        <f t="shared" si="181"/>
        <v>2</v>
      </c>
      <c r="P769" s="12">
        <f t="shared" si="182"/>
        <v>6400</v>
      </c>
      <c r="Q769" s="12">
        <f t="shared" si="183"/>
        <v>6155</v>
      </c>
      <c r="R769" s="12">
        <f t="shared" si="184"/>
        <v>6170</v>
      </c>
      <c r="S769" s="12">
        <f t="shared" si="185"/>
        <v>-300</v>
      </c>
      <c r="T769" s="12">
        <f t="shared" si="186"/>
        <v>4600</v>
      </c>
      <c r="U769" s="12">
        <f t="shared" si="189"/>
        <v>128000</v>
      </c>
    </row>
    <row r="770" spans="1:21" x14ac:dyDescent="0.25">
      <c r="A770" t="s">
        <v>173</v>
      </c>
      <c r="B770" s="12" t="str">
        <f t="shared" si="221"/>
        <v>2018032710000073</v>
      </c>
      <c r="C770" s="12" t="str">
        <f t="shared" si="221"/>
        <v>6001</v>
      </c>
      <c r="D770" s="12" t="str">
        <f t="shared" si="221"/>
        <v>B00101</v>
      </c>
      <c r="E770" s="12" t="str">
        <f t="shared" si="221"/>
        <v>6001</v>
      </c>
      <c r="F770" s="101">
        <f t="shared" si="176"/>
        <v>20180328</v>
      </c>
      <c r="G770" s="101">
        <f>'day3'!G985</f>
        <v>20180327</v>
      </c>
      <c r="H770" s="12" t="str">
        <f t="shared" ref="H770:I770" si="225">H985</f>
        <v>CZCE</v>
      </c>
      <c r="I770" s="12" t="str">
        <f t="shared" si="225"/>
        <v>SR807</v>
      </c>
      <c r="J770" s="12">
        <f t="shared" si="177"/>
        <v>10</v>
      </c>
      <c r="K770" s="12">
        <v>2</v>
      </c>
      <c r="L770" s="12">
        <f t="shared" si="178"/>
        <v>1</v>
      </c>
      <c r="M770" s="12">
        <f t="shared" si="179"/>
        <v>3</v>
      </c>
      <c r="N770" s="12">
        <f t="shared" si="180"/>
        <v>3</v>
      </c>
      <c r="O770" s="12">
        <f t="shared" si="181"/>
        <v>0</v>
      </c>
      <c r="P770" s="12">
        <f t="shared" si="182"/>
        <v>6400</v>
      </c>
      <c r="Q770" s="12">
        <f t="shared" si="183"/>
        <v>6155</v>
      </c>
      <c r="R770" s="12">
        <f t="shared" si="184"/>
        <v>6170</v>
      </c>
      <c r="S770" s="12">
        <f t="shared" si="185"/>
        <v>0</v>
      </c>
      <c r="T770" s="12">
        <f t="shared" si="186"/>
        <v>0</v>
      </c>
      <c r="U770" s="12">
        <f t="shared" si="189"/>
        <v>0</v>
      </c>
    </row>
    <row r="771" spans="1:21" x14ac:dyDescent="0.25">
      <c r="A771" t="s">
        <v>173</v>
      </c>
      <c r="B771" s="12" t="str">
        <f t="shared" si="221"/>
        <v>2018032710000074</v>
      </c>
      <c r="C771" s="12" t="str">
        <f t="shared" si="221"/>
        <v>6001</v>
      </c>
      <c r="D771" s="12" t="str">
        <f t="shared" si="221"/>
        <v>B00101</v>
      </c>
      <c r="E771" s="12" t="str">
        <f t="shared" si="221"/>
        <v>6001</v>
      </c>
      <c r="F771" s="101">
        <f t="shared" si="176"/>
        <v>20180328</v>
      </c>
      <c r="G771" s="101">
        <f>'day3'!G986</f>
        <v>20180327</v>
      </c>
      <c r="H771" s="12" t="str">
        <f t="shared" ref="H771:I771" si="226">H986</f>
        <v>CZCE</v>
      </c>
      <c r="I771" s="12" t="str">
        <f t="shared" si="226"/>
        <v>SR807</v>
      </c>
      <c r="J771" s="12">
        <f t="shared" si="177"/>
        <v>10</v>
      </c>
      <c r="K771" s="12">
        <v>2</v>
      </c>
      <c r="L771" s="12">
        <f t="shared" si="178"/>
        <v>0</v>
      </c>
      <c r="M771" s="12">
        <f t="shared" si="179"/>
        <v>2</v>
      </c>
      <c r="N771" s="12">
        <f t="shared" si="180"/>
        <v>1</v>
      </c>
      <c r="O771" s="12">
        <f t="shared" si="181"/>
        <v>15</v>
      </c>
      <c r="P771" s="12">
        <f t="shared" si="182"/>
        <v>6500</v>
      </c>
      <c r="Q771" s="12">
        <f t="shared" si="183"/>
        <v>6155</v>
      </c>
      <c r="R771" s="12">
        <f t="shared" si="184"/>
        <v>6170</v>
      </c>
      <c r="S771" s="12">
        <f t="shared" si="185"/>
        <v>2250</v>
      </c>
      <c r="T771" s="12">
        <f t="shared" si="186"/>
        <v>-49500</v>
      </c>
      <c r="U771" s="12">
        <f t="shared" si="189"/>
        <v>975000</v>
      </c>
    </row>
    <row r="772" spans="1:21" x14ac:dyDescent="0.25">
      <c r="A772" t="s">
        <v>173</v>
      </c>
      <c r="B772" s="12" t="str">
        <f t="shared" si="221"/>
        <v>2018032710000075</v>
      </c>
      <c r="C772" s="12" t="str">
        <f t="shared" si="221"/>
        <v>6001</v>
      </c>
      <c r="D772" s="12" t="str">
        <f t="shared" si="221"/>
        <v>B00101</v>
      </c>
      <c r="E772" s="12" t="str">
        <f t="shared" si="221"/>
        <v>6001</v>
      </c>
      <c r="F772" s="101">
        <f t="shared" si="176"/>
        <v>20180328</v>
      </c>
      <c r="G772" s="101">
        <f>'day3'!G987</f>
        <v>20180327</v>
      </c>
      <c r="H772" s="12" t="str">
        <f t="shared" ref="H772:I772" si="227">H987</f>
        <v>CZCE</v>
      </c>
      <c r="I772" s="12" t="str">
        <f t="shared" si="227"/>
        <v>SR807</v>
      </c>
      <c r="J772" s="12">
        <f t="shared" si="177"/>
        <v>10</v>
      </c>
      <c r="K772" s="12">
        <v>2</v>
      </c>
      <c r="L772" s="12">
        <f t="shared" si="178"/>
        <v>0</v>
      </c>
      <c r="M772" s="12">
        <f t="shared" si="179"/>
        <v>2</v>
      </c>
      <c r="N772" s="12">
        <f t="shared" si="180"/>
        <v>3</v>
      </c>
      <c r="O772" s="12">
        <f t="shared" si="181"/>
        <v>0</v>
      </c>
      <c r="P772" s="12">
        <f t="shared" si="182"/>
        <v>6500</v>
      </c>
      <c r="Q772" s="12">
        <f t="shared" si="183"/>
        <v>6155</v>
      </c>
      <c r="R772" s="12">
        <f t="shared" si="184"/>
        <v>6170</v>
      </c>
      <c r="S772" s="12">
        <f t="shared" si="185"/>
        <v>0</v>
      </c>
      <c r="T772" s="12">
        <f t="shared" si="186"/>
        <v>0</v>
      </c>
      <c r="U772" s="12">
        <f t="shared" si="189"/>
        <v>0</v>
      </c>
    </row>
    <row r="773" spans="1:21" x14ac:dyDescent="0.25">
      <c r="A773" t="s">
        <v>173</v>
      </c>
      <c r="B773" s="12" t="str">
        <f t="shared" si="221"/>
        <v>2018032710000076</v>
      </c>
      <c r="C773" s="12" t="str">
        <f t="shared" si="221"/>
        <v>6001</v>
      </c>
      <c r="D773" s="12" t="str">
        <f t="shared" si="221"/>
        <v>B00101</v>
      </c>
      <c r="E773" s="12" t="str">
        <f t="shared" si="221"/>
        <v>6001</v>
      </c>
      <c r="F773" s="101">
        <f t="shared" si="176"/>
        <v>20180328</v>
      </c>
      <c r="G773" s="101">
        <f>'day3'!G988</f>
        <v>20180327</v>
      </c>
      <c r="H773" s="12" t="str">
        <f t="shared" ref="H773:I773" si="228">H988</f>
        <v>CZCE</v>
      </c>
      <c r="I773" s="12" t="str">
        <f t="shared" si="228"/>
        <v>SR807</v>
      </c>
      <c r="J773" s="12">
        <f t="shared" si="177"/>
        <v>10</v>
      </c>
      <c r="K773" s="12">
        <v>2</v>
      </c>
      <c r="L773" s="12">
        <f t="shared" si="178"/>
        <v>1</v>
      </c>
      <c r="M773" s="12">
        <f t="shared" si="179"/>
        <v>3</v>
      </c>
      <c r="N773" s="12">
        <f t="shared" si="180"/>
        <v>1</v>
      </c>
      <c r="O773" s="12">
        <f t="shared" si="181"/>
        <v>0</v>
      </c>
      <c r="P773" s="12">
        <f t="shared" si="182"/>
        <v>6500</v>
      </c>
      <c r="Q773" s="12">
        <f t="shared" si="183"/>
        <v>6155</v>
      </c>
      <c r="R773" s="12">
        <f t="shared" si="184"/>
        <v>6170</v>
      </c>
      <c r="S773" s="12">
        <f t="shared" si="185"/>
        <v>0</v>
      </c>
      <c r="T773" s="12">
        <f t="shared" si="186"/>
        <v>0</v>
      </c>
      <c r="U773" s="12">
        <f t="shared" si="189"/>
        <v>0</v>
      </c>
    </row>
    <row r="774" spans="1:21" x14ac:dyDescent="0.25">
      <c r="A774" t="s">
        <v>173</v>
      </c>
      <c r="B774" s="12" t="str">
        <f t="shared" si="221"/>
        <v>2018032710000077</v>
      </c>
      <c r="C774" s="12" t="str">
        <f t="shared" si="221"/>
        <v>6001</v>
      </c>
      <c r="D774" s="12" t="str">
        <f t="shared" si="221"/>
        <v>B00101</v>
      </c>
      <c r="E774" s="12" t="str">
        <f t="shared" si="221"/>
        <v>6001</v>
      </c>
      <c r="F774" s="101">
        <f t="shared" si="176"/>
        <v>20180328</v>
      </c>
      <c r="G774" s="101">
        <f>'day3'!G989</f>
        <v>20180327</v>
      </c>
      <c r="H774" s="12" t="str">
        <f>H989</f>
        <v>CZCE</v>
      </c>
      <c r="I774" s="12" t="str">
        <f>I989</f>
        <v>SR807</v>
      </c>
      <c r="J774" s="12">
        <f t="shared" si="177"/>
        <v>10</v>
      </c>
      <c r="K774" s="12">
        <v>2</v>
      </c>
      <c r="L774" s="12">
        <f t="shared" si="178"/>
        <v>1</v>
      </c>
      <c r="M774" s="12">
        <f t="shared" si="179"/>
        <v>3</v>
      </c>
      <c r="N774" s="12">
        <f t="shared" si="180"/>
        <v>3</v>
      </c>
      <c r="O774" s="12">
        <f t="shared" si="181"/>
        <v>10</v>
      </c>
      <c r="P774" s="12">
        <f t="shared" si="182"/>
        <v>6500</v>
      </c>
      <c r="Q774" s="12">
        <f t="shared" si="183"/>
        <v>6155</v>
      </c>
      <c r="R774" s="12">
        <f t="shared" si="184"/>
        <v>6170</v>
      </c>
      <c r="S774" s="12">
        <f t="shared" si="185"/>
        <v>-1500</v>
      </c>
      <c r="T774" s="12">
        <f t="shared" si="186"/>
        <v>33000</v>
      </c>
      <c r="U774" s="12">
        <f t="shared" si="189"/>
        <v>650000</v>
      </c>
    </row>
    <row r="775" spans="1:21" s="6" customFormat="1" x14ac:dyDescent="0.25">
      <c r="A775" s="6" t="s">
        <v>173</v>
      </c>
      <c r="B775" s="12" t="str">
        <f>'day2'!B986</f>
        <v>2018032710000170</v>
      </c>
      <c r="C775" s="12" t="str">
        <f>'day2'!C986</f>
        <v>6001</v>
      </c>
      <c r="D775" s="12" t="str">
        <f>'day2'!D986</f>
        <v>B00102</v>
      </c>
      <c r="E775" s="12" t="str">
        <f>'day2'!E986</f>
        <v>6001</v>
      </c>
      <c r="F775" s="101">
        <f t="shared" si="176"/>
        <v>20180328</v>
      </c>
      <c r="G775" s="101">
        <f>'day2'!F986</f>
        <v>20180327</v>
      </c>
      <c r="H775" s="12" t="str">
        <f t="shared" ref="H775" si="229">H1001</f>
        <v>CZCE</v>
      </c>
      <c r="I775" s="12" t="str">
        <f>'day2'!I986</f>
        <v>PTA807</v>
      </c>
      <c r="J775" s="12">
        <f t="shared" si="177"/>
        <v>5</v>
      </c>
      <c r="K775" s="12">
        <v>2</v>
      </c>
      <c r="L775" s="12">
        <f t="shared" si="178"/>
        <v>0</v>
      </c>
      <c r="M775" s="12">
        <f>IF(L775=0,2,3)</f>
        <v>2</v>
      </c>
      <c r="N775" s="12">
        <f t="shared" si="180"/>
        <v>1</v>
      </c>
      <c r="O775" s="12">
        <f t="shared" si="181"/>
        <v>0</v>
      </c>
      <c r="P775" s="12">
        <f t="shared" si="182"/>
        <v>6500</v>
      </c>
      <c r="Q775" s="12">
        <f t="shared" si="183"/>
        <v>6160</v>
      </c>
      <c r="R775" s="12">
        <f t="shared" si="184"/>
        <v>6165</v>
      </c>
      <c r="S775" s="12">
        <f t="shared" si="185"/>
        <v>0</v>
      </c>
      <c r="T775" s="12">
        <f t="shared" si="186"/>
        <v>0</v>
      </c>
      <c r="U775" s="12">
        <f t="shared" si="189"/>
        <v>0</v>
      </c>
    </row>
    <row r="776" spans="1:21" s="6" customFormat="1" x14ac:dyDescent="0.25">
      <c r="A776" s="6" t="s">
        <v>173</v>
      </c>
      <c r="B776" s="12" t="str">
        <f>'day2'!B987</f>
        <v>2018032710000171</v>
      </c>
      <c r="C776" s="12" t="str">
        <f>'day2'!C987</f>
        <v>6001</v>
      </c>
      <c r="D776" s="12" t="str">
        <f>'day2'!D987</f>
        <v>B00102</v>
      </c>
      <c r="E776" s="12" t="str">
        <f>'day2'!E987</f>
        <v>6001</v>
      </c>
      <c r="F776" s="101">
        <f t="shared" si="176"/>
        <v>20180328</v>
      </c>
      <c r="G776" s="101">
        <f>'day2'!F987</f>
        <v>20180327</v>
      </c>
      <c r="H776" s="12" t="str">
        <f t="shared" ref="H776" si="230">H1002</f>
        <v>CZCE</v>
      </c>
      <c r="I776" s="12" t="str">
        <f>'day2'!I987</f>
        <v>PTA807</v>
      </c>
      <c r="J776" s="12">
        <f t="shared" si="177"/>
        <v>5</v>
      </c>
      <c r="K776" s="12">
        <v>2</v>
      </c>
      <c r="L776" s="12">
        <f t="shared" si="178"/>
        <v>0</v>
      </c>
      <c r="M776" s="12">
        <f t="shared" ref="M776:M782" si="231">IF(L776=0,2,3)</f>
        <v>2</v>
      </c>
      <c r="N776" s="12">
        <f t="shared" si="180"/>
        <v>3</v>
      </c>
      <c r="O776" s="12">
        <f t="shared" si="181"/>
        <v>0</v>
      </c>
      <c r="P776" s="12">
        <f t="shared" si="182"/>
        <v>6500</v>
      </c>
      <c r="Q776" s="12">
        <f t="shared" si="183"/>
        <v>6160</v>
      </c>
      <c r="R776" s="12">
        <f t="shared" si="184"/>
        <v>6165</v>
      </c>
      <c r="S776" s="12">
        <f t="shared" ref="S776:S782" si="232">IF(F776=G776,IF(L776=0,(R776-P776)*J776*O776,-(R776-P776)*J776*O776),IF(L776=0,(R776-Q776)*J776*O776,-(R776-Q776)*J776*O776))</f>
        <v>0</v>
      </c>
      <c r="T776" s="12">
        <f t="shared" ref="T776:T782" si="233">IF(L776=0,(R776-P776)*J776*O776,-(R776-P776)*J776*O776)</f>
        <v>0</v>
      </c>
      <c r="U776" s="12">
        <f t="shared" ref="U776:U782" si="234">J776*O776*P776</f>
        <v>0</v>
      </c>
    </row>
    <row r="777" spans="1:21" s="6" customFormat="1" x14ac:dyDescent="0.25">
      <c r="A777" s="6" t="s">
        <v>173</v>
      </c>
      <c r="B777" s="12" t="str">
        <f>'day2'!B988</f>
        <v>2018032710000172</v>
      </c>
      <c r="C777" s="12" t="str">
        <f>'day2'!C988</f>
        <v>6001</v>
      </c>
      <c r="D777" s="12" t="str">
        <f>'day2'!D988</f>
        <v>B00102</v>
      </c>
      <c r="E777" s="12" t="str">
        <f>'day2'!E988</f>
        <v>6001</v>
      </c>
      <c r="F777" s="101">
        <f t="shared" si="176"/>
        <v>20180328</v>
      </c>
      <c r="G777" s="101">
        <f>'day2'!F988</f>
        <v>20180327</v>
      </c>
      <c r="H777" s="12" t="str">
        <f t="shared" ref="H777" si="235">H1003</f>
        <v>CZCE</v>
      </c>
      <c r="I777" s="12" t="str">
        <f>'day2'!I988</f>
        <v>PTA807</v>
      </c>
      <c r="J777" s="12">
        <f t="shared" si="177"/>
        <v>5</v>
      </c>
      <c r="K777" s="12">
        <v>2</v>
      </c>
      <c r="L777" s="12">
        <f t="shared" si="178"/>
        <v>1</v>
      </c>
      <c r="M777" s="12">
        <f t="shared" si="231"/>
        <v>3</v>
      </c>
      <c r="N777" s="12">
        <f t="shared" si="180"/>
        <v>1</v>
      </c>
      <c r="O777" s="12">
        <f t="shared" si="181"/>
        <v>0</v>
      </c>
      <c r="P777" s="12">
        <f t="shared" si="182"/>
        <v>6500</v>
      </c>
      <c r="Q777" s="12">
        <f t="shared" si="183"/>
        <v>6160</v>
      </c>
      <c r="R777" s="12">
        <f t="shared" si="184"/>
        <v>6165</v>
      </c>
      <c r="S777" s="12">
        <f t="shared" si="232"/>
        <v>0</v>
      </c>
      <c r="T777" s="12">
        <f t="shared" si="233"/>
        <v>0</v>
      </c>
      <c r="U777" s="12">
        <f t="shared" si="234"/>
        <v>0</v>
      </c>
    </row>
    <row r="778" spans="1:21" s="6" customFormat="1" x14ac:dyDescent="0.25">
      <c r="A778" s="6" t="s">
        <v>173</v>
      </c>
      <c r="B778" s="12" t="str">
        <f>'day2'!B989</f>
        <v>2018032710000173</v>
      </c>
      <c r="C778" s="12" t="str">
        <f>'day2'!C989</f>
        <v>6001</v>
      </c>
      <c r="D778" s="12" t="str">
        <f>'day2'!D989</f>
        <v>B00102</v>
      </c>
      <c r="E778" s="12" t="str">
        <f>'day2'!E989</f>
        <v>6001</v>
      </c>
      <c r="F778" s="101">
        <f t="shared" si="176"/>
        <v>20180328</v>
      </c>
      <c r="G778" s="101">
        <f>'day2'!F989</f>
        <v>20180327</v>
      </c>
      <c r="H778" s="12" t="str">
        <f t="shared" ref="H778" si="236">H1004</f>
        <v>CZCE</v>
      </c>
      <c r="I778" s="12" t="str">
        <f>'day2'!I989</f>
        <v>PTA807</v>
      </c>
      <c r="J778" s="12">
        <f t="shared" si="177"/>
        <v>5</v>
      </c>
      <c r="K778" s="12">
        <v>2</v>
      </c>
      <c r="L778" s="12">
        <f t="shared" si="178"/>
        <v>1</v>
      </c>
      <c r="M778" s="12">
        <f t="shared" si="231"/>
        <v>3</v>
      </c>
      <c r="N778" s="12">
        <f t="shared" si="180"/>
        <v>3</v>
      </c>
      <c r="O778" s="12">
        <f t="shared" si="181"/>
        <v>0</v>
      </c>
      <c r="P778" s="12">
        <f t="shared" si="182"/>
        <v>6500</v>
      </c>
      <c r="Q778" s="12">
        <f t="shared" si="183"/>
        <v>6160</v>
      </c>
      <c r="R778" s="12">
        <f t="shared" si="184"/>
        <v>6165</v>
      </c>
      <c r="S778" s="12">
        <f t="shared" si="232"/>
        <v>0</v>
      </c>
      <c r="T778" s="12">
        <f t="shared" si="233"/>
        <v>0</v>
      </c>
      <c r="U778" s="12">
        <f t="shared" si="234"/>
        <v>0</v>
      </c>
    </row>
    <row r="779" spans="1:21" s="6" customFormat="1" x14ac:dyDescent="0.25">
      <c r="A779" s="6" t="s">
        <v>173</v>
      </c>
      <c r="B779" s="12" t="str">
        <f>'day2'!B990</f>
        <v>2018032710000174</v>
      </c>
      <c r="C779" s="12" t="str">
        <f>'day2'!C990</f>
        <v>6001</v>
      </c>
      <c r="D779" s="12" t="str">
        <f>'day2'!D990</f>
        <v>B00102</v>
      </c>
      <c r="E779" s="12" t="str">
        <f>'day2'!E990</f>
        <v>6001</v>
      </c>
      <c r="F779" s="101">
        <f t="shared" si="176"/>
        <v>20180328</v>
      </c>
      <c r="G779" s="101">
        <f>'day2'!F990</f>
        <v>20180327</v>
      </c>
      <c r="H779" s="12" t="str">
        <f t="shared" ref="H779" si="237">H1005</f>
        <v>CZCE</v>
      </c>
      <c r="I779" s="12" t="str">
        <f>'day2'!I990</f>
        <v>PTA807</v>
      </c>
      <c r="J779" s="12">
        <f t="shared" si="177"/>
        <v>5</v>
      </c>
      <c r="K779" s="12">
        <v>2</v>
      </c>
      <c r="L779" s="12">
        <f t="shared" si="178"/>
        <v>0</v>
      </c>
      <c r="M779" s="12">
        <f t="shared" si="231"/>
        <v>2</v>
      </c>
      <c r="N779" s="12">
        <f t="shared" si="180"/>
        <v>1</v>
      </c>
      <c r="O779" s="12">
        <f t="shared" si="181"/>
        <v>3</v>
      </c>
      <c r="P779" s="12">
        <f t="shared" si="182"/>
        <v>6200</v>
      </c>
      <c r="Q779" s="12">
        <f t="shared" si="183"/>
        <v>6160</v>
      </c>
      <c r="R779" s="12">
        <f t="shared" si="184"/>
        <v>6165</v>
      </c>
      <c r="S779" s="12">
        <f t="shared" si="232"/>
        <v>75</v>
      </c>
      <c r="T779" s="12">
        <f t="shared" si="233"/>
        <v>-525</v>
      </c>
      <c r="U779" s="12">
        <f t="shared" si="234"/>
        <v>93000</v>
      </c>
    </row>
    <row r="780" spans="1:21" s="6" customFormat="1" x14ac:dyDescent="0.25">
      <c r="A780" s="6" t="s">
        <v>173</v>
      </c>
      <c r="B780" s="12" t="str">
        <f>'day2'!B991</f>
        <v>2018032710000175</v>
      </c>
      <c r="C780" s="12" t="str">
        <f>'day2'!C991</f>
        <v>6001</v>
      </c>
      <c r="D780" s="12" t="str">
        <f>'day2'!D991</f>
        <v>B00102</v>
      </c>
      <c r="E780" s="12" t="str">
        <f>'day2'!E991</f>
        <v>6001</v>
      </c>
      <c r="F780" s="101">
        <f t="shared" si="176"/>
        <v>20180328</v>
      </c>
      <c r="G780" s="101">
        <f>'day2'!F991</f>
        <v>20180327</v>
      </c>
      <c r="H780" s="12" t="str">
        <f>H1006</f>
        <v>CZCE</v>
      </c>
      <c r="I780" s="12" t="str">
        <f>'day2'!I991</f>
        <v>PTA807</v>
      </c>
      <c r="J780" s="12">
        <f t="shared" si="177"/>
        <v>5</v>
      </c>
      <c r="K780" s="12">
        <v>2</v>
      </c>
      <c r="L780" s="12">
        <f t="shared" si="178"/>
        <v>0</v>
      </c>
      <c r="M780" s="12">
        <f t="shared" si="231"/>
        <v>2</v>
      </c>
      <c r="N780" s="12">
        <f t="shared" si="180"/>
        <v>3</v>
      </c>
      <c r="O780" s="12">
        <f t="shared" si="181"/>
        <v>0</v>
      </c>
      <c r="P780" s="12">
        <f t="shared" si="182"/>
        <v>6200</v>
      </c>
      <c r="Q780" s="12">
        <f t="shared" si="183"/>
        <v>6160</v>
      </c>
      <c r="R780" s="12">
        <f t="shared" si="184"/>
        <v>6165</v>
      </c>
      <c r="S780" s="12">
        <f t="shared" si="232"/>
        <v>0</v>
      </c>
      <c r="T780" s="12">
        <f t="shared" si="233"/>
        <v>0</v>
      </c>
      <c r="U780" s="12">
        <f t="shared" si="234"/>
        <v>0</v>
      </c>
    </row>
    <row r="781" spans="1:21" s="6" customFormat="1" x14ac:dyDescent="0.25">
      <c r="A781" s="6" t="s">
        <v>173</v>
      </c>
      <c r="B781" s="12" t="str">
        <f>'day2'!B992</f>
        <v>2018032710000176</v>
      </c>
      <c r="C781" s="12" t="str">
        <f>'day2'!C992</f>
        <v>6001</v>
      </c>
      <c r="D781" s="12" t="str">
        <f>'day2'!D992</f>
        <v>B00102</v>
      </c>
      <c r="E781" s="12" t="str">
        <f>'day2'!E992</f>
        <v>6001</v>
      </c>
      <c r="F781" s="101">
        <f t="shared" si="176"/>
        <v>20180328</v>
      </c>
      <c r="G781" s="101">
        <f>'day2'!F992</f>
        <v>20180327</v>
      </c>
      <c r="H781" s="12" t="str">
        <f>H780</f>
        <v>CZCE</v>
      </c>
      <c r="I781" s="12" t="str">
        <f>'day2'!I992</f>
        <v>PTA807</v>
      </c>
      <c r="J781" s="12">
        <f t="shared" si="177"/>
        <v>5</v>
      </c>
      <c r="K781" s="12">
        <v>2</v>
      </c>
      <c r="L781" s="12">
        <f t="shared" si="178"/>
        <v>1</v>
      </c>
      <c r="M781" s="12">
        <f t="shared" si="231"/>
        <v>3</v>
      </c>
      <c r="N781" s="12">
        <f t="shared" si="180"/>
        <v>1</v>
      </c>
      <c r="O781" s="12">
        <f t="shared" si="181"/>
        <v>1</v>
      </c>
      <c r="P781" s="12">
        <f t="shared" si="182"/>
        <v>6200</v>
      </c>
      <c r="Q781" s="12">
        <f t="shared" si="183"/>
        <v>6160</v>
      </c>
      <c r="R781" s="12">
        <f t="shared" si="184"/>
        <v>6165</v>
      </c>
      <c r="S781" s="12">
        <f t="shared" si="232"/>
        <v>-25</v>
      </c>
      <c r="T781" s="12">
        <f t="shared" si="233"/>
        <v>175</v>
      </c>
      <c r="U781" s="12">
        <f t="shared" si="234"/>
        <v>31000</v>
      </c>
    </row>
    <row r="782" spans="1:21" s="6" customFormat="1" x14ac:dyDescent="0.25">
      <c r="A782" s="6" t="s">
        <v>173</v>
      </c>
      <c r="B782" s="12" t="str">
        <f>'day2'!B993</f>
        <v>2018032710000177</v>
      </c>
      <c r="C782" s="12" t="str">
        <f>'day2'!C993</f>
        <v>6001</v>
      </c>
      <c r="D782" s="12" t="str">
        <f>'day2'!D993</f>
        <v>B00102</v>
      </c>
      <c r="E782" s="12" t="str">
        <f>'day2'!E993</f>
        <v>6001</v>
      </c>
      <c r="F782" s="101">
        <f t="shared" si="176"/>
        <v>20180328</v>
      </c>
      <c r="G782" s="101">
        <f>'day2'!F993</f>
        <v>20180327</v>
      </c>
      <c r="H782" s="12" t="str">
        <f>H781</f>
        <v>CZCE</v>
      </c>
      <c r="I782" s="12" t="str">
        <f>'day2'!I993</f>
        <v>PTA807</v>
      </c>
      <c r="J782" s="12">
        <f t="shared" si="177"/>
        <v>5</v>
      </c>
      <c r="K782" s="12">
        <v>2</v>
      </c>
      <c r="L782" s="12">
        <f t="shared" si="178"/>
        <v>1</v>
      </c>
      <c r="M782" s="12">
        <f t="shared" si="231"/>
        <v>3</v>
      </c>
      <c r="N782" s="12">
        <f t="shared" si="180"/>
        <v>3</v>
      </c>
      <c r="O782" s="12">
        <f t="shared" si="181"/>
        <v>0</v>
      </c>
      <c r="P782" s="12">
        <f t="shared" si="182"/>
        <v>6200</v>
      </c>
      <c r="Q782" s="12">
        <f t="shared" si="183"/>
        <v>6160</v>
      </c>
      <c r="R782" s="12">
        <f t="shared" si="184"/>
        <v>6165</v>
      </c>
      <c r="S782" s="12">
        <f t="shared" si="232"/>
        <v>0</v>
      </c>
      <c r="T782" s="12">
        <f t="shared" si="233"/>
        <v>0</v>
      </c>
      <c r="U782" s="12">
        <f t="shared" si="234"/>
        <v>0</v>
      </c>
    </row>
    <row r="783" spans="1:21" x14ac:dyDescent="0.25">
      <c r="A783" t="s">
        <v>173</v>
      </c>
      <c r="B783" s="12" t="str">
        <f t="shared" ref="B783:E786" si="238">B1003</f>
        <v>2018032810000010</v>
      </c>
      <c r="C783" s="12" t="str">
        <f t="shared" si="238"/>
        <v>6001</v>
      </c>
      <c r="D783" s="12" t="str">
        <f t="shared" si="238"/>
        <v>B00101</v>
      </c>
      <c r="E783" s="12" t="str">
        <f t="shared" si="238"/>
        <v>6001</v>
      </c>
      <c r="F783" s="101">
        <f t="shared" si="176"/>
        <v>20180328</v>
      </c>
      <c r="G783" s="101">
        <f>'day3'!G1003</f>
        <v>20180328</v>
      </c>
      <c r="H783" s="12" t="str">
        <f t="shared" ref="H783:I783" si="239">H1003</f>
        <v>CZCE</v>
      </c>
      <c r="I783" s="12" t="str">
        <f t="shared" si="239"/>
        <v>SR807</v>
      </c>
      <c r="J783" s="12">
        <f t="shared" si="177"/>
        <v>10</v>
      </c>
      <c r="K783" s="12">
        <v>2</v>
      </c>
      <c r="L783" s="12">
        <f t="shared" si="178"/>
        <v>0</v>
      </c>
      <c r="M783" s="12">
        <f t="shared" si="179"/>
        <v>2</v>
      </c>
      <c r="N783" s="12">
        <f t="shared" si="180"/>
        <v>1</v>
      </c>
      <c r="O783" s="12">
        <f t="shared" si="181"/>
        <v>1</v>
      </c>
      <c r="P783" s="12">
        <f t="shared" si="182"/>
        <v>6110</v>
      </c>
      <c r="Q783" s="12">
        <f t="shared" si="183"/>
        <v>6155</v>
      </c>
      <c r="R783" s="12">
        <f t="shared" si="184"/>
        <v>6170</v>
      </c>
      <c r="S783" s="12">
        <f t="shared" si="185"/>
        <v>600</v>
      </c>
      <c r="T783" s="12">
        <f t="shared" si="186"/>
        <v>600</v>
      </c>
      <c r="U783" s="12">
        <f t="shared" si="189"/>
        <v>61100</v>
      </c>
    </row>
    <row r="784" spans="1:21" x14ac:dyDescent="0.25">
      <c r="A784" t="s">
        <v>173</v>
      </c>
      <c r="B784" s="12" t="str">
        <f t="shared" si="238"/>
        <v>2018032810000011</v>
      </c>
      <c r="C784" s="12" t="str">
        <f t="shared" si="238"/>
        <v>6001</v>
      </c>
      <c r="D784" s="12" t="str">
        <f t="shared" si="238"/>
        <v>B00101</v>
      </c>
      <c r="E784" s="12" t="str">
        <f t="shared" si="238"/>
        <v>6001</v>
      </c>
      <c r="F784" s="101">
        <f t="shared" si="176"/>
        <v>20180328</v>
      </c>
      <c r="G784" s="101">
        <f>'day3'!G1004</f>
        <v>20180328</v>
      </c>
      <c r="H784" s="12" t="str">
        <f t="shared" ref="H784:I784" si="240">H1004</f>
        <v>CZCE</v>
      </c>
      <c r="I784" s="12" t="str">
        <f t="shared" si="240"/>
        <v>SR807</v>
      </c>
      <c r="J784" s="12">
        <f t="shared" si="177"/>
        <v>10</v>
      </c>
      <c r="K784" s="12">
        <v>2</v>
      </c>
      <c r="L784" s="12">
        <f t="shared" si="178"/>
        <v>1</v>
      </c>
      <c r="M784" s="12">
        <f t="shared" si="179"/>
        <v>3</v>
      </c>
      <c r="N784" s="12">
        <f t="shared" si="180"/>
        <v>1</v>
      </c>
      <c r="O784" s="12">
        <f t="shared" si="181"/>
        <v>1</v>
      </c>
      <c r="P784" s="12">
        <f t="shared" si="182"/>
        <v>6111</v>
      </c>
      <c r="Q784" s="12">
        <f t="shared" si="183"/>
        <v>6155</v>
      </c>
      <c r="R784" s="12">
        <f t="shared" si="184"/>
        <v>6170</v>
      </c>
      <c r="S784" s="12">
        <f t="shared" si="185"/>
        <v>-590</v>
      </c>
      <c r="T784" s="12">
        <f t="shared" si="186"/>
        <v>-590</v>
      </c>
      <c r="U784" s="12">
        <f t="shared" si="189"/>
        <v>61110</v>
      </c>
    </row>
    <row r="785" spans="1:31" x14ac:dyDescent="0.25">
      <c r="A785" t="s">
        <v>173</v>
      </c>
      <c r="B785" s="12" t="str">
        <f t="shared" si="238"/>
        <v>2018032810000012</v>
      </c>
      <c r="C785" s="12" t="str">
        <f t="shared" si="238"/>
        <v>6001</v>
      </c>
      <c r="D785" s="12" t="str">
        <f t="shared" si="238"/>
        <v>B00102</v>
      </c>
      <c r="E785" s="12" t="str">
        <f t="shared" si="238"/>
        <v>6001</v>
      </c>
      <c r="F785" s="101">
        <f t="shared" si="176"/>
        <v>20180328</v>
      </c>
      <c r="G785" s="101">
        <f>'day3'!G1005</f>
        <v>20180328</v>
      </c>
      <c r="H785" s="12" t="str">
        <f t="shared" ref="H785:I785" si="241">H1005</f>
        <v>CZCE</v>
      </c>
      <c r="I785" s="12" t="str">
        <f t="shared" si="241"/>
        <v>PTA807</v>
      </c>
      <c r="J785" s="12">
        <f t="shared" si="177"/>
        <v>5</v>
      </c>
      <c r="K785" s="12">
        <v>2</v>
      </c>
      <c r="L785" s="12">
        <f t="shared" si="178"/>
        <v>0</v>
      </c>
      <c r="M785" s="12">
        <f t="shared" si="179"/>
        <v>2</v>
      </c>
      <c r="N785" s="12">
        <f t="shared" si="180"/>
        <v>1</v>
      </c>
      <c r="O785" s="12">
        <f t="shared" si="181"/>
        <v>1</v>
      </c>
      <c r="P785" s="12">
        <f t="shared" si="182"/>
        <v>6112</v>
      </c>
      <c r="Q785" s="12">
        <f t="shared" si="183"/>
        <v>6160</v>
      </c>
      <c r="R785" s="12">
        <f t="shared" si="184"/>
        <v>6165</v>
      </c>
      <c r="S785" s="12">
        <f t="shared" si="185"/>
        <v>265</v>
      </c>
      <c r="T785" s="12">
        <f t="shared" si="186"/>
        <v>265</v>
      </c>
      <c r="U785" s="12">
        <f t="shared" si="189"/>
        <v>30560</v>
      </c>
    </row>
    <row r="786" spans="1:31" x14ac:dyDescent="0.25">
      <c r="A786" t="s">
        <v>173</v>
      </c>
      <c r="B786" s="12" t="str">
        <f t="shared" si="238"/>
        <v>2018032810000013</v>
      </c>
      <c r="C786" s="12" t="str">
        <f t="shared" si="238"/>
        <v>6001</v>
      </c>
      <c r="D786" s="12" t="str">
        <f t="shared" si="238"/>
        <v>B00102</v>
      </c>
      <c r="E786" s="12" t="str">
        <f t="shared" si="238"/>
        <v>6001</v>
      </c>
      <c r="F786" s="101">
        <f t="shared" si="176"/>
        <v>20180328</v>
      </c>
      <c r="G786" s="101">
        <f>'day3'!G1006</f>
        <v>20180328</v>
      </c>
      <c r="H786" s="12" t="str">
        <f t="shared" ref="H786:I786" si="242">H1006</f>
        <v>CZCE</v>
      </c>
      <c r="I786" s="12" t="str">
        <f t="shared" si="242"/>
        <v>PTA807</v>
      </c>
      <c r="J786" s="12">
        <f t="shared" si="177"/>
        <v>5</v>
      </c>
      <c r="K786" s="12">
        <v>2</v>
      </c>
      <c r="L786" s="12">
        <f t="shared" si="178"/>
        <v>1</v>
      </c>
      <c r="M786" s="12">
        <f t="shared" si="179"/>
        <v>3</v>
      </c>
      <c r="N786" s="12">
        <f t="shared" si="180"/>
        <v>1</v>
      </c>
      <c r="O786" s="12">
        <f t="shared" si="181"/>
        <v>1</v>
      </c>
      <c r="P786" s="12">
        <f t="shared" si="182"/>
        <v>6113</v>
      </c>
      <c r="Q786" s="12">
        <f t="shared" si="183"/>
        <v>6160</v>
      </c>
      <c r="R786" s="12">
        <f t="shared" si="184"/>
        <v>6165</v>
      </c>
      <c r="S786" s="12">
        <f t="shared" si="185"/>
        <v>-260</v>
      </c>
      <c r="T786" s="12">
        <f t="shared" si="186"/>
        <v>-260</v>
      </c>
      <c r="U786" s="12">
        <f t="shared" si="189"/>
        <v>30565</v>
      </c>
    </row>
    <row r="787" spans="1:31" x14ac:dyDescent="0.25">
      <c r="A787" t="s">
        <v>173</v>
      </c>
      <c r="B787" t="s">
        <v>427</v>
      </c>
    </row>
    <row r="788" spans="1:31" x14ac:dyDescent="0.25">
      <c r="A788" s="157" t="s">
        <v>970</v>
      </c>
      <c r="B788" s="157" t="s">
        <v>971</v>
      </c>
    </row>
    <row r="789" spans="1:31" x14ac:dyDescent="0.25">
      <c r="A789" s="4" t="s">
        <v>306</v>
      </c>
      <c r="B789" s="732" t="s">
        <v>2139</v>
      </c>
      <c r="C789" s="721"/>
      <c r="D789" s="721"/>
      <c r="E789" s="721"/>
      <c r="F789" s="721"/>
      <c r="G789" s="721"/>
      <c r="H789" s="721"/>
      <c r="I789" s="721"/>
      <c r="J789" s="721"/>
      <c r="K789" s="721"/>
      <c r="L789" s="721"/>
      <c r="M789" s="721"/>
      <c r="N789" s="721"/>
      <c r="O789" s="721"/>
      <c r="P789" s="721"/>
      <c r="Q789" s="721"/>
      <c r="R789" s="721"/>
      <c r="S789" s="721"/>
      <c r="T789" s="721"/>
      <c r="U789" s="721"/>
      <c r="V789" s="721"/>
      <c r="W789" s="721"/>
      <c r="X789" s="721"/>
      <c r="Y789" s="721"/>
      <c r="Z789" s="721"/>
    </row>
    <row r="790" spans="1:31" x14ac:dyDescent="0.25">
      <c r="A790" t="s">
        <v>359</v>
      </c>
      <c r="B790" s="7" t="s">
        <v>2120</v>
      </c>
      <c r="C790" s="7" t="s">
        <v>407</v>
      </c>
      <c r="D790" s="7" t="s">
        <v>19</v>
      </c>
      <c r="E790" s="7" t="s">
        <v>287</v>
      </c>
      <c r="F790" s="7" t="s">
        <v>118</v>
      </c>
      <c r="G790" s="7" t="s">
        <v>1054</v>
      </c>
      <c r="H790" s="7" t="s">
        <v>5</v>
      </c>
      <c r="I790" s="7" t="s">
        <v>52</v>
      </c>
      <c r="J790" s="7" t="s">
        <v>403</v>
      </c>
      <c r="K790" s="7" t="s">
        <v>294</v>
      </c>
      <c r="L790" s="7" t="s">
        <v>9</v>
      </c>
      <c r="M790" s="7" t="s">
        <v>18</v>
      </c>
      <c r="N790" s="7" t="s">
        <v>385</v>
      </c>
      <c r="O790" s="7" t="s">
        <v>426</v>
      </c>
      <c r="P790" s="121" t="s">
        <v>409</v>
      </c>
      <c r="Q790" s="7" t="s">
        <v>410</v>
      </c>
      <c r="R790" s="7" t="s">
        <v>411</v>
      </c>
      <c r="S790" s="7" t="s">
        <v>412</v>
      </c>
      <c r="T790" s="7" t="s">
        <v>413</v>
      </c>
      <c r="U790" s="7" t="s">
        <v>414</v>
      </c>
      <c r="V790" s="7" t="s">
        <v>425</v>
      </c>
      <c r="W790" s="7" t="s">
        <v>415</v>
      </c>
      <c r="X790" s="12" t="s">
        <v>191</v>
      </c>
      <c r="Y790" s="7" t="s">
        <v>226</v>
      </c>
      <c r="Z790" s="7" t="s">
        <v>428</v>
      </c>
      <c r="AA790" s="7" t="s">
        <v>429</v>
      </c>
      <c r="AB790" s="123" t="s">
        <v>1768</v>
      </c>
      <c r="AC790" s="123" t="s">
        <v>1769</v>
      </c>
    </row>
    <row r="791" spans="1:31" s="331" customFormat="1" ht="16.95" customHeight="1" x14ac:dyDescent="0.25">
      <c r="B791" s="7" t="s">
        <v>2120</v>
      </c>
      <c r="C791" s="332" t="s">
        <v>400</v>
      </c>
      <c r="D791" s="332" t="s">
        <v>321</v>
      </c>
      <c r="E791" s="332" t="s">
        <v>322</v>
      </c>
      <c r="F791" s="332" t="s">
        <v>323</v>
      </c>
      <c r="G791" s="332" t="s">
        <v>399</v>
      </c>
      <c r="H791" s="332" t="s">
        <v>327</v>
      </c>
      <c r="I791" s="332" t="s">
        <v>328</v>
      </c>
      <c r="J791" s="332" t="s">
        <v>405</v>
      </c>
      <c r="K791" s="332" t="s">
        <v>331</v>
      </c>
      <c r="L791" s="332" t="s">
        <v>332</v>
      </c>
      <c r="M791" s="332" t="s">
        <v>333</v>
      </c>
      <c r="N791" s="332" t="s">
        <v>394</v>
      </c>
      <c r="O791" s="332" t="s">
        <v>416</v>
      </c>
      <c r="P791" s="333" t="s">
        <v>417</v>
      </c>
      <c r="Q791" s="334" t="s">
        <v>418</v>
      </c>
      <c r="R791" s="332" t="s">
        <v>419</v>
      </c>
      <c r="S791" s="332" t="s">
        <v>420</v>
      </c>
      <c r="T791" s="332" t="s">
        <v>421</v>
      </c>
      <c r="U791" s="332" t="s">
        <v>422</v>
      </c>
      <c r="V791" s="332" t="s">
        <v>424</v>
      </c>
      <c r="W791" s="332" t="s">
        <v>423</v>
      </c>
      <c r="X791" s="332" t="s">
        <v>346</v>
      </c>
      <c r="Y791" s="332" t="s">
        <v>362</v>
      </c>
      <c r="Z791" s="332" t="s">
        <v>428</v>
      </c>
      <c r="AA791" s="332" t="s">
        <v>429</v>
      </c>
      <c r="AB791" s="123" t="s">
        <v>1768</v>
      </c>
      <c r="AC791" s="123" t="s">
        <v>1769</v>
      </c>
      <c r="AD791" s="331" t="s">
        <v>2118</v>
      </c>
      <c r="AE791" s="331" t="s">
        <v>2140</v>
      </c>
    </row>
    <row r="792" spans="1:31" x14ac:dyDescent="0.25">
      <c r="A792" t="s">
        <v>1980</v>
      </c>
      <c r="B792" s="656" t="str">
        <f t="shared" ref="B792:B793" si="243">IF(AND(C792&lt;&gt;$B$2,P792&gt;0),C792&amp;E792&amp;I792&amp;L792&amp;K792&amp;O792&amp;M792,"")</f>
        <v/>
      </c>
      <c r="C792" s="92">
        <f>'day2'!C806</f>
        <v>20180326</v>
      </c>
      <c r="D792" s="92" t="str">
        <f>'day2'!D806</f>
        <v>6001</v>
      </c>
      <c r="E792" s="92" t="str">
        <f>'day2'!E806</f>
        <v>B00101</v>
      </c>
      <c r="F792" s="92" t="str">
        <f>'day2'!F806</f>
        <v>6001</v>
      </c>
      <c r="G792" s="92">
        <f>'day2'!G806</f>
        <v>20180326</v>
      </c>
      <c r="H792" s="92" t="str">
        <f>'day2'!H806</f>
        <v>CZCE</v>
      </c>
      <c r="I792" s="92" t="str">
        <f>'day2'!I806</f>
        <v>SR807</v>
      </c>
      <c r="J792" s="92">
        <f>'day2'!J806</f>
        <v>10</v>
      </c>
      <c r="K792" s="92">
        <f>'day2'!K806</f>
        <v>3</v>
      </c>
      <c r="L792" s="92">
        <f>'day2'!L806</f>
        <v>1</v>
      </c>
      <c r="M792" s="92">
        <f>'day2'!M806</f>
        <v>2</v>
      </c>
      <c r="N792" s="92">
        <f>'day2'!N806</f>
        <v>6130</v>
      </c>
      <c r="O792" s="92">
        <f>'day2'!O806</f>
        <v>1</v>
      </c>
      <c r="P792" s="109">
        <v>0</v>
      </c>
      <c r="Q792" s="109">
        <f>AD792+P792</f>
        <v>2</v>
      </c>
      <c r="R792" s="109">
        <f>M792-Q792</f>
        <v>0</v>
      </c>
      <c r="S792" s="92">
        <f>IF(O792=1,VLOOKUP(AA792,$G$75:$K$114,4,FALSE),VLOOKUP(AA792,$G$75:$K$114,2,FALSE))</f>
        <v>2.0000000000000001E-4</v>
      </c>
      <c r="T792" s="92">
        <f t="shared" ref="T792:T818" si="244">IF(O792=1,VLOOKUP(AA792,$G$75:$K$114,5,FALSE),VLOOKUP(AA792,$G$75:$K$114,3,FALSE))</f>
        <v>2</v>
      </c>
      <c r="U792" s="92">
        <f>ROUND(J792*N792*P792*S792+P792*T792,2)</f>
        <v>0</v>
      </c>
      <c r="V792" s="92">
        <v>1</v>
      </c>
      <c r="W792" s="92">
        <v>2</v>
      </c>
      <c r="X792" s="92" t="str">
        <f t="shared" ref="X792:X818" si="245">$F$5</f>
        <v>9999</v>
      </c>
      <c r="Y792" s="92" t="str">
        <f t="shared" ref="Y792:Y818" si="246">$D$9</f>
        <v>CNY</v>
      </c>
      <c r="Z792" s="92">
        <v>2</v>
      </c>
      <c r="AA792" s="92" t="str">
        <f>I792&amp;L792&amp;Z792</f>
        <v>SR80712</v>
      </c>
      <c r="AB792">
        <f t="shared" ref="AB792:AB818" si="247">$B$2</f>
        <v>20180328</v>
      </c>
      <c r="AC792">
        <f>IF(C792=AB792,1,0)</f>
        <v>0</v>
      </c>
      <c r="AD792">
        <f>'day2'!Q806</f>
        <v>2</v>
      </c>
      <c r="AE792">
        <f>VLOOKUP(I792,$C$19:$L$29,9,FALSE)</f>
        <v>0</v>
      </c>
    </row>
    <row r="793" spans="1:31" x14ac:dyDescent="0.25">
      <c r="B793" s="656" t="str">
        <f t="shared" si="243"/>
        <v/>
      </c>
      <c r="C793" s="92">
        <f>'day2'!C807</f>
        <v>20180326</v>
      </c>
      <c r="D793" s="92" t="str">
        <f>'day2'!D807</f>
        <v>6001</v>
      </c>
      <c r="E793" s="92" t="str">
        <f>'day2'!E807</f>
        <v>B00102</v>
      </c>
      <c r="F793" s="92" t="str">
        <f>'day2'!F807</f>
        <v>6001</v>
      </c>
      <c r="G793" s="92">
        <f>'day2'!G807</f>
        <v>20180326</v>
      </c>
      <c r="H793" s="92" t="str">
        <f>'day2'!H807</f>
        <v>CZCE</v>
      </c>
      <c r="I793" s="92" t="str">
        <f>'day2'!I807</f>
        <v>PTA807</v>
      </c>
      <c r="J793" s="92">
        <f>'day2'!J807</f>
        <v>5</v>
      </c>
      <c r="K793" s="92">
        <f>'day2'!K807</f>
        <v>2</v>
      </c>
      <c r="L793" s="92">
        <f>'day2'!L807</f>
        <v>1</v>
      </c>
      <c r="M793" s="92">
        <f>'day2'!M807</f>
        <v>5</v>
      </c>
      <c r="N793" s="92">
        <f>'day2'!N807</f>
        <v>6120</v>
      </c>
      <c r="O793" s="92">
        <f>'day2'!O807</f>
        <v>1</v>
      </c>
      <c r="P793" s="109">
        <v>0</v>
      </c>
      <c r="Q793" s="109">
        <f t="shared" ref="Q793:Q801" si="248">AD793+P793</f>
        <v>0</v>
      </c>
      <c r="R793" s="109">
        <f t="shared" ref="R793:R801" si="249">M793-Q793</f>
        <v>5</v>
      </c>
      <c r="S793" s="92">
        <f t="shared" ref="S793:S818" si="250">IF(O793=1,VLOOKUP(AA793,$G$75:$K$114,4,FALSE),VLOOKUP(AA793,$G$75:$K$114,2,FALSE))</f>
        <v>2.0000000000000001E-4</v>
      </c>
      <c r="T793" s="92">
        <f t="shared" si="244"/>
        <v>2</v>
      </c>
      <c r="U793" s="92">
        <f t="shared" ref="U793:U818" si="251">ROUND(J793*N793*P793*S793+P793*T793,2)</f>
        <v>0</v>
      </c>
      <c r="V793" s="92">
        <v>1</v>
      </c>
      <c r="W793" s="92">
        <v>1</v>
      </c>
      <c r="X793" s="92" t="str">
        <f t="shared" si="245"/>
        <v>9999</v>
      </c>
      <c r="Y793" s="92" t="str">
        <f t="shared" si="246"/>
        <v>CNY</v>
      </c>
      <c r="Z793" s="92">
        <v>2</v>
      </c>
      <c r="AA793" s="92" t="str">
        <f t="shared" ref="AA793:AA818" si="252">I793&amp;L793&amp;Z793</f>
        <v>PTA80712</v>
      </c>
      <c r="AB793">
        <f t="shared" si="247"/>
        <v>20180328</v>
      </c>
      <c r="AC793">
        <f t="shared" ref="AC793:AC818" si="253">IF(C793=AB793,1,0)</f>
        <v>0</v>
      </c>
      <c r="AD793" s="656">
        <f>'day2'!Q807</f>
        <v>0</v>
      </c>
      <c r="AE793" s="664">
        <f t="shared" ref="AE793:AE818" si="254">VLOOKUP(I793,$C$19:$L$29,9,FALSE)</f>
        <v>1</v>
      </c>
    </row>
    <row r="794" spans="1:31" ht="16.2" customHeight="1" x14ac:dyDescent="0.25">
      <c r="B794" s="656" t="str">
        <f>IF(AND(C794&lt;&gt;$B$2,P794&gt;0),C794&amp;E794&amp;I794&amp;L794&amp;K794&amp;O794&amp;M794,"")</f>
        <v>20180326B00102PTA8073214</v>
      </c>
      <c r="C794" s="92">
        <f>'day2'!C808</f>
        <v>20180326</v>
      </c>
      <c r="D794" s="92" t="str">
        <f>'day2'!D808</f>
        <v>6001</v>
      </c>
      <c r="E794" s="92" t="str">
        <f>'day2'!E808</f>
        <v>B00102</v>
      </c>
      <c r="F794" s="92" t="str">
        <f>'day2'!F808</f>
        <v>6001</v>
      </c>
      <c r="G794" s="92">
        <f>'day2'!G808</f>
        <v>20180326</v>
      </c>
      <c r="H794" s="92" t="str">
        <f>'day2'!H808</f>
        <v>CZCE</v>
      </c>
      <c r="I794" s="92" t="str">
        <f>'day2'!I808</f>
        <v>PTA807</v>
      </c>
      <c r="J794" s="92">
        <f>'day2'!J808</f>
        <v>5</v>
      </c>
      <c r="K794" s="92">
        <f>'day2'!K808</f>
        <v>2</v>
      </c>
      <c r="L794" s="92">
        <f>'day2'!L808</f>
        <v>3</v>
      </c>
      <c r="M794" s="92">
        <f>'day2'!M808</f>
        <v>4</v>
      </c>
      <c r="N794" s="92">
        <f>'day2'!N808</f>
        <v>6120</v>
      </c>
      <c r="O794" s="92">
        <f>'day2'!O808</f>
        <v>1</v>
      </c>
      <c r="P794" s="109">
        <v>1</v>
      </c>
      <c r="Q794" s="109">
        <f t="shared" si="248"/>
        <v>4</v>
      </c>
      <c r="R794" s="109">
        <f t="shared" si="249"/>
        <v>0</v>
      </c>
      <c r="S794" s="92">
        <f t="shared" si="250"/>
        <v>3.0000000000000003E-4</v>
      </c>
      <c r="T794" s="92">
        <f t="shared" si="244"/>
        <v>3</v>
      </c>
      <c r="U794" s="92">
        <f t="shared" si="251"/>
        <v>12.18</v>
      </c>
      <c r="V794" s="92">
        <v>1</v>
      </c>
      <c r="W794" s="92">
        <v>2</v>
      </c>
      <c r="X794" s="92" t="str">
        <f t="shared" si="245"/>
        <v>9999</v>
      </c>
      <c r="Y794" s="92" t="str">
        <f t="shared" si="246"/>
        <v>CNY</v>
      </c>
      <c r="Z794" s="92">
        <v>2</v>
      </c>
      <c r="AA794" s="92" t="str">
        <f t="shared" si="252"/>
        <v>PTA80732</v>
      </c>
      <c r="AB794">
        <f t="shared" si="247"/>
        <v>20180328</v>
      </c>
      <c r="AC794">
        <f t="shared" si="253"/>
        <v>0</v>
      </c>
      <c r="AD794" s="656">
        <f>'day2'!Q808</f>
        <v>3</v>
      </c>
      <c r="AE794" s="664">
        <f t="shared" si="254"/>
        <v>1</v>
      </c>
    </row>
    <row r="795" spans="1:31" x14ac:dyDescent="0.25">
      <c r="A795" s="435"/>
      <c r="B795" s="656" t="str">
        <f t="shared" ref="B795:B800" si="255">IF(AND(C795&lt;&gt;$B$2,P795&gt;0),C795&amp;E795&amp;I795&amp;L795&amp;K795&amp;O795&amp;M795,"")</f>
        <v>20180327B00101SR8091216</v>
      </c>
      <c r="C795" s="92">
        <f>'day2'!C809</f>
        <v>20180327</v>
      </c>
      <c r="D795" s="92" t="str">
        <f>'day2'!D809</f>
        <v>6001</v>
      </c>
      <c r="E795" s="92" t="str">
        <f>'day2'!E809</f>
        <v>B00101</v>
      </c>
      <c r="F795" s="92" t="str">
        <f>'day2'!F809</f>
        <v>6001</v>
      </c>
      <c r="G795" s="92">
        <f>'day2'!G809</f>
        <v>20180327</v>
      </c>
      <c r="H795" s="92" t="str">
        <f>'day2'!H809</f>
        <v>CZCE</v>
      </c>
      <c r="I795" s="92" t="str">
        <f>'day2'!I809</f>
        <v>SR809</v>
      </c>
      <c r="J795" s="92">
        <f>'day2'!J809</f>
        <v>10</v>
      </c>
      <c r="K795" s="92">
        <f>'day2'!K809</f>
        <v>2</v>
      </c>
      <c r="L795" s="92">
        <f>'day2'!L809</f>
        <v>1</v>
      </c>
      <c r="M795" s="92">
        <f>'day2'!M809</f>
        <v>6</v>
      </c>
      <c r="N795" s="92">
        <f>'day2'!N809</f>
        <v>6135</v>
      </c>
      <c r="O795" s="92">
        <f>'day2'!O809</f>
        <v>1</v>
      </c>
      <c r="P795" s="109">
        <v>2</v>
      </c>
      <c r="Q795" s="109">
        <f>AD795+P795</f>
        <v>6</v>
      </c>
      <c r="R795" s="109">
        <f t="shared" si="249"/>
        <v>0</v>
      </c>
      <c r="S795" s="92">
        <f t="shared" si="250"/>
        <v>2.0000000000000001E-4</v>
      </c>
      <c r="T795" s="92">
        <f t="shared" si="244"/>
        <v>2</v>
      </c>
      <c r="U795" s="92">
        <f t="shared" si="251"/>
        <v>28.54</v>
      </c>
      <c r="V795" s="92">
        <v>1</v>
      </c>
      <c r="W795" s="92">
        <v>2</v>
      </c>
      <c r="X795" s="92" t="str">
        <f t="shared" si="245"/>
        <v>9999</v>
      </c>
      <c r="Y795" s="92" t="str">
        <f t="shared" si="246"/>
        <v>CNY</v>
      </c>
      <c r="Z795" s="92">
        <v>2</v>
      </c>
      <c r="AA795" s="92" t="str">
        <f t="shared" si="252"/>
        <v>SR80912</v>
      </c>
      <c r="AB795">
        <f t="shared" si="247"/>
        <v>20180328</v>
      </c>
      <c r="AC795">
        <f t="shared" si="253"/>
        <v>0</v>
      </c>
      <c r="AD795" s="656">
        <f>'day2'!Q809</f>
        <v>4</v>
      </c>
      <c r="AE795" s="664">
        <f t="shared" si="254"/>
        <v>0</v>
      </c>
    </row>
    <row r="796" spans="1:31" x14ac:dyDescent="0.25">
      <c r="B796" s="656" t="str">
        <f t="shared" si="255"/>
        <v/>
      </c>
      <c r="C796" s="92">
        <f>'day2'!C810</f>
        <v>20180327</v>
      </c>
      <c r="D796" s="92" t="str">
        <f>'day2'!D810</f>
        <v>6001</v>
      </c>
      <c r="E796" s="92" t="str">
        <f>'day2'!E810</f>
        <v>B00101</v>
      </c>
      <c r="F796" s="92" t="str">
        <f>'day2'!F810</f>
        <v>6001</v>
      </c>
      <c r="G796" s="92">
        <f>'day2'!G810</f>
        <v>20180327</v>
      </c>
      <c r="H796" s="92" t="str">
        <f>'day2'!H810</f>
        <v>CZCE</v>
      </c>
      <c r="I796" s="92" t="str">
        <f>'day2'!I810</f>
        <v>SR809</v>
      </c>
      <c r="J796" s="92">
        <f>'day2'!J810</f>
        <v>10</v>
      </c>
      <c r="K796" s="92">
        <f>'day2'!K810</f>
        <v>2</v>
      </c>
      <c r="L796" s="92">
        <f>'day2'!L810</f>
        <v>1</v>
      </c>
      <c r="M796" s="92">
        <f>'day2'!M810</f>
        <v>6</v>
      </c>
      <c r="N796" s="92">
        <f>'day2'!N810</f>
        <v>6135</v>
      </c>
      <c r="O796" s="92">
        <f>'day2'!O810</f>
        <v>2</v>
      </c>
      <c r="P796" s="109">
        <v>0</v>
      </c>
      <c r="Q796" s="109">
        <f>AD796+P796</f>
        <v>0</v>
      </c>
      <c r="R796" s="109">
        <f t="shared" si="249"/>
        <v>6</v>
      </c>
      <c r="S796" s="92">
        <f t="shared" si="250"/>
        <v>2.9999999999999997E-4</v>
      </c>
      <c r="T796" s="92">
        <f t="shared" si="244"/>
        <v>3</v>
      </c>
      <c r="U796" s="92">
        <f t="shared" si="251"/>
        <v>0</v>
      </c>
      <c r="V796" s="92">
        <v>1</v>
      </c>
      <c r="W796" s="92">
        <v>1</v>
      </c>
      <c r="X796" s="92" t="str">
        <f t="shared" si="245"/>
        <v>9999</v>
      </c>
      <c r="Y796" s="92" t="str">
        <f t="shared" si="246"/>
        <v>CNY</v>
      </c>
      <c r="Z796" s="92">
        <v>2</v>
      </c>
      <c r="AA796" s="92" t="str">
        <f t="shared" si="252"/>
        <v>SR80912</v>
      </c>
      <c r="AB796">
        <f t="shared" si="247"/>
        <v>20180328</v>
      </c>
      <c r="AC796">
        <f t="shared" si="253"/>
        <v>0</v>
      </c>
      <c r="AD796" s="656">
        <f>'day2'!Q810</f>
        <v>0</v>
      </c>
      <c r="AE796" s="664">
        <f t="shared" si="254"/>
        <v>0</v>
      </c>
    </row>
    <row r="797" spans="1:31" x14ac:dyDescent="0.25">
      <c r="B797" s="656" t="str">
        <f t="shared" si="255"/>
        <v/>
      </c>
      <c r="C797" s="92">
        <f>'day2'!C811</f>
        <v>20180327</v>
      </c>
      <c r="D797" s="92" t="str">
        <f>'day2'!D811</f>
        <v>6001</v>
      </c>
      <c r="E797" s="92" t="str">
        <f>'day2'!E811</f>
        <v>B00102</v>
      </c>
      <c r="F797" s="92" t="str">
        <f>'day2'!F811</f>
        <v>6001</v>
      </c>
      <c r="G797" s="92">
        <f>'day2'!G811</f>
        <v>20180327</v>
      </c>
      <c r="H797" s="92" t="str">
        <f>'day2'!H811</f>
        <v>CZCE</v>
      </c>
      <c r="I797" s="92" t="str">
        <f>'day2'!I811</f>
        <v>PTA809</v>
      </c>
      <c r="J797" s="92">
        <f>'day2'!J811</f>
        <v>5</v>
      </c>
      <c r="K797" s="92">
        <f>'day2'!K811</f>
        <v>3</v>
      </c>
      <c r="L797" s="92">
        <f>'day2'!L811</f>
        <v>1</v>
      </c>
      <c r="M797" s="92">
        <f>'day2'!M811</f>
        <v>4</v>
      </c>
      <c r="N797" s="92">
        <f>'day2'!N811</f>
        <v>6225</v>
      </c>
      <c r="O797" s="92">
        <f>'day2'!O811</f>
        <v>1</v>
      </c>
      <c r="P797" s="109">
        <v>0</v>
      </c>
      <c r="Q797" s="109">
        <f t="shared" si="248"/>
        <v>0</v>
      </c>
      <c r="R797" s="109">
        <f t="shared" si="249"/>
        <v>4</v>
      </c>
      <c r="S797" s="92">
        <f t="shared" si="250"/>
        <v>2.0000000000000001E-4</v>
      </c>
      <c r="T797" s="92">
        <f t="shared" si="244"/>
        <v>2</v>
      </c>
      <c r="U797" s="92">
        <f t="shared" si="251"/>
        <v>0</v>
      </c>
      <c r="V797" s="92">
        <v>1</v>
      </c>
      <c r="W797" s="92">
        <v>1</v>
      </c>
      <c r="X797" s="92" t="str">
        <f t="shared" si="245"/>
        <v>9999</v>
      </c>
      <c r="Y797" s="92" t="str">
        <f t="shared" si="246"/>
        <v>CNY</v>
      </c>
      <c r="Z797" s="92">
        <v>2</v>
      </c>
      <c r="AA797" s="92" t="str">
        <f t="shared" si="252"/>
        <v>PTA80912</v>
      </c>
      <c r="AB797">
        <f t="shared" si="247"/>
        <v>20180328</v>
      </c>
      <c r="AC797">
        <f t="shared" si="253"/>
        <v>0</v>
      </c>
      <c r="AD797" s="656">
        <f>'day2'!Q811</f>
        <v>0</v>
      </c>
      <c r="AE797" s="664">
        <f t="shared" si="254"/>
        <v>1</v>
      </c>
    </row>
    <row r="798" spans="1:31" s="508" customFormat="1" x14ac:dyDescent="0.25">
      <c r="B798" s="656" t="str">
        <f t="shared" si="255"/>
        <v/>
      </c>
      <c r="C798" s="92">
        <f>'day2'!C812</f>
        <v>20180327</v>
      </c>
      <c r="D798" s="92" t="str">
        <f>'day2'!D812</f>
        <v>6001</v>
      </c>
      <c r="E798" s="92" t="str">
        <f>'day2'!E812</f>
        <v>B00102</v>
      </c>
      <c r="F798" s="92" t="str">
        <f>'day2'!F812</f>
        <v>6001</v>
      </c>
      <c r="G798" s="92">
        <f>'day2'!G812</f>
        <v>20180327</v>
      </c>
      <c r="H798" s="92" t="str">
        <f>'day2'!H812</f>
        <v>CZCE</v>
      </c>
      <c r="I798" s="92" t="str">
        <f>'day2'!I812</f>
        <v>PTA809</v>
      </c>
      <c r="J798" s="92">
        <f>'day2'!J812</f>
        <v>5</v>
      </c>
      <c r="K798" s="92">
        <f>'day2'!K812</f>
        <v>3</v>
      </c>
      <c r="L798" s="92">
        <f>'day2'!L812</f>
        <v>1</v>
      </c>
      <c r="M798" s="92">
        <f>'day2'!M812</f>
        <v>4</v>
      </c>
      <c r="N798" s="92">
        <f>'day2'!N812</f>
        <v>6225</v>
      </c>
      <c r="O798" s="92">
        <f>'day2'!O812</f>
        <v>2</v>
      </c>
      <c r="P798" s="109">
        <v>0</v>
      </c>
      <c r="Q798" s="109">
        <f t="shared" si="248"/>
        <v>1</v>
      </c>
      <c r="R798" s="109">
        <f t="shared" si="249"/>
        <v>3</v>
      </c>
      <c r="S798" s="92">
        <f t="shared" si="250"/>
        <v>2.9999999999999997E-4</v>
      </c>
      <c r="T798" s="92">
        <f t="shared" ref="T798:T801" si="256">IF(O798=1,VLOOKUP(AA798,$G$75:$K$114,5,FALSE),VLOOKUP(AA798,$G$75:$K$114,3,FALSE))</f>
        <v>3</v>
      </c>
      <c r="U798" s="92">
        <f t="shared" ref="U798:U801" si="257">ROUND(J798*N798*P798*S798+P798*T798,2)</f>
        <v>0</v>
      </c>
      <c r="V798" s="92">
        <v>1</v>
      </c>
      <c r="W798" s="92">
        <v>1</v>
      </c>
      <c r="X798" s="92" t="str">
        <f t="shared" si="245"/>
        <v>9999</v>
      </c>
      <c r="Y798" s="92" t="str">
        <f t="shared" si="246"/>
        <v>CNY</v>
      </c>
      <c r="Z798" s="92">
        <v>2</v>
      </c>
      <c r="AA798" s="92" t="str">
        <f t="shared" ref="AA798:AA801" si="258">I798&amp;L798&amp;Z798</f>
        <v>PTA80912</v>
      </c>
      <c r="AB798" s="508">
        <f t="shared" si="247"/>
        <v>20180328</v>
      </c>
      <c r="AC798" s="508">
        <f t="shared" ref="AC798:AC801" si="259">IF(C798=AB798,1,0)</f>
        <v>0</v>
      </c>
      <c r="AD798" s="656">
        <f>'day2'!Q812</f>
        <v>1</v>
      </c>
      <c r="AE798" s="664">
        <f t="shared" si="254"/>
        <v>1</v>
      </c>
    </row>
    <row r="799" spans="1:31" s="555" customFormat="1" x14ac:dyDescent="0.25">
      <c r="A799" s="555" t="s">
        <v>2132</v>
      </c>
      <c r="B799" s="656" t="str">
        <f t="shared" si="255"/>
        <v/>
      </c>
      <c r="C799" s="261">
        <f>'day2'!C813</f>
        <v>20180326</v>
      </c>
      <c r="D799" s="261" t="str">
        <f>'day2'!D813</f>
        <v>6001</v>
      </c>
      <c r="E799" s="261" t="str">
        <f>'day2'!E813</f>
        <v>B00101</v>
      </c>
      <c r="F799" s="261" t="str">
        <f>'day2'!F813</f>
        <v>6001</v>
      </c>
      <c r="G799" s="261">
        <f>'day2'!G813</f>
        <v>20180326</v>
      </c>
      <c r="H799" s="261" t="str">
        <f>'day2'!H813</f>
        <v>CZCE</v>
      </c>
      <c r="I799" s="261" t="str">
        <f>'day2'!I813</f>
        <v>SR807</v>
      </c>
      <c r="J799" s="261">
        <f>'day2'!J813</f>
        <v>10</v>
      </c>
      <c r="K799" s="261">
        <f>'day2'!K813</f>
        <v>3</v>
      </c>
      <c r="L799" s="261">
        <f>'day2'!L813</f>
        <v>1</v>
      </c>
      <c r="M799" s="261">
        <f>'day2'!M813</f>
        <v>2</v>
      </c>
      <c r="N799" s="261">
        <f>'day2'!N813</f>
        <v>6130</v>
      </c>
      <c r="O799" s="261">
        <f>'day2'!O813</f>
        <v>2</v>
      </c>
      <c r="P799" s="635">
        <v>0</v>
      </c>
      <c r="Q799" s="109">
        <f t="shared" si="248"/>
        <v>2</v>
      </c>
      <c r="R799" s="635">
        <f t="shared" si="249"/>
        <v>0</v>
      </c>
      <c r="S799" s="261">
        <f t="shared" si="250"/>
        <v>2.9999999999999997E-4</v>
      </c>
      <c r="T799" s="261">
        <f t="shared" si="256"/>
        <v>3</v>
      </c>
      <c r="U799" s="261">
        <f t="shared" si="257"/>
        <v>0</v>
      </c>
      <c r="V799" s="261">
        <v>1</v>
      </c>
      <c r="W799" s="261">
        <v>2</v>
      </c>
      <c r="X799" s="261" t="str">
        <f t="shared" si="245"/>
        <v>9999</v>
      </c>
      <c r="Y799" s="261" t="str">
        <f t="shared" si="246"/>
        <v>CNY</v>
      </c>
      <c r="Z799" s="261">
        <v>2</v>
      </c>
      <c r="AA799" s="261" t="str">
        <f t="shared" si="258"/>
        <v>SR80712</v>
      </c>
      <c r="AB799" s="555">
        <f t="shared" si="247"/>
        <v>20180328</v>
      </c>
      <c r="AC799" s="555">
        <f t="shared" si="259"/>
        <v>0</v>
      </c>
      <c r="AD799" s="656">
        <f>'day2'!Q813</f>
        <v>2</v>
      </c>
      <c r="AE799" s="664">
        <f t="shared" si="254"/>
        <v>0</v>
      </c>
    </row>
    <row r="800" spans="1:31" s="508" customFormat="1" x14ac:dyDescent="0.25">
      <c r="B800" s="656" t="str">
        <f t="shared" si="255"/>
        <v/>
      </c>
      <c r="C800" s="92">
        <f>'day2'!C814</f>
        <v>20180326</v>
      </c>
      <c r="D800" s="92" t="str">
        <f>'day2'!D814</f>
        <v>6001</v>
      </c>
      <c r="E800" s="92" t="str">
        <f>'day2'!E814</f>
        <v>B00102</v>
      </c>
      <c r="F800" s="92" t="str">
        <f>'day2'!F814</f>
        <v>6001</v>
      </c>
      <c r="G800" s="92">
        <f>'day2'!G814</f>
        <v>20180326</v>
      </c>
      <c r="H800" s="92" t="str">
        <f>'day2'!H814</f>
        <v>CZCE</v>
      </c>
      <c r="I800" s="92" t="str">
        <f>'day2'!I814</f>
        <v>PTA807</v>
      </c>
      <c r="J800" s="92">
        <f>'day2'!J814</f>
        <v>5</v>
      </c>
      <c r="K800" s="92">
        <f>'day2'!K814</f>
        <v>2</v>
      </c>
      <c r="L800" s="92">
        <f>'day2'!L814</f>
        <v>1</v>
      </c>
      <c r="M800" s="92">
        <f>'day2'!M814</f>
        <v>5</v>
      </c>
      <c r="N800" s="92">
        <f>'day2'!N814</f>
        <v>6120</v>
      </c>
      <c r="O800" s="92">
        <f>'day2'!O814</f>
        <v>2</v>
      </c>
      <c r="P800" s="109">
        <v>0</v>
      </c>
      <c r="Q800" s="109">
        <f t="shared" si="248"/>
        <v>0</v>
      </c>
      <c r="R800" s="109">
        <f t="shared" si="249"/>
        <v>5</v>
      </c>
      <c r="S800" s="92">
        <f t="shared" si="250"/>
        <v>2.9999999999999997E-4</v>
      </c>
      <c r="T800" s="92">
        <f t="shared" si="256"/>
        <v>3</v>
      </c>
      <c r="U800" s="92">
        <f t="shared" si="257"/>
        <v>0</v>
      </c>
      <c r="V800" s="92">
        <v>1</v>
      </c>
      <c r="W800" s="92">
        <v>1</v>
      </c>
      <c r="X800" s="92" t="str">
        <f t="shared" si="245"/>
        <v>9999</v>
      </c>
      <c r="Y800" s="92" t="str">
        <f t="shared" si="246"/>
        <v>CNY</v>
      </c>
      <c r="Z800" s="92">
        <v>2</v>
      </c>
      <c r="AA800" s="92" t="str">
        <f t="shared" si="258"/>
        <v>PTA80712</v>
      </c>
      <c r="AB800" s="508">
        <f t="shared" si="247"/>
        <v>20180328</v>
      </c>
      <c r="AC800" s="508">
        <f t="shared" si="259"/>
        <v>0</v>
      </c>
      <c r="AD800" s="656">
        <f>'day2'!Q814</f>
        <v>0</v>
      </c>
      <c r="AE800" s="664">
        <f t="shared" si="254"/>
        <v>1</v>
      </c>
    </row>
    <row r="801" spans="1:31" s="508" customFormat="1" x14ac:dyDescent="0.25">
      <c r="B801" s="656" t="str">
        <f>IF(AND(C801&lt;&gt;$B$2,P801&gt;0),C801&amp;E801&amp;I801&amp;L801&amp;K801&amp;O801&amp;M801,"")</f>
        <v>20180326B00102PTA8073224</v>
      </c>
      <c r="C801" s="92">
        <f>'day2'!C815</f>
        <v>20180326</v>
      </c>
      <c r="D801" s="92" t="str">
        <f>'day2'!D815</f>
        <v>6001</v>
      </c>
      <c r="E801" s="92" t="str">
        <f>'day2'!E815</f>
        <v>B00102</v>
      </c>
      <c r="F801" s="92" t="str">
        <f>'day2'!F815</f>
        <v>6001</v>
      </c>
      <c r="G801" s="92">
        <f>'day2'!G815</f>
        <v>20180326</v>
      </c>
      <c r="H801" s="92" t="str">
        <f>'day2'!H815</f>
        <v>CZCE</v>
      </c>
      <c r="I801" s="92" t="str">
        <f>'day2'!I815</f>
        <v>PTA807</v>
      </c>
      <c r="J801" s="92">
        <f>'day2'!J815</f>
        <v>5</v>
      </c>
      <c r="K801" s="92">
        <f>'day2'!K815</f>
        <v>2</v>
      </c>
      <c r="L801" s="92">
        <f>'day2'!L815</f>
        <v>3</v>
      </c>
      <c r="M801" s="92">
        <f>'day2'!M815</f>
        <v>4</v>
      </c>
      <c r="N801" s="92">
        <f>'day2'!N815</f>
        <v>6120</v>
      </c>
      <c r="O801" s="92">
        <f>'day2'!O815</f>
        <v>2</v>
      </c>
      <c r="P801" s="109">
        <v>1</v>
      </c>
      <c r="Q801" s="109">
        <f t="shared" si="248"/>
        <v>4</v>
      </c>
      <c r="R801" s="109">
        <f t="shared" si="249"/>
        <v>0</v>
      </c>
      <c r="S801" s="92">
        <f t="shared" si="250"/>
        <v>2.9999999999999997E-4</v>
      </c>
      <c r="T801" s="92">
        <f t="shared" si="256"/>
        <v>3</v>
      </c>
      <c r="U801" s="92">
        <f t="shared" si="257"/>
        <v>12.18</v>
      </c>
      <c r="V801" s="92">
        <v>1</v>
      </c>
      <c r="W801" s="92">
        <v>2</v>
      </c>
      <c r="X801" s="92" t="str">
        <f t="shared" si="245"/>
        <v>9999</v>
      </c>
      <c r="Y801" s="92" t="str">
        <f t="shared" si="246"/>
        <v>CNY</v>
      </c>
      <c r="Z801" s="92">
        <v>2</v>
      </c>
      <c r="AA801" s="92" t="str">
        <f t="shared" si="258"/>
        <v>PTA80732</v>
      </c>
      <c r="AB801" s="508">
        <f t="shared" si="247"/>
        <v>20180328</v>
      </c>
      <c r="AC801" s="508">
        <f t="shared" si="259"/>
        <v>0</v>
      </c>
      <c r="AD801" s="656">
        <f>'day2'!Q815</f>
        <v>3</v>
      </c>
      <c r="AE801" s="664">
        <f t="shared" si="254"/>
        <v>1</v>
      </c>
    </row>
    <row r="802" spans="1:31" s="656" customFormat="1" x14ac:dyDescent="0.25">
      <c r="A802" s="656" t="s">
        <v>2121</v>
      </c>
      <c r="B802" s="656" t="s">
        <v>2122</v>
      </c>
      <c r="C802" s="92"/>
      <c r="D802" s="92"/>
      <c r="E802" s="92"/>
      <c r="F802" s="92"/>
      <c r="G802" s="92"/>
      <c r="H802" s="92"/>
      <c r="I802" s="92"/>
      <c r="J802" s="92"/>
      <c r="K802" s="92"/>
      <c r="L802" s="92"/>
      <c r="M802" s="92"/>
      <c r="N802" s="92"/>
      <c r="O802" s="92"/>
      <c r="P802" s="109"/>
      <c r="Q802" s="109"/>
      <c r="R802" s="109"/>
      <c r="S802" s="92"/>
      <c r="T802" s="92"/>
      <c r="U802" s="92"/>
      <c r="V802" s="92"/>
      <c r="W802" s="92"/>
      <c r="X802" s="92"/>
      <c r="Y802" s="92"/>
      <c r="Z802" s="92"/>
      <c r="AA802" s="92"/>
      <c r="AE802" s="664">
        <v>0</v>
      </c>
    </row>
    <row r="803" spans="1:31" s="665" customFormat="1" ht="15" customHeight="1" x14ac:dyDescent="0.25">
      <c r="B803" s="656" t="str">
        <f>C803&amp;E803&amp;I803&amp;L803&amp;K803&amp;O803&amp;M803</f>
        <v>20180328B00101SR80712116</v>
      </c>
      <c r="C803" s="666">
        <f t="shared" ref="C803:C818" si="260" xml:space="preserve"> $B$2</f>
        <v>20180328</v>
      </c>
      <c r="D803" s="666" t="str">
        <f>D792</f>
        <v>6001</v>
      </c>
      <c r="E803" s="666" t="str">
        <f>E792</f>
        <v>B00101</v>
      </c>
      <c r="F803" s="666" t="str">
        <f>F792</f>
        <v>6001</v>
      </c>
      <c r="G803" s="666">
        <f t="shared" ref="G803:G818" si="261" xml:space="preserve"> $B$2</f>
        <v>20180328</v>
      </c>
      <c r="H803" s="666" t="str">
        <f>H792</f>
        <v>CZCE</v>
      </c>
      <c r="I803" s="666" t="str">
        <f>I792</f>
        <v>SR807</v>
      </c>
      <c r="J803" s="667">
        <f t="shared" ref="J803:J818" si="262">VLOOKUP(I803,$C$19:$E$29,3,FALSE)</f>
        <v>10</v>
      </c>
      <c r="K803" s="667">
        <v>2</v>
      </c>
      <c r="L803" s="667">
        <v>1</v>
      </c>
      <c r="M803" s="667">
        <f>SUMPRODUCT(($C$742:$C$786=D803)*($D$742:$D$786=E803)*($E$742:$E$786=F803)*($I$742:$I$786=I803)*($N$742:$N$786=L803)*($M$742:$M$786=K803)*($O$742:$O$786))</f>
        <v>16</v>
      </c>
      <c r="N803" s="667">
        <f t="shared" ref="N803:N818" si="263" xml:space="preserve"> VLOOKUP(I803,$C$230:$F$242,3,FALSE)</f>
        <v>6170</v>
      </c>
      <c r="O803" s="667">
        <v>1</v>
      </c>
      <c r="P803" s="667">
        <f>M803</f>
        <v>16</v>
      </c>
      <c r="Q803" s="667">
        <f>P803</f>
        <v>16</v>
      </c>
      <c r="R803" s="667">
        <f>M803-Q803</f>
        <v>0</v>
      </c>
      <c r="S803" s="666">
        <f t="shared" si="250"/>
        <v>2.0000000000000001E-4</v>
      </c>
      <c r="T803" s="666">
        <f t="shared" si="244"/>
        <v>2</v>
      </c>
      <c r="U803" s="666">
        <f t="shared" si="251"/>
        <v>229.44</v>
      </c>
      <c r="V803" s="666">
        <v>2</v>
      </c>
      <c r="W803" s="666">
        <v>2</v>
      </c>
      <c r="X803" s="666" t="str">
        <f t="shared" si="245"/>
        <v>9999</v>
      </c>
      <c r="Y803" s="666" t="str">
        <f t="shared" si="246"/>
        <v>CNY</v>
      </c>
      <c r="Z803" s="666">
        <v>2</v>
      </c>
      <c r="AA803" s="666" t="str">
        <f t="shared" si="252"/>
        <v>SR80712</v>
      </c>
      <c r="AB803" s="6">
        <f t="shared" si="247"/>
        <v>20180328</v>
      </c>
      <c r="AC803" s="6">
        <f t="shared" si="253"/>
        <v>1</v>
      </c>
      <c r="AD803" s="656">
        <v>0</v>
      </c>
      <c r="AE803" s="664">
        <f t="shared" si="254"/>
        <v>0</v>
      </c>
    </row>
    <row r="804" spans="1:31" s="6" customFormat="1" x14ac:dyDescent="0.25">
      <c r="B804" s="656" t="str">
        <f t="shared" ref="B804:B818" si="264">IF(AND(C804&lt;&gt;$B$2,Q804&gt;0),C804&amp;E804&amp;I804&amp;L804&amp;K804,"")</f>
        <v/>
      </c>
      <c r="C804" s="111">
        <f t="shared" si="260"/>
        <v>20180328</v>
      </c>
      <c r="D804" s="111" t="str">
        <f>D793</f>
        <v>6001</v>
      </c>
      <c r="E804" s="111" t="str">
        <f>E803</f>
        <v>B00101</v>
      </c>
      <c r="F804" s="111" t="str">
        <f>F793</f>
        <v>6001</v>
      </c>
      <c r="G804" s="111">
        <f t="shared" si="261"/>
        <v>20180328</v>
      </c>
      <c r="H804" s="111" t="str">
        <f>H793</f>
        <v>CZCE</v>
      </c>
      <c r="I804" s="111" t="str">
        <f>I803</f>
        <v>SR807</v>
      </c>
      <c r="J804" s="113">
        <f t="shared" si="262"/>
        <v>10</v>
      </c>
      <c r="K804" s="113">
        <v>3</v>
      </c>
      <c r="L804" s="113">
        <v>1</v>
      </c>
      <c r="M804" s="667">
        <f t="shared" ref="M804:M810" si="265">SUMPRODUCT(($C$742:$C$786=D804)*($D$742:$D$786=E804)*($E$742:$E$786=F804)*($I$742:$I$786=I804)*($N$742:$N$786=L804)*($M$742:$M$786=K804)*($O$742:$O$786))</f>
        <v>14</v>
      </c>
      <c r="N804" s="113">
        <f t="shared" si="263"/>
        <v>6170</v>
      </c>
      <c r="O804" s="113">
        <v>1</v>
      </c>
      <c r="P804" s="113">
        <f t="shared" ref="P804:P818" si="266">M804</f>
        <v>14</v>
      </c>
      <c r="Q804" s="113">
        <f t="shared" ref="Q804:Q818" si="267">P804</f>
        <v>14</v>
      </c>
      <c r="R804" s="113">
        <f t="shared" ref="R804:R818" si="268">M804-Q804</f>
        <v>0</v>
      </c>
      <c r="S804" s="111">
        <f t="shared" si="250"/>
        <v>2.0000000000000001E-4</v>
      </c>
      <c r="T804" s="111">
        <f t="shared" si="244"/>
        <v>2</v>
      </c>
      <c r="U804" s="111">
        <f t="shared" si="251"/>
        <v>200.76</v>
      </c>
      <c r="V804" s="111">
        <v>2</v>
      </c>
      <c r="W804" s="666">
        <v>1</v>
      </c>
      <c r="X804" s="111" t="str">
        <f t="shared" si="245"/>
        <v>9999</v>
      </c>
      <c r="Y804" s="111" t="str">
        <f t="shared" si="246"/>
        <v>CNY</v>
      </c>
      <c r="Z804" s="111">
        <v>2</v>
      </c>
      <c r="AA804" s="111" t="str">
        <f t="shared" si="252"/>
        <v>SR80712</v>
      </c>
      <c r="AB804" s="6">
        <f t="shared" si="247"/>
        <v>20180328</v>
      </c>
      <c r="AC804" s="6">
        <f t="shared" si="253"/>
        <v>1</v>
      </c>
      <c r="AD804" s="656">
        <v>0</v>
      </c>
      <c r="AE804" s="664">
        <f t="shared" si="254"/>
        <v>0</v>
      </c>
    </row>
    <row r="805" spans="1:31" s="6" customFormat="1" x14ac:dyDescent="0.25">
      <c r="B805" s="656" t="str">
        <f t="shared" si="264"/>
        <v/>
      </c>
      <c r="C805" s="111">
        <f t="shared" si="260"/>
        <v>20180328</v>
      </c>
      <c r="D805" s="111" t="str">
        <f>D794</f>
        <v>6001</v>
      </c>
      <c r="E805" s="111" t="str">
        <f>E803</f>
        <v>B00101</v>
      </c>
      <c r="F805" s="111" t="str">
        <f>F794</f>
        <v>6001</v>
      </c>
      <c r="G805" s="111">
        <f t="shared" si="261"/>
        <v>20180328</v>
      </c>
      <c r="H805" s="111" t="str">
        <f>H794</f>
        <v>CZCE</v>
      </c>
      <c r="I805" s="111" t="str">
        <f>I803</f>
        <v>SR807</v>
      </c>
      <c r="J805" s="113">
        <f t="shared" si="262"/>
        <v>10</v>
      </c>
      <c r="K805" s="113">
        <v>2</v>
      </c>
      <c r="L805" s="113">
        <v>3</v>
      </c>
      <c r="M805" s="667">
        <f t="shared" si="265"/>
        <v>5</v>
      </c>
      <c r="N805" s="113">
        <f t="shared" si="263"/>
        <v>6170</v>
      </c>
      <c r="O805" s="113">
        <v>1</v>
      </c>
      <c r="P805" s="113">
        <f t="shared" si="266"/>
        <v>5</v>
      </c>
      <c r="Q805" s="113">
        <f t="shared" si="267"/>
        <v>5</v>
      </c>
      <c r="R805" s="113">
        <f t="shared" si="268"/>
        <v>0</v>
      </c>
      <c r="S805" s="111">
        <f t="shared" si="250"/>
        <v>3.0000000000000003E-4</v>
      </c>
      <c r="T805" s="111">
        <f t="shared" si="244"/>
        <v>3</v>
      </c>
      <c r="U805" s="111">
        <f t="shared" si="251"/>
        <v>107.55</v>
      </c>
      <c r="V805" s="111">
        <v>2</v>
      </c>
      <c r="W805" s="666">
        <v>1</v>
      </c>
      <c r="X805" s="111" t="str">
        <f t="shared" si="245"/>
        <v>9999</v>
      </c>
      <c r="Y805" s="111" t="str">
        <f t="shared" si="246"/>
        <v>CNY</v>
      </c>
      <c r="Z805" s="111">
        <v>2</v>
      </c>
      <c r="AA805" s="111" t="str">
        <f t="shared" si="252"/>
        <v>SR80732</v>
      </c>
      <c r="AB805" s="6">
        <f t="shared" si="247"/>
        <v>20180328</v>
      </c>
      <c r="AC805" s="6">
        <f t="shared" si="253"/>
        <v>1</v>
      </c>
      <c r="AD805" s="656">
        <v>0</v>
      </c>
      <c r="AE805" s="664">
        <f t="shared" si="254"/>
        <v>0</v>
      </c>
    </row>
    <row r="806" spans="1:31" s="6" customFormat="1" x14ac:dyDescent="0.25">
      <c r="B806" s="656" t="str">
        <f t="shared" si="264"/>
        <v/>
      </c>
      <c r="C806" s="111">
        <f t="shared" si="260"/>
        <v>20180328</v>
      </c>
      <c r="D806" s="111" t="str">
        <f>D795</f>
        <v>6001</v>
      </c>
      <c r="E806" s="111" t="str">
        <f>E795</f>
        <v>B00101</v>
      </c>
      <c r="F806" s="111" t="str">
        <f>F795</f>
        <v>6001</v>
      </c>
      <c r="G806" s="111">
        <f t="shared" si="261"/>
        <v>20180328</v>
      </c>
      <c r="H806" s="111" t="str">
        <f>H795</f>
        <v>CZCE</v>
      </c>
      <c r="I806" s="111" t="str">
        <f>I803</f>
        <v>SR807</v>
      </c>
      <c r="J806" s="113">
        <f t="shared" si="262"/>
        <v>10</v>
      </c>
      <c r="K806" s="113">
        <v>3</v>
      </c>
      <c r="L806" s="113">
        <v>3</v>
      </c>
      <c r="M806" s="667">
        <f t="shared" si="265"/>
        <v>21</v>
      </c>
      <c r="N806" s="113">
        <f t="shared" si="263"/>
        <v>6170</v>
      </c>
      <c r="O806" s="113">
        <v>1</v>
      </c>
      <c r="P806" s="113">
        <f t="shared" si="266"/>
        <v>21</v>
      </c>
      <c r="Q806" s="113">
        <f t="shared" si="267"/>
        <v>21</v>
      </c>
      <c r="R806" s="113">
        <f t="shared" si="268"/>
        <v>0</v>
      </c>
      <c r="S806" s="111">
        <f t="shared" si="250"/>
        <v>3.0000000000000003E-4</v>
      </c>
      <c r="T806" s="111">
        <f t="shared" si="244"/>
        <v>3</v>
      </c>
      <c r="U806" s="111">
        <f t="shared" si="251"/>
        <v>451.71</v>
      </c>
      <c r="V806" s="111">
        <v>2</v>
      </c>
      <c r="W806" s="666">
        <v>1</v>
      </c>
      <c r="X806" s="111" t="str">
        <f t="shared" si="245"/>
        <v>9999</v>
      </c>
      <c r="Y806" s="111" t="str">
        <f t="shared" si="246"/>
        <v>CNY</v>
      </c>
      <c r="Z806" s="111">
        <v>2</v>
      </c>
      <c r="AA806" s="111" t="str">
        <f t="shared" si="252"/>
        <v>SR80732</v>
      </c>
      <c r="AB806" s="6">
        <f t="shared" si="247"/>
        <v>20180328</v>
      </c>
      <c r="AC806" s="6">
        <f t="shared" si="253"/>
        <v>1</v>
      </c>
      <c r="AD806" s="656">
        <v>0</v>
      </c>
      <c r="AE806" s="664">
        <f t="shared" si="254"/>
        <v>0</v>
      </c>
    </row>
    <row r="807" spans="1:31" s="6" customFormat="1" x14ac:dyDescent="0.25">
      <c r="B807" s="656" t="str">
        <f t="shared" si="264"/>
        <v/>
      </c>
      <c r="C807" s="111">
        <f t="shared" si="260"/>
        <v>20180328</v>
      </c>
      <c r="D807" s="111" t="str">
        <f>D796</f>
        <v>6001</v>
      </c>
      <c r="E807" s="111" t="str">
        <f>E808</f>
        <v>B00102</v>
      </c>
      <c r="F807" s="111" t="str">
        <f>F796</f>
        <v>6001</v>
      </c>
      <c r="G807" s="111">
        <f t="shared" si="261"/>
        <v>20180328</v>
      </c>
      <c r="H807" s="111" t="str">
        <f>H796</f>
        <v>CZCE</v>
      </c>
      <c r="I807" s="111" t="str">
        <f>I793</f>
        <v>PTA807</v>
      </c>
      <c r="J807" s="113">
        <f t="shared" si="262"/>
        <v>5</v>
      </c>
      <c r="K807" s="113">
        <v>2</v>
      </c>
      <c r="L807" s="113">
        <v>1</v>
      </c>
      <c r="M807" s="667">
        <f t="shared" si="265"/>
        <v>10</v>
      </c>
      <c r="N807" s="113">
        <f t="shared" si="263"/>
        <v>6165</v>
      </c>
      <c r="O807" s="113">
        <v>1</v>
      </c>
      <c r="P807" s="113">
        <f t="shared" si="266"/>
        <v>10</v>
      </c>
      <c r="Q807" s="113">
        <f t="shared" si="267"/>
        <v>10</v>
      </c>
      <c r="R807" s="113">
        <f t="shared" si="268"/>
        <v>0</v>
      </c>
      <c r="S807" s="111">
        <f t="shared" si="250"/>
        <v>2.0000000000000001E-4</v>
      </c>
      <c r="T807" s="111">
        <f t="shared" si="244"/>
        <v>2</v>
      </c>
      <c r="U807" s="111">
        <f t="shared" si="251"/>
        <v>81.650000000000006</v>
      </c>
      <c r="V807" s="111">
        <v>2</v>
      </c>
      <c r="W807" s="666">
        <v>1</v>
      </c>
      <c r="X807" s="111" t="str">
        <f t="shared" si="245"/>
        <v>9999</v>
      </c>
      <c r="Y807" s="111" t="str">
        <f t="shared" si="246"/>
        <v>CNY</v>
      </c>
      <c r="Z807" s="111">
        <v>2</v>
      </c>
      <c r="AA807" s="111" t="str">
        <f t="shared" si="252"/>
        <v>PTA80712</v>
      </c>
      <c r="AB807" s="6">
        <f t="shared" si="247"/>
        <v>20180328</v>
      </c>
      <c r="AC807" s="6">
        <f t="shared" si="253"/>
        <v>1</v>
      </c>
      <c r="AD807" s="656">
        <v>0</v>
      </c>
      <c r="AE807" s="664">
        <f t="shared" si="254"/>
        <v>1</v>
      </c>
    </row>
    <row r="808" spans="1:31" s="6" customFormat="1" x14ac:dyDescent="0.25">
      <c r="B808" s="656" t="str">
        <f t="shared" si="264"/>
        <v/>
      </c>
      <c r="C808" s="111">
        <f t="shared" si="260"/>
        <v>20180328</v>
      </c>
      <c r="D808" s="111" t="str">
        <f>D797</f>
        <v>6001</v>
      </c>
      <c r="E808" s="111" t="str">
        <f>E797</f>
        <v>B00102</v>
      </c>
      <c r="F808" s="111" t="str">
        <f>F797</f>
        <v>6001</v>
      </c>
      <c r="G808" s="111">
        <f t="shared" si="261"/>
        <v>20180328</v>
      </c>
      <c r="H808" s="111" t="str">
        <f>H797</f>
        <v>CZCE</v>
      </c>
      <c r="I808" s="111" t="str">
        <f>I807</f>
        <v>PTA807</v>
      </c>
      <c r="J808" s="113">
        <f t="shared" si="262"/>
        <v>5</v>
      </c>
      <c r="K808" s="113">
        <v>3</v>
      </c>
      <c r="L808" s="113">
        <v>1</v>
      </c>
      <c r="M808" s="667">
        <f t="shared" si="265"/>
        <v>4</v>
      </c>
      <c r="N808" s="113">
        <f t="shared" si="263"/>
        <v>6165</v>
      </c>
      <c r="O808" s="113">
        <v>1</v>
      </c>
      <c r="P808" s="113">
        <f t="shared" si="266"/>
        <v>4</v>
      </c>
      <c r="Q808" s="113">
        <f t="shared" si="267"/>
        <v>4</v>
      </c>
      <c r="R808" s="113">
        <f t="shared" si="268"/>
        <v>0</v>
      </c>
      <c r="S808" s="111">
        <f t="shared" si="250"/>
        <v>2.0000000000000001E-4</v>
      </c>
      <c r="T808" s="111">
        <f t="shared" si="244"/>
        <v>2</v>
      </c>
      <c r="U808" s="111">
        <f t="shared" si="251"/>
        <v>32.659999999999997</v>
      </c>
      <c r="V808" s="111">
        <v>2</v>
      </c>
      <c r="W808" s="666">
        <v>1</v>
      </c>
      <c r="X808" s="111" t="str">
        <f t="shared" si="245"/>
        <v>9999</v>
      </c>
      <c r="Y808" s="111" t="str">
        <f t="shared" si="246"/>
        <v>CNY</v>
      </c>
      <c r="Z808" s="111">
        <v>2</v>
      </c>
      <c r="AA808" s="111" t="str">
        <f t="shared" si="252"/>
        <v>PTA80712</v>
      </c>
      <c r="AB808" s="6">
        <f t="shared" si="247"/>
        <v>20180328</v>
      </c>
      <c r="AC808" s="6">
        <f t="shared" si="253"/>
        <v>1</v>
      </c>
      <c r="AD808" s="656">
        <v>0</v>
      </c>
      <c r="AE808" s="664">
        <f t="shared" si="254"/>
        <v>1</v>
      </c>
    </row>
    <row r="809" spans="1:31" s="6" customFormat="1" x14ac:dyDescent="0.25">
      <c r="B809" s="656" t="str">
        <f t="shared" si="264"/>
        <v/>
      </c>
      <c r="C809" s="111">
        <f t="shared" si="260"/>
        <v>20180328</v>
      </c>
      <c r="D809" s="111" t="str">
        <f t="shared" ref="D809" si="269">D803</f>
        <v>6001</v>
      </c>
      <c r="E809" s="111" t="str">
        <f>E808</f>
        <v>B00102</v>
      </c>
      <c r="F809" s="111" t="str">
        <f t="shared" ref="F809" si="270">F803</f>
        <v>6001</v>
      </c>
      <c r="G809" s="111">
        <f t="shared" si="261"/>
        <v>20180328</v>
      </c>
      <c r="H809" s="111" t="str">
        <f t="shared" ref="H809" si="271">H803</f>
        <v>CZCE</v>
      </c>
      <c r="I809" s="111" t="str">
        <f>I807</f>
        <v>PTA807</v>
      </c>
      <c r="J809" s="113">
        <f t="shared" si="262"/>
        <v>5</v>
      </c>
      <c r="K809" s="113">
        <v>2</v>
      </c>
      <c r="L809" s="113">
        <v>3</v>
      </c>
      <c r="M809" s="667">
        <f t="shared" si="265"/>
        <v>7</v>
      </c>
      <c r="N809" s="113">
        <f t="shared" si="263"/>
        <v>6165</v>
      </c>
      <c r="O809" s="113">
        <v>1</v>
      </c>
      <c r="P809" s="113">
        <f t="shared" si="266"/>
        <v>7</v>
      </c>
      <c r="Q809" s="113">
        <f t="shared" si="267"/>
        <v>7</v>
      </c>
      <c r="R809" s="113">
        <f t="shared" si="268"/>
        <v>0</v>
      </c>
      <c r="S809" s="111">
        <f t="shared" si="250"/>
        <v>3.0000000000000003E-4</v>
      </c>
      <c r="T809" s="111">
        <f t="shared" si="244"/>
        <v>3</v>
      </c>
      <c r="U809" s="111">
        <f t="shared" si="251"/>
        <v>85.73</v>
      </c>
      <c r="V809" s="111">
        <v>2</v>
      </c>
      <c r="W809" s="666">
        <v>1</v>
      </c>
      <c r="X809" s="111" t="str">
        <f t="shared" si="245"/>
        <v>9999</v>
      </c>
      <c r="Y809" s="111" t="str">
        <f t="shared" si="246"/>
        <v>CNY</v>
      </c>
      <c r="Z809" s="111">
        <v>2</v>
      </c>
      <c r="AA809" s="111" t="str">
        <f t="shared" si="252"/>
        <v>PTA80732</v>
      </c>
      <c r="AB809" s="6">
        <f t="shared" si="247"/>
        <v>20180328</v>
      </c>
      <c r="AC809" s="6">
        <f t="shared" si="253"/>
        <v>1</v>
      </c>
      <c r="AD809" s="656">
        <v>0</v>
      </c>
      <c r="AE809" s="664">
        <f t="shared" si="254"/>
        <v>1</v>
      </c>
    </row>
    <row r="810" spans="1:31" s="6" customFormat="1" x14ac:dyDescent="0.25">
      <c r="B810" s="656" t="str">
        <f t="shared" si="264"/>
        <v/>
      </c>
      <c r="C810" s="111">
        <f t="shared" si="260"/>
        <v>20180328</v>
      </c>
      <c r="D810" s="111" t="str">
        <f t="shared" ref="D810:F810" si="272">D804</f>
        <v>6001</v>
      </c>
      <c r="E810" s="111" t="str">
        <f>E808</f>
        <v>B00102</v>
      </c>
      <c r="F810" s="111" t="str">
        <f t="shared" si="272"/>
        <v>6001</v>
      </c>
      <c r="G810" s="111">
        <f t="shared" si="261"/>
        <v>20180328</v>
      </c>
      <c r="H810" s="111" t="str">
        <f t="shared" ref="H810:H818" si="273">H804</f>
        <v>CZCE</v>
      </c>
      <c r="I810" s="111" t="str">
        <f>I807</f>
        <v>PTA807</v>
      </c>
      <c r="J810" s="113">
        <f t="shared" si="262"/>
        <v>5</v>
      </c>
      <c r="K810" s="113">
        <v>3</v>
      </c>
      <c r="L810" s="113">
        <v>3</v>
      </c>
      <c r="M810" s="667">
        <f t="shared" si="265"/>
        <v>7</v>
      </c>
      <c r="N810" s="113">
        <f t="shared" si="263"/>
        <v>6165</v>
      </c>
      <c r="O810" s="113">
        <v>1</v>
      </c>
      <c r="P810" s="113">
        <f t="shared" si="266"/>
        <v>7</v>
      </c>
      <c r="Q810" s="113">
        <f t="shared" si="267"/>
        <v>7</v>
      </c>
      <c r="R810" s="113">
        <f t="shared" si="268"/>
        <v>0</v>
      </c>
      <c r="S810" s="111">
        <f t="shared" si="250"/>
        <v>3.0000000000000003E-4</v>
      </c>
      <c r="T810" s="111">
        <f t="shared" si="244"/>
        <v>3</v>
      </c>
      <c r="U810" s="111">
        <f t="shared" si="251"/>
        <v>85.73</v>
      </c>
      <c r="V810" s="111">
        <v>2</v>
      </c>
      <c r="W810" s="666">
        <v>1</v>
      </c>
      <c r="X810" s="111" t="str">
        <f t="shared" si="245"/>
        <v>9999</v>
      </c>
      <c r="Y810" s="111" t="str">
        <f t="shared" si="246"/>
        <v>CNY</v>
      </c>
      <c r="Z810" s="111">
        <v>2</v>
      </c>
      <c r="AA810" s="111" t="str">
        <f t="shared" si="252"/>
        <v>PTA80732</v>
      </c>
      <c r="AB810" s="6">
        <f t="shared" si="247"/>
        <v>20180328</v>
      </c>
      <c r="AC810" s="6">
        <f t="shared" si="253"/>
        <v>1</v>
      </c>
      <c r="AD810" s="656">
        <v>0</v>
      </c>
      <c r="AE810" s="664">
        <f t="shared" si="254"/>
        <v>1</v>
      </c>
    </row>
    <row r="811" spans="1:31" s="6" customFormat="1" x14ac:dyDescent="0.25">
      <c r="B811" s="656" t="str">
        <f>C811&amp;E811&amp;I811&amp;L811&amp;K811&amp;O811&amp;M811</f>
        <v>20180328B00101SR80712216</v>
      </c>
      <c r="C811" s="111">
        <f t="shared" si="260"/>
        <v>20180328</v>
      </c>
      <c r="D811" s="111" t="str">
        <f t="shared" ref="D811:F811" si="274">D805</f>
        <v>6001</v>
      </c>
      <c r="E811" s="111" t="str">
        <f>E803</f>
        <v>B00101</v>
      </c>
      <c r="F811" s="111" t="str">
        <f t="shared" si="274"/>
        <v>6001</v>
      </c>
      <c r="G811" s="111">
        <f t="shared" si="261"/>
        <v>20180328</v>
      </c>
      <c r="H811" s="111" t="str">
        <f t="shared" si="273"/>
        <v>CZCE</v>
      </c>
      <c r="I811" s="111" t="str">
        <f>I803</f>
        <v>SR807</v>
      </c>
      <c r="J811" s="113">
        <f t="shared" si="262"/>
        <v>10</v>
      </c>
      <c r="K811" s="113">
        <v>2</v>
      </c>
      <c r="L811" s="113">
        <v>1</v>
      </c>
      <c r="M811" s="113">
        <f t="shared" ref="M811:M818" si="275">SUMPRODUCT(($C$742:$C$786=D811)*($D$742:$D$786=E811)*($E$742:$E$786=F811)*($I$742:$I$786=I811)*($N$742:$N$786=L811)*($M$742:$M$786=K811)*($O$742:$O$786))</f>
        <v>16</v>
      </c>
      <c r="N811" s="113">
        <f t="shared" si="263"/>
        <v>6170</v>
      </c>
      <c r="O811" s="113">
        <v>2</v>
      </c>
      <c r="P811" s="113">
        <f t="shared" si="266"/>
        <v>16</v>
      </c>
      <c r="Q811" s="113">
        <f t="shared" si="267"/>
        <v>16</v>
      </c>
      <c r="R811" s="113">
        <f t="shared" si="268"/>
        <v>0</v>
      </c>
      <c r="S811" s="111">
        <f t="shared" si="250"/>
        <v>2.9999999999999997E-4</v>
      </c>
      <c r="T811" s="111">
        <f t="shared" si="244"/>
        <v>3</v>
      </c>
      <c r="U811" s="111">
        <f t="shared" si="251"/>
        <v>344.16</v>
      </c>
      <c r="V811" s="111">
        <v>2</v>
      </c>
      <c r="W811" s="335">
        <v>2</v>
      </c>
      <c r="X811" s="111" t="str">
        <f t="shared" si="245"/>
        <v>9999</v>
      </c>
      <c r="Y811" s="111" t="str">
        <f t="shared" si="246"/>
        <v>CNY</v>
      </c>
      <c r="Z811" s="111">
        <v>2</v>
      </c>
      <c r="AA811" s="111" t="str">
        <f t="shared" si="252"/>
        <v>SR80712</v>
      </c>
      <c r="AB811">
        <f t="shared" si="247"/>
        <v>20180328</v>
      </c>
      <c r="AC811">
        <f t="shared" si="253"/>
        <v>1</v>
      </c>
      <c r="AD811" s="656">
        <v>0</v>
      </c>
      <c r="AE811" s="664">
        <f t="shared" si="254"/>
        <v>0</v>
      </c>
    </row>
    <row r="812" spans="1:31" s="6" customFormat="1" x14ac:dyDescent="0.25">
      <c r="B812" s="656" t="str">
        <f t="shared" si="264"/>
        <v/>
      </c>
      <c r="C812" s="111">
        <f t="shared" si="260"/>
        <v>20180328</v>
      </c>
      <c r="D812" s="111" t="str">
        <f t="shared" ref="D812:F812" si="276">D806</f>
        <v>6001</v>
      </c>
      <c r="E812" s="111" t="str">
        <f t="shared" ref="E812:E818" si="277">E804</f>
        <v>B00101</v>
      </c>
      <c r="F812" s="111" t="str">
        <f t="shared" si="276"/>
        <v>6001</v>
      </c>
      <c r="G812" s="111">
        <f t="shared" si="261"/>
        <v>20180328</v>
      </c>
      <c r="H812" s="111" t="str">
        <f t="shared" si="273"/>
        <v>CZCE</v>
      </c>
      <c r="I812" s="111" t="str">
        <f t="shared" ref="I812:I818" si="278">I804</f>
        <v>SR807</v>
      </c>
      <c r="J812" s="113">
        <f t="shared" si="262"/>
        <v>10</v>
      </c>
      <c r="K812" s="113">
        <v>3</v>
      </c>
      <c r="L812" s="113">
        <v>1</v>
      </c>
      <c r="M812" s="113">
        <f t="shared" si="275"/>
        <v>14</v>
      </c>
      <c r="N812" s="113">
        <f t="shared" si="263"/>
        <v>6170</v>
      </c>
      <c r="O812" s="113">
        <v>2</v>
      </c>
      <c r="P812" s="113">
        <f t="shared" si="266"/>
        <v>14</v>
      </c>
      <c r="Q812" s="113">
        <f t="shared" si="267"/>
        <v>14</v>
      </c>
      <c r="R812" s="113">
        <f t="shared" si="268"/>
        <v>0</v>
      </c>
      <c r="S812" s="111">
        <f t="shared" si="250"/>
        <v>2.9999999999999997E-4</v>
      </c>
      <c r="T812" s="111">
        <f t="shared" si="244"/>
        <v>3</v>
      </c>
      <c r="U812" s="111">
        <f t="shared" si="251"/>
        <v>301.14</v>
      </c>
      <c r="V812" s="111">
        <v>2</v>
      </c>
      <c r="W812" s="335">
        <v>1</v>
      </c>
      <c r="X812" s="111" t="str">
        <f t="shared" si="245"/>
        <v>9999</v>
      </c>
      <c r="Y812" s="111" t="str">
        <f t="shared" si="246"/>
        <v>CNY</v>
      </c>
      <c r="Z812" s="111">
        <v>2</v>
      </c>
      <c r="AA812" s="111" t="str">
        <f t="shared" si="252"/>
        <v>SR80712</v>
      </c>
      <c r="AB812">
        <f t="shared" si="247"/>
        <v>20180328</v>
      </c>
      <c r="AC812">
        <f t="shared" si="253"/>
        <v>1</v>
      </c>
      <c r="AD812" s="656">
        <v>0</v>
      </c>
      <c r="AE812" s="664">
        <f t="shared" si="254"/>
        <v>0</v>
      </c>
    </row>
    <row r="813" spans="1:31" s="6" customFormat="1" x14ac:dyDescent="0.25">
      <c r="B813" s="656" t="str">
        <f t="shared" si="264"/>
        <v/>
      </c>
      <c r="C813" s="111">
        <f t="shared" si="260"/>
        <v>20180328</v>
      </c>
      <c r="D813" s="111" t="str">
        <f t="shared" ref="D813:F813" si="279">D807</f>
        <v>6001</v>
      </c>
      <c r="E813" s="111" t="str">
        <f t="shared" si="277"/>
        <v>B00101</v>
      </c>
      <c r="F813" s="111" t="str">
        <f t="shared" si="279"/>
        <v>6001</v>
      </c>
      <c r="G813" s="111">
        <f t="shared" si="261"/>
        <v>20180328</v>
      </c>
      <c r="H813" s="111" t="str">
        <f t="shared" si="273"/>
        <v>CZCE</v>
      </c>
      <c r="I813" s="111" t="str">
        <f t="shared" si="278"/>
        <v>SR807</v>
      </c>
      <c r="J813" s="113">
        <f t="shared" si="262"/>
        <v>10</v>
      </c>
      <c r="K813" s="113">
        <v>2</v>
      </c>
      <c r="L813" s="113">
        <v>3</v>
      </c>
      <c r="M813" s="113">
        <f t="shared" si="275"/>
        <v>5</v>
      </c>
      <c r="N813" s="113">
        <f t="shared" si="263"/>
        <v>6170</v>
      </c>
      <c r="O813" s="113">
        <v>2</v>
      </c>
      <c r="P813" s="113">
        <f t="shared" si="266"/>
        <v>5</v>
      </c>
      <c r="Q813" s="113">
        <f t="shared" si="267"/>
        <v>5</v>
      </c>
      <c r="R813" s="113">
        <f t="shared" si="268"/>
        <v>0</v>
      </c>
      <c r="S813" s="111">
        <f t="shared" si="250"/>
        <v>2.9999999999999997E-4</v>
      </c>
      <c r="T813" s="111">
        <f t="shared" si="244"/>
        <v>3</v>
      </c>
      <c r="U813" s="111">
        <f t="shared" si="251"/>
        <v>107.55</v>
      </c>
      <c r="V813" s="111">
        <v>2</v>
      </c>
      <c r="W813" s="335">
        <v>1</v>
      </c>
      <c r="X813" s="111" t="str">
        <f t="shared" si="245"/>
        <v>9999</v>
      </c>
      <c r="Y813" s="111" t="str">
        <f t="shared" si="246"/>
        <v>CNY</v>
      </c>
      <c r="Z813" s="111">
        <v>2</v>
      </c>
      <c r="AA813" s="111" t="str">
        <f t="shared" si="252"/>
        <v>SR80732</v>
      </c>
      <c r="AB813">
        <f t="shared" si="247"/>
        <v>20180328</v>
      </c>
      <c r="AC813">
        <f t="shared" si="253"/>
        <v>1</v>
      </c>
      <c r="AD813" s="656">
        <v>0</v>
      </c>
      <c r="AE813" s="664">
        <f t="shared" si="254"/>
        <v>0</v>
      </c>
    </row>
    <row r="814" spans="1:31" s="6" customFormat="1" x14ac:dyDescent="0.25">
      <c r="B814" s="656" t="str">
        <f t="shared" si="264"/>
        <v/>
      </c>
      <c r="C814" s="111">
        <f t="shared" si="260"/>
        <v>20180328</v>
      </c>
      <c r="D814" s="111" t="str">
        <f t="shared" ref="D814:F814" si="280">D808</f>
        <v>6001</v>
      </c>
      <c r="E814" s="111" t="str">
        <f t="shared" si="277"/>
        <v>B00101</v>
      </c>
      <c r="F814" s="111" t="str">
        <f t="shared" si="280"/>
        <v>6001</v>
      </c>
      <c r="G814" s="111">
        <f t="shared" si="261"/>
        <v>20180328</v>
      </c>
      <c r="H814" s="111" t="str">
        <f t="shared" si="273"/>
        <v>CZCE</v>
      </c>
      <c r="I814" s="111" t="str">
        <f t="shared" si="278"/>
        <v>SR807</v>
      </c>
      <c r="J814" s="113">
        <f t="shared" si="262"/>
        <v>10</v>
      </c>
      <c r="K814" s="113">
        <v>3</v>
      </c>
      <c r="L814" s="113">
        <v>3</v>
      </c>
      <c r="M814" s="113">
        <f t="shared" si="275"/>
        <v>21</v>
      </c>
      <c r="N814" s="113">
        <f t="shared" si="263"/>
        <v>6170</v>
      </c>
      <c r="O814" s="113">
        <v>2</v>
      </c>
      <c r="P814" s="113">
        <f t="shared" si="266"/>
        <v>21</v>
      </c>
      <c r="Q814" s="113">
        <f t="shared" si="267"/>
        <v>21</v>
      </c>
      <c r="R814" s="113">
        <f t="shared" si="268"/>
        <v>0</v>
      </c>
      <c r="S814" s="111">
        <f t="shared" si="250"/>
        <v>2.9999999999999997E-4</v>
      </c>
      <c r="T814" s="111">
        <f t="shared" si="244"/>
        <v>3</v>
      </c>
      <c r="U814" s="111">
        <f t="shared" si="251"/>
        <v>451.71</v>
      </c>
      <c r="V814" s="111">
        <v>2</v>
      </c>
      <c r="W814" s="335">
        <v>1</v>
      </c>
      <c r="X814" s="111" t="str">
        <f t="shared" si="245"/>
        <v>9999</v>
      </c>
      <c r="Y814" s="111" t="str">
        <f t="shared" si="246"/>
        <v>CNY</v>
      </c>
      <c r="Z814" s="111">
        <v>2</v>
      </c>
      <c r="AA814" s="111" t="str">
        <f t="shared" si="252"/>
        <v>SR80732</v>
      </c>
      <c r="AB814">
        <f t="shared" si="247"/>
        <v>20180328</v>
      </c>
      <c r="AC814">
        <f t="shared" si="253"/>
        <v>1</v>
      </c>
      <c r="AD814" s="656">
        <v>0</v>
      </c>
      <c r="AE814" s="664">
        <f t="shared" si="254"/>
        <v>0</v>
      </c>
    </row>
    <row r="815" spans="1:31" s="6" customFormat="1" x14ac:dyDescent="0.25">
      <c r="B815" s="656" t="str">
        <f t="shared" si="264"/>
        <v/>
      </c>
      <c r="C815" s="111">
        <f t="shared" si="260"/>
        <v>20180328</v>
      </c>
      <c r="D815" s="111" t="str">
        <f t="shared" ref="D815:F815" si="281">D809</f>
        <v>6001</v>
      </c>
      <c r="E815" s="111" t="str">
        <f>E807</f>
        <v>B00102</v>
      </c>
      <c r="F815" s="111" t="str">
        <f t="shared" si="281"/>
        <v>6001</v>
      </c>
      <c r="G815" s="111">
        <f t="shared" si="261"/>
        <v>20180328</v>
      </c>
      <c r="H815" s="111" t="str">
        <f t="shared" si="273"/>
        <v>CZCE</v>
      </c>
      <c r="I815" s="111" t="str">
        <f t="shared" si="278"/>
        <v>PTA807</v>
      </c>
      <c r="J815" s="113">
        <f t="shared" si="262"/>
        <v>5</v>
      </c>
      <c r="K815" s="113">
        <v>2</v>
      </c>
      <c r="L815" s="113">
        <v>1</v>
      </c>
      <c r="M815" s="113">
        <f t="shared" si="275"/>
        <v>10</v>
      </c>
      <c r="N815" s="113">
        <f t="shared" si="263"/>
        <v>6165</v>
      </c>
      <c r="O815" s="113">
        <v>2</v>
      </c>
      <c r="P815" s="113">
        <f t="shared" si="266"/>
        <v>10</v>
      </c>
      <c r="Q815" s="113">
        <f t="shared" si="267"/>
        <v>10</v>
      </c>
      <c r="R815" s="113">
        <f t="shared" si="268"/>
        <v>0</v>
      </c>
      <c r="S815" s="111">
        <f t="shared" si="250"/>
        <v>2.9999999999999997E-4</v>
      </c>
      <c r="T815" s="111">
        <f t="shared" si="244"/>
        <v>3</v>
      </c>
      <c r="U815" s="111">
        <f t="shared" si="251"/>
        <v>122.48</v>
      </c>
      <c r="V815" s="111">
        <v>2</v>
      </c>
      <c r="W815" s="335">
        <v>1</v>
      </c>
      <c r="X815" s="111" t="str">
        <f t="shared" si="245"/>
        <v>9999</v>
      </c>
      <c r="Y815" s="111" t="str">
        <f t="shared" si="246"/>
        <v>CNY</v>
      </c>
      <c r="Z815" s="111">
        <v>2</v>
      </c>
      <c r="AA815" s="111" t="str">
        <f t="shared" si="252"/>
        <v>PTA80712</v>
      </c>
      <c r="AB815">
        <f t="shared" si="247"/>
        <v>20180328</v>
      </c>
      <c r="AC815">
        <f t="shared" si="253"/>
        <v>1</v>
      </c>
      <c r="AD815" s="656">
        <v>0</v>
      </c>
      <c r="AE815" s="664">
        <f t="shared" si="254"/>
        <v>1</v>
      </c>
    </row>
    <row r="816" spans="1:31" s="6" customFormat="1" x14ac:dyDescent="0.25">
      <c r="B816" s="656" t="str">
        <f t="shared" si="264"/>
        <v/>
      </c>
      <c r="C816" s="111">
        <f t="shared" si="260"/>
        <v>20180328</v>
      </c>
      <c r="D816" s="111" t="str">
        <f t="shared" ref="D816:F816" si="282">D810</f>
        <v>6001</v>
      </c>
      <c r="E816" s="111" t="str">
        <f t="shared" si="277"/>
        <v>B00102</v>
      </c>
      <c r="F816" s="111" t="str">
        <f t="shared" si="282"/>
        <v>6001</v>
      </c>
      <c r="G816" s="111">
        <f t="shared" si="261"/>
        <v>20180328</v>
      </c>
      <c r="H816" s="111" t="str">
        <f t="shared" si="273"/>
        <v>CZCE</v>
      </c>
      <c r="I816" s="111" t="str">
        <f t="shared" si="278"/>
        <v>PTA807</v>
      </c>
      <c r="J816" s="113">
        <f t="shared" si="262"/>
        <v>5</v>
      </c>
      <c r="K816" s="113">
        <v>3</v>
      </c>
      <c r="L816" s="113">
        <v>1</v>
      </c>
      <c r="M816" s="113">
        <f t="shared" si="275"/>
        <v>4</v>
      </c>
      <c r="N816" s="113">
        <f t="shared" si="263"/>
        <v>6165</v>
      </c>
      <c r="O816" s="113">
        <v>2</v>
      </c>
      <c r="P816" s="113">
        <f t="shared" si="266"/>
        <v>4</v>
      </c>
      <c r="Q816" s="113">
        <f t="shared" si="267"/>
        <v>4</v>
      </c>
      <c r="R816" s="113">
        <f t="shared" si="268"/>
        <v>0</v>
      </c>
      <c r="S816" s="111">
        <f t="shared" si="250"/>
        <v>2.9999999999999997E-4</v>
      </c>
      <c r="T816" s="111">
        <f t="shared" si="244"/>
        <v>3</v>
      </c>
      <c r="U816" s="111">
        <f t="shared" si="251"/>
        <v>48.99</v>
      </c>
      <c r="V816" s="111">
        <v>2</v>
      </c>
      <c r="W816" s="335">
        <v>1</v>
      </c>
      <c r="X816" s="111" t="str">
        <f t="shared" si="245"/>
        <v>9999</v>
      </c>
      <c r="Y816" s="111" t="str">
        <f t="shared" si="246"/>
        <v>CNY</v>
      </c>
      <c r="Z816" s="111">
        <v>2</v>
      </c>
      <c r="AA816" s="111" t="str">
        <f t="shared" si="252"/>
        <v>PTA80712</v>
      </c>
      <c r="AB816">
        <f t="shared" si="247"/>
        <v>20180328</v>
      </c>
      <c r="AC816">
        <f t="shared" si="253"/>
        <v>1</v>
      </c>
      <c r="AD816" s="656">
        <v>0</v>
      </c>
      <c r="AE816" s="664">
        <f t="shared" si="254"/>
        <v>1</v>
      </c>
    </row>
    <row r="817" spans="1:31" s="6" customFormat="1" x14ac:dyDescent="0.25">
      <c r="B817" s="656" t="str">
        <f t="shared" si="264"/>
        <v/>
      </c>
      <c r="C817" s="111">
        <f t="shared" si="260"/>
        <v>20180328</v>
      </c>
      <c r="D817" s="111" t="str">
        <f t="shared" ref="D817:F817" si="283">D811</f>
        <v>6001</v>
      </c>
      <c r="E817" s="111" t="str">
        <f t="shared" si="277"/>
        <v>B00102</v>
      </c>
      <c r="F817" s="111" t="str">
        <f t="shared" si="283"/>
        <v>6001</v>
      </c>
      <c r="G817" s="111">
        <f t="shared" si="261"/>
        <v>20180328</v>
      </c>
      <c r="H817" s="111" t="str">
        <f t="shared" si="273"/>
        <v>CZCE</v>
      </c>
      <c r="I817" s="111" t="str">
        <f t="shared" si="278"/>
        <v>PTA807</v>
      </c>
      <c r="J817" s="113">
        <f t="shared" si="262"/>
        <v>5</v>
      </c>
      <c r="K817" s="113">
        <v>2</v>
      </c>
      <c r="L817" s="113">
        <v>3</v>
      </c>
      <c r="M817" s="113">
        <f t="shared" si="275"/>
        <v>7</v>
      </c>
      <c r="N817" s="113">
        <f t="shared" si="263"/>
        <v>6165</v>
      </c>
      <c r="O817" s="113">
        <v>2</v>
      </c>
      <c r="P817" s="113">
        <f t="shared" si="266"/>
        <v>7</v>
      </c>
      <c r="Q817" s="113">
        <f t="shared" si="267"/>
        <v>7</v>
      </c>
      <c r="R817" s="113">
        <f t="shared" si="268"/>
        <v>0</v>
      </c>
      <c r="S817" s="111">
        <f t="shared" si="250"/>
        <v>2.9999999999999997E-4</v>
      </c>
      <c r="T817" s="111">
        <f t="shared" si="244"/>
        <v>3</v>
      </c>
      <c r="U817" s="111">
        <f t="shared" si="251"/>
        <v>85.73</v>
      </c>
      <c r="V817" s="111">
        <v>2</v>
      </c>
      <c r="W817" s="335">
        <v>1</v>
      </c>
      <c r="X817" s="111" t="str">
        <f t="shared" si="245"/>
        <v>9999</v>
      </c>
      <c r="Y817" s="111" t="str">
        <f t="shared" si="246"/>
        <v>CNY</v>
      </c>
      <c r="Z817" s="111">
        <v>2</v>
      </c>
      <c r="AA817" s="111" t="str">
        <f t="shared" si="252"/>
        <v>PTA80732</v>
      </c>
      <c r="AB817">
        <f t="shared" si="247"/>
        <v>20180328</v>
      </c>
      <c r="AC817">
        <f t="shared" si="253"/>
        <v>1</v>
      </c>
      <c r="AD817" s="656">
        <v>0</v>
      </c>
      <c r="AE817" s="664">
        <f t="shared" si="254"/>
        <v>1</v>
      </c>
    </row>
    <row r="818" spans="1:31" s="6" customFormat="1" x14ac:dyDescent="0.25">
      <c r="B818" s="656" t="str">
        <f t="shared" si="264"/>
        <v/>
      </c>
      <c r="C818" s="111">
        <f t="shared" si="260"/>
        <v>20180328</v>
      </c>
      <c r="D818" s="111" t="str">
        <f t="shared" ref="D818:F818" si="284">D812</f>
        <v>6001</v>
      </c>
      <c r="E818" s="111" t="str">
        <f t="shared" si="277"/>
        <v>B00102</v>
      </c>
      <c r="F818" s="111" t="str">
        <f t="shared" si="284"/>
        <v>6001</v>
      </c>
      <c r="G818" s="111">
        <f t="shared" si="261"/>
        <v>20180328</v>
      </c>
      <c r="H818" s="111" t="str">
        <f t="shared" si="273"/>
        <v>CZCE</v>
      </c>
      <c r="I818" s="111" t="str">
        <f t="shared" si="278"/>
        <v>PTA807</v>
      </c>
      <c r="J818" s="113">
        <f t="shared" si="262"/>
        <v>5</v>
      </c>
      <c r="K818" s="113">
        <v>3</v>
      </c>
      <c r="L818" s="113">
        <v>3</v>
      </c>
      <c r="M818" s="113">
        <f t="shared" si="275"/>
        <v>7</v>
      </c>
      <c r="N818" s="113">
        <f t="shared" si="263"/>
        <v>6165</v>
      </c>
      <c r="O818" s="113">
        <v>2</v>
      </c>
      <c r="P818" s="113">
        <f t="shared" si="266"/>
        <v>7</v>
      </c>
      <c r="Q818" s="113">
        <f t="shared" si="267"/>
        <v>7</v>
      </c>
      <c r="R818" s="113">
        <f t="shared" si="268"/>
        <v>0</v>
      </c>
      <c r="S818" s="111">
        <f t="shared" si="250"/>
        <v>2.9999999999999997E-4</v>
      </c>
      <c r="T818" s="111">
        <f t="shared" si="244"/>
        <v>3</v>
      </c>
      <c r="U818" s="111">
        <f t="shared" si="251"/>
        <v>85.73</v>
      </c>
      <c r="V818" s="111">
        <v>2</v>
      </c>
      <c r="W818" s="335">
        <v>1</v>
      </c>
      <c r="X818" s="111" t="str">
        <f t="shared" si="245"/>
        <v>9999</v>
      </c>
      <c r="Y818" s="111" t="str">
        <f t="shared" si="246"/>
        <v>CNY</v>
      </c>
      <c r="Z818" s="111">
        <v>2</v>
      </c>
      <c r="AA818" s="111" t="str">
        <f t="shared" si="252"/>
        <v>PTA80732</v>
      </c>
      <c r="AB818">
        <f t="shared" si="247"/>
        <v>20180328</v>
      </c>
      <c r="AC818">
        <f t="shared" si="253"/>
        <v>1</v>
      </c>
      <c r="AD818" s="656">
        <v>0</v>
      </c>
      <c r="AE818" s="664">
        <f t="shared" si="254"/>
        <v>1</v>
      </c>
    </row>
    <row r="819" spans="1:31" x14ac:dyDescent="0.25">
      <c r="A819" t="s">
        <v>173</v>
      </c>
      <c r="B819" s="103" t="s">
        <v>1376</v>
      </c>
      <c r="J819" s="160"/>
      <c r="K819" s="160"/>
      <c r="T819" s="260"/>
    </row>
    <row r="820" spans="1:31" x14ac:dyDescent="0.25">
      <c r="A820" s="157" t="s">
        <v>970</v>
      </c>
      <c r="B820" s="157" t="s">
        <v>971</v>
      </c>
      <c r="J820" s="160"/>
      <c r="K820" s="160"/>
    </row>
    <row r="821" spans="1:31" x14ac:dyDescent="0.25">
      <c r="A821" s="4" t="s">
        <v>306</v>
      </c>
      <c r="B821" s="732" t="s">
        <v>431</v>
      </c>
      <c r="C821" s="721"/>
      <c r="D821" s="721"/>
      <c r="E821" s="721"/>
      <c r="F821" s="721"/>
      <c r="G821" s="721"/>
      <c r="H821" s="721"/>
      <c r="I821" s="721"/>
      <c r="J821" s="721"/>
      <c r="K821" s="721"/>
      <c r="L821" s="721"/>
      <c r="M821" s="721"/>
      <c r="N821" s="721"/>
      <c r="O821" s="721"/>
      <c r="P821" s="721"/>
      <c r="Q821" s="721"/>
      <c r="R821" s="721"/>
      <c r="S821" s="721"/>
      <c r="T821" s="721"/>
      <c r="U821" s="721"/>
      <c r="V821" s="721"/>
      <c r="W821" s="721"/>
      <c r="X821" s="721"/>
      <c r="Y821" s="721"/>
      <c r="Z821" s="721"/>
      <c r="AA821" s="721"/>
      <c r="AB821" s="721"/>
      <c r="AC821" s="721"/>
    </row>
    <row r="822" spans="1:31" x14ac:dyDescent="0.25">
      <c r="A822" t="s">
        <v>359</v>
      </c>
      <c r="B822" s="7" t="s">
        <v>2120</v>
      </c>
      <c r="C822" s="7" t="s">
        <v>191</v>
      </c>
      <c r="D822" s="7" t="s">
        <v>407</v>
      </c>
      <c r="E822" s="7" t="s">
        <v>19</v>
      </c>
      <c r="F822" s="7" t="s">
        <v>287</v>
      </c>
      <c r="G822" s="7" t="s">
        <v>118</v>
      </c>
      <c r="H822" s="7" t="s">
        <v>226</v>
      </c>
      <c r="I822" s="7" t="s">
        <v>365</v>
      </c>
      <c r="J822" s="7" t="s">
        <v>5</v>
      </c>
      <c r="K822" s="109" t="s">
        <v>1469</v>
      </c>
      <c r="L822" s="109" t="s">
        <v>1470</v>
      </c>
      <c r="M822" s="7" t="s">
        <v>294</v>
      </c>
      <c r="N822" s="7" t="s">
        <v>9</v>
      </c>
      <c r="O822" s="7" t="s">
        <v>18</v>
      </c>
      <c r="P822" s="7" t="s">
        <v>385</v>
      </c>
      <c r="Q822" s="7" t="s">
        <v>425</v>
      </c>
      <c r="R822" s="7" t="s">
        <v>432</v>
      </c>
      <c r="S822" s="7" t="s">
        <v>433</v>
      </c>
      <c r="T822" s="7" t="s">
        <v>434</v>
      </c>
      <c r="U822" s="7" t="s">
        <v>435</v>
      </c>
      <c r="V822" s="7"/>
      <c r="W822" s="7" t="s">
        <v>1363</v>
      </c>
      <c r="X822" s="7" t="s">
        <v>436</v>
      </c>
      <c r="Y822" s="7" t="s">
        <v>451</v>
      </c>
      <c r="Z822" s="7" t="s">
        <v>452</v>
      </c>
      <c r="AA822" s="7" t="s">
        <v>415</v>
      </c>
      <c r="AB822" s="7" t="s">
        <v>439</v>
      </c>
      <c r="AC822" s="7" t="s">
        <v>448</v>
      </c>
      <c r="AD822" s="7" t="s">
        <v>450</v>
      </c>
    </row>
    <row r="823" spans="1:31" x14ac:dyDescent="0.25">
      <c r="B823" s="7" t="s">
        <v>2120</v>
      </c>
      <c r="C823" s="7" t="s">
        <v>346</v>
      </c>
      <c r="D823" s="7" t="s">
        <v>400</v>
      </c>
      <c r="E823" s="7" t="s">
        <v>321</v>
      </c>
      <c r="F823" s="7" t="s">
        <v>322</v>
      </c>
      <c r="G823" s="7" t="s">
        <v>1982</v>
      </c>
      <c r="H823" s="7" t="s">
        <v>709</v>
      </c>
      <c r="I823" s="7" t="s">
        <v>399</v>
      </c>
      <c r="J823" s="7" t="s">
        <v>327</v>
      </c>
      <c r="K823" s="7" t="s">
        <v>328</v>
      </c>
      <c r="L823" s="7" t="s">
        <v>405</v>
      </c>
      <c r="M823" s="7" t="s">
        <v>331</v>
      </c>
      <c r="N823" s="7" t="s">
        <v>332</v>
      </c>
      <c r="O823" s="7" t="s">
        <v>333</v>
      </c>
      <c r="P823" s="7" t="s">
        <v>394</v>
      </c>
      <c r="Q823" s="7" t="s">
        <v>1080</v>
      </c>
      <c r="R823" s="7" t="s">
        <v>440</v>
      </c>
      <c r="S823" s="7" t="s">
        <v>441</v>
      </c>
      <c r="T823" s="7" t="s">
        <v>442</v>
      </c>
      <c r="U823" s="7" t="s">
        <v>443</v>
      </c>
      <c r="V823" s="7" t="s">
        <v>444</v>
      </c>
      <c r="W823" s="7" t="s">
        <v>445</v>
      </c>
      <c r="X823" s="7" t="s">
        <v>446</v>
      </c>
      <c r="Y823" s="7" t="s">
        <v>453</v>
      </c>
      <c r="Z823" s="7" t="s">
        <v>454</v>
      </c>
      <c r="AA823" s="7" t="s">
        <v>423</v>
      </c>
      <c r="AB823" s="7" t="s">
        <v>447</v>
      </c>
      <c r="AC823" s="7" t="s">
        <v>448</v>
      </c>
      <c r="AD823" s="7" t="s">
        <v>450</v>
      </c>
      <c r="AE823" s="123" t="s">
        <v>2119</v>
      </c>
    </row>
    <row r="824" spans="1:31" s="510" customFormat="1" x14ac:dyDescent="0.25">
      <c r="A824" s="510" t="s">
        <v>1980</v>
      </c>
      <c r="B824" s="6" t="str">
        <f>IF(R824&gt;0,D824&amp;F824&amp;K824&amp;M824&amp;N824,"")</f>
        <v/>
      </c>
      <c r="C824" s="511" t="str">
        <f t="shared" ref="C824:C836" si="285">$F$5</f>
        <v>9999</v>
      </c>
      <c r="D824" s="511">
        <f>'day2'!D822</f>
        <v>20180326</v>
      </c>
      <c r="E824" s="511" t="str">
        <f>'day2'!E822</f>
        <v>6001</v>
      </c>
      <c r="F824" s="511" t="str">
        <f>'day2'!F822</f>
        <v>B00101</v>
      </c>
      <c r="G824" s="511" t="str">
        <f>'day2'!G822</f>
        <v>6001</v>
      </c>
      <c r="H824" s="511" t="str">
        <f>'day2'!H822</f>
        <v>CNY</v>
      </c>
      <c r="I824" s="511">
        <f>'day2'!I822</f>
        <v>20180326</v>
      </c>
      <c r="J824" s="511" t="str">
        <f>'day2'!J822</f>
        <v>CZCE</v>
      </c>
      <c r="K824" s="511" t="str">
        <f>'day2'!K822</f>
        <v>SR807</v>
      </c>
      <c r="L824" s="511">
        <f>'day2'!L822</f>
        <v>10</v>
      </c>
      <c r="M824" s="511">
        <f>'day2'!M822</f>
        <v>3</v>
      </c>
      <c r="N824" s="511">
        <f>'day2'!N822</f>
        <v>1</v>
      </c>
      <c r="O824" s="511">
        <f>'day2'!O822</f>
        <v>2</v>
      </c>
      <c r="P824" s="511">
        <f>'day2'!P822</f>
        <v>6130</v>
      </c>
      <c r="Q824" s="511">
        <f>'day2'!Q822</f>
        <v>1</v>
      </c>
      <c r="R824" s="511">
        <v>0</v>
      </c>
      <c r="S824" s="511">
        <f>R824+AE824</f>
        <v>2</v>
      </c>
      <c r="T824" s="511">
        <f>O824-S824</f>
        <v>0</v>
      </c>
      <c r="U824" s="511">
        <v>0</v>
      </c>
      <c r="V824" s="511">
        <v>0</v>
      </c>
      <c r="W824" s="511">
        <v>0</v>
      </c>
      <c r="X824" s="511">
        <v>0</v>
      </c>
      <c r="Y824" s="512">
        <f t="shared" ref="Y824:Y825" si="286">ROUND(L824*P824*T824*U824+T824*V824,2)</f>
        <v>0</v>
      </c>
      <c r="Z824" s="512">
        <f t="shared" ref="Z824:Z825" si="287">ROUND(L824*P824*T824*W824+T824*X824,2)</f>
        <v>0</v>
      </c>
      <c r="AA824" s="511">
        <v>2</v>
      </c>
      <c r="AB824" s="511">
        <v>1</v>
      </c>
      <c r="AC824" s="511">
        <f>IF(M824=2,0,1)</f>
        <v>1</v>
      </c>
      <c r="AD824" s="511" t="str">
        <f>K824&amp;N824&amp;AC824</f>
        <v>SR80711</v>
      </c>
      <c r="AE824" s="510">
        <f>'day2'!S822</f>
        <v>2</v>
      </c>
    </row>
    <row r="825" spans="1:31" s="510" customFormat="1" x14ac:dyDescent="0.25">
      <c r="B825" s="6" t="str">
        <f t="shared" ref="B825:B836" si="288">IF(R825&gt;0,D825&amp;F825&amp;K825&amp;M825&amp;N825,"")</f>
        <v/>
      </c>
      <c r="C825" s="511" t="str">
        <f t="shared" si="285"/>
        <v>9999</v>
      </c>
      <c r="D825" s="511">
        <f>'day2'!D823</f>
        <v>20180326</v>
      </c>
      <c r="E825" s="511" t="str">
        <f>'day2'!E823</f>
        <v>6001</v>
      </c>
      <c r="F825" s="511" t="str">
        <f>'day2'!F823</f>
        <v>B00102</v>
      </c>
      <c r="G825" s="511" t="str">
        <f>'day2'!G823</f>
        <v>6001</v>
      </c>
      <c r="H825" s="511" t="str">
        <f>'day2'!H823</f>
        <v>CNY</v>
      </c>
      <c r="I825" s="511">
        <f>'day2'!I823</f>
        <v>20180326</v>
      </c>
      <c r="J825" s="511" t="str">
        <f>'day2'!J823</f>
        <v>CZCE</v>
      </c>
      <c r="K825" s="511" t="str">
        <f>'day2'!K823</f>
        <v>PTA807</v>
      </c>
      <c r="L825" s="511">
        <f>'day2'!L823</f>
        <v>5</v>
      </c>
      <c r="M825" s="511">
        <f>'day2'!M823</f>
        <v>2</v>
      </c>
      <c r="N825" s="511">
        <f>'day2'!N823</f>
        <v>1</v>
      </c>
      <c r="O825" s="511">
        <f>'day2'!O823</f>
        <v>5</v>
      </c>
      <c r="P825" s="511">
        <f>'day2'!P823</f>
        <v>6120</v>
      </c>
      <c r="Q825" s="511">
        <f>'day2'!Q823</f>
        <v>1</v>
      </c>
      <c r="R825" s="511">
        <v>0</v>
      </c>
      <c r="S825" s="511">
        <f t="shared" ref="S825:S828" si="289">R825+AE825</f>
        <v>0</v>
      </c>
      <c r="T825" s="511">
        <f t="shared" ref="T825:T826" si="290">O825-S825</f>
        <v>5</v>
      </c>
      <c r="U825" s="511">
        <f>IF(M825=3,0,VLOOKUP(AD825,$F$53:$L$72,4,FALSE))</f>
        <v>0.05</v>
      </c>
      <c r="V825" s="511">
        <f>IF(M825=3,0,VLOOKUP(AD825,$F$53:$L$72,5,FALSE))</f>
        <v>5</v>
      </c>
      <c r="W825" s="511">
        <f>IF(M825=3,0,VLOOKUP(AD825,$F$53:$L$72,2,FALSE))</f>
        <v>0.04</v>
      </c>
      <c r="X825" s="511">
        <f>IF(M825=3,0,VLOOKUP(AD825,$F$53:$L$72,3,FALSE))</f>
        <v>4</v>
      </c>
      <c r="Y825" s="512">
        <f t="shared" si="286"/>
        <v>7675</v>
      </c>
      <c r="Z825" s="512">
        <f t="shared" si="287"/>
        <v>6140</v>
      </c>
      <c r="AA825" s="511">
        <v>1</v>
      </c>
      <c r="AB825" s="511">
        <v>1</v>
      </c>
      <c r="AC825" s="511">
        <f>IF(M825=2,0,1)</f>
        <v>0</v>
      </c>
      <c r="AD825" s="511" t="str">
        <f>K825&amp;N825&amp;AC825</f>
        <v>PTA80710</v>
      </c>
      <c r="AE825" s="510">
        <f>'day2'!S823</f>
        <v>0</v>
      </c>
    </row>
    <row r="826" spans="1:31" s="510" customFormat="1" x14ac:dyDescent="0.25">
      <c r="B826" s="6" t="str">
        <f t="shared" si="288"/>
        <v>20180327B00101SR80921</v>
      </c>
      <c r="C826" s="511" t="str">
        <f t="shared" si="285"/>
        <v>9999</v>
      </c>
      <c r="D826" s="511">
        <f>'day2'!D824</f>
        <v>20180327</v>
      </c>
      <c r="E826" s="511" t="str">
        <f>'day2'!E824</f>
        <v>6001</v>
      </c>
      <c r="F826" s="511" t="str">
        <f>'day2'!F824</f>
        <v>B00101</v>
      </c>
      <c r="G826" s="511" t="str">
        <f>'day2'!G824</f>
        <v>6001</v>
      </c>
      <c r="H826" s="511" t="str">
        <f>'day2'!H824</f>
        <v>CNY</v>
      </c>
      <c r="I826" s="511">
        <f>'day2'!I824</f>
        <v>20180327</v>
      </c>
      <c r="J826" s="511" t="str">
        <f>'day2'!J824</f>
        <v>CZCE</v>
      </c>
      <c r="K826" s="511" t="str">
        <f>'day2'!K824</f>
        <v>SR809</v>
      </c>
      <c r="L826" s="511">
        <f>'day2'!L824</f>
        <v>10</v>
      </c>
      <c r="M826" s="511">
        <f>'day2'!M824</f>
        <v>2</v>
      </c>
      <c r="N826" s="511">
        <f>'day2'!N824</f>
        <v>1</v>
      </c>
      <c r="O826" s="511">
        <f>'day2'!O824</f>
        <v>6</v>
      </c>
      <c r="P826" s="511">
        <f>'day2'!P824</f>
        <v>6135</v>
      </c>
      <c r="Q826" s="511">
        <f>'day2'!Q824</f>
        <v>1</v>
      </c>
      <c r="R826" s="511">
        <v>2</v>
      </c>
      <c r="S826" s="511">
        <f t="shared" si="289"/>
        <v>6</v>
      </c>
      <c r="T826" s="511">
        <f t="shared" si="290"/>
        <v>0</v>
      </c>
      <c r="U826" s="511">
        <f t="shared" ref="U826:U836" si="291">IF(M826=3,0,VLOOKUP(AD826,$F$53:$L$72,4,FALSE))</f>
        <v>0.05</v>
      </c>
      <c r="V826" s="511">
        <f t="shared" ref="V826:V836" si="292">IF(M826=3,0,VLOOKUP(AD826,$F$53:$L$72,5,FALSE))</f>
        <v>5</v>
      </c>
      <c r="W826" s="511">
        <f t="shared" ref="W826:W836" si="293">IF(M826=3,0,VLOOKUP(AD826,$F$53:$L$72,2,FALSE))</f>
        <v>0.04</v>
      </c>
      <c r="X826" s="511">
        <f t="shared" ref="X826:X836" si="294">IF(M826=3,0,VLOOKUP(AD826,$F$53:$L$72,3,FALSE))</f>
        <v>4</v>
      </c>
      <c r="Y826" s="512">
        <f>ROUND(L826*P826*T826*U826+T826*V826,2)</f>
        <v>0</v>
      </c>
      <c r="Z826" s="512">
        <f>ROUND(L826*P826*T826*W826+T826*X826,2)</f>
        <v>0</v>
      </c>
      <c r="AA826" s="511">
        <v>1</v>
      </c>
      <c r="AB826" s="511">
        <v>1</v>
      </c>
      <c r="AC826" s="511">
        <f>IF(M826=2,0,1)</f>
        <v>0</v>
      </c>
      <c r="AD826" s="511" t="str">
        <f>K826&amp;N826&amp;AC826</f>
        <v>SR80910</v>
      </c>
      <c r="AE826" s="510">
        <f>'day2'!S824</f>
        <v>4</v>
      </c>
    </row>
    <row r="827" spans="1:31" s="510" customFormat="1" x14ac:dyDescent="0.25">
      <c r="B827" s="6" t="str">
        <f t="shared" si="288"/>
        <v/>
      </c>
      <c r="C827" s="511" t="str">
        <f t="shared" si="285"/>
        <v>9999</v>
      </c>
      <c r="D827" s="511">
        <f>'day2'!D825</f>
        <v>20180327</v>
      </c>
      <c r="E827" s="511" t="str">
        <f>'day2'!E825</f>
        <v>6001</v>
      </c>
      <c r="F827" s="511" t="str">
        <f>'day2'!F825</f>
        <v>B00102</v>
      </c>
      <c r="G827" s="511" t="str">
        <f>'day2'!G825</f>
        <v>6001</v>
      </c>
      <c r="H827" s="511" t="str">
        <f>'day2'!H825</f>
        <v>CNY</v>
      </c>
      <c r="I827" s="511">
        <f>'day2'!I825</f>
        <v>20180327</v>
      </c>
      <c r="J827" s="511" t="str">
        <f>'day2'!J825</f>
        <v>CZCE</v>
      </c>
      <c r="K827" s="511" t="str">
        <f>'day2'!K825</f>
        <v>PTA809</v>
      </c>
      <c r="L827" s="511">
        <f>'day2'!L825</f>
        <v>5</v>
      </c>
      <c r="M827" s="511">
        <f>'day2'!M825</f>
        <v>3</v>
      </c>
      <c r="N827" s="511">
        <f>'day2'!N825</f>
        <v>1</v>
      </c>
      <c r="O827" s="511">
        <f>'day2'!O825</f>
        <v>4</v>
      </c>
      <c r="P827" s="511">
        <f>'day2'!P825</f>
        <v>6225</v>
      </c>
      <c r="Q827" s="511">
        <f>'day2'!Q825</f>
        <v>1</v>
      </c>
      <c r="R827" s="511">
        <v>0</v>
      </c>
      <c r="S827" s="511">
        <f t="shared" si="289"/>
        <v>0</v>
      </c>
      <c r="T827" s="511">
        <f t="shared" ref="T827:T828" si="295">O827-S827</f>
        <v>4</v>
      </c>
      <c r="U827" s="511">
        <f t="shared" ref="U827:U828" si="296">IF(M827=3,0,VLOOKUP(AD827,$F$53:$L$72,4,FALSE))</f>
        <v>0</v>
      </c>
      <c r="V827" s="511">
        <f t="shared" ref="V827:V828" si="297">IF(M827=3,0,VLOOKUP(AD827,$F$53:$L$72,5,FALSE))</f>
        <v>0</v>
      </c>
      <c r="W827" s="511">
        <f t="shared" ref="W827:W828" si="298">IF(M827=3,0,VLOOKUP(AD827,$F$53:$L$72,2,FALSE))</f>
        <v>0</v>
      </c>
      <c r="X827" s="511">
        <f t="shared" ref="X827:X828" si="299">IF(M827=3,0,VLOOKUP(AD827,$F$53:$L$72,3,FALSE))</f>
        <v>0</v>
      </c>
      <c r="Y827" s="512">
        <f t="shared" ref="Y827:Y828" si="300">ROUND(L827*P827*T827*U827+T827*V827,2)</f>
        <v>0</v>
      </c>
      <c r="Z827" s="512">
        <f t="shared" ref="Z827:Z828" si="301">ROUND(L827*P827*T827*W827+T827*X827,2)</f>
        <v>0</v>
      </c>
      <c r="AA827" s="511">
        <v>1</v>
      </c>
      <c r="AB827" s="511">
        <v>1</v>
      </c>
      <c r="AC827" s="511">
        <f t="shared" ref="AC827:AC828" si="302">IF(M827=2,0,1)</f>
        <v>1</v>
      </c>
      <c r="AD827" s="511" t="str">
        <f t="shared" ref="AD827:AD828" si="303">K827&amp;N827&amp;AC827</f>
        <v>PTA80911</v>
      </c>
      <c r="AE827" s="510">
        <f>'day2'!S825</f>
        <v>0</v>
      </c>
    </row>
    <row r="828" spans="1:31" s="510" customFormat="1" x14ac:dyDescent="0.25">
      <c r="B828" s="6" t="str">
        <f t="shared" si="288"/>
        <v/>
      </c>
      <c r="C828" s="511" t="str">
        <f t="shared" si="285"/>
        <v>9999</v>
      </c>
      <c r="D828" s="511">
        <f>'day2'!D826</f>
        <v>20180326</v>
      </c>
      <c r="E828" s="511" t="str">
        <f>'day2'!E826</f>
        <v>6001</v>
      </c>
      <c r="F828" s="511" t="str">
        <f>'day2'!F826</f>
        <v>B00102</v>
      </c>
      <c r="G828" s="511" t="str">
        <f>'day2'!G826</f>
        <v>6001</v>
      </c>
      <c r="H828" s="511" t="str">
        <f>'day2'!H826</f>
        <v>CNY</v>
      </c>
      <c r="I828" s="511">
        <f>'day2'!I826</f>
        <v>20180326</v>
      </c>
      <c r="J828" s="511" t="str">
        <f>'day2'!J826</f>
        <v>CZCE</v>
      </c>
      <c r="K828" s="511" t="str">
        <f>'day2'!K826</f>
        <v>PTA807</v>
      </c>
      <c r="L828" s="511">
        <f>'day2'!L826</f>
        <v>5</v>
      </c>
      <c r="M828" s="511">
        <f>'day2'!M826</f>
        <v>2</v>
      </c>
      <c r="N828" s="511">
        <f>'day2'!N826</f>
        <v>3</v>
      </c>
      <c r="O828" s="511">
        <f>'day2'!O826</f>
        <v>4</v>
      </c>
      <c r="P828" s="511">
        <f>'day2'!P826</f>
        <v>6120</v>
      </c>
      <c r="Q828" s="511">
        <f>'day2'!Q826</f>
        <v>1</v>
      </c>
      <c r="R828" s="511">
        <v>0</v>
      </c>
      <c r="S828" s="511">
        <f t="shared" si="289"/>
        <v>3</v>
      </c>
      <c r="T828" s="511">
        <f t="shared" si="295"/>
        <v>1</v>
      </c>
      <c r="U828" s="511">
        <f t="shared" si="296"/>
        <v>5.1999999999999998E-2</v>
      </c>
      <c r="V828" s="511">
        <f t="shared" si="297"/>
        <v>5.2</v>
      </c>
      <c r="W828" s="511">
        <f t="shared" si="298"/>
        <v>4.2000000000000003E-2</v>
      </c>
      <c r="X828" s="511">
        <f t="shared" si="299"/>
        <v>4.2</v>
      </c>
      <c r="Y828" s="512">
        <f t="shared" si="300"/>
        <v>1596.4</v>
      </c>
      <c r="Z828" s="512">
        <f t="shared" si="301"/>
        <v>1289.4000000000001</v>
      </c>
      <c r="AA828" s="511">
        <v>1</v>
      </c>
      <c r="AB828" s="511">
        <v>1</v>
      </c>
      <c r="AC828" s="511">
        <f t="shared" si="302"/>
        <v>0</v>
      </c>
      <c r="AD828" s="511" t="str">
        <f t="shared" si="303"/>
        <v>PTA80730</v>
      </c>
      <c r="AE828" s="510">
        <f>'day2'!S826</f>
        <v>3</v>
      </c>
    </row>
    <row r="829" spans="1:31" s="6" customFormat="1" ht="15" customHeight="1" x14ac:dyDescent="0.25">
      <c r="B829" s="6" t="str">
        <f t="shared" si="288"/>
        <v>20180328B00101SR80721</v>
      </c>
      <c r="C829" s="111" t="str">
        <f t="shared" si="285"/>
        <v>9999</v>
      </c>
      <c r="D829" s="111">
        <f t="shared" ref="D829:D836" si="304" xml:space="preserve"> $B$2</f>
        <v>20180328</v>
      </c>
      <c r="E829" s="111" t="str">
        <f>E824</f>
        <v>6001</v>
      </c>
      <c r="F829" s="111" t="str">
        <f>F824</f>
        <v>B00101</v>
      </c>
      <c r="G829" s="111" t="str">
        <f>G824</f>
        <v>6001</v>
      </c>
      <c r="H829" s="111" t="s">
        <v>228</v>
      </c>
      <c r="I829" s="111">
        <f t="shared" ref="I829:I836" si="305" xml:space="preserve"> $B$2</f>
        <v>20180328</v>
      </c>
      <c r="J829" s="111" t="str">
        <f>H812</f>
        <v>CZCE</v>
      </c>
      <c r="K829" s="113" t="str">
        <f>C230</f>
        <v>SR807</v>
      </c>
      <c r="L829" s="111">
        <f t="shared" ref="L829:L836" si="306">VLOOKUP(K829,$C$19:$E$29,3,FALSE)</f>
        <v>10</v>
      </c>
      <c r="M829" s="113">
        <v>2</v>
      </c>
      <c r="N829" s="113">
        <v>1</v>
      </c>
      <c r="O829" s="113">
        <f t="shared" ref="O829:O836" si="307">SUMPRODUCT(($C$742:$C$786=E829)*($D$742:$D$786=F829)*($E$742:$E$786=G829)*($I$742:$I$786=K829)*($M$742:$M$786=M829)*($N$742:$N$786=N829)*($O$742:$O$786))</f>
        <v>16</v>
      </c>
      <c r="P829" s="113">
        <f t="shared" ref="P829:P836" si="308" xml:space="preserve"> VLOOKUP(K829,$C$230:$F$242,3,FALSE)</f>
        <v>6170</v>
      </c>
      <c r="Q829" s="113">
        <v>2</v>
      </c>
      <c r="R829" s="111">
        <v>16</v>
      </c>
      <c r="S829" s="113">
        <f>R829</f>
        <v>16</v>
      </c>
      <c r="T829" s="113">
        <f>IF(M829=3,0,O829-S829)</f>
        <v>0</v>
      </c>
      <c r="U829" s="92">
        <f t="shared" si="291"/>
        <v>0.05</v>
      </c>
      <c r="V829" s="92">
        <f t="shared" si="292"/>
        <v>5</v>
      </c>
      <c r="W829" s="92">
        <f t="shared" si="293"/>
        <v>0.04</v>
      </c>
      <c r="X829" s="92">
        <f t="shared" si="294"/>
        <v>4</v>
      </c>
      <c r="Y829" s="271">
        <f>ROUND(L829*P829*T829*U829+T829*V829,2)</f>
        <v>0</v>
      </c>
      <c r="Z829" s="271">
        <f t="shared" ref="Z829:Z836" si="309">ROUND(L829*P829*T829*W829+T829*X829,2)</f>
        <v>0</v>
      </c>
      <c r="AA829" s="111">
        <v>2</v>
      </c>
      <c r="AB829" s="111">
        <v>1</v>
      </c>
      <c r="AC829" s="111">
        <f t="shared" ref="AC829:AC836" si="310">IF(M829=2,0,1)</f>
        <v>0</v>
      </c>
      <c r="AD829" s="111" t="str">
        <f t="shared" ref="AD829:AD836" si="311">K829&amp;N829&amp;AC829</f>
        <v>SR80710</v>
      </c>
      <c r="AE829" s="6">
        <v>0</v>
      </c>
    </row>
    <row r="830" spans="1:31" s="6" customFormat="1" x14ac:dyDescent="0.25">
      <c r="B830" s="6" t="str">
        <f t="shared" si="288"/>
        <v/>
      </c>
      <c r="C830" s="111" t="str">
        <f t="shared" si="285"/>
        <v>9999</v>
      </c>
      <c r="D830" s="111">
        <f t="shared" si="304"/>
        <v>20180328</v>
      </c>
      <c r="E830" s="111" t="str">
        <f>E829</f>
        <v>6001</v>
      </c>
      <c r="F830" s="111" t="str">
        <f t="shared" ref="F830:G830" si="312">F829</f>
        <v>B00101</v>
      </c>
      <c r="G830" s="111" t="str">
        <f t="shared" si="312"/>
        <v>6001</v>
      </c>
      <c r="H830" s="111" t="s">
        <v>1472</v>
      </c>
      <c r="I830" s="111">
        <f t="shared" si="305"/>
        <v>20180328</v>
      </c>
      <c r="J830" s="111" t="str">
        <f>J829</f>
        <v>CZCE</v>
      </c>
      <c r="K830" s="113" t="str">
        <f>K829</f>
        <v>SR807</v>
      </c>
      <c r="L830" s="111">
        <f t="shared" si="306"/>
        <v>10</v>
      </c>
      <c r="M830" s="113">
        <v>3</v>
      </c>
      <c r="N830" s="113">
        <v>1</v>
      </c>
      <c r="O830" s="113">
        <f t="shared" si="307"/>
        <v>14</v>
      </c>
      <c r="P830" s="113">
        <f t="shared" si="308"/>
        <v>6170</v>
      </c>
      <c r="Q830" s="113">
        <v>2</v>
      </c>
      <c r="R830" s="111">
        <v>0</v>
      </c>
      <c r="S830" s="113">
        <f t="shared" ref="S830:S836" si="313">R830</f>
        <v>0</v>
      </c>
      <c r="T830" s="113">
        <f>O830-S830</f>
        <v>14</v>
      </c>
      <c r="U830" s="111">
        <f t="shared" si="291"/>
        <v>0</v>
      </c>
      <c r="V830" s="111">
        <f t="shared" si="292"/>
        <v>0</v>
      </c>
      <c r="W830" s="111">
        <f t="shared" si="293"/>
        <v>0</v>
      </c>
      <c r="X830" s="111">
        <f t="shared" si="294"/>
        <v>0</v>
      </c>
      <c r="Y830" s="271">
        <f t="shared" ref="Y830:Y836" si="314">ROUND(L830*P830*T830*U830+T830*V830,2)</f>
        <v>0</v>
      </c>
      <c r="Z830" s="271">
        <f t="shared" si="309"/>
        <v>0</v>
      </c>
      <c r="AA830" s="111">
        <v>1</v>
      </c>
      <c r="AB830" s="111">
        <v>1</v>
      </c>
      <c r="AC830" s="111">
        <f t="shared" si="310"/>
        <v>1</v>
      </c>
      <c r="AD830" s="111" t="str">
        <f t="shared" si="311"/>
        <v>SR80711</v>
      </c>
      <c r="AE830" s="6">
        <v>0</v>
      </c>
    </row>
    <row r="831" spans="1:31" s="6" customFormat="1" x14ac:dyDescent="0.25">
      <c r="B831" s="6" t="str">
        <f t="shared" si="288"/>
        <v/>
      </c>
      <c r="C831" s="111" t="str">
        <f t="shared" si="285"/>
        <v>9999</v>
      </c>
      <c r="D831" s="111">
        <f t="shared" si="304"/>
        <v>20180328</v>
      </c>
      <c r="E831" s="111" t="str">
        <f>E829</f>
        <v>6001</v>
      </c>
      <c r="F831" s="111" t="str">
        <f t="shared" ref="F831:G831" si="315">F829</f>
        <v>B00101</v>
      </c>
      <c r="G831" s="111" t="str">
        <f t="shared" si="315"/>
        <v>6001</v>
      </c>
      <c r="H831" s="111" t="s">
        <v>1471</v>
      </c>
      <c r="I831" s="111">
        <f t="shared" si="305"/>
        <v>20180328</v>
      </c>
      <c r="J831" s="111" t="str">
        <f>J829</f>
        <v>CZCE</v>
      </c>
      <c r="K831" s="113" t="str">
        <f>K829</f>
        <v>SR807</v>
      </c>
      <c r="L831" s="111">
        <f t="shared" si="306"/>
        <v>10</v>
      </c>
      <c r="M831" s="113">
        <v>2</v>
      </c>
      <c r="N831" s="113">
        <v>3</v>
      </c>
      <c r="O831" s="113">
        <f t="shared" si="307"/>
        <v>5</v>
      </c>
      <c r="P831" s="113">
        <f t="shared" si="308"/>
        <v>6170</v>
      </c>
      <c r="Q831" s="113">
        <v>2</v>
      </c>
      <c r="R831" s="111">
        <v>0</v>
      </c>
      <c r="S831" s="113">
        <f t="shared" si="313"/>
        <v>0</v>
      </c>
      <c r="T831" s="113">
        <f t="shared" ref="T831:T836" si="316">O831-S831</f>
        <v>5</v>
      </c>
      <c r="U831" s="92">
        <f t="shared" si="291"/>
        <v>5.1999999999999998E-2</v>
      </c>
      <c r="V831" s="92">
        <f t="shared" si="292"/>
        <v>5.2</v>
      </c>
      <c r="W831" s="92">
        <f t="shared" si="293"/>
        <v>4.2000000000000003E-2</v>
      </c>
      <c r="X831" s="92">
        <f t="shared" si="294"/>
        <v>4.2</v>
      </c>
      <c r="Y831" s="271">
        <f t="shared" si="314"/>
        <v>16068</v>
      </c>
      <c r="Z831" s="271">
        <f t="shared" si="309"/>
        <v>12978</v>
      </c>
      <c r="AA831" s="111">
        <v>1</v>
      </c>
      <c r="AB831" s="111">
        <v>1</v>
      </c>
      <c r="AC831" s="111">
        <f t="shared" si="310"/>
        <v>0</v>
      </c>
      <c r="AD831" s="111" t="str">
        <f t="shared" si="311"/>
        <v>SR80730</v>
      </c>
      <c r="AE831" s="6">
        <v>0</v>
      </c>
    </row>
    <row r="832" spans="1:31" s="6" customFormat="1" x14ac:dyDescent="0.25">
      <c r="B832" s="6" t="str">
        <f t="shared" si="288"/>
        <v/>
      </c>
      <c r="C832" s="111" t="str">
        <f t="shared" si="285"/>
        <v>9999</v>
      </c>
      <c r="D832" s="111">
        <f t="shared" si="304"/>
        <v>20180328</v>
      </c>
      <c r="E832" s="111" t="str">
        <f>E829</f>
        <v>6001</v>
      </c>
      <c r="F832" s="111" t="str">
        <f t="shared" ref="F832:G832" si="317">F829</f>
        <v>B00101</v>
      </c>
      <c r="G832" s="111" t="str">
        <f t="shared" si="317"/>
        <v>6001</v>
      </c>
      <c r="H832" s="111" t="s">
        <v>228</v>
      </c>
      <c r="I832" s="111">
        <f t="shared" si="305"/>
        <v>20180328</v>
      </c>
      <c r="J832" s="111" t="str">
        <f>J829</f>
        <v>CZCE</v>
      </c>
      <c r="K832" s="113" t="str">
        <f>K829</f>
        <v>SR807</v>
      </c>
      <c r="L832" s="111">
        <f t="shared" si="306"/>
        <v>10</v>
      </c>
      <c r="M832" s="113">
        <v>3</v>
      </c>
      <c r="N832" s="113">
        <v>3</v>
      </c>
      <c r="O832" s="113">
        <f t="shared" si="307"/>
        <v>21</v>
      </c>
      <c r="P832" s="113">
        <f t="shared" si="308"/>
        <v>6170</v>
      </c>
      <c r="Q832" s="113">
        <v>2</v>
      </c>
      <c r="R832" s="111">
        <v>0</v>
      </c>
      <c r="S832" s="113">
        <f t="shared" si="313"/>
        <v>0</v>
      </c>
      <c r="T832" s="113">
        <f t="shared" si="316"/>
        <v>21</v>
      </c>
      <c r="U832" s="92">
        <f t="shared" si="291"/>
        <v>0</v>
      </c>
      <c r="V832" s="92">
        <f t="shared" si="292"/>
        <v>0</v>
      </c>
      <c r="W832" s="92">
        <f t="shared" si="293"/>
        <v>0</v>
      </c>
      <c r="X832" s="92">
        <f t="shared" si="294"/>
        <v>0</v>
      </c>
      <c r="Y832" s="271">
        <f t="shared" si="314"/>
        <v>0</v>
      </c>
      <c r="Z832" s="271">
        <f t="shared" si="309"/>
        <v>0</v>
      </c>
      <c r="AA832" s="111">
        <v>1</v>
      </c>
      <c r="AB832" s="111">
        <v>1</v>
      </c>
      <c r="AC832" s="111">
        <f t="shared" si="310"/>
        <v>1</v>
      </c>
      <c r="AD832" s="111" t="str">
        <f t="shared" si="311"/>
        <v>SR80731</v>
      </c>
      <c r="AE832" s="6">
        <v>0</v>
      </c>
    </row>
    <row r="833" spans="1:31" s="6" customFormat="1" x14ac:dyDescent="0.25">
      <c r="B833" s="6" t="str">
        <f t="shared" si="288"/>
        <v/>
      </c>
      <c r="C833" s="111" t="str">
        <f t="shared" si="285"/>
        <v>9999</v>
      </c>
      <c r="D833" s="111">
        <f t="shared" si="304"/>
        <v>20180328</v>
      </c>
      <c r="E833" s="111" t="str">
        <f>E825</f>
        <v>6001</v>
      </c>
      <c r="F833" s="111" t="str">
        <f>F825</f>
        <v>B00102</v>
      </c>
      <c r="G833" s="111" t="str">
        <f>G825</f>
        <v>6001</v>
      </c>
      <c r="H833" s="111" t="s">
        <v>1472</v>
      </c>
      <c r="I833" s="111">
        <f t="shared" si="305"/>
        <v>20180328</v>
      </c>
      <c r="J833" s="111" t="str">
        <f>J829</f>
        <v>CZCE</v>
      </c>
      <c r="K833" s="113" t="str">
        <f>C233</f>
        <v>PTA807</v>
      </c>
      <c r="L833" s="111">
        <f t="shared" si="306"/>
        <v>5</v>
      </c>
      <c r="M833" s="113">
        <v>2</v>
      </c>
      <c r="N833" s="113">
        <v>1</v>
      </c>
      <c r="O833" s="113">
        <f t="shared" si="307"/>
        <v>10</v>
      </c>
      <c r="P833" s="113">
        <f t="shared" si="308"/>
        <v>6165</v>
      </c>
      <c r="Q833" s="113">
        <v>2</v>
      </c>
      <c r="R833" s="111">
        <v>0</v>
      </c>
      <c r="S833" s="113">
        <f t="shared" si="313"/>
        <v>0</v>
      </c>
      <c r="T833" s="113">
        <f t="shared" si="316"/>
        <v>10</v>
      </c>
      <c r="U833" s="92">
        <f t="shared" si="291"/>
        <v>0.05</v>
      </c>
      <c r="V833" s="92">
        <f t="shared" si="292"/>
        <v>5</v>
      </c>
      <c r="W833" s="92">
        <f t="shared" si="293"/>
        <v>0.04</v>
      </c>
      <c r="X833" s="92">
        <f t="shared" si="294"/>
        <v>4</v>
      </c>
      <c r="Y833" s="271">
        <f t="shared" si="314"/>
        <v>15462.5</v>
      </c>
      <c r="Z833" s="271">
        <f t="shared" si="309"/>
        <v>12370</v>
      </c>
      <c r="AA833" s="111">
        <v>1</v>
      </c>
      <c r="AB833" s="111">
        <v>1</v>
      </c>
      <c r="AC833" s="111">
        <f t="shared" si="310"/>
        <v>0</v>
      </c>
      <c r="AD833" s="111" t="str">
        <f t="shared" si="311"/>
        <v>PTA80710</v>
      </c>
      <c r="AE833" s="6">
        <v>0</v>
      </c>
    </row>
    <row r="834" spans="1:31" s="6" customFormat="1" x14ac:dyDescent="0.25">
      <c r="B834" s="6" t="str">
        <f t="shared" si="288"/>
        <v>20180328B00102PTA80731</v>
      </c>
      <c r="C834" s="111" t="str">
        <f t="shared" si="285"/>
        <v>9999</v>
      </c>
      <c r="D834" s="111">
        <f t="shared" si="304"/>
        <v>20180328</v>
      </c>
      <c r="E834" s="111" t="str">
        <f>E833</f>
        <v>6001</v>
      </c>
      <c r="F834" s="111" t="str">
        <f t="shared" ref="F834:G834" si="318">F833</f>
        <v>B00102</v>
      </c>
      <c r="G834" s="111" t="str">
        <f t="shared" si="318"/>
        <v>6001</v>
      </c>
      <c r="H834" s="111" t="s">
        <v>1471</v>
      </c>
      <c r="I834" s="111">
        <f t="shared" si="305"/>
        <v>20180328</v>
      </c>
      <c r="J834" s="111" t="str">
        <f t="shared" ref="J834:J836" si="319">J830</f>
        <v>CZCE</v>
      </c>
      <c r="K834" s="113" t="str">
        <f>K833</f>
        <v>PTA807</v>
      </c>
      <c r="L834" s="111">
        <f t="shared" si="306"/>
        <v>5</v>
      </c>
      <c r="M834" s="113">
        <v>3</v>
      </c>
      <c r="N834" s="113">
        <v>1</v>
      </c>
      <c r="O834" s="113">
        <f t="shared" si="307"/>
        <v>4</v>
      </c>
      <c r="P834" s="113">
        <f t="shared" si="308"/>
        <v>6165</v>
      </c>
      <c r="Q834" s="113">
        <v>2</v>
      </c>
      <c r="R834" s="111">
        <v>3</v>
      </c>
      <c r="S834" s="113">
        <f t="shared" si="313"/>
        <v>3</v>
      </c>
      <c r="T834" s="113">
        <f t="shared" si="316"/>
        <v>1</v>
      </c>
      <c r="U834" s="92">
        <f t="shared" si="291"/>
        <v>0</v>
      </c>
      <c r="V834" s="92">
        <f t="shared" si="292"/>
        <v>0</v>
      </c>
      <c r="W834" s="92">
        <f t="shared" si="293"/>
        <v>0</v>
      </c>
      <c r="X834" s="92">
        <f t="shared" si="294"/>
        <v>0</v>
      </c>
      <c r="Y834" s="271">
        <f t="shared" si="314"/>
        <v>0</v>
      </c>
      <c r="Z834" s="271">
        <f t="shared" si="309"/>
        <v>0</v>
      </c>
      <c r="AA834" s="111">
        <v>1</v>
      </c>
      <c r="AB834" s="111">
        <v>1</v>
      </c>
      <c r="AC834" s="111">
        <f t="shared" si="310"/>
        <v>1</v>
      </c>
      <c r="AD834" s="111" t="str">
        <f t="shared" si="311"/>
        <v>PTA80711</v>
      </c>
      <c r="AE834" s="6">
        <v>0</v>
      </c>
    </row>
    <row r="835" spans="1:31" s="6" customFormat="1" x14ac:dyDescent="0.25">
      <c r="B835" s="6" t="str">
        <f t="shared" si="288"/>
        <v/>
      </c>
      <c r="C835" s="111" t="str">
        <f t="shared" si="285"/>
        <v>9999</v>
      </c>
      <c r="D835" s="111">
        <f t="shared" si="304"/>
        <v>20180328</v>
      </c>
      <c r="E835" s="111" t="str">
        <f>E833</f>
        <v>6001</v>
      </c>
      <c r="F835" s="111" t="str">
        <f t="shared" ref="F835:G835" si="320">F833</f>
        <v>B00102</v>
      </c>
      <c r="G835" s="111" t="str">
        <f t="shared" si="320"/>
        <v>6001</v>
      </c>
      <c r="H835" s="111" t="s">
        <v>228</v>
      </c>
      <c r="I835" s="111">
        <f t="shared" si="305"/>
        <v>20180328</v>
      </c>
      <c r="J835" s="111" t="str">
        <f t="shared" si="319"/>
        <v>CZCE</v>
      </c>
      <c r="K835" s="113" t="str">
        <f>K833</f>
        <v>PTA807</v>
      </c>
      <c r="L835" s="111">
        <f t="shared" si="306"/>
        <v>5</v>
      </c>
      <c r="M835" s="113">
        <v>2</v>
      </c>
      <c r="N835" s="113">
        <v>3</v>
      </c>
      <c r="O835" s="113">
        <f t="shared" si="307"/>
        <v>7</v>
      </c>
      <c r="P835" s="113">
        <f t="shared" si="308"/>
        <v>6165</v>
      </c>
      <c r="Q835" s="113">
        <v>2</v>
      </c>
      <c r="R835" s="111">
        <v>0</v>
      </c>
      <c r="S835" s="113">
        <f t="shared" si="313"/>
        <v>0</v>
      </c>
      <c r="T835" s="113">
        <f t="shared" si="316"/>
        <v>7</v>
      </c>
      <c r="U835" s="92">
        <f t="shared" si="291"/>
        <v>5.1999999999999998E-2</v>
      </c>
      <c r="V835" s="92">
        <f t="shared" si="292"/>
        <v>5.2</v>
      </c>
      <c r="W835" s="92">
        <f t="shared" si="293"/>
        <v>4.2000000000000003E-2</v>
      </c>
      <c r="X835" s="92">
        <f t="shared" si="294"/>
        <v>4.2</v>
      </c>
      <c r="Y835" s="271">
        <f t="shared" si="314"/>
        <v>11256.7</v>
      </c>
      <c r="Z835" s="271">
        <f t="shared" si="309"/>
        <v>9091.9500000000007</v>
      </c>
      <c r="AA835" s="111">
        <v>1</v>
      </c>
      <c r="AB835" s="111">
        <v>1</v>
      </c>
      <c r="AC835" s="111">
        <f t="shared" si="310"/>
        <v>0</v>
      </c>
      <c r="AD835" s="111" t="str">
        <f t="shared" si="311"/>
        <v>PTA80730</v>
      </c>
      <c r="AE835" s="6">
        <v>0</v>
      </c>
    </row>
    <row r="836" spans="1:31" s="6" customFormat="1" x14ac:dyDescent="0.25">
      <c r="B836" s="6" t="str">
        <f t="shared" si="288"/>
        <v/>
      </c>
      <c r="C836" s="111" t="str">
        <f t="shared" si="285"/>
        <v>9999</v>
      </c>
      <c r="D836" s="111">
        <f t="shared" si="304"/>
        <v>20180328</v>
      </c>
      <c r="E836" s="111" t="str">
        <f>E833</f>
        <v>6001</v>
      </c>
      <c r="F836" s="111" t="str">
        <f t="shared" ref="F836:G836" si="321">F833</f>
        <v>B00102</v>
      </c>
      <c r="G836" s="111" t="str">
        <f t="shared" si="321"/>
        <v>6001</v>
      </c>
      <c r="H836" s="111" t="s">
        <v>1472</v>
      </c>
      <c r="I836" s="111">
        <f t="shared" si="305"/>
        <v>20180328</v>
      </c>
      <c r="J836" s="111" t="str">
        <f t="shared" si="319"/>
        <v>CZCE</v>
      </c>
      <c r="K836" s="113" t="str">
        <f>K833</f>
        <v>PTA807</v>
      </c>
      <c r="L836" s="111">
        <f t="shared" si="306"/>
        <v>5</v>
      </c>
      <c r="M836" s="113">
        <v>3</v>
      </c>
      <c r="N836" s="113">
        <v>3</v>
      </c>
      <c r="O836" s="113">
        <f t="shared" si="307"/>
        <v>7</v>
      </c>
      <c r="P836" s="113">
        <f t="shared" si="308"/>
        <v>6165</v>
      </c>
      <c r="Q836" s="113">
        <v>2</v>
      </c>
      <c r="R836" s="111">
        <v>0</v>
      </c>
      <c r="S836" s="113">
        <f t="shared" si="313"/>
        <v>0</v>
      </c>
      <c r="T836" s="113">
        <f t="shared" si="316"/>
        <v>7</v>
      </c>
      <c r="U836" s="92">
        <f t="shared" si="291"/>
        <v>0</v>
      </c>
      <c r="V836" s="92">
        <f t="shared" si="292"/>
        <v>0</v>
      </c>
      <c r="W836" s="92">
        <f t="shared" si="293"/>
        <v>0</v>
      </c>
      <c r="X836" s="92">
        <f t="shared" si="294"/>
        <v>0</v>
      </c>
      <c r="Y836" s="271">
        <f t="shared" si="314"/>
        <v>0</v>
      </c>
      <c r="Z836" s="271">
        <f t="shared" si="309"/>
        <v>0</v>
      </c>
      <c r="AA836" s="111">
        <v>1</v>
      </c>
      <c r="AB836" s="111">
        <v>1</v>
      </c>
      <c r="AC836" s="111">
        <f t="shared" si="310"/>
        <v>1</v>
      </c>
      <c r="AD836" s="111" t="str">
        <f t="shared" si="311"/>
        <v>PTA80731</v>
      </c>
      <c r="AE836" s="6">
        <v>0</v>
      </c>
    </row>
    <row r="837" spans="1:31" x14ac:dyDescent="0.25">
      <c r="A837" t="s">
        <v>173</v>
      </c>
      <c r="B837" s="126" t="s">
        <v>1018</v>
      </c>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row>
    <row r="838" spans="1:31" x14ac:dyDescent="0.25">
      <c r="A838" s="157" t="s">
        <v>970</v>
      </c>
      <c r="B838" s="169" t="s">
        <v>971</v>
      </c>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row>
    <row r="839" spans="1:31" x14ac:dyDescent="0.25">
      <c r="A839" s="168" t="s">
        <v>306</v>
      </c>
      <c r="B839" s="742" t="s">
        <v>1499</v>
      </c>
      <c r="C839" s="721"/>
      <c r="D839" s="721"/>
      <c r="E839" s="721"/>
      <c r="F839" s="721"/>
      <c r="G839" s="721"/>
      <c r="H839" s="721"/>
      <c r="I839" s="721"/>
      <c r="J839" s="721"/>
      <c r="K839" s="721"/>
      <c r="L839" s="721"/>
      <c r="M839" s="721"/>
      <c r="N839" s="721"/>
      <c r="O839" s="721"/>
      <c r="P839" s="721"/>
      <c r="Q839" s="721"/>
      <c r="R839" s="721"/>
      <c r="S839" s="721"/>
      <c r="T839" s="721"/>
      <c r="U839" s="721"/>
      <c r="V839" s="126"/>
      <c r="W839" s="126"/>
      <c r="X839" s="126"/>
      <c r="Y839" s="126"/>
      <c r="Z839" s="126"/>
      <c r="AA839" s="126"/>
    </row>
    <row r="840" spans="1:31" x14ac:dyDescent="0.25">
      <c r="A840" s="262" t="s">
        <v>359</v>
      </c>
      <c r="B840" s="7" t="s">
        <v>843</v>
      </c>
      <c r="C840" s="7" t="s">
        <v>1054</v>
      </c>
      <c r="D840" s="7" t="s">
        <v>1055</v>
      </c>
      <c r="E840" s="7" t="s">
        <v>0</v>
      </c>
      <c r="F840" s="7" t="s">
        <v>1056</v>
      </c>
      <c r="G840" s="7" t="s">
        <v>1057</v>
      </c>
      <c r="H840" s="7" t="s">
        <v>1058</v>
      </c>
      <c r="I840" s="7" t="s">
        <v>198</v>
      </c>
      <c r="J840" s="7" t="s">
        <v>57</v>
      </c>
      <c r="K840" s="7" t="s">
        <v>199</v>
      </c>
      <c r="L840" s="7" t="s">
        <v>1053</v>
      </c>
      <c r="M840" s="7" t="s">
        <v>1061</v>
      </c>
      <c r="N840" s="7" t="s">
        <v>18</v>
      </c>
      <c r="O840" s="7" t="s">
        <v>385</v>
      </c>
      <c r="P840" s="7" t="s">
        <v>1063</v>
      </c>
      <c r="Q840" s="7" t="s">
        <v>1064</v>
      </c>
      <c r="R840" s="7" t="s">
        <v>1065</v>
      </c>
      <c r="S840" s="7" t="s">
        <v>1066</v>
      </c>
      <c r="T840" s="7" t="s">
        <v>1067</v>
      </c>
      <c r="U840" s="7" t="s">
        <v>425</v>
      </c>
      <c r="W840" s="126"/>
      <c r="X840" s="126"/>
      <c r="Y840" s="126"/>
      <c r="Z840" s="126"/>
      <c r="AA840" s="126"/>
      <c r="AB840" s="126"/>
    </row>
    <row r="841" spans="1:31" x14ac:dyDescent="0.25">
      <c r="A841" s="262"/>
      <c r="B841" s="7" t="s">
        <v>845</v>
      </c>
      <c r="C841" s="7" t="s">
        <v>1069</v>
      </c>
      <c r="D841" s="7" t="s">
        <v>1070</v>
      </c>
      <c r="E841" s="7" t="s">
        <v>1071</v>
      </c>
      <c r="F841" s="7" t="s">
        <v>1072</v>
      </c>
      <c r="G841" s="7" t="s">
        <v>710</v>
      </c>
      <c r="H841" s="7" t="s">
        <v>709</v>
      </c>
      <c r="I841" s="7" t="s">
        <v>652</v>
      </c>
      <c r="J841" s="7" t="s">
        <v>651</v>
      </c>
      <c r="K841" s="7" t="s">
        <v>650</v>
      </c>
      <c r="L841" s="7" t="s">
        <v>1053</v>
      </c>
      <c r="M841" s="7" t="s">
        <v>1073</v>
      </c>
      <c r="N841" s="7" t="s">
        <v>1074</v>
      </c>
      <c r="O841" s="7" t="s">
        <v>1075</v>
      </c>
      <c r="P841" s="7" t="s">
        <v>649</v>
      </c>
      <c r="Q841" s="7" t="s">
        <v>1076</v>
      </c>
      <c r="R841" s="7" t="s">
        <v>1077</v>
      </c>
      <c r="S841" s="7" t="s">
        <v>1078</v>
      </c>
      <c r="T841" s="7" t="s">
        <v>1079</v>
      </c>
      <c r="U841" s="7" t="s">
        <v>1080</v>
      </c>
      <c r="W841" s="126"/>
      <c r="X841" s="126"/>
      <c r="Y841" s="126"/>
      <c r="Z841" s="126"/>
      <c r="AA841" s="126"/>
      <c r="AB841" s="126"/>
    </row>
    <row r="842" spans="1:31" x14ac:dyDescent="0.25">
      <c r="B842" s="92" t="str">
        <f t="shared" ref="B842:B849" si="322">$F$5</f>
        <v>9999</v>
      </c>
      <c r="C842" s="92">
        <f t="shared" ref="C842:D849" si="323" xml:space="preserve"> $B$2</f>
        <v>20180328</v>
      </c>
      <c r="D842" s="92">
        <f t="shared" si="323"/>
        <v>20180328</v>
      </c>
      <c r="E842" s="124" t="str">
        <f t="shared" ref="E842:H849" si="324">E829</f>
        <v>6001</v>
      </c>
      <c r="F842" s="124" t="str">
        <f t="shared" si="324"/>
        <v>B00101</v>
      </c>
      <c r="G842" s="124" t="str">
        <f t="shared" si="324"/>
        <v>6001</v>
      </c>
      <c r="H842" s="124" t="str">
        <f t="shared" si="324"/>
        <v>CNY</v>
      </c>
      <c r="I842" s="124" t="str">
        <f t="shared" ref="I842:J849" si="325">J829</f>
        <v>CZCE</v>
      </c>
      <c r="J842" s="124" t="str">
        <f t="shared" si="325"/>
        <v>SR807</v>
      </c>
      <c r="K842" s="124">
        <f t="shared" ref="K842:K849" si="326">N829</f>
        <v>1</v>
      </c>
      <c r="L842" s="109">
        <f t="shared" ref="L842:L849" si="327">AC829</f>
        <v>0</v>
      </c>
      <c r="M842" s="109">
        <f t="shared" ref="M842:M849" si="328">M829</f>
        <v>2</v>
      </c>
      <c r="N842" s="109">
        <f t="shared" ref="N842:O849" si="329">O829</f>
        <v>16</v>
      </c>
      <c r="O842" s="110">
        <f t="shared" si="329"/>
        <v>6170</v>
      </c>
      <c r="P842" s="92">
        <f t="shared" ref="P842:P849" si="330">VLOOKUP(J842,$C$19:$E$29,3,FALSE)</f>
        <v>10</v>
      </c>
      <c r="Q842" s="92">
        <f t="shared" ref="Q842:Q849" si="331">SUMPRODUCT(($C$742:$C$786=E842)*($D$742:$D$786=F842)*($E$742:$E$786=G842)*($I$742:$I$786=J842)*($M$742:$M$786=M842)*($N$742:$N$786=K842)*($S$742:$S$786))</f>
        <v>2850</v>
      </c>
      <c r="R842" s="92">
        <f t="shared" ref="R842:R849" si="332">SUMPRODUCT(($C$742:$C$786=E842)*($D$742:$D$786=F842)*($E$742:$E$786=G842)*($I$742:$I$786=J842)*($M$742:$M$786=M842)*($N$742:$N$786=K842)*($T$742:$T$786))</f>
        <v>-48900</v>
      </c>
      <c r="S842" s="92">
        <f t="shared" ref="S842:S849" si="333">SUMPRODUCT(($C$742:$C$786=E842)*($D$742:$D$786=F842)*($E$742:$E$786=G842)*($I$742:$I$786=J842)*($M$742:$M$786=M842)*($N$742:$N$786=K842)*($U$742:$U$786))</f>
        <v>1036100</v>
      </c>
      <c r="T842" s="92">
        <f>C842</f>
        <v>20180328</v>
      </c>
      <c r="U842" s="111">
        <v>2</v>
      </c>
      <c r="V842" s="126"/>
      <c r="W842" s="126"/>
      <c r="X842" s="126"/>
      <c r="Y842" s="126"/>
      <c r="Z842" s="126"/>
      <c r="AA842" s="126"/>
      <c r="AB842" s="126"/>
    </row>
    <row r="843" spans="1:31" x14ac:dyDescent="0.25">
      <c r="B843" s="92" t="str">
        <f t="shared" si="322"/>
        <v>9999</v>
      </c>
      <c r="C843" s="92">
        <f t="shared" si="323"/>
        <v>20180328</v>
      </c>
      <c r="D843" s="92">
        <f t="shared" si="323"/>
        <v>20180328</v>
      </c>
      <c r="E843" s="124" t="str">
        <f t="shared" si="324"/>
        <v>6001</v>
      </c>
      <c r="F843" s="124" t="str">
        <f t="shared" si="324"/>
        <v>B00101</v>
      </c>
      <c r="G843" s="124" t="str">
        <f t="shared" si="324"/>
        <v>6001</v>
      </c>
      <c r="H843" s="124" t="str">
        <f t="shared" si="324"/>
        <v>CNY</v>
      </c>
      <c r="I843" s="124" t="str">
        <f t="shared" si="325"/>
        <v>CZCE</v>
      </c>
      <c r="J843" s="124" t="str">
        <f t="shared" si="325"/>
        <v>SR807</v>
      </c>
      <c r="K843" s="124">
        <f t="shared" si="326"/>
        <v>1</v>
      </c>
      <c r="L843" s="109">
        <f t="shared" si="327"/>
        <v>1</v>
      </c>
      <c r="M843" s="109">
        <f t="shared" si="328"/>
        <v>3</v>
      </c>
      <c r="N843" s="109">
        <f t="shared" si="329"/>
        <v>14</v>
      </c>
      <c r="O843" s="110">
        <f t="shared" si="329"/>
        <v>6170</v>
      </c>
      <c r="P843" s="92">
        <f t="shared" si="330"/>
        <v>10</v>
      </c>
      <c r="Q843" s="92">
        <f t="shared" si="331"/>
        <v>-2540</v>
      </c>
      <c r="R843" s="92">
        <f t="shared" si="332"/>
        <v>8540</v>
      </c>
      <c r="S843" s="92">
        <f t="shared" si="333"/>
        <v>872340</v>
      </c>
      <c r="T843" s="92">
        <f t="shared" ref="T843:T849" si="334">C843</f>
        <v>20180328</v>
      </c>
      <c r="U843" s="111">
        <v>2</v>
      </c>
      <c r="V843" s="126"/>
      <c r="W843" s="126"/>
      <c r="X843" s="126"/>
      <c r="Y843" s="126"/>
      <c r="Z843" s="126"/>
      <c r="AA843" s="126"/>
      <c r="AB843" s="126"/>
    </row>
    <row r="844" spans="1:31" x14ac:dyDescent="0.25">
      <c r="B844" s="92" t="str">
        <f t="shared" si="322"/>
        <v>9999</v>
      </c>
      <c r="C844" s="92">
        <f t="shared" si="323"/>
        <v>20180328</v>
      </c>
      <c r="D844" s="92">
        <f t="shared" si="323"/>
        <v>20180328</v>
      </c>
      <c r="E844" s="124" t="str">
        <f t="shared" si="324"/>
        <v>6001</v>
      </c>
      <c r="F844" s="124" t="str">
        <f t="shared" si="324"/>
        <v>B00101</v>
      </c>
      <c r="G844" s="124" t="str">
        <f t="shared" si="324"/>
        <v>6001</v>
      </c>
      <c r="H844" s="124" t="str">
        <f t="shared" si="324"/>
        <v>CNY</v>
      </c>
      <c r="I844" s="124" t="str">
        <f t="shared" si="325"/>
        <v>CZCE</v>
      </c>
      <c r="J844" s="124" t="str">
        <f t="shared" si="325"/>
        <v>SR807</v>
      </c>
      <c r="K844" s="124">
        <f t="shared" si="326"/>
        <v>3</v>
      </c>
      <c r="L844" s="109">
        <f t="shared" si="327"/>
        <v>0</v>
      </c>
      <c r="M844" s="109">
        <f t="shared" si="328"/>
        <v>2</v>
      </c>
      <c r="N844" s="109">
        <f t="shared" si="329"/>
        <v>5</v>
      </c>
      <c r="O844" s="110">
        <f t="shared" si="329"/>
        <v>6170</v>
      </c>
      <c r="P844" s="92">
        <f t="shared" si="330"/>
        <v>10</v>
      </c>
      <c r="Q844" s="92">
        <f t="shared" si="331"/>
        <v>750</v>
      </c>
      <c r="R844" s="92">
        <f t="shared" si="332"/>
        <v>-980</v>
      </c>
      <c r="S844" s="92">
        <f t="shared" si="333"/>
        <v>309480</v>
      </c>
      <c r="T844" s="92">
        <f t="shared" si="334"/>
        <v>20180328</v>
      </c>
      <c r="U844" s="111">
        <v>2</v>
      </c>
      <c r="V844" s="126"/>
      <c r="W844" s="126"/>
      <c r="X844" s="126"/>
      <c r="Y844" s="126"/>
      <c r="Z844" s="126"/>
      <c r="AA844" s="126"/>
      <c r="AB844" s="126"/>
    </row>
    <row r="845" spans="1:31" x14ac:dyDescent="0.25">
      <c r="B845" s="92" t="str">
        <f t="shared" si="322"/>
        <v>9999</v>
      </c>
      <c r="C845" s="92">
        <f t="shared" si="323"/>
        <v>20180328</v>
      </c>
      <c r="D845" s="92">
        <f t="shared" si="323"/>
        <v>20180328</v>
      </c>
      <c r="E845" s="124" t="str">
        <f t="shared" si="324"/>
        <v>6001</v>
      </c>
      <c r="F845" s="124" t="str">
        <f t="shared" si="324"/>
        <v>B00101</v>
      </c>
      <c r="G845" s="124" t="str">
        <f t="shared" si="324"/>
        <v>6001</v>
      </c>
      <c r="H845" s="124" t="str">
        <f t="shared" si="324"/>
        <v>CNY</v>
      </c>
      <c r="I845" s="124" t="str">
        <f t="shared" si="325"/>
        <v>CZCE</v>
      </c>
      <c r="J845" s="124" t="str">
        <f t="shared" si="325"/>
        <v>SR807</v>
      </c>
      <c r="K845" s="124">
        <f t="shared" si="326"/>
        <v>3</v>
      </c>
      <c r="L845" s="109">
        <f t="shared" si="327"/>
        <v>1</v>
      </c>
      <c r="M845" s="109">
        <f t="shared" si="328"/>
        <v>3</v>
      </c>
      <c r="N845" s="109">
        <f t="shared" si="329"/>
        <v>21</v>
      </c>
      <c r="O845" s="110">
        <f t="shared" si="329"/>
        <v>6170</v>
      </c>
      <c r="P845" s="92">
        <f t="shared" si="330"/>
        <v>10</v>
      </c>
      <c r="Q845" s="92">
        <f t="shared" si="331"/>
        <v>-3150</v>
      </c>
      <c r="R845" s="92">
        <f t="shared" si="332"/>
        <v>33350</v>
      </c>
      <c r="S845" s="92">
        <f t="shared" si="333"/>
        <v>1329050</v>
      </c>
      <c r="T845" s="92">
        <f t="shared" si="334"/>
        <v>20180328</v>
      </c>
      <c r="U845" s="111">
        <v>2</v>
      </c>
      <c r="V845" s="126"/>
      <c r="W845" s="126"/>
      <c r="X845" s="126"/>
      <c r="Y845" s="126"/>
      <c r="Z845" s="126"/>
      <c r="AA845" s="126"/>
      <c r="AB845" s="126"/>
    </row>
    <row r="846" spans="1:31" x14ac:dyDescent="0.25">
      <c r="B846" s="92" t="str">
        <f t="shared" si="322"/>
        <v>9999</v>
      </c>
      <c r="C846" s="92">
        <f t="shared" si="323"/>
        <v>20180328</v>
      </c>
      <c r="D846" s="92">
        <f t="shared" si="323"/>
        <v>20180328</v>
      </c>
      <c r="E846" s="124" t="str">
        <f t="shared" si="324"/>
        <v>6001</v>
      </c>
      <c r="F846" s="124" t="str">
        <f t="shared" si="324"/>
        <v>B00102</v>
      </c>
      <c r="G846" s="124" t="str">
        <f t="shared" si="324"/>
        <v>6001</v>
      </c>
      <c r="H846" s="124" t="str">
        <f t="shared" si="324"/>
        <v>CNY</v>
      </c>
      <c r="I846" s="124" t="str">
        <f t="shared" si="325"/>
        <v>CZCE</v>
      </c>
      <c r="J846" s="124" t="str">
        <f t="shared" si="325"/>
        <v>PTA807</v>
      </c>
      <c r="K846" s="124">
        <f t="shared" si="326"/>
        <v>1</v>
      </c>
      <c r="L846" s="109">
        <f t="shared" si="327"/>
        <v>0</v>
      </c>
      <c r="M846" s="109">
        <f t="shared" si="328"/>
        <v>2</v>
      </c>
      <c r="N846" s="109">
        <f t="shared" si="329"/>
        <v>10</v>
      </c>
      <c r="O846" s="110">
        <f t="shared" si="329"/>
        <v>6165</v>
      </c>
      <c r="P846" s="92">
        <f t="shared" si="330"/>
        <v>5</v>
      </c>
      <c r="Q846" s="92">
        <f t="shared" si="331"/>
        <v>490</v>
      </c>
      <c r="R846" s="92">
        <f t="shared" si="332"/>
        <v>-2710</v>
      </c>
      <c r="S846" s="92">
        <f t="shared" si="333"/>
        <v>310960</v>
      </c>
      <c r="T846" s="92">
        <f t="shared" si="334"/>
        <v>20180328</v>
      </c>
      <c r="U846" s="111">
        <v>2</v>
      </c>
      <c r="V846" s="126"/>
      <c r="W846" s="126"/>
      <c r="X846" s="126"/>
      <c r="Y846" s="126"/>
      <c r="Z846" s="126"/>
      <c r="AA846" s="126"/>
      <c r="AB846" s="126"/>
    </row>
    <row r="847" spans="1:31" x14ac:dyDescent="0.25">
      <c r="B847" s="92" t="str">
        <f t="shared" si="322"/>
        <v>9999</v>
      </c>
      <c r="C847" s="92">
        <f t="shared" si="323"/>
        <v>20180328</v>
      </c>
      <c r="D847" s="92">
        <f t="shared" si="323"/>
        <v>20180328</v>
      </c>
      <c r="E847" s="124" t="str">
        <f t="shared" si="324"/>
        <v>6001</v>
      </c>
      <c r="F847" s="124" t="str">
        <f t="shared" si="324"/>
        <v>B00102</v>
      </c>
      <c r="G847" s="124" t="str">
        <f t="shared" si="324"/>
        <v>6001</v>
      </c>
      <c r="H847" s="124" t="str">
        <f t="shared" si="324"/>
        <v>CNY</v>
      </c>
      <c r="I847" s="124" t="str">
        <f t="shared" si="325"/>
        <v>CZCE</v>
      </c>
      <c r="J847" s="124" t="str">
        <f t="shared" si="325"/>
        <v>PTA807</v>
      </c>
      <c r="K847" s="124">
        <f t="shared" si="326"/>
        <v>1</v>
      </c>
      <c r="L847" s="109">
        <f t="shared" si="327"/>
        <v>1</v>
      </c>
      <c r="M847" s="109">
        <f t="shared" si="328"/>
        <v>3</v>
      </c>
      <c r="N847" s="109">
        <f t="shared" si="329"/>
        <v>4</v>
      </c>
      <c r="O847" s="110">
        <f t="shared" si="329"/>
        <v>6165</v>
      </c>
      <c r="P847" s="92">
        <f t="shared" si="330"/>
        <v>5</v>
      </c>
      <c r="Q847" s="92">
        <f t="shared" si="331"/>
        <v>-335</v>
      </c>
      <c r="R847" s="92">
        <f t="shared" si="332"/>
        <v>-585</v>
      </c>
      <c r="S847" s="92">
        <f t="shared" si="333"/>
        <v>122715</v>
      </c>
      <c r="T847" s="92">
        <f t="shared" si="334"/>
        <v>20180328</v>
      </c>
      <c r="U847" s="111">
        <v>2</v>
      </c>
      <c r="V847" s="126"/>
      <c r="W847" s="126"/>
      <c r="X847" s="126"/>
      <c r="Y847" s="126"/>
      <c r="Z847" s="126"/>
      <c r="AA847" s="126"/>
      <c r="AB847" s="126"/>
    </row>
    <row r="848" spans="1:31" x14ac:dyDescent="0.25">
      <c r="B848" s="92" t="str">
        <f t="shared" si="322"/>
        <v>9999</v>
      </c>
      <c r="C848" s="92">
        <f t="shared" si="323"/>
        <v>20180328</v>
      </c>
      <c r="D848" s="92">
        <f t="shared" si="323"/>
        <v>20180328</v>
      </c>
      <c r="E848" s="124" t="str">
        <f t="shared" si="324"/>
        <v>6001</v>
      </c>
      <c r="F848" s="124" t="str">
        <f t="shared" si="324"/>
        <v>B00102</v>
      </c>
      <c r="G848" s="124" t="str">
        <f t="shared" si="324"/>
        <v>6001</v>
      </c>
      <c r="H848" s="124" t="str">
        <f t="shared" si="324"/>
        <v>CNY</v>
      </c>
      <c r="I848" s="124" t="str">
        <f t="shared" si="325"/>
        <v>CZCE</v>
      </c>
      <c r="J848" s="124" t="str">
        <f t="shared" si="325"/>
        <v>PTA807</v>
      </c>
      <c r="K848" s="124">
        <f t="shared" si="326"/>
        <v>3</v>
      </c>
      <c r="L848" s="109">
        <f t="shared" si="327"/>
        <v>0</v>
      </c>
      <c r="M848" s="109">
        <f t="shared" si="328"/>
        <v>2</v>
      </c>
      <c r="N848" s="109">
        <f t="shared" si="329"/>
        <v>7</v>
      </c>
      <c r="O848" s="110">
        <f t="shared" si="329"/>
        <v>6165</v>
      </c>
      <c r="P848" s="92">
        <f t="shared" si="330"/>
        <v>5</v>
      </c>
      <c r="Q848" s="92">
        <f t="shared" si="331"/>
        <v>175</v>
      </c>
      <c r="R848" s="92">
        <f t="shared" si="332"/>
        <v>-7905</v>
      </c>
      <c r="S848" s="92">
        <f t="shared" si="333"/>
        <v>223680</v>
      </c>
      <c r="T848" s="92">
        <f t="shared" si="334"/>
        <v>20180328</v>
      </c>
      <c r="U848" s="111">
        <v>2</v>
      </c>
      <c r="V848" s="126"/>
      <c r="W848" s="126"/>
      <c r="X848" s="126"/>
      <c r="Y848" s="126"/>
      <c r="Z848" s="126"/>
      <c r="AA848" s="126"/>
      <c r="AB848" s="126"/>
    </row>
    <row r="849" spans="1:31" s="6" customFormat="1" x14ac:dyDescent="0.25">
      <c r="B849" s="92" t="str">
        <f t="shared" si="322"/>
        <v>9999</v>
      </c>
      <c r="C849" s="111">
        <f t="shared" si="323"/>
        <v>20180328</v>
      </c>
      <c r="D849" s="111">
        <f t="shared" si="323"/>
        <v>20180328</v>
      </c>
      <c r="E849" s="270" t="str">
        <f t="shared" si="324"/>
        <v>6001</v>
      </c>
      <c r="F849" s="270" t="str">
        <f t="shared" si="324"/>
        <v>B00102</v>
      </c>
      <c r="G849" s="270" t="str">
        <f t="shared" si="324"/>
        <v>6001</v>
      </c>
      <c r="H849" s="270" t="str">
        <f t="shared" si="324"/>
        <v>CNY</v>
      </c>
      <c r="I849" s="270" t="str">
        <f t="shared" si="325"/>
        <v>CZCE</v>
      </c>
      <c r="J849" s="270" t="str">
        <f t="shared" si="325"/>
        <v>PTA807</v>
      </c>
      <c r="K849" s="270">
        <f t="shared" si="326"/>
        <v>3</v>
      </c>
      <c r="L849" s="113">
        <f t="shared" si="327"/>
        <v>1</v>
      </c>
      <c r="M849" s="113">
        <f t="shared" si="328"/>
        <v>3</v>
      </c>
      <c r="N849" s="113">
        <f t="shared" si="329"/>
        <v>7</v>
      </c>
      <c r="O849" s="248">
        <f t="shared" si="329"/>
        <v>6165</v>
      </c>
      <c r="P849" s="111">
        <f t="shared" si="330"/>
        <v>5</v>
      </c>
      <c r="Q849" s="111">
        <f t="shared" si="331"/>
        <v>-175</v>
      </c>
      <c r="R849" s="111">
        <f t="shared" si="332"/>
        <v>-1625</v>
      </c>
      <c r="S849" s="111">
        <f t="shared" si="333"/>
        <v>214150</v>
      </c>
      <c r="T849" s="111">
        <f t="shared" si="334"/>
        <v>20180328</v>
      </c>
      <c r="U849" s="111">
        <v>2</v>
      </c>
      <c r="V849" s="167"/>
      <c r="W849" s="167"/>
      <c r="X849" s="167"/>
      <c r="Y849" s="167"/>
      <c r="Z849" s="167"/>
      <c r="AA849" s="167"/>
      <c r="AB849" s="167"/>
    </row>
    <row r="850" spans="1:31" x14ac:dyDescent="0.25">
      <c r="A850" t="s">
        <v>173</v>
      </c>
      <c r="B850" t="s">
        <v>1021</v>
      </c>
    </row>
    <row r="851" spans="1:31" x14ac:dyDescent="0.25">
      <c r="A851" t="s">
        <v>173</v>
      </c>
      <c r="B851" t="s">
        <v>1050</v>
      </c>
    </row>
    <row r="852" spans="1:31" x14ac:dyDescent="0.25">
      <c r="A852" t="s">
        <v>173</v>
      </c>
      <c r="B852" t="s">
        <v>1051</v>
      </c>
    </row>
    <row r="853" spans="1:31" x14ac:dyDescent="0.25">
      <c r="A853" t="s">
        <v>173</v>
      </c>
      <c r="B853" s="157" t="s">
        <v>970</v>
      </c>
      <c r="C853" s="157" t="s">
        <v>971</v>
      </c>
    </row>
    <row r="854" spans="1:31" x14ac:dyDescent="0.25">
      <c r="A854" t="s">
        <v>173</v>
      </c>
      <c r="B854" t="s">
        <v>306</v>
      </c>
      <c r="C854" s="719" t="s">
        <v>476</v>
      </c>
      <c r="D854" s="720"/>
      <c r="E854" s="720"/>
      <c r="F854" s="720"/>
      <c r="G854" s="720"/>
      <c r="H854" s="720"/>
      <c r="I854" s="720"/>
      <c r="J854" s="720"/>
      <c r="K854" s="720"/>
      <c r="L854" s="720"/>
      <c r="M854" s="720"/>
      <c r="N854" s="720"/>
      <c r="O854" s="720"/>
      <c r="P854" s="720"/>
      <c r="Q854" s="720"/>
      <c r="R854" s="720"/>
      <c r="S854" s="720"/>
      <c r="T854" s="720"/>
      <c r="U854" s="720"/>
      <c r="V854" s="720"/>
      <c r="W854" s="720"/>
      <c r="X854" s="720"/>
      <c r="Y854" s="720"/>
      <c r="Z854" s="720"/>
      <c r="AA854" s="720"/>
      <c r="AB854" s="720"/>
      <c r="AC854" s="720"/>
      <c r="AD854" s="720"/>
      <c r="AE854" s="322"/>
    </row>
    <row r="855" spans="1:31" x14ac:dyDescent="0.25">
      <c r="A855" t="s">
        <v>359</v>
      </c>
      <c r="B855" s="7" t="s">
        <v>364</v>
      </c>
      <c r="C855" s="7" t="s">
        <v>19</v>
      </c>
      <c r="D855" s="7" t="s">
        <v>287</v>
      </c>
      <c r="E855" s="7" t="s">
        <v>118</v>
      </c>
      <c r="F855" s="7" t="s">
        <v>365</v>
      </c>
      <c r="G855" s="7" t="s">
        <v>5</v>
      </c>
      <c r="H855" s="7" t="s">
        <v>52</v>
      </c>
      <c r="I855" s="7" t="s">
        <v>7</v>
      </c>
      <c r="J855" s="7" t="s">
        <v>475</v>
      </c>
      <c r="K855" s="7" t="s">
        <v>294</v>
      </c>
      <c r="L855" s="7" t="s">
        <v>9</v>
      </c>
      <c r="M855" s="7" t="s">
        <v>465</v>
      </c>
      <c r="N855" s="7" t="s">
        <v>464</v>
      </c>
      <c r="O855" s="130" t="s">
        <v>1050</v>
      </c>
      <c r="P855" s="7" t="s">
        <v>458</v>
      </c>
      <c r="Q855" s="129" t="s">
        <v>459</v>
      </c>
      <c r="R855" s="129" t="s">
        <v>460</v>
      </c>
      <c r="S855" s="129" t="s">
        <v>461</v>
      </c>
      <c r="T855" s="129" t="s">
        <v>473</v>
      </c>
      <c r="U855" s="130" t="s">
        <v>462</v>
      </c>
      <c r="V855" s="130" t="s">
        <v>463</v>
      </c>
      <c r="W855" s="130" t="s">
        <v>675</v>
      </c>
      <c r="X855" s="130" t="s">
        <v>483</v>
      </c>
      <c r="Y855" s="130" t="s">
        <v>488</v>
      </c>
      <c r="Z855" s="130" t="s">
        <v>486</v>
      </c>
      <c r="AA855" s="130" t="s">
        <v>485</v>
      </c>
      <c r="AB855" s="130" t="s">
        <v>355</v>
      </c>
      <c r="AC855" s="130" t="s">
        <v>490</v>
      </c>
      <c r="AD855" s="130" t="s">
        <v>1384</v>
      </c>
    </row>
    <row r="856" spans="1:31" x14ac:dyDescent="0.25">
      <c r="A856" t="s">
        <v>359</v>
      </c>
      <c r="B856" s="7" t="s">
        <v>324</v>
      </c>
      <c r="C856" s="7" t="s">
        <v>321</v>
      </c>
      <c r="D856" s="7" t="s">
        <v>322</v>
      </c>
      <c r="E856" s="7" t="s">
        <v>1850</v>
      </c>
      <c r="F856" s="7" t="s">
        <v>325</v>
      </c>
      <c r="G856" s="7" t="s">
        <v>327</v>
      </c>
      <c r="H856" s="7" t="s">
        <v>328</v>
      </c>
      <c r="I856" s="7" t="s">
        <v>329</v>
      </c>
      <c r="J856" s="7" t="s">
        <v>474</v>
      </c>
      <c r="K856" s="7" t="s">
        <v>331</v>
      </c>
      <c r="L856" s="7" t="s">
        <v>332</v>
      </c>
      <c r="M856" s="7" t="s">
        <v>465</v>
      </c>
      <c r="N856" s="7" t="s">
        <v>333</v>
      </c>
      <c r="O856" s="123" t="s">
        <v>479</v>
      </c>
      <c r="P856" s="7" t="s">
        <v>1597</v>
      </c>
      <c r="Q856" s="123" t="s">
        <v>469</v>
      </c>
      <c r="R856" s="123" t="s">
        <v>470</v>
      </c>
      <c r="S856" s="123" t="s">
        <v>471</v>
      </c>
      <c r="T856" s="123" t="s">
        <v>472</v>
      </c>
      <c r="U856" s="123" t="s">
        <v>477</v>
      </c>
      <c r="V856" s="123" t="s">
        <v>478</v>
      </c>
      <c r="W856" s="130" t="s">
        <v>675</v>
      </c>
      <c r="X856" s="123" t="s">
        <v>484</v>
      </c>
      <c r="Y856" s="130" t="s">
        <v>488</v>
      </c>
      <c r="Z856" s="130" t="s">
        <v>486</v>
      </c>
      <c r="AA856" s="130" t="s">
        <v>487</v>
      </c>
      <c r="AB856" s="130" t="s">
        <v>355</v>
      </c>
      <c r="AC856" s="130" t="s">
        <v>490</v>
      </c>
      <c r="AD856" s="130" t="s">
        <v>1384</v>
      </c>
    </row>
    <row r="857" spans="1:31" x14ac:dyDescent="0.25">
      <c r="A857" t="str">
        <f>IF( OR(N857=0,O857=2),"comment","")</f>
        <v>comment</v>
      </c>
      <c r="B857" t="str">
        <f>'day1'!B731</f>
        <v>2018032610000080</v>
      </c>
      <c r="C857" t="str">
        <f>'day1'!C731</f>
        <v>6001</v>
      </c>
      <c r="D857" t="str">
        <f>'day1'!D731</f>
        <v>B00101</v>
      </c>
      <c r="E857" t="str">
        <f>'day1'!E731</f>
        <v>6001</v>
      </c>
      <c r="F857">
        <f t="shared" ref="F857:F873" si="335">$B$2</f>
        <v>20180328</v>
      </c>
      <c r="G857" t="str">
        <f t="shared" ref="G857:G873" si="336">$B$19</f>
        <v>CZCE</v>
      </c>
      <c r="H857" t="str">
        <f>'day1'!I731</f>
        <v>SR807C6500</v>
      </c>
      <c r="I857">
        <f t="shared" ref="I857:I873" si="337">VLOOKUP(H857,$C$19:$E$29,3,FALSE)</f>
        <v>10</v>
      </c>
      <c r="J857">
        <v>4</v>
      </c>
      <c r="K857" s="6">
        <f>'day1'!J731</f>
        <v>0</v>
      </c>
      <c r="L857">
        <f>'day1'!L731</f>
        <v>3</v>
      </c>
      <c r="M857">
        <f t="shared" ref="M857:M873" si="338">SUMPRODUCT(($C$662:$C$709=B857)*($F$662:$F$709=D857)*($G$662:$G$709=E857)*($L$662:$L$709=H857)*($O$662:$O$709=K857)*($P$662:$P$709=L857)*($N$662:$N$709=0)*($Q$662:$Q$709))-SUMPRODUCT(($D$662:$D$709=B857)*($F$662:$F$709=D857)*($G$662:$G$709=E857)*($L$662:$L$709=H857)*($O$662:$O$709&lt;&gt;K857)*($P$662:$P$709=L857)*($N$662:$N$709&lt;&gt;0)*($Q$662:$Q$709))+AD857</f>
        <v>0</v>
      </c>
      <c r="N857">
        <v>0</v>
      </c>
      <c r="O857">
        <v>1</v>
      </c>
      <c r="P857">
        <f t="shared" ref="P857:P873" si="339">VLOOKUP(H857,$C$19:$J$29,8,FALSE)</f>
        <v>6500</v>
      </c>
      <c r="Q857">
        <f t="shared" ref="Q857:Q873" si="340">VLOOKUP(X857,$G$117:$K$146,2,FALSE)</f>
        <v>4.2000000000000002E-4</v>
      </c>
      <c r="R857">
        <f t="shared" ref="R857:R873" si="341">VLOOKUP(X857,$G$117:$K$146,3,FALSE)</f>
        <v>4.2</v>
      </c>
      <c r="S857">
        <f t="shared" ref="S857:S873" si="342">VLOOKUP(X857,$G$117:$K$146,4,FALSE)</f>
        <v>4.2000000000000002E-4</v>
      </c>
      <c r="T857">
        <f t="shared" ref="T857:T873" si="343">VLOOKUP(X857,$G$117:$K$146,5,FALSE)</f>
        <v>4.2</v>
      </c>
      <c r="U857">
        <f>IF(O857=0,N857*P857*Q857*I857+N857*R857,0)</f>
        <v>0</v>
      </c>
      <c r="V857">
        <f>IF(O857=0,N857*P857*S857*I857+N857*T857,0)</f>
        <v>0</v>
      </c>
      <c r="W857">
        <f>IF(O857=0,N857*P857*I857,0)</f>
        <v>0</v>
      </c>
      <c r="X857" t="str">
        <f t="shared" ref="X857:X873" si="344">H857&amp;L857&amp;J857</f>
        <v>SR807C650034</v>
      </c>
      <c r="Y857" s="130">
        <f t="shared" ref="Y857:Y873" si="345">VLOOKUP(H857,$C$19:$J$29,6,FALSE)</f>
        <v>0</v>
      </c>
      <c r="Z857">
        <f t="shared" ref="Z857:Z873" si="346">IF(Y857=0,IF(K857=0,0,1),IF(K857=0,1,0))</f>
        <v>0</v>
      </c>
      <c r="AA857">
        <f t="shared" ref="AA857:AA873" si="347">IF(O857=0,N857,0)</f>
        <v>0</v>
      </c>
      <c r="AB857">
        <f t="shared" ref="AB857:AB873" si="348">VLOOKUP(H857,$C$19:$L$29,9,FALSE)</f>
        <v>0</v>
      </c>
      <c r="AC857" t="str">
        <f t="shared" ref="AC857:AC873" si="349">VLOOKUP(H857,$C$19:$L$29,7,FALSE)</f>
        <v>SR807</v>
      </c>
      <c r="AD857">
        <f>'day1'!M731+'day1'!N731</f>
        <v>0</v>
      </c>
    </row>
    <row r="858" spans="1:31" x14ac:dyDescent="0.25">
      <c r="A858" t="str">
        <f t="shared" ref="A858:A873" si="350">IF( OR(N858=0,O858=2),"comment","")</f>
        <v>comment</v>
      </c>
      <c r="B858" t="str">
        <f>'day1'!B732</f>
        <v>2018032610000081</v>
      </c>
      <c r="C858" t="str">
        <f>'day1'!C732</f>
        <v>6001</v>
      </c>
      <c r="D858" t="str">
        <f>'day1'!D732</f>
        <v>B00101</v>
      </c>
      <c r="E858" t="str">
        <f>'day1'!E732</f>
        <v>6001</v>
      </c>
      <c r="F858">
        <f t="shared" si="335"/>
        <v>20180328</v>
      </c>
      <c r="G858" t="str">
        <f t="shared" si="336"/>
        <v>CZCE</v>
      </c>
      <c r="H858" t="str">
        <f>'day1'!I732</f>
        <v>SR807C6500</v>
      </c>
      <c r="I858">
        <f t="shared" si="337"/>
        <v>10</v>
      </c>
      <c r="J858">
        <v>4</v>
      </c>
      <c r="K858" s="6">
        <f>'day1'!J732</f>
        <v>0</v>
      </c>
      <c r="L858">
        <f>'day1'!L732</f>
        <v>3</v>
      </c>
      <c r="M858">
        <f t="shared" si="338"/>
        <v>3</v>
      </c>
      <c r="N858">
        <v>0</v>
      </c>
      <c r="O858">
        <v>1</v>
      </c>
      <c r="P858">
        <f t="shared" si="339"/>
        <v>6500</v>
      </c>
      <c r="Q858">
        <f t="shared" si="340"/>
        <v>4.2000000000000002E-4</v>
      </c>
      <c r="R858">
        <f t="shared" si="341"/>
        <v>4.2</v>
      </c>
      <c r="S858">
        <f t="shared" si="342"/>
        <v>4.2000000000000002E-4</v>
      </c>
      <c r="T858">
        <f t="shared" si="343"/>
        <v>4.2</v>
      </c>
      <c r="U858">
        <f t="shared" ref="U858:U873" si="351">IF(O858=0,N858*P858*Q858*I858+N858*R858,0)</f>
        <v>0</v>
      </c>
      <c r="V858">
        <f t="shared" ref="V858:V874" si="352">IF(O858=0,N858*P858*S858*I858+N858*T858,0)</f>
        <v>0</v>
      </c>
      <c r="W858">
        <f t="shared" ref="W858:W868" si="353">IF(O858=0,N858*P858*I858,0)</f>
        <v>0</v>
      </c>
      <c r="X858" t="str">
        <f t="shared" si="344"/>
        <v>SR807C650034</v>
      </c>
      <c r="Y858" s="130">
        <f t="shared" si="345"/>
        <v>0</v>
      </c>
      <c r="Z858">
        <f t="shared" si="346"/>
        <v>0</v>
      </c>
      <c r="AA858">
        <f t="shared" si="347"/>
        <v>0</v>
      </c>
      <c r="AB858">
        <f t="shared" si="348"/>
        <v>0</v>
      </c>
      <c r="AC858" t="str">
        <f t="shared" si="349"/>
        <v>SR807</v>
      </c>
      <c r="AD858">
        <f>'day1'!M732+'day1'!N732</f>
        <v>3</v>
      </c>
    </row>
    <row r="859" spans="1:31" x14ac:dyDescent="0.25">
      <c r="A859" t="str">
        <f t="shared" si="350"/>
        <v>comment</v>
      </c>
      <c r="B859" t="str">
        <f>'day1'!B733</f>
        <v>2018032610000082</v>
      </c>
      <c r="C859" t="str">
        <f>'day1'!C733</f>
        <v>6001</v>
      </c>
      <c r="D859" t="str">
        <f>'day1'!D733</f>
        <v>B00101</v>
      </c>
      <c r="E859" t="str">
        <f>'day1'!E733</f>
        <v>6001</v>
      </c>
      <c r="F859">
        <f t="shared" si="335"/>
        <v>20180328</v>
      </c>
      <c r="G859" t="str">
        <f t="shared" si="336"/>
        <v>CZCE</v>
      </c>
      <c r="H859" t="str">
        <f>'day1'!I733</f>
        <v>SR807C6500</v>
      </c>
      <c r="I859">
        <f t="shared" si="337"/>
        <v>10</v>
      </c>
      <c r="J859">
        <v>4</v>
      </c>
      <c r="K859" s="6">
        <f>'day1'!J733</f>
        <v>0</v>
      </c>
      <c r="L859">
        <f>'day1'!L733</f>
        <v>1</v>
      </c>
      <c r="M859">
        <f t="shared" si="338"/>
        <v>0</v>
      </c>
      <c r="N859">
        <v>0</v>
      </c>
      <c r="O859">
        <v>1</v>
      </c>
      <c r="P859">
        <f t="shared" si="339"/>
        <v>6500</v>
      </c>
      <c r="Q859">
        <f t="shared" si="340"/>
        <v>4.2000000000000002E-4</v>
      </c>
      <c r="R859">
        <f t="shared" si="341"/>
        <v>4.2</v>
      </c>
      <c r="S859">
        <f t="shared" si="342"/>
        <v>3.2000000000000003E-4</v>
      </c>
      <c r="T859">
        <f t="shared" si="343"/>
        <v>3.2</v>
      </c>
      <c r="U859">
        <f t="shared" si="351"/>
        <v>0</v>
      </c>
      <c r="V859">
        <f t="shared" si="352"/>
        <v>0</v>
      </c>
      <c r="W859">
        <f t="shared" si="353"/>
        <v>0</v>
      </c>
      <c r="X859" t="str">
        <f t="shared" si="344"/>
        <v>SR807C650014</v>
      </c>
      <c r="Y859" s="130">
        <f t="shared" si="345"/>
        <v>0</v>
      </c>
      <c r="Z859">
        <f t="shared" si="346"/>
        <v>0</v>
      </c>
      <c r="AA859">
        <f t="shared" si="347"/>
        <v>0</v>
      </c>
      <c r="AB859">
        <f t="shared" si="348"/>
        <v>0</v>
      </c>
      <c r="AC859" t="str">
        <f t="shared" si="349"/>
        <v>SR807</v>
      </c>
      <c r="AD859">
        <f>'day1'!M733+'day1'!N733</f>
        <v>0</v>
      </c>
    </row>
    <row r="860" spans="1:31" x14ac:dyDescent="0.25">
      <c r="A860" t="str">
        <f t="shared" si="350"/>
        <v>comment</v>
      </c>
      <c r="B860" t="str">
        <f>'day1'!B734</f>
        <v>2018032610000083</v>
      </c>
      <c r="C860" t="str">
        <f>'day1'!C734</f>
        <v>6001</v>
      </c>
      <c r="D860" t="str">
        <f>'day1'!D734</f>
        <v>B00101</v>
      </c>
      <c r="E860" t="str">
        <f>'day1'!E734</f>
        <v>6001</v>
      </c>
      <c r="F860">
        <f t="shared" si="335"/>
        <v>20180328</v>
      </c>
      <c r="G860" t="str">
        <f t="shared" si="336"/>
        <v>CZCE</v>
      </c>
      <c r="H860" t="str">
        <f>'day1'!I734</f>
        <v>SR807C6500</v>
      </c>
      <c r="I860">
        <f t="shared" si="337"/>
        <v>10</v>
      </c>
      <c r="J860">
        <v>4</v>
      </c>
      <c r="K860" s="6">
        <f>'day1'!J734</f>
        <v>0</v>
      </c>
      <c r="L860">
        <f>'day1'!L734</f>
        <v>1</v>
      </c>
      <c r="M860">
        <f t="shared" si="338"/>
        <v>0</v>
      </c>
      <c r="N860">
        <v>0</v>
      </c>
      <c r="O860">
        <v>1</v>
      </c>
      <c r="P860">
        <f t="shared" si="339"/>
        <v>6500</v>
      </c>
      <c r="Q860">
        <f t="shared" si="340"/>
        <v>4.2000000000000002E-4</v>
      </c>
      <c r="R860">
        <f t="shared" si="341"/>
        <v>4.2</v>
      </c>
      <c r="S860">
        <f t="shared" si="342"/>
        <v>3.2000000000000003E-4</v>
      </c>
      <c r="T860">
        <f t="shared" si="343"/>
        <v>3.2</v>
      </c>
      <c r="U860">
        <f t="shared" si="351"/>
        <v>0</v>
      </c>
      <c r="V860">
        <f t="shared" si="352"/>
        <v>0</v>
      </c>
      <c r="W860">
        <f t="shared" si="353"/>
        <v>0</v>
      </c>
      <c r="X860" t="str">
        <f t="shared" si="344"/>
        <v>SR807C650014</v>
      </c>
      <c r="Y860" s="130">
        <f t="shared" si="345"/>
        <v>0</v>
      </c>
      <c r="Z860">
        <f t="shared" si="346"/>
        <v>0</v>
      </c>
      <c r="AA860">
        <f t="shared" si="347"/>
        <v>0</v>
      </c>
      <c r="AB860">
        <f t="shared" si="348"/>
        <v>0</v>
      </c>
      <c r="AC860" t="str">
        <f t="shared" si="349"/>
        <v>SR807</v>
      </c>
      <c r="AD860">
        <f>'day1'!M734+'day1'!N734</f>
        <v>0</v>
      </c>
    </row>
    <row r="861" spans="1:31" x14ac:dyDescent="0.25">
      <c r="A861" t="str">
        <f t="shared" si="350"/>
        <v>comment</v>
      </c>
      <c r="B861" t="str">
        <f>'day1'!B735</f>
        <v>2018032610000089</v>
      </c>
      <c r="C861" t="str">
        <f>'day1'!C735</f>
        <v>6001</v>
      </c>
      <c r="D861" t="str">
        <f>'day1'!D735</f>
        <v>B00101</v>
      </c>
      <c r="E861" t="str">
        <f>'day1'!E735</f>
        <v>6001</v>
      </c>
      <c r="F861">
        <f t="shared" si="335"/>
        <v>20180328</v>
      </c>
      <c r="G861" t="str">
        <f t="shared" si="336"/>
        <v>CZCE</v>
      </c>
      <c r="H861" t="str">
        <f>'day1'!I735</f>
        <v>SR807C6500</v>
      </c>
      <c r="I861">
        <f t="shared" si="337"/>
        <v>10</v>
      </c>
      <c r="J861">
        <v>4</v>
      </c>
      <c r="K861" s="6">
        <f>'day1'!J735</f>
        <v>0</v>
      </c>
      <c r="L861">
        <f>'day1'!L735</f>
        <v>1</v>
      </c>
      <c r="M861">
        <f t="shared" si="338"/>
        <v>10</v>
      </c>
      <c r="N861">
        <v>0</v>
      </c>
      <c r="O861">
        <v>0</v>
      </c>
      <c r="P861">
        <f t="shared" si="339"/>
        <v>6500</v>
      </c>
      <c r="Q861">
        <f t="shared" si="340"/>
        <v>4.2000000000000002E-4</v>
      </c>
      <c r="R861">
        <f t="shared" si="341"/>
        <v>4.2</v>
      </c>
      <c r="S861">
        <f t="shared" si="342"/>
        <v>3.2000000000000003E-4</v>
      </c>
      <c r="T861">
        <f t="shared" si="343"/>
        <v>3.2</v>
      </c>
      <c r="U861">
        <f t="shared" si="351"/>
        <v>0</v>
      </c>
      <c r="V861">
        <f t="shared" si="352"/>
        <v>0</v>
      </c>
      <c r="W861">
        <f t="shared" si="353"/>
        <v>0</v>
      </c>
      <c r="X861" t="str">
        <f t="shared" si="344"/>
        <v>SR807C650014</v>
      </c>
      <c r="Y861" s="130">
        <f t="shared" si="345"/>
        <v>0</v>
      </c>
      <c r="Z861">
        <f t="shared" si="346"/>
        <v>0</v>
      </c>
      <c r="AA861">
        <f t="shared" si="347"/>
        <v>0</v>
      </c>
      <c r="AB861">
        <f t="shared" si="348"/>
        <v>0</v>
      </c>
      <c r="AC861" t="str">
        <f t="shared" si="349"/>
        <v>SR807</v>
      </c>
      <c r="AD861">
        <f>'day1'!M735+'day1'!N735</f>
        <v>10</v>
      </c>
    </row>
    <row r="862" spans="1:31" s="6" customFormat="1" x14ac:dyDescent="0.25">
      <c r="A862" t="str">
        <f t="shared" si="350"/>
        <v>comment</v>
      </c>
      <c r="B862" t="str">
        <f>'day1'!B736</f>
        <v>2018032610000090</v>
      </c>
      <c r="C862" t="str">
        <f>'day1'!C736</f>
        <v>6001</v>
      </c>
      <c r="D862" t="str">
        <f>'day1'!D736</f>
        <v>B00101</v>
      </c>
      <c r="E862" t="str">
        <f>'day1'!E736</f>
        <v>6001</v>
      </c>
      <c r="F862">
        <f t="shared" si="335"/>
        <v>20180328</v>
      </c>
      <c r="G862" t="str">
        <f t="shared" si="336"/>
        <v>CZCE</v>
      </c>
      <c r="H862" t="str">
        <f>'day1'!I736</f>
        <v>SR807C6500</v>
      </c>
      <c r="I862">
        <f t="shared" si="337"/>
        <v>10</v>
      </c>
      <c r="J862">
        <v>4</v>
      </c>
      <c r="K862" s="6">
        <f>'day1'!J736</f>
        <v>1</v>
      </c>
      <c r="L862">
        <f>'day1'!L736</f>
        <v>3</v>
      </c>
      <c r="M862">
        <f t="shared" si="338"/>
        <v>10</v>
      </c>
      <c r="N862">
        <v>0</v>
      </c>
      <c r="O862" s="6">
        <v>0</v>
      </c>
      <c r="P862">
        <f t="shared" si="339"/>
        <v>6500</v>
      </c>
      <c r="Q862">
        <f t="shared" si="340"/>
        <v>4.2000000000000002E-4</v>
      </c>
      <c r="R862">
        <f t="shared" si="341"/>
        <v>4.2</v>
      </c>
      <c r="S862">
        <f t="shared" si="342"/>
        <v>4.2000000000000002E-4</v>
      </c>
      <c r="T862">
        <f t="shared" si="343"/>
        <v>4.2</v>
      </c>
      <c r="U862">
        <f t="shared" si="351"/>
        <v>0</v>
      </c>
      <c r="V862">
        <f t="shared" si="352"/>
        <v>0</v>
      </c>
      <c r="W862">
        <f t="shared" si="353"/>
        <v>0</v>
      </c>
      <c r="X862" t="str">
        <f t="shared" si="344"/>
        <v>SR807C650034</v>
      </c>
      <c r="Y862" s="130">
        <f t="shared" si="345"/>
        <v>0</v>
      </c>
      <c r="Z862">
        <f t="shared" si="346"/>
        <v>1</v>
      </c>
      <c r="AA862">
        <f t="shared" si="347"/>
        <v>0</v>
      </c>
      <c r="AB862">
        <f t="shared" si="348"/>
        <v>0</v>
      </c>
      <c r="AC862" t="str">
        <f t="shared" si="349"/>
        <v>SR807</v>
      </c>
      <c r="AD862">
        <f>'day1'!M736+'day1'!N736</f>
        <v>10</v>
      </c>
    </row>
    <row r="863" spans="1:31" x14ac:dyDescent="0.25">
      <c r="A863" t="str">
        <f t="shared" si="350"/>
        <v>comment</v>
      </c>
      <c r="B863" t="str">
        <f>'day1'!B737</f>
        <v>2018032610000091</v>
      </c>
      <c r="C863" t="str">
        <f>'day1'!C737</f>
        <v>6001</v>
      </c>
      <c r="D863" t="str">
        <f>'day1'!D737</f>
        <v>B00101</v>
      </c>
      <c r="E863" t="str">
        <f>'day1'!E737</f>
        <v>6001</v>
      </c>
      <c r="F863">
        <f t="shared" si="335"/>
        <v>20180328</v>
      </c>
      <c r="G863" t="str">
        <f t="shared" si="336"/>
        <v>CZCE</v>
      </c>
      <c r="H863" t="str">
        <f>'day1'!I737</f>
        <v>SR807C6500</v>
      </c>
      <c r="I863">
        <f t="shared" si="337"/>
        <v>10</v>
      </c>
      <c r="J863">
        <v>4</v>
      </c>
      <c r="K863" s="6">
        <f>'day1'!J737</f>
        <v>1</v>
      </c>
      <c r="L863">
        <f>'day1'!L737</f>
        <v>1</v>
      </c>
      <c r="M863">
        <f t="shared" si="338"/>
        <v>0</v>
      </c>
      <c r="N863">
        <v>0</v>
      </c>
      <c r="O863" s="6">
        <v>1</v>
      </c>
      <c r="P863">
        <f t="shared" si="339"/>
        <v>6500</v>
      </c>
      <c r="Q863">
        <f t="shared" si="340"/>
        <v>4.2000000000000002E-4</v>
      </c>
      <c r="R863">
        <f t="shared" si="341"/>
        <v>4.2</v>
      </c>
      <c r="S863">
        <f t="shared" si="342"/>
        <v>3.2000000000000003E-4</v>
      </c>
      <c r="T863">
        <f t="shared" si="343"/>
        <v>3.2</v>
      </c>
      <c r="U863">
        <f t="shared" si="351"/>
        <v>0</v>
      </c>
      <c r="V863">
        <f t="shared" si="352"/>
        <v>0</v>
      </c>
      <c r="W863">
        <f t="shared" si="353"/>
        <v>0</v>
      </c>
      <c r="X863" t="str">
        <f t="shared" si="344"/>
        <v>SR807C650014</v>
      </c>
      <c r="Y863" s="130">
        <f t="shared" si="345"/>
        <v>0</v>
      </c>
      <c r="Z863">
        <f t="shared" si="346"/>
        <v>1</v>
      </c>
      <c r="AA863">
        <f t="shared" si="347"/>
        <v>0</v>
      </c>
      <c r="AB863">
        <f t="shared" si="348"/>
        <v>0</v>
      </c>
      <c r="AC863" t="str">
        <f t="shared" si="349"/>
        <v>SR807</v>
      </c>
      <c r="AD863">
        <f>'day1'!M737+'day1'!N737</f>
        <v>0</v>
      </c>
    </row>
    <row r="864" spans="1:31" x14ac:dyDescent="0.25">
      <c r="A864" t="str">
        <f t="shared" si="350"/>
        <v>comment</v>
      </c>
      <c r="B864" t="str">
        <f>'day1'!B738</f>
        <v>2018032610000092</v>
      </c>
      <c r="C864" t="str">
        <f>'day1'!C738</f>
        <v>6001</v>
      </c>
      <c r="D864" t="str">
        <f>'day1'!D738</f>
        <v>B00101</v>
      </c>
      <c r="E864" t="str">
        <f>'day1'!E738</f>
        <v>6001</v>
      </c>
      <c r="F864">
        <f t="shared" si="335"/>
        <v>20180328</v>
      </c>
      <c r="G864" t="str">
        <f t="shared" si="336"/>
        <v>CZCE</v>
      </c>
      <c r="H864" t="str">
        <f>'day1'!I738</f>
        <v>SR807C6500</v>
      </c>
      <c r="I864">
        <f t="shared" si="337"/>
        <v>10</v>
      </c>
      <c r="J864">
        <v>4</v>
      </c>
      <c r="K864" s="6">
        <f>'day1'!J738</f>
        <v>1</v>
      </c>
      <c r="L864">
        <f>'day1'!L738</f>
        <v>1</v>
      </c>
      <c r="M864">
        <f t="shared" si="338"/>
        <v>7</v>
      </c>
      <c r="N864">
        <v>0</v>
      </c>
      <c r="O864" s="6">
        <v>1</v>
      </c>
      <c r="P864">
        <f t="shared" si="339"/>
        <v>6500</v>
      </c>
      <c r="Q864">
        <f t="shared" si="340"/>
        <v>4.2000000000000002E-4</v>
      </c>
      <c r="R864">
        <f t="shared" si="341"/>
        <v>4.2</v>
      </c>
      <c r="S864">
        <f t="shared" si="342"/>
        <v>3.2000000000000003E-4</v>
      </c>
      <c r="T864">
        <f t="shared" si="343"/>
        <v>3.2</v>
      </c>
      <c r="U864">
        <f t="shared" si="351"/>
        <v>0</v>
      </c>
      <c r="V864">
        <f t="shared" si="352"/>
        <v>0</v>
      </c>
      <c r="W864">
        <f t="shared" si="353"/>
        <v>0</v>
      </c>
      <c r="X864" t="str">
        <f t="shared" si="344"/>
        <v>SR807C650014</v>
      </c>
      <c r="Y864" s="130">
        <f t="shared" si="345"/>
        <v>0</v>
      </c>
      <c r="Z864">
        <f t="shared" si="346"/>
        <v>1</v>
      </c>
      <c r="AA864">
        <f t="shared" si="347"/>
        <v>0</v>
      </c>
      <c r="AB864">
        <f t="shared" si="348"/>
        <v>0</v>
      </c>
      <c r="AC864" t="str">
        <f t="shared" si="349"/>
        <v>SR807</v>
      </c>
      <c r="AD864">
        <f>'day1'!M738+'day1'!N738</f>
        <v>7</v>
      </c>
    </row>
    <row r="865" spans="1:49" x14ac:dyDescent="0.25">
      <c r="A865" t="str">
        <f t="shared" si="350"/>
        <v>comment</v>
      </c>
      <c r="B865" t="str">
        <f>'day1'!B739</f>
        <v>2018032610000096</v>
      </c>
      <c r="C865" t="str">
        <f>'day1'!C739</f>
        <v>6001</v>
      </c>
      <c r="D865" t="str">
        <f>'day1'!D739</f>
        <v>B00101</v>
      </c>
      <c r="E865" t="str">
        <f>'day1'!E739</f>
        <v>6001</v>
      </c>
      <c r="F865">
        <f t="shared" si="335"/>
        <v>20180328</v>
      </c>
      <c r="G865" t="str">
        <f t="shared" si="336"/>
        <v>CZCE</v>
      </c>
      <c r="H865" t="str">
        <f>'day1'!I739</f>
        <v>SR807P6500</v>
      </c>
      <c r="I865">
        <f t="shared" si="337"/>
        <v>10</v>
      </c>
      <c r="J865">
        <v>4</v>
      </c>
      <c r="K865" s="6">
        <f>'day1'!J739</f>
        <v>0</v>
      </c>
      <c r="L865">
        <f>'day1'!L739</f>
        <v>1</v>
      </c>
      <c r="M865">
        <f t="shared" si="338"/>
        <v>1</v>
      </c>
      <c r="N865">
        <v>0</v>
      </c>
      <c r="O865">
        <v>1</v>
      </c>
      <c r="P865">
        <f t="shared" si="339"/>
        <v>6500</v>
      </c>
      <c r="Q865">
        <f t="shared" si="340"/>
        <v>4.2000000000000002E-4</v>
      </c>
      <c r="R865">
        <f t="shared" si="341"/>
        <v>4.2</v>
      </c>
      <c r="S865">
        <f t="shared" si="342"/>
        <v>3.2000000000000003E-4</v>
      </c>
      <c r="T865">
        <f t="shared" si="343"/>
        <v>3.2</v>
      </c>
      <c r="U865">
        <f t="shared" si="351"/>
        <v>0</v>
      </c>
      <c r="V865">
        <f t="shared" si="352"/>
        <v>0</v>
      </c>
      <c r="W865">
        <f t="shared" si="353"/>
        <v>0</v>
      </c>
      <c r="X865" t="str">
        <f t="shared" si="344"/>
        <v>SR807P650014</v>
      </c>
      <c r="Y865" s="130">
        <f t="shared" si="345"/>
        <v>1</v>
      </c>
      <c r="Z865">
        <f t="shared" si="346"/>
        <v>1</v>
      </c>
      <c r="AA865">
        <f t="shared" si="347"/>
        <v>0</v>
      </c>
      <c r="AB865">
        <f t="shared" si="348"/>
        <v>0</v>
      </c>
      <c r="AC865" t="str">
        <f t="shared" si="349"/>
        <v>SR807</v>
      </c>
      <c r="AD865">
        <f>'day1'!M739+'day1'!N739</f>
        <v>1</v>
      </c>
    </row>
    <row r="866" spans="1:49" x14ac:dyDescent="0.25">
      <c r="A866" t="str">
        <f t="shared" si="350"/>
        <v>comment</v>
      </c>
      <c r="B866" t="str">
        <f>'day1'!B740</f>
        <v>2018032610000097</v>
      </c>
      <c r="C866" t="str">
        <f>'day1'!C740</f>
        <v>6001</v>
      </c>
      <c r="D866" t="str">
        <f>'day1'!D740</f>
        <v>B00101</v>
      </c>
      <c r="E866" t="str">
        <f>'day1'!E740</f>
        <v>6001</v>
      </c>
      <c r="F866">
        <f t="shared" si="335"/>
        <v>20180328</v>
      </c>
      <c r="G866" t="str">
        <f t="shared" si="336"/>
        <v>CZCE</v>
      </c>
      <c r="H866" t="str">
        <f>'day1'!I740</f>
        <v>SR807P6500</v>
      </c>
      <c r="I866">
        <f t="shared" si="337"/>
        <v>10</v>
      </c>
      <c r="J866">
        <v>4</v>
      </c>
      <c r="K866" s="6">
        <f>'day1'!J740</f>
        <v>1</v>
      </c>
      <c r="L866">
        <f>'day1'!L740</f>
        <v>1</v>
      </c>
      <c r="M866">
        <f t="shared" si="338"/>
        <v>5</v>
      </c>
      <c r="N866">
        <v>0</v>
      </c>
      <c r="O866">
        <v>1</v>
      </c>
      <c r="P866">
        <f t="shared" si="339"/>
        <v>6500</v>
      </c>
      <c r="Q866">
        <f t="shared" si="340"/>
        <v>4.2000000000000002E-4</v>
      </c>
      <c r="R866">
        <f t="shared" si="341"/>
        <v>4.2</v>
      </c>
      <c r="S866">
        <f t="shared" si="342"/>
        <v>3.2000000000000003E-4</v>
      </c>
      <c r="T866">
        <f t="shared" si="343"/>
        <v>3.2</v>
      </c>
      <c r="U866">
        <f t="shared" si="351"/>
        <v>0</v>
      </c>
      <c r="V866">
        <f t="shared" si="352"/>
        <v>0</v>
      </c>
      <c r="W866">
        <f t="shared" si="353"/>
        <v>0</v>
      </c>
      <c r="X866" t="str">
        <f t="shared" si="344"/>
        <v>SR807P650014</v>
      </c>
      <c r="Y866" s="130">
        <f t="shared" si="345"/>
        <v>1</v>
      </c>
      <c r="Z866">
        <f t="shared" si="346"/>
        <v>0</v>
      </c>
      <c r="AA866">
        <f t="shared" si="347"/>
        <v>0</v>
      </c>
      <c r="AB866">
        <f t="shared" si="348"/>
        <v>0</v>
      </c>
      <c r="AC866" t="str">
        <f t="shared" si="349"/>
        <v>SR807</v>
      </c>
      <c r="AD866">
        <f>'day1'!M740+'day1'!N740</f>
        <v>5</v>
      </c>
    </row>
    <row r="867" spans="1:49" s="6" customFormat="1" x14ac:dyDescent="0.25">
      <c r="A867" t="str">
        <f t="shared" si="350"/>
        <v>comment</v>
      </c>
      <c r="B867" t="str">
        <f>'day1'!B741</f>
        <v>2018032610000098</v>
      </c>
      <c r="C867" t="str">
        <f>'day1'!C741</f>
        <v>6001</v>
      </c>
      <c r="D867" t="str">
        <f>'day1'!D741</f>
        <v>B00101</v>
      </c>
      <c r="E867" t="str">
        <f>'day1'!E741</f>
        <v>6001</v>
      </c>
      <c r="F867">
        <f t="shared" si="335"/>
        <v>20180328</v>
      </c>
      <c r="G867" t="str">
        <f t="shared" si="336"/>
        <v>CZCE</v>
      </c>
      <c r="H867" t="str">
        <f>'day1'!I741</f>
        <v>SR807P6500</v>
      </c>
      <c r="I867">
        <f t="shared" si="337"/>
        <v>10</v>
      </c>
      <c r="J867">
        <v>4</v>
      </c>
      <c r="K867" s="6">
        <f>'day1'!J741</f>
        <v>0</v>
      </c>
      <c r="L867">
        <f>'day1'!L741</f>
        <v>3</v>
      </c>
      <c r="M867">
        <f t="shared" si="338"/>
        <v>2</v>
      </c>
      <c r="N867">
        <v>0</v>
      </c>
      <c r="O867">
        <v>1</v>
      </c>
      <c r="P867">
        <f t="shared" si="339"/>
        <v>6500</v>
      </c>
      <c r="Q867">
        <f t="shared" si="340"/>
        <v>4.2000000000000002E-4</v>
      </c>
      <c r="R867">
        <f t="shared" si="341"/>
        <v>4.2</v>
      </c>
      <c r="S867">
        <f t="shared" si="342"/>
        <v>4.2000000000000002E-4</v>
      </c>
      <c r="T867">
        <f t="shared" si="343"/>
        <v>4.2</v>
      </c>
      <c r="U867">
        <f t="shared" si="351"/>
        <v>0</v>
      </c>
      <c r="V867">
        <f t="shared" si="352"/>
        <v>0</v>
      </c>
      <c r="W867">
        <f t="shared" si="353"/>
        <v>0</v>
      </c>
      <c r="X867" t="str">
        <f t="shared" si="344"/>
        <v>SR807P650034</v>
      </c>
      <c r="Y867" s="130">
        <f t="shared" si="345"/>
        <v>1</v>
      </c>
      <c r="Z867">
        <f t="shared" si="346"/>
        <v>1</v>
      </c>
      <c r="AA867">
        <f t="shared" si="347"/>
        <v>0</v>
      </c>
      <c r="AB867">
        <f t="shared" si="348"/>
        <v>0</v>
      </c>
      <c r="AC867" t="str">
        <f t="shared" si="349"/>
        <v>SR807</v>
      </c>
      <c r="AD867">
        <f>'day1'!M741+'day1'!N741</f>
        <v>2</v>
      </c>
    </row>
    <row r="868" spans="1:49" x14ac:dyDescent="0.25">
      <c r="A868" t="str">
        <f t="shared" si="350"/>
        <v>comment</v>
      </c>
      <c r="B868" t="str">
        <f>'day1'!B742</f>
        <v>2018032610000099</v>
      </c>
      <c r="C868" t="str">
        <f>'day1'!C742</f>
        <v>6001</v>
      </c>
      <c r="D868" t="str">
        <f>'day1'!D742</f>
        <v>B00101</v>
      </c>
      <c r="E868" t="str">
        <f>'day1'!E742</f>
        <v>6001</v>
      </c>
      <c r="F868">
        <f t="shared" si="335"/>
        <v>20180328</v>
      </c>
      <c r="G868" t="str">
        <f t="shared" si="336"/>
        <v>CZCE</v>
      </c>
      <c r="H868" t="str">
        <f>'day1'!I742</f>
        <v>SR807P6500</v>
      </c>
      <c r="I868">
        <f t="shared" si="337"/>
        <v>10</v>
      </c>
      <c r="J868">
        <v>4</v>
      </c>
      <c r="K868" s="6">
        <f>'day1'!J742</f>
        <v>1</v>
      </c>
      <c r="L868">
        <f>'day1'!L742</f>
        <v>3</v>
      </c>
      <c r="M868">
        <f t="shared" si="338"/>
        <v>3</v>
      </c>
      <c r="N868">
        <v>0</v>
      </c>
      <c r="O868">
        <v>1</v>
      </c>
      <c r="P868">
        <f t="shared" si="339"/>
        <v>6500</v>
      </c>
      <c r="Q868">
        <f t="shared" si="340"/>
        <v>4.2000000000000002E-4</v>
      </c>
      <c r="R868">
        <f t="shared" si="341"/>
        <v>4.2</v>
      </c>
      <c r="S868">
        <f t="shared" si="342"/>
        <v>4.2000000000000002E-4</v>
      </c>
      <c r="T868">
        <f t="shared" si="343"/>
        <v>4.2</v>
      </c>
      <c r="U868">
        <f t="shared" si="351"/>
        <v>0</v>
      </c>
      <c r="V868">
        <f t="shared" si="352"/>
        <v>0</v>
      </c>
      <c r="W868">
        <f t="shared" si="353"/>
        <v>0</v>
      </c>
      <c r="X868" t="str">
        <f t="shared" si="344"/>
        <v>SR807P650034</v>
      </c>
      <c r="Y868" s="130">
        <f t="shared" si="345"/>
        <v>1</v>
      </c>
      <c r="Z868">
        <f t="shared" si="346"/>
        <v>0</v>
      </c>
      <c r="AA868">
        <f t="shared" si="347"/>
        <v>0</v>
      </c>
      <c r="AB868">
        <f t="shared" si="348"/>
        <v>0</v>
      </c>
      <c r="AC868" t="str">
        <f t="shared" si="349"/>
        <v>SR807</v>
      </c>
      <c r="AD868">
        <f>'day1'!M742+'day1'!N742</f>
        <v>3</v>
      </c>
    </row>
    <row r="869" spans="1:49" x14ac:dyDescent="0.25">
      <c r="A869" t="str">
        <f t="shared" si="350"/>
        <v>comment</v>
      </c>
      <c r="B869" t="str">
        <f>'day1'!B743</f>
        <v>2018032610000100</v>
      </c>
      <c r="C869" t="str">
        <f>'day1'!C743</f>
        <v>6001</v>
      </c>
      <c r="D869" t="str">
        <f>'day1'!D743</f>
        <v>B00101</v>
      </c>
      <c r="E869" t="str">
        <f>'day1'!E743</f>
        <v>6001</v>
      </c>
      <c r="F869">
        <f t="shared" si="335"/>
        <v>20180328</v>
      </c>
      <c r="G869" t="str">
        <f t="shared" si="336"/>
        <v>CZCE</v>
      </c>
      <c r="H869" t="str">
        <f>'day1'!I743</f>
        <v>SR807P6400</v>
      </c>
      <c r="I869">
        <f t="shared" si="337"/>
        <v>10</v>
      </c>
      <c r="J869">
        <v>4</v>
      </c>
      <c r="K869" s="6">
        <f>'day1'!J743</f>
        <v>0</v>
      </c>
      <c r="L869">
        <f>'day1'!L743</f>
        <v>1</v>
      </c>
      <c r="M869">
        <f t="shared" si="338"/>
        <v>1</v>
      </c>
      <c r="N869">
        <v>0</v>
      </c>
      <c r="O869">
        <v>0</v>
      </c>
      <c r="P869">
        <f t="shared" si="339"/>
        <v>6400</v>
      </c>
      <c r="Q869">
        <f t="shared" si="340"/>
        <v>4.2000000000000002E-4</v>
      </c>
      <c r="R869">
        <f t="shared" si="341"/>
        <v>4.2</v>
      </c>
      <c r="S869">
        <f t="shared" si="342"/>
        <v>3.2000000000000003E-4</v>
      </c>
      <c r="T869">
        <f t="shared" si="343"/>
        <v>3.2</v>
      </c>
      <c r="U869">
        <f t="shared" si="351"/>
        <v>0</v>
      </c>
      <c r="V869">
        <f t="shared" si="352"/>
        <v>0</v>
      </c>
      <c r="X869" t="str">
        <f t="shared" si="344"/>
        <v>SR807P640014</v>
      </c>
      <c r="Y869" s="130">
        <f t="shared" si="345"/>
        <v>1</v>
      </c>
      <c r="Z869">
        <f t="shared" si="346"/>
        <v>1</v>
      </c>
      <c r="AA869">
        <f t="shared" si="347"/>
        <v>0</v>
      </c>
      <c r="AB869">
        <f t="shared" si="348"/>
        <v>0</v>
      </c>
      <c r="AC869" t="str">
        <f t="shared" si="349"/>
        <v>SR807</v>
      </c>
      <c r="AD869">
        <f>'day1'!M743+'day1'!N743</f>
        <v>1</v>
      </c>
    </row>
    <row r="870" spans="1:49" x14ac:dyDescent="0.25">
      <c r="A870" t="str">
        <f t="shared" si="350"/>
        <v>comment</v>
      </c>
      <c r="B870" t="str">
        <f>'day1'!B744</f>
        <v>2018032610000101</v>
      </c>
      <c r="C870" t="str">
        <f>'day1'!C744</f>
        <v>6001</v>
      </c>
      <c r="D870" t="str">
        <f>'day1'!D744</f>
        <v>B00101</v>
      </c>
      <c r="E870" t="str">
        <f>'day1'!E744</f>
        <v>6001</v>
      </c>
      <c r="F870">
        <f t="shared" si="335"/>
        <v>20180328</v>
      </c>
      <c r="G870" t="str">
        <f t="shared" si="336"/>
        <v>CZCE</v>
      </c>
      <c r="H870" t="str">
        <f>'day1'!I744</f>
        <v>SR807P6400</v>
      </c>
      <c r="I870">
        <f t="shared" si="337"/>
        <v>10</v>
      </c>
      <c r="J870">
        <v>4</v>
      </c>
      <c r="K870" s="6">
        <f>'day1'!J744</f>
        <v>0</v>
      </c>
      <c r="L870">
        <f>'day1'!L744</f>
        <v>1</v>
      </c>
      <c r="M870">
        <f t="shared" si="338"/>
        <v>1</v>
      </c>
      <c r="N870">
        <v>0</v>
      </c>
      <c r="O870">
        <v>0</v>
      </c>
      <c r="P870">
        <f t="shared" si="339"/>
        <v>6400</v>
      </c>
      <c r="Q870">
        <f t="shared" si="340"/>
        <v>4.2000000000000002E-4</v>
      </c>
      <c r="R870">
        <f t="shared" si="341"/>
        <v>4.2</v>
      </c>
      <c r="S870">
        <f t="shared" si="342"/>
        <v>3.2000000000000003E-4</v>
      </c>
      <c r="T870">
        <f t="shared" si="343"/>
        <v>3.2</v>
      </c>
      <c r="U870">
        <f t="shared" si="351"/>
        <v>0</v>
      </c>
      <c r="V870">
        <f t="shared" si="352"/>
        <v>0</v>
      </c>
      <c r="X870" t="str">
        <f t="shared" si="344"/>
        <v>SR807P640014</v>
      </c>
      <c r="Y870" s="130">
        <f t="shared" si="345"/>
        <v>1</v>
      </c>
      <c r="Z870">
        <f t="shared" si="346"/>
        <v>1</v>
      </c>
      <c r="AA870">
        <f t="shared" si="347"/>
        <v>0</v>
      </c>
      <c r="AB870">
        <f t="shared" si="348"/>
        <v>0</v>
      </c>
      <c r="AC870" t="str">
        <f t="shared" si="349"/>
        <v>SR807</v>
      </c>
      <c r="AD870">
        <f>'day1'!M744+'day1'!N744</f>
        <v>1</v>
      </c>
    </row>
    <row r="871" spans="1:49" x14ac:dyDescent="0.25">
      <c r="A871" t="str">
        <f t="shared" si="350"/>
        <v>comment</v>
      </c>
      <c r="B871" t="str">
        <f>'day1'!B745</f>
        <v>2018032610000102</v>
      </c>
      <c r="C871" t="str">
        <f>'day1'!C745</f>
        <v>6001</v>
      </c>
      <c r="D871" t="str">
        <f>'day1'!D745</f>
        <v>B00101</v>
      </c>
      <c r="E871" t="str">
        <f>'day1'!E745</f>
        <v>6001</v>
      </c>
      <c r="F871">
        <f t="shared" si="335"/>
        <v>20180328</v>
      </c>
      <c r="G871" t="str">
        <f t="shared" si="336"/>
        <v>CZCE</v>
      </c>
      <c r="H871" t="str">
        <f>'day1'!I745</f>
        <v>SR807P6400</v>
      </c>
      <c r="I871">
        <f t="shared" si="337"/>
        <v>10</v>
      </c>
      <c r="J871">
        <v>4</v>
      </c>
      <c r="K871" s="6">
        <f>'day1'!J745</f>
        <v>1</v>
      </c>
      <c r="L871">
        <f>'day1'!L745</f>
        <v>1</v>
      </c>
      <c r="M871">
        <f t="shared" si="338"/>
        <v>1</v>
      </c>
      <c r="N871">
        <v>0</v>
      </c>
      <c r="O871">
        <v>1</v>
      </c>
      <c r="P871">
        <f t="shared" si="339"/>
        <v>6400</v>
      </c>
      <c r="Q871">
        <f t="shared" si="340"/>
        <v>4.2000000000000002E-4</v>
      </c>
      <c r="R871">
        <f t="shared" si="341"/>
        <v>4.2</v>
      </c>
      <c r="S871">
        <f t="shared" si="342"/>
        <v>3.2000000000000003E-4</v>
      </c>
      <c r="T871">
        <f t="shared" si="343"/>
        <v>3.2</v>
      </c>
      <c r="U871">
        <f t="shared" si="351"/>
        <v>0</v>
      </c>
      <c r="V871">
        <f t="shared" si="352"/>
        <v>0</v>
      </c>
      <c r="X871" t="str">
        <f t="shared" si="344"/>
        <v>SR807P640014</v>
      </c>
      <c r="Y871" s="130">
        <f t="shared" si="345"/>
        <v>1</v>
      </c>
      <c r="Z871">
        <f t="shared" si="346"/>
        <v>0</v>
      </c>
      <c r="AA871">
        <f t="shared" si="347"/>
        <v>0</v>
      </c>
      <c r="AB871">
        <f t="shared" si="348"/>
        <v>0</v>
      </c>
      <c r="AC871" t="str">
        <f t="shared" si="349"/>
        <v>SR807</v>
      </c>
      <c r="AD871">
        <f>'day1'!M745+'day1'!N745</f>
        <v>1</v>
      </c>
    </row>
    <row r="872" spans="1:49" x14ac:dyDescent="0.25">
      <c r="A872" t="str">
        <f t="shared" si="350"/>
        <v>comment</v>
      </c>
      <c r="B872" t="str">
        <f>C702</f>
        <v>2018032810000083</v>
      </c>
      <c r="C872" t="str">
        <f>C871</f>
        <v>6001</v>
      </c>
      <c r="D872" t="str">
        <f>D871</f>
        <v>B00101</v>
      </c>
      <c r="E872" t="str">
        <f>E871</f>
        <v>6001</v>
      </c>
      <c r="F872">
        <f t="shared" si="335"/>
        <v>20180328</v>
      </c>
      <c r="G872" t="str">
        <f t="shared" si="336"/>
        <v>CZCE</v>
      </c>
      <c r="H872" t="str">
        <f>VLOOKUP(B872,$C$699:$AN$709,10,FALSE)</f>
        <v>SR807C6500</v>
      </c>
      <c r="I872">
        <f t="shared" si="337"/>
        <v>10</v>
      </c>
      <c r="J872">
        <v>4</v>
      </c>
      <c r="K872" s="6">
        <f>VLOOKUP(B872,$C$699:$AN$709,13,FALSE)</f>
        <v>1</v>
      </c>
      <c r="L872">
        <f>VLOOKUP(B872,$C$699:$AN$709,14,FALSE)</f>
        <v>1</v>
      </c>
      <c r="M872">
        <f t="shared" si="338"/>
        <v>0</v>
      </c>
      <c r="N872">
        <v>0</v>
      </c>
      <c r="O872">
        <v>1</v>
      </c>
      <c r="P872">
        <f t="shared" si="339"/>
        <v>6500</v>
      </c>
      <c r="Q872">
        <f t="shared" si="340"/>
        <v>4.2000000000000002E-4</v>
      </c>
      <c r="R872">
        <f t="shared" si="341"/>
        <v>4.2</v>
      </c>
      <c r="S872">
        <f t="shared" si="342"/>
        <v>3.2000000000000003E-4</v>
      </c>
      <c r="T872">
        <f t="shared" si="343"/>
        <v>3.2</v>
      </c>
      <c r="U872">
        <f t="shared" si="351"/>
        <v>0</v>
      </c>
      <c r="V872">
        <f t="shared" si="352"/>
        <v>0</v>
      </c>
      <c r="X872" t="str">
        <f t="shared" si="344"/>
        <v>SR807C650014</v>
      </c>
      <c r="Y872" s="130">
        <f t="shared" si="345"/>
        <v>0</v>
      </c>
      <c r="Z872">
        <f t="shared" si="346"/>
        <v>1</v>
      </c>
      <c r="AA872">
        <f t="shared" si="347"/>
        <v>0</v>
      </c>
      <c r="AB872">
        <f t="shared" si="348"/>
        <v>0</v>
      </c>
      <c r="AC872" t="str">
        <f t="shared" si="349"/>
        <v>SR807</v>
      </c>
      <c r="AD872">
        <f>'day1'!M755+'day1'!N755</f>
        <v>0</v>
      </c>
    </row>
    <row r="873" spans="1:49" x14ac:dyDescent="0.25">
      <c r="A873" t="str">
        <f t="shared" si="350"/>
        <v>comment</v>
      </c>
      <c r="B873" t="str">
        <f>C703</f>
        <v>2018032810000084</v>
      </c>
      <c r="C873" t="str">
        <f>C872</f>
        <v>6001</v>
      </c>
      <c r="D873" t="str">
        <f t="shared" ref="D873:E873" si="354">D872</f>
        <v>B00101</v>
      </c>
      <c r="E873" t="str">
        <f t="shared" si="354"/>
        <v>6001</v>
      </c>
      <c r="F873">
        <f t="shared" si="335"/>
        <v>20180328</v>
      </c>
      <c r="G873" t="str">
        <f t="shared" si="336"/>
        <v>CZCE</v>
      </c>
      <c r="H873" t="str">
        <f>VLOOKUP(B873,$C$699:$AN$709,10,FALSE)</f>
        <v>SR807C6500</v>
      </c>
      <c r="I873">
        <f t="shared" si="337"/>
        <v>10</v>
      </c>
      <c r="J873">
        <v>4</v>
      </c>
      <c r="K873" s="6">
        <f>VLOOKUP(B873,$C$699:$AN$709,13,FALSE)</f>
        <v>1</v>
      </c>
      <c r="L873">
        <f>VLOOKUP(B873,$C$699:$AN$709,14,FALSE)</f>
        <v>3</v>
      </c>
      <c r="M873">
        <f t="shared" si="338"/>
        <v>0</v>
      </c>
      <c r="N873">
        <v>0</v>
      </c>
      <c r="O873">
        <v>1</v>
      </c>
      <c r="P873">
        <f t="shared" si="339"/>
        <v>6500</v>
      </c>
      <c r="Q873">
        <f t="shared" si="340"/>
        <v>4.2000000000000002E-4</v>
      </c>
      <c r="R873">
        <f t="shared" si="341"/>
        <v>4.2</v>
      </c>
      <c r="S873">
        <f t="shared" si="342"/>
        <v>4.2000000000000002E-4</v>
      </c>
      <c r="T873">
        <f t="shared" si="343"/>
        <v>4.2</v>
      </c>
      <c r="U873">
        <f t="shared" si="351"/>
        <v>0</v>
      </c>
      <c r="V873">
        <f t="shared" si="352"/>
        <v>0</v>
      </c>
      <c r="X873" t="str">
        <f t="shared" si="344"/>
        <v>SR807C650034</v>
      </c>
      <c r="Y873" s="130">
        <f t="shared" si="345"/>
        <v>0</v>
      </c>
      <c r="Z873">
        <f t="shared" si="346"/>
        <v>1</v>
      </c>
      <c r="AA873">
        <f t="shared" si="347"/>
        <v>0</v>
      </c>
      <c r="AB873">
        <f t="shared" si="348"/>
        <v>0</v>
      </c>
      <c r="AC873" t="str">
        <f t="shared" si="349"/>
        <v>SR807</v>
      </c>
      <c r="AD873">
        <f>'day1'!M756+'day1'!N756</f>
        <v>0</v>
      </c>
    </row>
    <row r="874" spans="1:49" x14ac:dyDescent="0.25">
      <c r="V874">
        <f t="shared" si="352"/>
        <v>0</v>
      </c>
    </row>
    <row r="875" spans="1:49" x14ac:dyDescent="0.25">
      <c r="A875" t="s">
        <v>173</v>
      </c>
      <c r="B875" t="s">
        <v>1385</v>
      </c>
      <c r="AA875">
        <f>MAX(AE880+(P880*T880*V880+Q880)*AH880-Z880*X880,AE880+(P880*T880*V880+Q880)*AG46*Y880)*N880</f>
        <v>0</v>
      </c>
    </row>
    <row r="876" spans="1:49" x14ac:dyDescent="0.25">
      <c r="A876" t="s">
        <v>173</v>
      </c>
      <c r="B876" s="157" t="s">
        <v>124</v>
      </c>
      <c r="C876" s="157" t="s">
        <v>1334</v>
      </c>
    </row>
    <row r="877" spans="1:49" x14ac:dyDescent="0.25">
      <c r="A877" t="s">
        <v>173</v>
      </c>
      <c r="B877" t="s">
        <v>306</v>
      </c>
      <c r="C877" s="719" t="s">
        <v>1083</v>
      </c>
      <c r="D877" s="720"/>
      <c r="E877" s="720"/>
      <c r="F877" s="720"/>
      <c r="G877" s="720"/>
      <c r="H877" s="720"/>
      <c r="I877" s="720"/>
      <c r="J877" s="720"/>
      <c r="K877" s="720"/>
      <c r="L877" s="720"/>
      <c r="M877" s="720"/>
      <c r="N877" s="720"/>
      <c r="O877" s="720"/>
      <c r="P877" s="720"/>
      <c r="Q877" s="720"/>
      <c r="R877" s="720"/>
      <c r="S877" s="720"/>
      <c r="T877" s="720"/>
      <c r="U877" s="720"/>
      <c r="V877" s="720"/>
      <c r="W877" s="720"/>
      <c r="X877" s="720"/>
      <c r="Y877" s="720"/>
      <c r="Z877" s="720"/>
      <c r="AA877" s="720"/>
      <c r="AB877" s="720"/>
      <c r="AC877" s="720"/>
      <c r="AD877" s="720"/>
      <c r="AE877" s="720"/>
      <c r="AF877" s="720"/>
      <c r="AG877" s="720"/>
      <c r="AH877" s="720"/>
      <c r="AI877" s="720"/>
      <c r="AJ877" s="720"/>
      <c r="AK877" s="720"/>
      <c r="AL877" s="720"/>
      <c r="AM877" s="720"/>
      <c r="AN877" s="720"/>
      <c r="AO877" s="720"/>
      <c r="AP877" s="720"/>
      <c r="AQ877" s="720"/>
      <c r="AR877" s="720"/>
      <c r="AS877" s="720"/>
      <c r="AT877" s="720"/>
      <c r="AU877" s="720"/>
      <c r="AV877" s="720"/>
      <c r="AW877" s="322"/>
    </row>
    <row r="878" spans="1:49" ht="24" x14ac:dyDescent="0.25">
      <c r="A878" t="s">
        <v>359</v>
      </c>
      <c r="B878" s="7" t="s">
        <v>1299</v>
      </c>
      <c r="C878" s="7" t="s">
        <v>513</v>
      </c>
      <c r="D878" s="29" t="s">
        <v>492</v>
      </c>
      <c r="E878" s="100" t="s">
        <v>364</v>
      </c>
      <c r="F878" s="7" t="s">
        <v>286</v>
      </c>
      <c r="G878" s="7" t="s">
        <v>287</v>
      </c>
      <c r="H878" s="7" t="s">
        <v>120</v>
      </c>
      <c r="I878" s="100" t="s">
        <v>52</v>
      </c>
      <c r="J878" s="100" t="s">
        <v>495</v>
      </c>
      <c r="K878" s="7" t="s">
        <v>1300</v>
      </c>
      <c r="L878" s="100" t="s">
        <v>1372</v>
      </c>
      <c r="M878" s="100" t="s">
        <v>496</v>
      </c>
      <c r="N878" s="7" t="s">
        <v>497</v>
      </c>
      <c r="O878" s="7" t="s">
        <v>1302</v>
      </c>
      <c r="P878" s="100" t="s">
        <v>531</v>
      </c>
      <c r="Q878" s="100" t="s">
        <v>532</v>
      </c>
      <c r="R878" s="100" t="s">
        <v>1273</v>
      </c>
      <c r="S878" s="100" t="s">
        <v>1274</v>
      </c>
      <c r="T878" s="100" t="s">
        <v>7</v>
      </c>
      <c r="U878" s="7" t="s">
        <v>1276</v>
      </c>
      <c r="V878" s="7" t="s">
        <v>1316</v>
      </c>
      <c r="W878" s="7" t="s">
        <v>1278</v>
      </c>
      <c r="X878" s="7" t="s">
        <v>1281</v>
      </c>
      <c r="Y878" s="7" t="s">
        <v>1282</v>
      </c>
      <c r="Z878" s="7" t="s">
        <v>1283</v>
      </c>
      <c r="AA878" s="7" t="s">
        <v>1284</v>
      </c>
      <c r="AB878" s="7" t="s">
        <v>1323</v>
      </c>
      <c r="AC878" s="7" t="s">
        <v>1320</v>
      </c>
      <c r="AD878" s="7" t="s">
        <v>1304</v>
      </c>
      <c r="AE878" s="37" t="s">
        <v>1285</v>
      </c>
      <c r="AF878" s="220" t="s">
        <v>1321</v>
      </c>
      <c r="AG878" s="220" t="s">
        <v>1322</v>
      </c>
      <c r="AH878" s="7" t="s">
        <v>1286</v>
      </c>
      <c r="AI878" s="7" t="s">
        <v>1287</v>
      </c>
      <c r="AJ878" s="7" t="s">
        <v>1306</v>
      </c>
      <c r="AK878" s="7" t="s">
        <v>355</v>
      </c>
      <c r="AL878" s="23" t="s">
        <v>1290</v>
      </c>
      <c r="AM878" s="23" t="s">
        <v>1291</v>
      </c>
      <c r="AN878" s="23" t="s">
        <v>1249</v>
      </c>
      <c r="AO878" s="23" t="s">
        <v>365</v>
      </c>
      <c r="AP878" s="23" t="s">
        <v>191</v>
      </c>
      <c r="AQ878" s="23" t="s">
        <v>849</v>
      </c>
      <c r="AR878" s="23" t="s">
        <v>1308</v>
      </c>
      <c r="AS878" s="23" t="s">
        <v>676</v>
      </c>
      <c r="AT878" s="221" t="s">
        <v>676</v>
      </c>
      <c r="AU878" s="23" t="s">
        <v>1392</v>
      </c>
      <c r="AV878" s="23" t="s">
        <v>1533</v>
      </c>
    </row>
    <row r="879" spans="1:49" ht="24" x14ac:dyDescent="0.25">
      <c r="A879" t="s">
        <v>359</v>
      </c>
      <c r="B879" s="7" t="s">
        <v>1299</v>
      </c>
      <c r="C879" s="23" t="s">
        <v>1298</v>
      </c>
      <c r="D879" s="29" t="s">
        <v>1333</v>
      </c>
      <c r="E879" s="100" t="s">
        <v>1310</v>
      </c>
      <c r="F879" s="7" t="s">
        <v>1071</v>
      </c>
      <c r="G879" s="7" t="s">
        <v>1072</v>
      </c>
      <c r="H879" s="7" t="s">
        <v>710</v>
      </c>
      <c r="I879" s="100" t="s">
        <v>1311</v>
      </c>
      <c r="J879" s="100" t="s">
        <v>1312</v>
      </c>
      <c r="K879" s="7" t="s">
        <v>1300</v>
      </c>
      <c r="L879" s="100" t="s">
        <v>1373</v>
      </c>
      <c r="M879" s="100" t="s">
        <v>1313</v>
      </c>
      <c r="N879" s="7" t="s">
        <v>1301</v>
      </c>
      <c r="O879" s="7" t="s">
        <v>1302</v>
      </c>
      <c r="P879" s="100" t="s">
        <v>1314</v>
      </c>
      <c r="Q879" s="100" t="s">
        <v>1315</v>
      </c>
      <c r="R879" s="100" t="s">
        <v>1273</v>
      </c>
      <c r="S879" s="100" t="s">
        <v>1274</v>
      </c>
      <c r="T879" s="100" t="s">
        <v>1326</v>
      </c>
      <c r="U879" s="7" t="s">
        <v>1276</v>
      </c>
      <c r="V879" s="7" t="s">
        <v>1316</v>
      </c>
      <c r="W879" s="7" t="s">
        <v>1278</v>
      </c>
      <c r="X879" s="7" t="s">
        <v>1281</v>
      </c>
      <c r="Y879" s="7" t="s">
        <v>1282</v>
      </c>
      <c r="Z879" s="7" t="s">
        <v>1283</v>
      </c>
      <c r="AA879" s="7" t="s">
        <v>1284</v>
      </c>
      <c r="AB879" s="7" t="s">
        <v>1324</v>
      </c>
      <c r="AC879" s="7" t="s">
        <v>1325</v>
      </c>
      <c r="AD879" s="7" t="s">
        <v>1304</v>
      </c>
      <c r="AE879" s="37" t="s">
        <v>1361</v>
      </c>
      <c r="AF879" s="220" t="s">
        <v>1318</v>
      </c>
      <c r="AG879" s="220" t="s">
        <v>1319</v>
      </c>
      <c r="AH879" s="7" t="s">
        <v>1286</v>
      </c>
      <c r="AI879" s="7" t="s">
        <v>1287</v>
      </c>
      <c r="AJ879" s="7" t="s">
        <v>1306</v>
      </c>
      <c r="AK879" s="7" t="s">
        <v>355</v>
      </c>
      <c r="AL879" s="23" t="s">
        <v>1290</v>
      </c>
      <c r="AM879" s="23" t="s">
        <v>1291</v>
      </c>
      <c r="AN879" s="23" t="s">
        <v>1249</v>
      </c>
      <c r="AO879" s="23" t="s">
        <v>844</v>
      </c>
      <c r="AP879" s="23" t="s">
        <v>845</v>
      </c>
      <c r="AQ879" s="23" t="s">
        <v>709</v>
      </c>
      <c r="AR879" s="23" t="s">
        <v>1309</v>
      </c>
      <c r="AS879" s="23" t="s">
        <v>1261</v>
      </c>
      <c r="AT879" s="221" t="s">
        <v>1328</v>
      </c>
      <c r="AU879" s="23" t="s">
        <v>1392</v>
      </c>
      <c r="AV879" s="23" t="s">
        <v>1533</v>
      </c>
    </row>
    <row r="880" spans="1:49" s="6" customFormat="1" x14ac:dyDescent="0.25">
      <c r="A880" t="s">
        <v>359</v>
      </c>
      <c r="B880" s="12" t="str">
        <f>C33</f>
        <v>SR807&amp;SR809</v>
      </c>
      <c r="C880" s="6" t="s">
        <v>512</v>
      </c>
      <c r="D880" s="12">
        <v>1</v>
      </c>
      <c r="E880" s="12" t="str">
        <f>C694</f>
        <v>2018032810000074</v>
      </c>
      <c r="F880" s="12" t="str">
        <f>VLOOKUP(E880,$C$661:$AN$709,3,FALSE)</f>
        <v>6001</v>
      </c>
      <c r="G880" s="12" t="str">
        <f t="shared" ref="G880" si="355">VLOOKUP(E880,$C$661:$AN$709,4,FALSE)</f>
        <v>B00101</v>
      </c>
      <c r="H880" s="12" t="str">
        <f t="shared" ref="H880" si="356">VLOOKUP(E880,$C$661:$AN$709,5,FALSE)</f>
        <v>6001</v>
      </c>
      <c r="I880" s="12" t="str">
        <f t="shared" ref="I880:I893" si="357">IF(AU880=0,VLOOKUP(B880,$C$33:$I$51,4,FALSE),VLOOKUP(B880,$C$33:$I$51,6,FALSE))</f>
        <v>SR807</v>
      </c>
      <c r="J880" s="12">
        <v>1</v>
      </c>
      <c r="K880" s="249">
        <v>0</v>
      </c>
      <c r="L880" s="12">
        <v>0</v>
      </c>
      <c r="M880" s="12">
        <f>IF(L880=0,2,3)</f>
        <v>2</v>
      </c>
      <c r="N880" s="12">
        <v>0</v>
      </c>
      <c r="O880" s="12">
        <v>1</v>
      </c>
      <c r="P880" s="12">
        <f t="shared" ref="P880:P893" si="358">IF(AI880=0, VLOOKUP(AM880,$F$53:$L$72,4,FALSE),VLOOKUP(AM880,$F$53:$L$72,4,FALSE)+VLOOKUP(AM880,$F$53:$L$72,6,FALSE) )</f>
        <v>0.05</v>
      </c>
      <c r="Q880" s="12">
        <f t="shared" ref="Q880:Q889" si="359">IF(AI880=0, VLOOKUP(AM880,$F$53:$L$72,5,FALSE),VLOOKUP(AM880,$F$53:$L$72,5,FALSE)+VLOOKUP(AM880,$F$53:$L$72,7,FALSE) )</f>
        <v>5</v>
      </c>
      <c r="R880" s="12">
        <f t="shared" ref="R880:R889" si="360">VLOOKUP(AM880,$F$53:$L$72,2,FALSE)</f>
        <v>0.04</v>
      </c>
      <c r="S880" s="12">
        <f t="shared" ref="S880:S889" si="361">VLOOKUP(AM880,$F$53:$L$72,3,FALSE)</f>
        <v>4</v>
      </c>
      <c r="T880" s="12">
        <f t="shared" ref="T880:T893" si="362" xml:space="preserve"> VLOOKUP(I880,$C$19:$L$31,3,FALSE)</f>
        <v>10</v>
      </c>
      <c r="U880" s="12">
        <f t="shared" ref="U880:U889" si="363" xml:space="preserve"> VLOOKUP(I880,$C$230:$F$242,4,FALSE)</f>
        <v>0</v>
      </c>
      <c r="V880" s="12">
        <f t="shared" ref="V880:V889" si="364" xml:space="preserve"> VLOOKUP(I880,$C$230:$F$242,3,FALSE)</f>
        <v>6170</v>
      </c>
      <c r="W880" s="12">
        <f t="shared" ref="W880:W889" si="365" xml:space="preserve"> VLOOKUP(I880,$C$230:$G$242,5,FALSE)</f>
        <v>0</v>
      </c>
      <c r="X880" s="12">
        <f t="shared" ref="X880:Y889" si="366">$F$190</f>
        <v>0.5</v>
      </c>
      <c r="Y880" s="12">
        <f t="shared" si="366"/>
        <v>0.5</v>
      </c>
      <c r="Z880" s="12">
        <f>IF(AA880=0,MAX((U880-W880)*T880,0),MAX((W880-U880)*T880,0))</f>
        <v>0</v>
      </c>
      <c r="AA880" s="12">
        <f t="shared" ref="AA880:AA893" si="367" xml:space="preserve"> VLOOKUP(I880,$C$19:$L$31,6,FALSE)</f>
        <v>9</v>
      </c>
      <c r="AB880" s="12">
        <f t="shared" ref="AB880:AB919" si="368">IF(AI880=0,P880*T880*V880*N880+Q880*N880,IF(L880=0,0,MAX(AE880+(P880*T880*W880+Q880)*AH880-Z880*X880,AE880+(P880*T880*W880+Q880)*Y880)*N880))</f>
        <v>0</v>
      </c>
      <c r="AC880" s="12">
        <f>IF(AI880=0,R880*T880*V880*N880+S880*N880,IF(L880=0,0,MAX(AE880+(R880*T880*W880+S880)*AH880-Z880*X880,AE880+(R880*T880*W880+S880)*AG46*Y880)*N880))</f>
        <v>0</v>
      </c>
      <c r="AD880" s="12" t="b">
        <f t="shared" ref="AD880:AD919" si="369">IF(AA880=9,FALSE,N880*T880*V880)</f>
        <v>0</v>
      </c>
      <c r="AE880" s="12">
        <f>IF(AI880=1,1*T880*V880,0)</f>
        <v>0</v>
      </c>
      <c r="AF880" s="12">
        <f>IF(AC880&gt;=AC881,AB880,0)</f>
        <v>0</v>
      </c>
      <c r="AG880" s="12">
        <f>IF(AC880&gt;=AC881,AC880,0)</f>
        <v>0</v>
      </c>
      <c r="AH880" s="12">
        <v>1</v>
      </c>
      <c r="AI880" s="12">
        <f t="shared" ref="AI880:AI893" si="370" xml:space="preserve"> VLOOKUP(I880,$C$19:$L$31,10,FALSE)</f>
        <v>0</v>
      </c>
      <c r="AJ880" s="12" t="e">
        <f t="shared" ref="AJ880:AJ885" si="371">VLOOKUP(AK880,$B$91:$D$93,3,FALSE)</f>
        <v>#N/A</v>
      </c>
      <c r="AK880" s="12">
        <f t="shared" ref="AK880:AK889" si="372" xml:space="preserve"> VLOOKUP(I880,$C$19:$L$31,9,FALSE)</f>
        <v>0</v>
      </c>
      <c r="AL880" s="3" t="str">
        <f t="shared" ref="AL880:AL893" si="373" xml:space="preserve"> VLOOKUP(I880,$C$19:$L$31,7,FALSE)</f>
        <v>SR807</v>
      </c>
      <c r="AM880" s="3" t="str">
        <f>IF(AI880=0,AL880&amp;J880&amp;L880,IF(AA880=0,AL880&amp;J880&amp;1,AL880&amp;J880&amp;0))</f>
        <v>SR80710</v>
      </c>
      <c r="AN880" s="6" t="e">
        <f t="shared" ref="AN880:AN893" si="374">VLOOKUP(E880,$B$926:$AC$1002,24,FALSE)</f>
        <v>#N/A</v>
      </c>
      <c r="AO880" s="6">
        <f t="shared" ref="AO880:AO919" si="375">$B$2</f>
        <v>20180328</v>
      </c>
      <c r="AP880" s="6" t="str">
        <f t="shared" ref="AP880:AP893" si="376">$F$5</f>
        <v>9999</v>
      </c>
      <c r="AQ880" s="6" t="str">
        <f t="shared" ref="AQ880:AQ893" si="377">$D$9</f>
        <v>CNY</v>
      </c>
      <c r="AR880" s="6" t="str">
        <f t="shared" ref="AR880:AR893" si="378">VLOOKUP(G880,$C$5:$G$6,5,FALSE)</f>
        <v>50010001</v>
      </c>
      <c r="AS880" s="6">
        <f t="shared" ref="AS880:AS919" si="379">$B$2</f>
        <v>20180328</v>
      </c>
      <c r="AT880" s="6" t="e">
        <f t="shared" ref="AT880:AT893" si="380">VLOOKUP(E880,$B$926:$AC$1002,6,FALSE)</f>
        <v>#N/A</v>
      </c>
      <c r="AU880" s="6">
        <v>0</v>
      </c>
      <c r="AV880" s="6" t="e">
        <f t="shared" ref="AV880:AV893" si="381">VLOOKUP(E880,$B$926:$AV$1002,24,FALSE)</f>
        <v>#N/A</v>
      </c>
    </row>
    <row r="881" spans="1:48" s="6" customFormat="1" x14ac:dyDescent="0.25">
      <c r="A881" t="s">
        <v>359</v>
      </c>
      <c r="B881" s="12" t="str">
        <f>B880</f>
        <v>SR807&amp;SR809</v>
      </c>
      <c r="C881" s="6" t="s">
        <v>512</v>
      </c>
      <c r="D881" s="12">
        <v>1</v>
      </c>
      <c r="E881" s="12" t="str">
        <f>B933</f>
        <v>2018032610000024</v>
      </c>
      <c r="F881" s="12" t="str">
        <f>F880</f>
        <v>6001</v>
      </c>
      <c r="G881" s="12" t="str">
        <f t="shared" ref="G881:H881" si="382">G880</f>
        <v>B00101</v>
      </c>
      <c r="H881" s="12" t="str">
        <f t="shared" si="382"/>
        <v>6001</v>
      </c>
      <c r="I881" s="12" t="str">
        <f t="shared" si="357"/>
        <v>SR809</v>
      </c>
      <c r="J881" s="12">
        <v>1</v>
      </c>
      <c r="K881" s="249">
        <v>0</v>
      </c>
      <c r="L881" s="12">
        <v>1</v>
      </c>
      <c r="M881" s="12">
        <f t="shared" ref="M881:M919" si="383">IF(L881=0,2,3)</f>
        <v>3</v>
      </c>
      <c r="N881" s="12">
        <v>0</v>
      </c>
      <c r="O881" s="12">
        <v>1</v>
      </c>
      <c r="P881" s="12">
        <f t="shared" si="358"/>
        <v>5.0999999999999997E-2</v>
      </c>
      <c r="Q881" s="12">
        <f t="shared" si="359"/>
        <v>5.0999999999999996</v>
      </c>
      <c r="R881" s="12">
        <f t="shared" si="360"/>
        <v>4.1000000000000002E-2</v>
      </c>
      <c r="S881" s="12">
        <f t="shared" si="361"/>
        <v>4.0999999999999996</v>
      </c>
      <c r="T881" s="12">
        <f t="shared" si="362"/>
        <v>10</v>
      </c>
      <c r="U881" s="12">
        <f t="shared" si="363"/>
        <v>0</v>
      </c>
      <c r="V881" s="12">
        <f t="shared" si="364"/>
        <v>6160</v>
      </c>
      <c r="W881" s="12">
        <f t="shared" si="365"/>
        <v>0</v>
      </c>
      <c r="X881" s="12">
        <f t="shared" si="366"/>
        <v>0.5</v>
      </c>
      <c r="Y881" s="12">
        <f t="shared" si="366"/>
        <v>0.5</v>
      </c>
      <c r="Z881" s="12">
        <f t="shared" ref="Z881:Z919" si="384">IF(AA881=0,MAX((U881-W881)*T881,0),MAX((W881-U881)*T881,0))</f>
        <v>0</v>
      </c>
      <c r="AA881" s="12">
        <f t="shared" si="367"/>
        <v>9</v>
      </c>
      <c r="AB881" s="12">
        <f t="shared" si="368"/>
        <v>0</v>
      </c>
      <c r="AC881" s="12">
        <f>IF(AI881=0,R881*T881*V881*N881+S881*N881,IF(L881=0,0,MAX(AE881+(R881*T881*W881+S881)*AH881-Z881*X881,AE881+(R881*T881*W881+S881)*AG47*Y881)*N881))</f>
        <v>0</v>
      </c>
      <c r="AD881" s="12" t="b">
        <f t="shared" si="369"/>
        <v>0</v>
      </c>
      <c r="AE881" s="12">
        <f t="shared" ref="AE881:AE919" si="385">IF(AI881=1,1*T881*V881,0)</f>
        <v>0</v>
      </c>
      <c r="AF881" s="223">
        <f>IF(AC881&gt;AC880,AB881,0)</f>
        <v>0</v>
      </c>
      <c r="AG881" s="223">
        <f>IF(AC881&gt;AC880,AC881,0)</f>
        <v>0</v>
      </c>
      <c r="AH881" s="12">
        <v>1</v>
      </c>
      <c r="AI881" s="12">
        <f t="shared" si="370"/>
        <v>0</v>
      </c>
      <c r="AJ881" s="12" t="e">
        <f t="shared" si="371"/>
        <v>#N/A</v>
      </c>
      <c r="AK881" s="12">
        <f t="shared" si="372"/>
        <v>0</v>
      </c>
      <c r="AL881" s="3" t="str">
        <f t="shared" si="373"/>
        <v>SR809</v>
      </c>
      <c r="AM881" s="3" t="str">
        <f t="shared" ref="AM881:AM919" si="386">IF(AI881=0,AL881&amp;J881&amp;L881,IF(AA881=0,AL881&amp;J881&amp;1,AL881&amp;J881&amp;0))</f>
        <v>SR80911</v>
      </c>
      <c r="AN881" s="6">
        <f t="shared" si="374"/>
        <v>6114</v>
      </c>
      <c r="AO881" s="6">
        <f t="shared" si="375"/>
        <v>20180328</v>
      </c>
      <c r="AP881" s="6" t="str">
        <f t="shared" si="376"/>
        <v>9999</v>
      </c>
      <c r="AQ881" s="6" t="str">
        <f t="shared" si="377"/>
        <v>CNY</v>
      </c>
      <c r="AR881" s="6" t="str">
        <f t="shared" si="378"/>
        <v>50010001</v>
      </c>
      <c r="AS881" s="6">
        <f t="shared" si="379"/>
        <v>20180328</v>
      </c>
      <c r="AT881" s="6">
        <f t="shared" si="380"/>
        <v>20180326</v>
      </c>
      <c r="AU881" s="6">
        <v>1</v>
      </c>
      <c r="AV881" s="6">
        <f t="shared" si="381"/>
        <v>6114</v>
      </c>
    </row>
    <row r="882" spans="1:48" s="6" customFormat="1" x14ac:dyDescent="0.25">
      <c r="A882" t="s">
        <v>359</v>
      </c>
      <c r="B882" s="12" t="str">
        <f>C35</f>
        <v>SR807&amp;OI811</v>
      </c>
      <c r="C882" s="6" t="s">
        <v>512</v>
      </c>
      <c r="D882" s="12">
        <v>2</v>
      </c>
      <c r="E882" s="12" t="str">
        <f>C694</f>
        <v>2018032810000074</v>
      </c>
      <c r="F882" s="12" t="str">
        <f>F881</f>
        <v>6001</v>
      </c>
      <c r="G882" s="12" t="str">
        <f>G881</f>
        <v>B00101</v>
      </c>
      <c r="H882" s="12" t="str">
        <f>H881</f>
        <v>6001</v>
      </c>
      <c r="I882" s="12" t="str">
        <f t="shared" si="357"/>
        <v>SR807</v>
      </c>
      <c r="J882" s="12">
        <v>1</v>
      </c>
      <c r="K882" s="249">
        <v>0</v>
      </c>
      <c r="L882" s="12">
        <v>0</v>
      </c>
      <c r="M882" s="12">
        <f t="shared" si="383"/>
        <v>2</v>
      </c>
      <c r="N882" s="12">
        <v>0</v>
      </c>
      <c r="O882" s="12">
        <v>1</v>
      </c>
      <c r="P882" s="12">
        <f t="shared" si="358"/>
        <v>0.05</v>
      </c>
      <c r="Q882" s="12">
        <f t="shared" si="359"/>
        <v>5</v>
      </c>
      <c r="R882" s="12">
        <f t="shared" si="360"/>
        <v>0.04</v>
      </c>
      <c r="S882" s="12">
        <f t="shared" si="361"/>
        <v>4</v>
      </c>
      <c r="T882" s="12">
        <f t="shared" si="362"/>
        <v>10</v>
      </c>
      <c r="U882" s="12">
        <f t="shared" si="363"/>
        <v>0</v>
      </c>
      <c r="V882" s="12">
        <f t="shared" si="364"/>
        <v>6170</v>
      </c>
      <c r="W882" s="12">
        <f t="shared" si="365"/>
        <v>0</v>
      </c>
      <c r="X882" s="12">
        <f t="shared" si="366"/>
        <v>0.5</v>
      </c>
      <c r="Y882" s="12">
        <f t="shared" si="366"/>
        <v>0.5</v>
      </c>
      <c r="Z882" s="12">
        <f t="shared" si="384"/>
        <v>0</v>
      </c>
      <c r="AA882" s="12">
        <f t="shared" si="367"/>
        <v>9</v>
      </c>
      <c r="AB882" s="12">
        <f t="shared" si="368"/>
        <v>0</v>
      </c>
      <c r="AC882" s="12">
        <f>IF(AI882=0,R882*T882*V882*N882+S882*N882,IF(L882=0,0,MAX(AE882+(R882*T882*W882+S882)*AH882-Z882*X882,AE882+(R882*T882*W882+S882)*AG48*Y882)*N882))</f>
        <v>0</v>
      </c>
      <c r="AD882" s="12" t="b">
        <f t="shared" si="369"/>
        <v>0</v>
      </c>
      <c r="AE882" s="12">
        <f t="shared" si="385"/>
        <v>0</v>
      </c>
      <c r="AF882" s="12">
        <f>IF(AC882&gt;=AC883,AB882,0)</f>
        <v>0</v>
      </c>
      <c r="AG882" s="12">
        <f>IF(AC882&gt;=AC883,AC882,0)</f>
        <v>0</v>
      </c>
      <c r="AH882" s="12">
        <v>1</v>
      </c>
      <c r="AI882" s="12">
        <f t="shared" si="370"/>
        <v>0</v>
      </c>
      <c r="AJ882" s="12" t="e">
        <f t="shared" si="371"/>
        <v>#N/A</v>
      </c>
      <c r="AK882" s="12">
        <f t="shared" si="372"/>
        <v>0</v>
      </c>
      <c r="AL882" s="3" t="str">
        <f t="shared" si="373"/>
        <v>SR807</v>
      </c>
      <c r="AM882" s="3" t="str">
        <f t="shared" si="386"/>
        <v>SR80710</v>
      </c>
      <c r="AN882" s="6" t="e">
        <f t="shared" si="374"/>
        <v>#N/A</v>
      </c>
      <c r="AO882" s="6">
        <f t="shared" si="375"/>
        <v>20180328</v>
      </c>
      <c r="AP882" s="6" t="str">
        <f t="shared" si="376"/>
        <v>9999</v>
      </c>
      <c r="AQ882" s="6" t="str">
        <f t="shared" si="377"/>
        <v>CNY</v>
      </c>
      <c r="AR882" s="6" t="str">
        <f t="shared" si="378"/>
        <v>50010001</v>
      </c>
      <c r="AS882" s="6">
        <f t="shared" si="379"/>
        <v>20180328</v>
      </c>
      <c r="AT882" s="6" t="e">
        <f t="shared" si="380"/>
        <v>#N/A</v>
      </c>
      <c r="AU882" s="6">
        <v>0</v>
      </c>
      <c r="AV882" s="6" t="e">
        <f t="shared" si="381"/>
        <v>#N/A</v>
      </c>
    </row>
    <row r="883" spans="1:48" s="6" customFormat="1" x14ac:dyDescent="0.25">
      <c r="A883" t="s">
        <v>359</v>
      </c>
      <c r="B883" s="12" t="str">
        <f>B882</f>
        <v>SR807&amp;OI811</v>
      </c>
      <c r="C883" s="6" t="s">
        <v>512</v>
      </c>
      <c r="D883" s="12">
        <v>2</v>
      </c>
      <c r="E883" s="12" t="str">
        <f>B935</f>
        <v>2018032610000026</v>
      </c>
      <c r="F883" s="12" t="str">
        <f t="shared" ref="F883:H893" si="387">F882</f>
        <v>6001</v>
      </c>
      <c r="G883" s="12" t="str">
        <f t="shared" si="387"/>
        <v>B00101</v>
      </c>
      <c r="H883" s="12" t="str">
        <f t="shared" si="387"/>
        <v>6001</v>
      </c>
      <c r="I883" s="12" t="str">
        <f t="shared" si="357"/>
        <v>OI811</v>
      </c>
      <c r="J883" s="12">
        <v>1</v>
      </c>
      <c r="K883" s="249">
        <v>0</v>
      </c>
      <c r="L883" s="12">
        <v>1</v>
      </c>
      <c r="M883" s="12">
        <f t="shared" si="383"/>
        <v>3</v>
      </c>
      <c r="N883" s="12">
        <v>0</v>
      </c>
      <c r="O883" s="12">
        <v>1</v>
      </c>
      <c r="P883" s="12">
        <f t="shared" si="358"/>
        <v>5.0999999999999997E-2</v>
      </c>
      <c r="Q883" s="12">
        <f t="shared" si="359"/>
        <v>5.0999999999999996</v>
      </c>
      <c r="R883" s="12">
        <f t="shared" si="360"/>
        <v>4.1000000000000002E-2</v>
      </c>
      <c r="S883" s="12">
        <f t="shared" si="361"/>
        <v>4.0999999999999996</v>
      </c>
      <c r="T883" s="12">
        <f t="shared" si="362"/>
        <v>10</v>
      </c>
      <c r="U883" s="12">
        <f t="shared" si="363"/>
        <v>0</v>
      </c>
      <c r="V883" s="12">
        <f t="shared" si="364"/>
        <v>6170</v>
      </c>
      <c r="W883" s="12">
        <f t="shared" si="365"/>
        <v>0</v>
      </c>
      <c r="X883" s="12">
        <f t="shared" si="366"/>
        <v>0.5</v>
      </c>
      <c r="Y883" s="12">
        <f t="shared" si="366"/>
        <v>0.5</v>
      </c>
      <c r="Z883" s="12">
        <f t="shared" si="384"/>
        <v>0</v>
      </c>
      <c r="AA883" s="12">
        <f t="shared" si="367"/>
        <v>9</v>
      </c>
      <c r="AB883" s="12">
        <f t="shared" si="368"/>
        <v>0</v>
      </c>
      <c r="AC883" s="12">
        <f>IF(AI883=0,R883*T883*V883*N883+S883*N883,IF(L883=0,0,MAX(AE883+(R883*T883*W883+S883)*AH883-Z883*X883,AE883+(R883*T883*W883+S883)*AG49*Y883)*N883))</f>
        <v>0</v>
      </c>
      <c r="AD883" s="12" t="b">
        <f t="shared" si="369"/>
        <v>0</v>
      </c>
      <c r="AE883" s="12">
        <f t="shared" si="385"/>
        <v>0</v>
      </c>
      <c r="AF883" s="223">
        <f>IF(AC883&gt;AC882,AB883,0)</f>
        <v>0</v>
      </c>
      <c r="AG883" s="223">
        <f>IF(AC883&gt;AC882,AC883,0)</f>
        <v>0</v>
      </c>
      <c r="AH883" s="12">
        <v>1</v>
      </c>
      <c r="AI883" s="12">
        <f t="shared" si="370"/>
        <v>0</v>
      </c>
      <c r="AJ883" s="12" t="e">
        <f t="shared" si="371"/>
        <v>#N/A</v>
      </c>
      <c r="AK883" s="12">
        <f t="shared" si="372"/>
        <v>0</v>
      </c>
      <c r="AL883" s="3" t="str">
        <f t="shared" si="373"/>
        <v>OI811</v>
      </c>
      <c r="AM883" s="3" t="str">
        <f t="shared" si="386"/>
        <v>OI81111</v>
      </c>
      <c r="AN883" s="6">
        <f t="shared" si="374"/>
        <v>6116</v>
      </c>
      <c r="AO883" s="6">
        <f t="shared" si="375"/>
        <v>20180328</v>
      </c>
      <c r="AP883" s="6" t="str">
        <f t="shared" si="376"/>
        <v>9999</v>
      </c>
      <c r="AQ883" s="6" t="str">
        <f t="shared" si="377"/>
        <v>CNY</v>
      </c>
      <c r="AR883" s="6" t="str">
        <f t="shared" si="378"/>
        <v>50010001</v>
      </c>
      <c r="AS883" s="6">
        <f t="shared" si="379"/>
        <v>20180328</v>
      </c>
      <c r="AT883" s="6">
        <f t="shared" si="380"/>
        <v>20180326</v>
      </c>
      <c r="AU883" s="6">
        <v>1</v>
      </c>
      <c r="AV883" s="6">
        <f t="shared" si="381"/>
        <v>6116</v>
      </c>
    </row>
    <row r="884" spans="1:48" s="6" customFormat="1" x14ac:dyDescent="0.25">
      <c r="A884" t="s">
        <v>359</v>
      </c>
      <c r="B884" s="12" t="str">
        <f>B880</f>
        <v>SR807&amp;SR809</v>
      </c>
      <c r="C884" s="6" t="s">
        <v>512</v>
      </c>
      <c r="D884" s="12">
        <v>3</v>
      </c>
      <c r="E884" s="12" t="str">
        <f>B928</f>
        <v>2018032610000012</v>
      </c>
      <c r="F884" s="12" t="str">
        <f t="shared" si="387"/>
        <v>6001</v>
      </c>
      <c r="G884" s="12" t="str">
        <f t="shared" si="387"/>
        <v>B00101</v>
      </c>
      <c r="H884" s="12" t="str">
        <f t="shared" si="387"/>
        <v>6001</v>
      </c>
      <c r="I884" s="12" t="str">
        <f t="shared" si="357"/>
        <v>SR807</v>
      </c>
      <c r="J884" s="12">
        <v>1</v>
      </c>
      <c r="K884" s="249">
        <v>1</v>
      </c>
      <c r="L884" s="12">
        <v>1</v>
      </c>
      <c r="M884" s="12">
        <f t="shared" si="383"/>
        <v>3</v>
      </c>
      <c r="N884" s="12">
        <v>0</v>
      </c>
      <c r="O884" s="12">
        <v>1</v>
      </c>
      <c r="P884" s="12">
        <f t="shared" si="358"/>
        <v>5.0999999999999997E-2</v>
      </c>
      <c r="Q884" s="12">
        <f t="shared" si="359"/>
        <v>5.0999999999999996</v>
      </c>
      <c r="R884" s="12">
        <f t="shared" si="360"/>
        <v>4.1000000000000002E-2</v>
      </c>
      <c r="S884" s="12">
        <f t="shared" si="361"/>
        <v>4.0999999999999996</v>
      </c>
      <c r="T884" s="12">
        <f t="shared" si="362"/>
        <v>10</v>
      </c>
      <c r="U884" s="12">
        <f t="shared" si="363"/>
        <v>0</v>
      </c>
      <c r="V884" s="12">
        <f t="shared" si="364"/>
        <v>6170</v>
      </c>
      <c r="W884" s="12">
        <f t="shared" si="365"/>
        <v>0</v>
      </c>
      <c r="X884" s="12">
        <f t="shared" si="366"/>
        <v>0.5</v>
      </c>
      <c r="Y884" s="12">
        <f t="shared" si="366"/>
        <v>0.5</v>
      </c>
      <c r="Z884" s="12">
        <f t="shared" si="384"/>
        <v>0</v>
      </c>
      <c r="AA884" s="12">
        <f t="shared" si="367"/>
        <v>9</v>
      </c>
      <c r="AB884" s="12">
        <f t="shared" si="368"/>
        <v>0</v>
      </c>
      <c r="AC884" s="12">
        <f>IF(AI884=0,R884*T884*V884*N884+S884*N884,IF(L884=0,0,MAX(AE884+(R884*T884*W884+S884)*AH884-Z884*X884,AE884+(R884*T884*W884+S884)*AG50*Y884)*N884))</f>
        <v>0</v>
      </c>
      <c r="AD884" s="12" t="b">
        <f t="shared" si="369"/>
        <v>0</v>
      </c>
      <c r="AE884" s="12">
        <f t="shared" si="385"/>
        <v>0</v>
      </c>
      <c r="AF884" s="223">
        <f>IF(AC884&gt;=AC885,AB884,0)</f>
        <v>0</v>
      </c>
      <c r="AG884" s="223">
        <f>IF(AC884&gt;=AC885,AC884,0)</f>
        <v>0</v>
      </c>
      <c r="AH884" s="12">
        <v>1</v>
      </c>
      <c r="AI884" s="12">
        <f t="shared" si="370"/>
        <v>0</v>
      </c>
      <c r="AJ884" s="12" t="e">
        <f t="shared" si="371"/>
        <v>#N/A</v>
      </c>
      <c r="AK884" s="12">
        <f t="shared" si="372"/>
        <v>0</v>
      </c>
      <c r="AL884" s="3" t="str">
        <f t="shared" si="373"/>
        <v>SR807</v>
      </c>
      <c r="AM884" s="3" t="str">
        <f t="shared" si="386"/>
        <v>SR80711</v>
      </c>
      <c r="AN884" s="6">
        <f t="shared" si="374"/>
        <v>6102</v>
      </c>
      <c r="AO884" s="6">
        <f t="shared" si="375"/>
        <v>20180328</v>
      </c>
      <c r="AP884" s="6" t="str">
        <f t="shared" si="376"/>
        <v>9999</v>
      </c>
      <c r="AQ884" s="6" t="str">
        <f t="shared" si="377"/>
        <v>CNY</v>
      </c>
      <c r="AR884" s="6" t="str">
        <f t="shared" si="378"/>
        <v>50010001</v>
      </c>
      <c r="AS884" s="6">
        <f t="shared" si="379"/>
        <v>20180328</v>
      </c>
      <c r="AT884" s="6">
        <f t="shared" si="380"/>
        <v>20180326</v>
      </c>
      <c r="AU884" s="6">
        <v>0</v>
      </c>
      <c r="AV884" s="6">
        <f t="shared" si="381"/>
        <v>6102</v>
      </c>
    </row>
    <row r="885" spans="1:48" s="6" customFormat="1" x14ac:dyDescent="0.25">
      <c r="A885" t="s">
        <v>359</v>
      </c>
      <c r="B885" s="12" t="str">
        <f>B884</f>
        <v>SR807&amp;SR809</v>
      </c>
      <c r="C885" s="6" t="s">
        <v>512</v>
      </c>
      <c r="D885" s="12">
        <v>3</v>
      </c>
      <c r="E885" s="12" t="str">
        <f>B934</f>
        <v>2018032610000025</v>
      </c>
      <c r="F885" s="12" t="str">
        <f t="shared" si="387"/>
        <v>6001</v>
      </c>
      <c r="G885" s="12" t="str">
        <f t="shared" si="387"/>
        <v>B00101</v>
      </c>
      <c r="H885" s="12" t="str">
        <f t="shared" si="387"/>
        <v>6001</v>
      </c>
      <c r="I885" s="12" t="str">
        <f t="shared" si="357"/>
        <v>SR809</v>
      </c>
      <c r="J885" s="12">
        <v>1</v>
      </c>
      <c r="K885" s="249">
        <v>1</v>
      </c>
      <c r="L885" s="12">
        <v>0</v>
      </c>
      <c r="M885" s="12">
        <f t="shared" si="383"/>
        <v>2</v>
      </c>
      <c r="N885" s="12">
        <v>0</v>
      </c>
      <c r="O885" s="12">
        <v>1</v>
      </c>
      <c r="P885" s="12">
        <f t="shared" si="358"/>
        <v>0.05</v>
      </c>
      <c r="Q885" s="12">
        <f t="shared" si="359"/>
        <v>5</v>
      </c>
      <c r="R885" s="12">
        <f t="shared" si="360"/>
        <v>0.04</v>
      </c>
      <c r="S885" s="12">
        <f t="shared" si="361"/>
        <v>4</v>
      </c>
      <c r="T885" s="12">
        <f t="shared" si="362"/>
        <v>10</v>
      </c>
      <c r="U885" s="12">
        <f t="shared" si="363"/>
        <v>0</v>
      </c>
      <c r="V885" s="12">
        <f t="shared" si="364"/>
        <v>6160</v>
      </c>
      <c r="W885" s="12">
        <f t="shared" si="365"/>
        <v>0</v>
      </c>
      <c r="X885" s="12">
        <f t="shared" si="366"/>
        <v>0.5</v>
      </c>
      <c r="Y885" s="12">
        <f t="shared" si="366"/>
        <v>0.5</v>
      </c>
      <c r="Z885" s="12">
        <f t="shared" si="384"/>
        <v>0</v>
      </c>
      <c r="AA885" s="12">
        <f t="shared" si="367"/>
        <v>9</v>
      </c>
      <c r="AB885" s="12">
        <f t="shared" si="368"/>
        <v>0</v>
      </c>
      <c r="AC885" s="12">
        <f t="shared" ref="AC885:AC893" si="388">IF(AI885=0,R885*T885*V885*N885+S885*N885,IF(L885=0,0,MAX(AE885+(R885*T885*W885+S885)*AH885-Z885*X885,AE885+(R885*T885*W885+S885)*AG52*Y885)*N885))</f>
        <v>0</v>
      </c>
      <c r="AD885" s="12" t="b">
        <f t="shared" si="369"/>
        <v>0</v>
      </c>
      <c r="AE885" s="12">
        <f t="shared" si="385"/>
        <v>0</v>
      </c>
      <c r="AF885" s="12">
        <f>IF(AC885&gt;AC884,AB885,0)</f>
        <v>0</v>
      </c>
      <c r="AG885" s="12">
        <f>IF(AC885&gt;AC884,AC885,0)</f>
        <v>0</v>
      </c>
      <c r="AH885" s="12">
        <v>1</v>
      </c>
      <c r="AI885" s="12">
        <f t="shared" si="370"/>
        <v>0</v>
      </c>
      <c r="AJ885" s="12" t="e">
        <f t="shared" si="371"/>
        <v>#N/A</v>
      </c>
      <c r="AK885" s="12">
        <f t="shared" si="372"/>
        <v>0</v>
      </c>
      <c r="AL885" s="3" t="str">
        <f t="shared" si="373"/>
        <v>SR809</v>
      </c>
      <c r="AM885" s="3" t="str">
        <f t="shared" si="386"/>
        <v>SR80910</v>
      </c>
      <c r="AN885" s="6">
        <f t="shared" si="374"/>
        <v>6115</v>
      </c>
      <c r="AO885" s="6">
        <f t="shared" si="375"/>
        <v>20180328</v>
      </c>
      <c r="AP885" s="6" t="str">
        <f t="shared" si="376"/>
        <v>9999</v>
      </c>
      <c r="AQ885" s="6" t="str">
        <f t="shared" si="377"/>
        <v>CNY</v>
      </c>
      <c r="AR885" s="6" t="str">
        <f t="shared" si="378"/>
        <v>50010001</v>
      </c>
      <c r="AS885" s="6">
        <f t="shared" si="379"/>
        <v>20180328</v>
      </c>
      <c r="AT885" s="6">
        <f t="shared" si="380"/>
        <v>20180326</v>
      </c>
      <c r="AU885" s="6">
        <v>1</v>
      </c>
      <c r="AV885" s="6">
        <f t="shared" si="381"/>
        <v>6115</v>
      </c>
    </row>
    <row r="886" spans="1:48" s="6" customFormat="1" x14ac:dyDescent="0.25">
      <c r="A886" t="s">
        <v>359</v>
      </c>
      <c r="B886" s="12" t="str">
        <f>B884</f>
        <v>SR807&amp;SR809</v>
      </c>
      <c r="C886" s="6" t="s">
        <v>512</v>
      </c>
      <c r="D886" s="12">
        <v>4</v>
      </c>
      <c r="E886" s="12" t="str">
        <f>B929</f>
        <v>2018032610000013</v>
      </c>
      <c r="F886" s="12" t="str">
        <f t="shared" si="387"/>
        <v>6001</v>
      </c>
      <c r="G886" s="12" t="str">
        <f t="shared" si="387"/>
        <v>B00101</v>
      </c>
      <c r="H886" s="12" t="str">
        <f t="shared" si="387"/>
        <v>6001</v>
      </c>
      <c r="I886" s="12" t="str">
        <f t="shared" si="357"/>
        <v>SR807</v>
      </c>
      <c r="J886" s="12">
        <v>1</v>
      </c>
      <c r="K886" s="249">
        <v>1</v>
      </c>
      <c r="L886" s="12">
        <v>1</v>
      </c>
      <c r="M886" s="12">
        <f t="shared" si="383"/>
        <v>3</v>
      </c>
      <c r="N886" s="12">
        <v>0</v>
      </c>
      <c r="O886" s="12">
        <v>1</v>
      </c>
      <c r="P886" s="12">
        <f t="shared" si="358"/>
        <v>5.0999999999999997E-2</v>
      </c>
      <c r="Q886" s="12">
        <f t="shared" si="359"/>
        <v>5.0999999999999996</v>
      </c>
      <c r="R886" s="12">
        <f t="shared" si="360"/>
        <v>4.1000000000000002E-2</v>
      </c>
      <c r="S886" s="12">
        <f t="shared" si="361"/>
        <v>4.0999999999999996</v>
      </c>
      <c r="T886" s="12">
        <f t="shared" si="362"/>
        <v>10</v>
      </c>
      <c r="U886" s="12">
        <f t="shared" si="363"/>
        <v>0</v>
      </c>
      <c r="V886" s="12">
        <f t="shared" si="364"/>
        <v>6170</v>
      </c>
      <c r="W886" s="12">
        <f t="shared" si="365"/>
        <v>0</v>
      </c>
      <c r="X886" s="12">
        <f t="shared" si="366"/>
        <v>0.5</v>
      </c>
      <c r="Y886" s="12">
        <f t="shared" si="366"/>
        <v>0.5</v>
      </c>
      <c r="Z886" s="12">
        <f t="shared" si="384"/>
        <v>0</v>
      </c>
      <c r="AA886" s="12">
        <f t="shared" si="367"/>
        <v>9</v>
      </c>
      <c r="AB886" s="12">
        <f t="shared" si="368"/>
        <v>0</v>
      </c>
      <c r="AC886" s="12">
        <f t="shared" si="388"/>
        <v>0</v>
      </c>
      <c r="AD886" s="12" t="b">
        <f t="shared" si="369"/>
        <v>0</v>
      </c>
      <c r="AE886" s="12">
        <f t="shared" si="385"/>
        <v>0</v>
      </c>
      <c r="AF886" s="223">
        <f>IF(AC886&gt;=AC887,AB886,0)</f>
        <v>0</v>
      </c>
      <c r="AG886" s="223">
        <f>IF(AC886&gt;=AC887,AC886,0)</f>
        <v>0</v>
      </c>
      <c r="AH886" s="12">
        <v>1</v>
      </c>
      <c r="AI886" s="12">
        <f t="shared" si="370"/>
        <v>0</v>
      </c>
      <c r="AJ886" s="12"/>
      <c r="AK886" s="12">
        <f t="shared" si="372"/>
        <v>0</v>
      </c>
      <c r="AL886" s="3" t="str">
        <f t="shared" si="373"/>
        <v>SR807</v>
      </c>
      <c r="AM886" s="3" t="str">
        <f t="shared" si="386"/>
        <v>SR80711</v>
      </c>
      <c r="AN886" s="6">
        <f t="shared" si="374"/>
        <v>6103</v>
      </c>
      <c r="AO886" s="6">
        <f t="shared" si="375"/>
        <v>20180328</v>
      </c>
      <c r="AP886" s="6" t="str">
        <f t="shared" si="376"/>
        <v>9999</v>
      </c>
      <c r="AQ886" s="6" t="str">
        <f t="shared" si="377"/>
        <v>CNY</v>
      </c>
      <c r="AR886" s="6" t="str">
        <f t="shared" si="378"/>
        <v>50010001</v>
      </c>
      <c r="AS886" s="6">
        <f t="shared" si="379"/>
        <v>20180328</v>
      </c>
      <c r="AT886" s="6">
        <f t="shared" si="380"/>
        <v>20180326</v>
      </c>
      <c r="AU886" s="6">
        <v>0</v>
      </c>
      <c r="AV886" s="6">
        <f t="shared" si="381"/>
        <v>6103</v>
      </c>
    </row>
    <row r="887" spans="1:48" s="6" customFormat="1" x14ac:dyDescent="0.25">
      <c r="A887" t="s">
        <v>359</v>
      </c>
      <c r="B887" s="12" t="str">
        <f>B886</f>
        <v>SR807&amp;SR809</v>
      </c>
      <c r="C887" s="6" t="s">
        <v>512</v>
      </c>
      <c r="D887" s="12">
        <f>D886</f>
        <v>4</v>
      </c>
      <c r="E887" s="12" t="str">
        <f>B934</f>
        <v>2018032610000025</v>
      </c>
      <c r="F887" s="12" t="str">
        <f t="shared" si="387"/>
        <v>6001</v>
      </c>
      <c r="G887" s="12" t="str">
        <f t="shared" si="387"/>
        <v>B00101</v>
      </c>
      <c r="H887" s="12" t="str">
        <f t="shared" si="387"/>
        <v>6001</v>
      </c>
      <c r="I887" s="12" t="str">
        <f t="shared" si="357"/>
        <v>SR809</v>
      </c>
      <c r="J887" s="12">
        <v>1</v>
      </c>
      <c r="K887" s="249">
        <v>1</v>
      </c>
      <c r="L887" s="12">
        <v>0</v>
      </c>
      <c r="M887" s="12">
        <f t="shared" si="383"/>
        <v>2</v>
      </c>
      <c r="N887" s="12">
        <v>0</v>
      </c>
      <c r="O887" s="12">
        <v>1</v>
      </c>
      <c r="P887" s="12">
        <f t="shared" si="358"/>
        <v>0.05</v>
      </c>
      <c r="Q887" s="12">
        <f t="shared" si="359"/>
        <v>5</v>
      </c>
      <c r="R887" s="12">
        <f t="shared" si="360"/>
        <v>0.04</v>
      </c>
      <c r="S887" s="12">
        <f t="shared" si="361"/>
        <v>4</v>
      </c>
      <c r="T887" s="12">
        <f t="shared" si="362"/>
        <v>10</v>
      </c>
      <c r="U887" s="12">
        <f t="shared" si="363"/>
        <v>0</v>
      </c>
      <c r="V887" s="12">
        <f t="shared" si="364"/>
        <v>6160</v>
      </c>
      <c r="W887" s="12">
        <f t="shared" si="365"/>
        <v>0</v>
      </c>
      <c r="X887" s="12">
        <f t="shared" si="366"/>
        <v>0.5</v>
      </c>
      <c r="Y887" s="12">
        <f t="shared" si="366"/>
        <v>0.5</v>
      </c>
      <c r="Z887" s="12">
        <f t="shared" si="384"/>
        <v>0</v>
      </c>
      <c r="AA887" s="12">
        <f t="shared" si="367"/>
        <v>9</v>
      </c>
      <c r="AB887" s="12">
        <f t="shared" si="368"/>
        <v>0</v>
      </c>
      <c r="AC887" s="12">
        <f t="shared" si="388"/>
        <v>0</v>
      </c>
      <c r="AD887" s="12" t="b">
        <f t="shared" si="369"/>
        <v>0</v>
      </c>
      <c r="AE887" s="12">
        <f t="shared" si="385"/>
        <v>0</v>
      </c>
      <c r="AF887" s="223">
        <f>IF(AC887&gt;AC886,AB887,0)</f>
        <v>0</v>
      </c>
      <c r="AG887" s="223">
        <f>IF(AC887&gt;AC886,AC887,0)</f>
        <v>0</v>
      </c>
      <c r="AH887" s="12">
        <v>1</v>
      </c>
      <c r="AI887" s="12">
        <f t="shared" si="370"/>
        <v>0</v>
      </c>
      <c r="AJ887" s="12"/>
      <c r="AK887" s="12">
        <f t="shared" si="372"/>
        <v>0</v>
      </c>
      <c r="AL887" s="3" t="str">
        <f t="shared" si="373"/>
        <v>SR809</v>
      </c>
      <c r="AM887" s="3" t="str">
        <f t="shared" si="386"/>
        <v>SR80910</v>
      </c>
      <c r="AN887" s="6">
        <f t="shared" si="374"/>
        <v>6115</v>
      </c>
      <c r="AO887" s="6">
        <f t="shared" si="375"/>
        <v>20180328</v>
      </c>
      <c r="AP887" s="6" t="str">
        <f t="shared" si="376"/>
        <v>9999</v>
      </c>
      <c r="AQ887" s="6" t="str">
        <f t="shared" si="377"/>
        <v>CNY</v>
      </c>
      <c r="AR887" s="6" t="str">
        <f t="shared" si="378"/>
        <v>50010001</v>
      </c>
      <c r="AS887" s="6">
        <f t="shared" si="379"/>
        <v>20180328</v>
      </c>
      <c r="AT887" s="6">
        <f t="shared" si="380"/>
        <v>20180326</v>
      </c>
      <c r="AU887" s="6">
        <v>1</v>
      </c>
      <c r="AV887" s="6">
        <f t="shared" si="381"/>
        <v>6115</v>
      </c>
    </row>
    <row r="888" spans="1:48" s="6" customFormat="1" x14ac:dyDescent="0.25">
      <c r="A888" t="s">
        <v>359</v>
      </c>
      <c r="B888" s="12" t="str">
        <f>C35</f>
        <v>SR807&amp;OI811</v>
      </c>
      <c r="C888" s="6" t="s">
        <v>512</v>
      </c>
      <c r="D888" s="12">
        <v>5</v>
      </c>
      <c r="E888" s="12" t="str">
        <f>E886</f>
        <v>2018032610000013</v>
      </c>
      <c r="F888" s="12" t="str">
        <f t="shared" si="387"/>
        <v>6001</v>
      </c>
      <c r="G888" s="12" t="str">
        <f t="shared" si="387"/>
        <v>B00101</v>
      </c>
      <c r="H888" s="12" t="str">
        <f t="shared" si="387"/>
        <v>6001</v>
      </c>
      <c r="I888" s="12" t="str">
        <f t="shared" si="357"/>
        <v>SR807</v>
      </c>
      <c r="J888" s="12">
        <v>1</v>
      </c>
      <c r="K888" s="249">
        <v>1</v>
      </c>
      <c r="L888" s="12">
        <v>1</v>
      </c>
      <c r="M888" s="12">
        <f t="shared" si="383"/>
        <v>3</v>
      </c>
      <c r="N888" s="12">
        <v>0</v>
      </c>
      <c r="O888" s="12">
        <v>1</v>
      </c>
      <c r="P888" s="12">
        <f t="shared" si="358"/>
        <v>5.0999999999999997E-2</v>
      </c>
      <c r="Q888" s="12">
        <f t="shared" si="359"/>
        <v>5.0999999999999996</v>
      </c>
      <c r="R888" s="12">
        <f t="shared" si="360"/>
        <v>4.1000000000000002E-2</v>
      </c>
      <c r="S888" s="12">
        <f t="shared" si="361"/>
        <v>4.0999999999999996</v>
      </c>
      <c r="T888" s="12">
        <f t="shared" si="362"/>
        <v>10</v>
      </c>
      <c r="U888" s="12">
        <f t="shared" si="363"/>
        <v>0</v>
      </c>
      <c r="V888" s="12">
        <f t="shared" si="364"/>
        <v>6170</v>
      </c>
      <c r="W888" s="12">
        <f t="shared" si="365"/>
        <v>0</v>
      </c>
      <c r="X888" s="12">
        <f t="shared" si="366"/>
        <v>0.5</v>
      </c>
      <c r="Y888" s="12">
        <f t="shared" si="366"/>
        <v>0.5</v>
      </c>
      <c r="Z888" s="12">
        <f t="shared" si="384"/>
        <v>0</v>
      </c>
      <c r="AA888" s="12">
        <f t="shared" si="367"/>
        <v>9</v>
      </c>
      <c r="AB888" s="12">
        <f t="shared" si="368"/>
        <v>0</v>
      </c>
      <c r="AC888" s="12">
        <f t="shared" si="388"/>
        <v>0</v>
      </c>
      <c r="AD888" s="12" t="b">
        <f t="shared" si="369"/>
        <v>0</v>
      </c>
      <c r="AE888" s="12">
        <f t="shared" si="385"/>
        <v>0</v>
      </c>
      <c r="AF888" s="223">
        <f>IF(AC888&gt;=AC889,AB888,0)</f>
        <v>0</v>
      </c>
      <c r="AG888" s="223">
        <f>IF(AC888&gt;=AC889,AC888,0)</f>
        <v>0</v>
      </c>
      <c r="AH888" s="12">
        <v>1</v>
      </c>
      <c r="AI888" s="12">
        <f t="shared" si="370"/>
        <v>0</v>
      </c>
      <c r="AJ888" s="12" t="e">
        <f>VLOOKUP(AK888,$B$91:$D$93,3,FALSE)</f>
        <v>#N/A</v>
      </c>
      <c r="AK888" s="12">
        <f t="shared" si="372"/>
        <v>0</v>
      </c>
      <c r="AL888" s="3" t="str">
        <f t="shared" si="373"/>
        <v>SR807</v>
      </c>
      <c r="AM888" s="3" t="str">
        <f t="shared" si="386"/>
        <v>SR80711</v>
      </c>
      <c r="AN888" s="6">
        <f t="shared" si="374"/>
        <v>6103</v>
      </c>
      <c r="AO888" s="6">
        <f t="shared" si="375"/>
        <v>20180328</v>
      </c>
      <c r="AP888" s="6" t="str">
        <f t="shared" si="376"/>
        <v>9999</v>
      </c>
      <c r="AQ888" s="6" t="str">
        <f t="shared" si="377"/>
        <v>CNY</v>
      </c>
      <c r="AR888" s="6" t="str">
        <f t="shared" si="378"/>
        <v>50010001</v>
      </c>
      <c r="AS888" s="6">
        <f t="shared" si="379"/>
        <v>20180328</v>
      </c>
      <c r="AT888" s="6">
        <f t="shared" si="380"/>
        <v>20180326</v>
      </c>
      <c r="AU888" s="6">
        <v>0</v>
      </c>
      <c r="AV888" s="6">
        <f t="shared" si="381"/>
        <v>6103</v>
      </c>
    </row>
    <row r="889" spans="1:48" s="6" customFormat="1" x14ac:dyDescent="0.25">
      <c r="A889" t="s">
        <v>359</v>
      </c>
      <c r="B889" s="12" t="str">
        <f>B888</f>
        <v>SR807&amp;OI811</v>
      </c>
      <c r="C889" s="6" t="s">
        <v>512</v>
      </c>
      <c r="D889" s="12">
        <f>D888</f>
        <v>5</v>
      </c>
      <c r="E889" s="12" t="str">
        <f>B936</f>
        <v>2018032610000027</v>
      </c>
      <c r="F889" s="12" t="str">
        <f>F888</f>
        <v>6001</v>
      </c>
      <c r="G889" s="12" t="str">
        <f t="shared" si="387"/>
        <v>B00101</v>
      </c>
      <c r="H889" s="12" t="str">
        <f t="shared" si="387"/>
        <v>6001</v>
      </c>
      <c r="I889" s="12" t="str">
        <f t="shared" si="357"/>
        <v>OI811</v>
      </c>
      <c r="J889" s="12">
        <v>1</v>
      </c>
      <c r="K889" s="249">
        <v>1</v>
      </c>
      <c r="L889" s="12">
        <v>0</v>
      </c>
      <c r="M889" s="12">
        <f t="shared" si="383"/>
        <v>2</v>
      </c>
      <c r="N889" s="12">
        <v>0</v>
      </c>
      <c r="O889" s="12">
        <v>1</v>
      </c>
      <c r="P889" s="12">
        <f t="shared" si="358"/>
        <v>0.05</v>
      </c>
      <c r="Q889" s="12">
        <f t="shared" si="359"/>
        <v>5</v>
      </c>
      <c r="R889" s="12">
        <f t="shared" si="360"/>
        <v>0.04</v>
      </c>
      <c r="S889" s="12">
        <f t="shared" si="361"/>
        <v>4</v>
      </c>
      <c r="T889" s="12">
        <f t="shared" si="362"/>
        <v>10</v>
      </c>
      <c r="U889" s="12">
        <f t="shared" si="363"/>
        <v>0</v>
      </c>
      <c r="V889" s="12">
        <f t="shared" si="364"/>
        <v>6170</v>
      </c>
      <c r="W889" s="12">
        <f t="shared" si="365"/>
        <v>0</v>
      </c>
      <c r="X889" s="12">
        <f t="shared" si="366"/>
        <v>0.5</v>
      </c>
      <c r="Y889" s="12">
        <f t="shared" si="366"/>
        <v>0.5</v>
      </c>
      <c r="Z889" s="12">
        <f t="shared" si="384"/>
        <v>0</v>
      </c>
      <c r="AA889" s="12">
        <f t="shared" si="367"/>
        <v>9</v>
      </c>
      <c r="AB889" s="12">
        <f t="shared" si="368"/>
        <v>0</v>
      </c>
      <c r="AC889" s="12">
        <f t="shared" si="388"/>
        <v>0</v>
      </c>
      <c r="AD889" s="12" t="b">
        <f t="shared" si="369"/>
        <v>0</v>
      </c>
      <c r="AE889" s="12">
        <f t="shared" si="385"/>
        <v>0</v>
      </c>
      <c r="AF889" s="12">
        <f>IF(AC889&gt;AC888,AB889,0)</f>
        <v>0</v>
      </c>
      <c r="AG889" s="12">
        <f>IF(AC889&gt;AC888,AC889,0)</f>
        <v>0</v>
      </c>
      <c r="AH889" s="12">
        <v>1</v>
      </c>
      <c r="AI889" s="12">
        <f t="shared" si="370"/>
        <v>0</v>
      </c>
      <c r="AJ889" s="12" t="e">
        <f>VLOOKUP(AK889,$B$91:$D$93,3,FALSE)</f>
        <v>#N/A</v>
      </c>
      <c r="AK889" s="12">
        <f t="shared" si="372"/>
        <v>0</v>
      </c>
      <c r="AL889" s="3" t="str">
        <f t="shared" si="373"/>
        <v>OI811</v>
      </c>
      <c r="AM889" s="3" t="str">
        <f t="shared" si="386"/>
        <v>OI81110</v>
      </c>
      <c r="AN889" s="6">
        <f t="shared" si="374"/>
        <v>6117</v>
      </c>
      <c r="AO889" s="6">
        <f t="shared" si="375"/>
        <v>20180328</v>
      </c>
      <c r="AP889" s="6" t="str">
        <f t="shared" si="376"/>
        <v>9999</v>
      </c>
      <c r="AQ889" s="6" t="str">
        <f t="shared" si="377"/>
        <v>CNY</v>
      </c>
      <c r="AR889" s="6" t="str">
        <f t="shared" si="378"/>
        <v>50010001</v>
      </c>
      <c r="AS889" s="6">
        <f t="shared" si="379"/>
        <v>20180328</v>
      </c>
      <c r="AT889" s="6">
        <f t="shared" si="380"/>
        <v>20180326</v>
      </c>
      <c r="AU889" s="6">
        <v>1</v>
      </c>
      <c r="AV889" s="6">
        <f t="shared" si="381"/>
        <v>6117</v>
      </c>
    </row>
    <row r="890" spans="1:48" s="6" customFormat="1" x14ac:dyDescent="0.25">
      <c r="A890" s="6" t="s">
        <v>359</v>
      </c>
      <c r="B890" s="12" t="str">
        <f>C51</f>
        <v>PTA807&amp;PTA809</v>
      </c>
      <c r="C890" s="6" t="s">
        <v>512</v>
      </c>
      <c r="D890" s="12">
        <v>13</v>
      </c>
      <c r="E890" s="12" t="str">
        <f>B939</f>
        <v>2018032610000030</v>
      </c>
      <c r="F890" s="12" t="str">
        <f>F889</f>
        <v>6001</v>
      </c>
      <c r="G890" s="12" t="str">
        <f>C6</f>
        <v>B00102</v>
      </c>
      <c r="H890" s="12" t="str">
        <f t="shared" si="387"/>
        <v>6001</v>
      </c>
      <c r="I890" s="12" t="str">
        <f t="shared" si="357"/>
        <v>PTA807</v>
      </c>
      <c r="J890" s="12">
        <v>1</v>
      </c>
      <c r="K890" s="249">
        <v>0</v>
      </c>
      <c r="L890" s="12">
        <v>0</v>
      </c>
      <c r="M890" s="12">
        <f t="shared" si="383"/>
        <v>2</v>
      </c>
      <c r="N890" s="12">
        <v>0</v>
      </c>
      <c r="O890" s="12">
        <v>1</v>
      </c>
      <c r="P890" s="12">
        <f t="shared" si="358"/>
        <v>0.05</v>
      </c>
      <c r="Q890" s="12">
        <f>IF(AI890=0, VLOOKUP(AM890,$F$55:$L$74,5,FALSE),VLOOKUP(AM890,$F$55:$L$74,5,FALSE)+VLOOKUP(AM890,$F$55:$L$74,7,FALSE) )</f>
        <v>5</v>
      </c>
      <c r="R890" s="12">
        <f>VLOOKUP(AM890,$F$55:$L$74,2,FALSE)</f>
        <v>0.04</v>
      </c>
      <c r="S890" s="12">
        <f>VLOOKUP(AM890,$F$55:$L$74,3,FALSE)</f>
        <v>4</v>
      </c>
      <c r="T890" s="12">
        <f t="shared" si="362"/>
        <v>5</v>
      </c>
      <c r="U890" s="12">
        <f xml:space="preserve"> VLOOKUP(I890,$C$232:$F$319,4,FALSE)</f>
        <v>0</v>
      </c>
      <c r="V890" s="12">
        <f xml:space="preserve"> VLOOKUP(I890,$C$232:$F$319,3,FALSE)</f>
        <v>6165</v>
      </c>
      <c r="W890" s="12">
        <f xml:space="preserve"> VLOOKUP(I890,$C$232:$G$319,5,FALSE)</f>
        <v>0</v>
      </c>
      <c r="X890" s="12">
        <f t="shared" ref="X890:Y893" si="389">$F$192</f>
        <v>0</v>
      </c>
      <c r="Y890" s="12">
        <f t="shared" si="389"/>
        <v>0</v>
      </c>
      <c r="Z890" s="12">
        <f t="shared" si="384"/>
        <v>0</v>
      </c>
      <c r="AA890" s="12">
        <f t="shared" si="367"/>
        <v>9</v>
      </c>
      <c r="AB890" s="12">
        <f t="shared" si="368"/>
        <v>0</v>
      </c>
      <c r="AC890" s="12">
        <f t="shared" si="388"/>
        <v>0</v>
      </c>
      <c r="AD890" s="12" t="b">
        <f t="shared" si="369"/>
        <v>0</v>
      </c>
      <c r="AE890" s="12">
        <f t="shared" si="385"/>
        <v>0</v>
      </c>
      <c r="AF890" s="12">
        <f>IF(AC890&gt;AC891,AB890,0)</f>
        <v>0</v>
      </c>
      <c r="AG890" s="12">
        <f>IF(AC890&gt;AC891,AC890,0)</f>
        <v>0</v>
      </c>
      <c r="AH890" s="12">
        <v>1</v>
      </c>
      <c r="AI890" s="12">
        <f t="shared" si="370"/>
        <v>0</v>
      </c>
      <c r="AJ890" s="12"/>
      <c r="AK890" s="12"/>
      <c r="AL890" s="3" t="str">
        <f t="shared" si="373"/>
        <v>PTA807</v>
      </c>
      <c r="AM890" s="3" t="str">
        <f t="shared" si="386"/>
        <v>PTA80710</v>
      </c>
      <c r="AN890" s="6">
        <f t="shared" si="374"/>
        <v>6120</v>
      </c>
      <c r="AO890" s="6">
        <f t="shared" si="375"/>
        <v>20180328</v>
      </c>
      <c r="AP890" s="6" t="str">
        <f t="shared" si="376"/>
        <v>9999</v>
      </c>
      <c r="AQ890" s="6" t="str">
        <f t="shared" si="377"/>
        <v>CNY</v>
      </c>
      <c r="AR890" s="6" t="str">
        <f t="shared" si="378"/>
        <v>50010002</v>
      </c>
      <c r="AS890" s="6">
        <f t="shared" si="379"/>
        <v>20180328</v>
      </c>
      <c r="AT890" s="6">
        <f t="shared" si="380"/>
        <v>20180326</v>
      </c>
      <c r="AU890" s="6">
        <v>0</v>
      </c>
      <c r="AV890" s="6">
        <f t="shared" si="381"/>
        <v>6120</v>
      </c>
    </row>
    <row r="891" spans="1:48" s="6" customFormat="1" x14ac:dyDescent="0.25">
      <c r="A891" s="6" t="s">
        <v>359</v>
      </c>
      <c r="B891" s="12" t="str">
        <f>B890</f>
        <v>PTA807&amp;PTA809</v>
      </c>
      <c r="C891" s="6" t="s">
        <v>512</v>
      </c>
      <c r="D891" s="12">
        <v>13</v>
      </c>
      <c r="E891" s="12" t="str">
        <f>B942</f>
        <v>2018032610000035</v>
      </c>
      <c r="F891" s="12" t="str">
        <f>F890</f>
        <v>6001</v>
      </c>
      <c r="G891" s="12" t="str">
        <f>G890</f>
        <v>B00102</v>
      </c>
      <c r="H891" s="12" t="str">
        <f t="shared" si="387"/>
        <v>6001</v>
      </c>
      <c r="I891" s="12" t="str">
        <f t="shared" si="357"/>
        <v>PTA809</v>
      </c>
      <c r="J891" s="12">
        <v>1</v>
      </c>
      <c r="K891" s="249">
        <v>0</v>
      </c>
      <c r="L891" s="12">
        <v>1</v>
      </c>
      <c r="M891" s="12">
        <f t="shared" si="383"/>
        <v>3</v>
      </c>
      <c r="N891" s="12">
        <v>0</v>
      </c>
      <c r="O891" s="12">
        <v>1</v>
      </c>
      <c r="P891" s="12">
        <f t="shared" si="358"/>
        <v>5.0999999999999997E-2</v>
      </c>
      <c r="Q891" s="12">
        <f>IF(AI891=0, VLOOKUP(AM891,$F$55:$L$74,5,FALSE),VLOOKUP(AM891,$F$55:$L$74,5,FALSE)+VLOOKUP(AM891,$F$55:$L$74,7,FALSE) )</f>
        <v>5.0999999999999996</v>
      </c>
      <c r="R891" s="12">
        <f>VLOOKUP(AM891,$F$55:$L$74,2,FALSE)</f>
        <v>4.1000000000000002E-2</v>
      </c>
      <c r="S891" s="12">
        <f>VLOOKUP(AM891,$F$55:$L$74,3,FALSE)</f>
        <v>4.0999999999999996</v>
      </c>
      <c r="T891" s="12">
        <f t="shared" si="362"/>
        <v>5</v>
      </c>
      <c r="U891" s="12">
        <f xml:space="preserve"> VLOOKUP(I891,$C$232:$F$319,4,FALSE)</f>
        <v>0</v>
      </c>
      <c r="V891" s="12">
        <f xml:space="preserve"> VLOOKUP(I891,$C$232:$F$319,3,FALSE)</f>
        <v>6168</v>
      </c>
      <c r="W891" s="12">
        <f xml:space="preserve"> VLOOKUP(I891,$C$232:$G$319,5,FALSE)</f>
        <v>0</v>
      </c>
      <c r="X891" s="12">
        <f t="shared" si="389"/>
        <v>0</v>
      </c>
      <c r="Y891" s="12">
        <f t="shared" si="389"/>
        <v>0</v>
      </c>
      <c r="Z891" s="12">
        <f t="shared" si="384"/>
        <v>0</v>
      </c>
      <c r="AA891" s="12">
        <f t="shared" si="367"/>
        <v>9</v>
      </c>
      <c r="AB891" s="12">
        <f t="shared" si="368"/>
        <v>0</v>
      </c>
      <c r="AC891" s="12">
        <f t="shared" si="388"/>
        <v>0</v>
      </c>
      <c r="AD891" s="12" t="b">
        <f t="shared" si="369"/>
        <v>0</v>
      </c>
      <c r="AE891" s="12">
        <f t="shared" si="385"/>
        <v>0</v>
      </c>
      <c r="AF891" s="12">
        <f>IF(AC891&gt;AC890,AB891,0)</f>
        <v>0</v>
      </c>
      <c r="AG891" s="12">
        <f>IF(AC891&gt;AC890,AC891,0)</f>
        <v>0</v>
      </c>
      <c r="AH891" s="12">
        <v>1</v>
      </c>
      <c r="AI891" s="12">
        <f t="shared" si="370"/>
        <v>0</v>
      </c>
      <c r="AJ891" s="12"/>
      <c r="AK891" s="12"/>
      <c r="AL891" s="3" t="str">
        <f t="shared" si="373"/>
        <v>PTA809</v>
      </c>
      <c r="AM891" s="3" t="str">
        <f t="shared" si="386"/>
        <v>PTA80911</v>
      </c>
      <c r="AN891" s="6">
        <f t="shared" si="374"/>
        <v>6125</v>
      </c>
      <c r="AO891" s="6">
        <f t="shared" si="375"/>
        <v>20180328</v>
      </c>
      <c r="AP891" s="6" t="str">
        <f t="shared" si="376"/>
        <v>9999</v>
      </c>
      <c r="AQ891" s="6" t="str">
        <f t="shared" si="377"/>
        <v>CNY</v>
      </c>
      <c r="AR891" s="6" t="str">
        <f t="shared" si="378"/>
        <v>50010002</v>
      </c>
      <c r="AS891" s="6">
        <f t="shared" si="379"/>
        <v>20180328</v>
      </c>
      <c r="AT891" s="6">
        <f t="shared" si="380"/>
        <v>20180326</v>
      </c>
      <c r="AU891" s="6">
        <v>1</v>
      </c>
      <c r="AV891" s="6">
        <f t="shared" si="381"/>
        <v>6125</v>
      </c>
    </row>
    <row r="892" spans="1:48" s="6" customFormat="1" x14ac:dyDescent="0.25">
      <c r="A892" s="6" t="s">
        <v>359</v>
      </c>
      <c r="B892" s="12" t="str">
        <f>B890</f>
        <v>PTA807&amp;PTA809</v>
      </c>
      <c r="C892" s="6" t="s">
        <v>512</v>
      </c>
      <c r="D892" s="12">
        <v>14</v>
      </c>
      <c r="E892" s="12" t="str">
        <f>B979</f>
        <v>2018032710000052</v>
      </c>
      <c r="F892" s="12" t="str">
        <f t="shared" ref="F892:F893" si="390">F891</f>
        <v>6001</v>
      </c>
      <c r="G892" s="12" t="str">
        <f>G890</f>
        <v>B00102</v>
      </c>
      <c r="H892" s="12" t="str">
        <f t="shared" si="387"/>
        <v>6001</v>
      </c>
      <c r="I892" s="12" t="str">
        <f t="shared" si="357"/>
        <v>PTA807</v>
      </c>
      <c r="J892" s="12">
        <v>1</v>
      </c>
      <c r="K892" s="249">
        <v>1</v>
      </c>
      <c r="L892" s="12">
        <v>1</v>
      </c>
      <c r="M892" s="12">
        <f t="shared" si="383"/>
        <v>3</v>
      </c>
      <c r="N892" s="12">
        <v>0</v>
      </c>
      <c r="O892" s="12">
        <v>1</v>
      </c>
      <c r="P892" s="12">
        <f t="shared" si="358"/>
        <v>5.0999999999999997E-2</v>
      </c>
      <c r="Q892" s="12">
        <f>IF(AI892=0, VLOOKUP(AM892,$F$55:$L$74,5,FALSE),VLOOKUP(AM892,$F$55:$L$74,5,FALSE)+VLOOKUP(AM892,$F$55:$L$74,7,FALSE) )</f>
        <v>5.0999999999999996</v>
      </c>
      <c r="R892" s="12">
        <f>VLOOKUP(AM892,$F$55:$L$74,2,FALSE)</f>
        <v>4.1000000000000002E-2</v>
      </c>
      <c r="S892" s="12">
        <f>VLOOKUP(AM892,$F$55:$L$74,3,FALSE)</f>
        <v>4.0999999999999996</v>
      </c>
      <c r="T892" s="12">
        <f t="shared" si="362"/>
        <v>5</v>
      </c>
      <c r="U892" s="12">
        <f xml:space="preserve"> VLOOKUP(I892,$C$232:$F$319,4,FALSE)</f>
        <v>0</v>
      </c>
      <c r="V892" s="12">
        <f xml:space="preserve"> VLOOKUP(I892,$C$232:$F$319,3,FALSE)</f>
        <v>6165</v>
      </c>
      <c r="W892" s="12">
        <f xml:space="preserve"> VLOOKUP(I892,$C$232:$G$319,5,FALSE)</f>
        <v>0</v>
      </c>
      <c r="X892" s="12">
        <f t="shared" si="389"/>
        <v>0</v>
      </c>
      <c r="Y892" s="12">
        <f t="shared" si="389"/>
        <v>0</v>
      </c>
      <c r="Z892" s="12">
        <f t="shared" si="384"/>
        <v>0</v>
      </c>
      <c r="AA892" s="12">
        <f t="shared" si="367"/>
        <v>9</v>
      </c>
      <c r="AB892" s="12">
        <f t="shared" si="368"/>
        <v>0</v>
      </c>
      <c r="AC892" s="12">
        <f t="shared" si="388"/>
        <v>0</v>
      </c>
      <c r="AD892" s="12" t="b">
        <f t="shared" si="369"/>
        <v>0</v>
      </c>
      <c r="AE892" s="12">
        <f t="shared" si="385"/>
        <v>0</v>
      </c>
      <c r="AF892" s="12">
        <f>IF(AC892&gt;=AC893,AB892,0)</f>
        <v>0</v>
      </c>
      <c r="AG892" s="12">
        <f>IF(AC892&gt;=AC893,AC892,0)</f>
        <v>0</v>
      </c>
      <c r="AH892" s="12">
        <v>1</v>
      </c>
      <c r="AI892" s="12">
        <f t="shared" si="370"/>
        <v>0</v>
      </c>
      <c r="AJ892" s="12"/>
      <c r="AK892" s="12"/>
      <c r="AL892" s="3" t="str">
        <f t="shared" si="373"/>
        <v>PTA807</v>
      </c>
      <c r="AM892" s="3" t="str">
        <f t="shared" si="386"/>
        <v>PTA80711</v>
      </c>
      <c r="AN892" s="6">
        <f t="shared" si="374"/>
        <v>6115</v>
      </c>
      <c r="AO892" s="6">
        <f t="shared" si="375"/>
        <v>20180328</v>
      </c>
      <c r="AP892" s="6" t="str">
        <f t="shared" si="376"/>
        <v>9999</v>
      </c>
      <c r="AQ892" s="6" t="str">
        <f t="shared" si="377"/>
        <v>CNY</v>
      </c>
      <c r="AR892" s="6" t="str">
        <f t="shared" si="378"/>
        <v>50010002</v>
      </c>
      <c r="AS892" s="6">
        <f t="shared" si="379"/>
        <v>20180328</v>
      </c>
      <c r="AT892" s="6">
        <f t="shared" si="380"/>
        <v>20180327</v>
      </c>
      <c r="AU892" s="6">
        <v>0</v>
      </c>
      <c r="AV892" s="6">
        <f t="shared" si="381"/>
        <v>6115</v>
      </c>
    </row>
    <row r="893" spans="1:48" s="6" customFormat="1" x14ac:dyDescent="0.25">
      <c r="A893" s="6" t="s">
        <v>359</v>
      </c>
      <c r="B893" s="12" t="str">
        <f>B892</f>
        <v>PTA807&amp;PTA809</v>
      </c>
      <c r="C893" s="6" t="s">
        <v>512</v>
      </c>
      <c r="D893" s="12">
        <v>14</v>
      </c>
      <c r="E893" s="12" t="str">
        <f>B941</f>
        <v>2018032610000034</v>
      </c>
      <c r="F893" s="12" t="str">
        <f t="shared" si="390"/>
        <v>6001</v>
      </c>
      <c r="G893" s="12" t="str">
        <f>G890</f>
        <v>B00102</v>
      </c>
      <c r="H893" s="12" t="str">
        <f t="shared" si="387"/>
        <v>6001</v>
      </c>
      <c r="I893" s="12" t="str">
        <f t="shared" si="357"/>
        <v>PTA809</v>
      </c>
      <c r="J893" s="12">
        <v>1</v>
      </c>
      <c r="K893" s="249">
        <v>1</v>
      </c>
      <c r="L893" s="12">
        <v>0</v>
      </c>
      <c r="M893" s="12">
        <f t="shared" si="383"/>
        <v>2</v>
      </c>
      <c r="N893" s="12">
        <v>0</v>
      </c>
      <c r="O893" s="12">
        <v>1</v>
      </c>
      <c r="P893" s="12">
        <f t="shared" si="358"/>
        <v>0.05</v>
      </c>
      <c r="Q893" s="12">
        <f>IF(AI893=0, VLOOKUP(AM893,$F$55:$L$74,5,FALSE),VLOOKUP(AM893,$F$55:$L$74,5,FALSE)+VLOOKUP(AM893,$F$55:$L$74,7,FALSE) )</f>
        <v>5</v>
      </c>
      <c r="R893" s="12">
        <f>VLOOKUP(AM893,$F$55:$L$74,2,FALSE)</f>
        <v>0.04</v>
      </c>
      <c r="S893" s="12">
        <f>VLOOKUP(AM893,$F$55:$L$74,3,FALSE)</f>
        <v>4</v>
      </c>
      <c r="T893" s="12">
        <f t="shared" si="362"/>
        <v>5</v>
      </c>
      <c r="U893" s="12">
        <f xml:space="preserve"> VLOOKUP(I893,$C$232:$F$319,4,FALSE)</f>
        <v>0</v>
      </c>
      <c r="V893" s="12">
        <f xml:space="preserve"> VLOOKUP(I893,$C$232:$F$319,3,FALSE)</f>
        <v>6168</v>
      </c>
      <c r="W893" s="12">
        <f xml:space="preserve"> VLOOKUP(I893,$C$232:$G$319,5,FALSE)</f>
        <v>0</v>
      </c>
      <c r="X893" s="12">
        <f t="shared" si="389"/>
        <v>0</v>
      </c>
      <c r="Y893" s="12">
        <f t="shared" si="389"/>
        <v>0</v>
      </c>
      <c r="Z893" s="12">
        <f t="shared" si="384"/>
        <v>0</v>
      </c>
      <c r="AA893" s="12">
        <f t="shared" si="367"/>
        <v>9</v>
      </c>
      <c r="AB893" s="12">
        <f t="shared" si="368"/>
        <v>0</v>
      </c>
      <c r="AC893" s="12">
        <f t="shared" si="388"/>
        <v>0</v>
      </c>
      <c r="AD893" s="12" t="b">
        <f t="shared" si="369"/>
        <v>0</v>
      </c>
      <c r="AE893" s="12">
        <f t="shared" si="385"/>
        <v>0</v>
      </c>
      <c r="AF893" s="12">
        <f>IF(AC893&gt;AC892,AB893,0)</f>
        <v>0</v>
      </c>
      <c r="AG893" s="12">
        <f>IF(AC893&gt;AC892,AC893,0)</f>
        <v>0</v>
      </c>
      <c r="AH893" s="12">
        <v>1</v>
      </c>
      <c r="AI893" s="12">
        <f t="shared" si="370"/>
        <v>0</v>
      </c>
      <c r="AJ893" s="12"/>
      <c r="AK893" s="12"/>
      <c r="AL893" s="3" t="str">
        <f t="shared" si="373"/>
        <v>PTA809</v>
      </c>
      <c r="AM893" s="3" t="str">
        <f t="shared" si="386"/>
        <v>PTA80910</v>
      </c>
      <c r="AN893" s="6">
        <f t="shared" si="374"/>
        <v>6124</v>
      </c>
      <c r="AO893" s="6">
        <f t="shared" si="375"/>
        <v>20180328</v>
      </c>
      <c r="AP893" s="6" t="str">
        <f t="shared" si="376"/>
        <v>9999</v>
      </c>
      <c r="AQ893" s="6" t="str">
        <f t="shared" si="377"/>
        <v>CNY</v>
      </c>
      <c r="AR893" s="6" t="str">
        <f t="shared" si="378"/>
        <v>50010002</v>
      </c>
      <c r="AS893" s="6">
        <f t="shared" si="379"/>
        <v>20180328</v>
      </c>
      <c r="AT893" s="6">
        <f t="shared" si="380"/>
        <v>20180326</v>
      </c>
      <c r="AU893" s="6">
        <v>1</v>
      </c>
      <c r="AV893" s="6">
        <f t="shared" si="381"/>
        <v>6124</v>
      </c>
    </row>
    <row r="894" spans="1:48" s="6" customFormat="1" x14ac:dyDescent="0.25">
      <c r="A894" s="6" t="s">
        <v>359</v>
      </c>
      <c r="B894" s="12" t="str">
        <f>'day2'!B890</f>
        <v>PTA807&amp;PTA807C6500</v>
      </c>
      <c r="C894" s="12" t="str">
        <f>'day2'!C890</f>
        <v>PRT</v>
      </c>
      <c r="D894" s="12">
        <f>'day2'!D890</f>
        <v>15</v>
      </c>
      <c r="E894" s="12" t="str">
        <f>'day2'!E890</f>
        <v>2018032610000030</v>
      </c>
      <c r="F894" s="12" t="str">
        <f>'day2'!F890</f>
        <v>6001</v>
      </c>
      <c r="G894" s="12" t="str">
        <f>'day2'!G890</f>
        <v>B00102</v>
      </c>
      <c r="H894" s="12" t="str">
        <f>'day2'!H890</f>
        <v>6001</v>
      </c>
      <c r="I894" s="12" t="str">
        <f>'day2'!I890</f>
        <v>PTA807</v>
      </c>
      <c r="J894" s="12">
        <f>'day2'!J890</f>
        <v>1</v>
      </c>
      <c r="K894" s="12">
        <f>'day2'!K890</f>
        <v>0</v>
      </c>
      <c r="L894" s="12">
        <f>'day2'!L890</f>
        <v>0</v>
      </c>
      <c r="M894" s="12">
        <f>'day2'!M890</f>
        <v>2</v>
      </c>
      <c r="N894" s="12">
        <f>'day2'!N890</f>
        <v>0</v>
      </c>
      <c r="O894" s="12">
        <f>'day2'!O890</f>
        <v>1</v>
      </c>
      <c r="P894" s="12">
        <f>'day2'!P890</f>
        <v>6.0000000000000005E-2</v>
      </c>
      <c r="Q894" s="12">
        <f>'day2'!Q890</f>
        <v>6</v>
      </c>
      <c r="R894" s="12">
        <f>'day2'!R890</f>
        <v>0.04</v>
      </c>
      <c r="S894" s="12">
        <f>'day2'!S890</f>
        <v>4</v>
      </c>
      <c r="T894" s="12">
        <f>'day2'!T890</f>
        <v>5</v>
      </c>
      <c r="U894" s="12">
        <f>'day2'!U890</f>
        <v>0</v>
      </c>
      <c r="V894" s="12">
        <f>'day2'!V890</f>
        <v>6165</v>
      </c>
      <c r="W894" s="12">
        <f>'day2'!W890</f>
        <v>0</v>
      </c>
      <c r="X894" s="12">
        <f>'day2'!X890</f>
        <v>0.5</v>
      </c>
      <c r="Y894" s="12">
        <f>'day2'!Y890</f>
        <v>0.5</v>
      </c>
      <c r="Z894" s="12">
        <f>'day2'!Z890</f>
        <v>0</v>
      </c>
      <c r="AA894" s="12">
        <f>'day2'!AA890</f>
        <v>9</v>
      </c>
      <c r="AB894" s="12">
        <f>'day2'!AB890</f>
        <v>0</v>
      </c>
      <c r="AC894" s="12">
        <f>'day2'!AC890</f>
        <v>0</v>
      </c>
      <c r="AD894" s="12" t="b">
        <f>'day2'!AD890</f>
        <v>0</v>
      </c>
      <c r="AE894" s="12">
        <f>'day2'!AE890</f>
        <v>0</v>
      </c>
      <c r="AF894" s="12">
        <f>'day2'!AF890</f>
        <v>0</v>
      </c>
      <c r="AG894" s="12">
        <f>'day2'!AG890</f>
        <v>0</v>
      </c>
      <c r="AH894" s="12">
        <f>'day2'!AH890</f>
        <v>1</v>
      </c>
      <c r="AI894" s="12">
        <f>'day2'!AI890</f>
        <v>0</v>
      </c>
      <c r="AJ894" s="12">
        <f>'day2'!AJ890</f>
        <v>0</v>
      </c>
      <c r="AK894" s="12">
        <f>'day2'!AK890</f>
        <v>0</v>
      </c>
      <c r="AL894" s="12" t="str">
        <f>'day2'!AL890</f>
        <v>PTA807</v>
      </c>
      <c r="AM894" s="12" t="str">
        <f>'day2'!AM890</f>
        <v>PTA80710</v>
      </c>
      <c r="AN894" s="12">
        <f>'day2'!AN890</f>
        <v>6120</v>
      </c>
      <c r="AO894" s="6">
        <f t="shared" si="375"/>
        <v>20180328</v>
      </c>
      <c r="AP894" s="12" t="str">
        <f>'day2'!AP890</f>
        <v>9999</v>
      </c>
      <c r="AQ894" s="12" t="str">
        <f>'day2'!AQ890</f>
        <v>CNY</v>
      </c>
      <c r="AR894" s="12" t="str">
        <f>'day2'!AR890</f>
        <v>50010002</v>
      </c>
      <c r="AS894" s="6">
        <f t="shared" si="379"/>
        <v>20180328</v>
      </c>
      <c r="AT894" s="12">
        <f>'day2'!AT890</f>
        <v>20180326</v>
      </c>
      <c r="AU894" s="12">
        <f>'day2'!AU890</f>
        <v>0</v>
      </c>
      <c r="AV894" s="12">
        <f>'day2'!AV890</f>
        <v>6120</v>
      </c>
    </row>
    <row r="895" spans="1:48" s="6" customFormat="1" x14ac:dyDescent="0.25">
      <c r="A895" s="6" t="s">
        <v>359</v>
      </c>
      <c r="B895" s="12" t="str">
        <f>'day2'!B891</f>
        <v>PTA807&amp;PTA807C6500</v>
      </c>
      <c r="C895" s="12" t="str">
        <f>'day2'!C891</f>
        <v>PRT</v>
      </c>
      <c r="D895" s="12">
        <f>'day2'!D891</f>
        <v>15</v>
      </c>
      <c r="E895" s="12" t="str">
        <f>'day2'!E891</f>
        <v>2018032610000104</v>
      </c>
      <c r="F895" s="12" t="str">
        <f>'day2'!F891</f>
        <v>6001</v>
      </c>
      <c r="G895" s="12" t="str">
        <f>'day2'!G891</f>
        <v>B00102</v>
      </c>
      <c r="H895" s="12" t="str">
        <f>'day2'!H891</f>
        <v>6001</v>
      </c>
      <c r="I895" s="12" t="str">
        <f>'day2'!I891</f>
        <v>PTA807C6500</v>
      </c>
      <c r="J895" s="12">
        <f>'day2'!J891</f>
        <v>1</v>
      </c>
      <c r="K895" s="12">
        <f>'day2'!K891</f>
        <v>0</v>
      </c>
      <c r="L895" s="12">
        <f>'day2'!L891</f>
        <v>1</v>
      </c>
      <c r="M895" s="12">
        <f>'day2'!M891</f>
        <v>3</v>
      </c>
      <c r="N895" s="12">
        <f>'day2'!N891</f>
        <v>0</v>
      </c>
      <c r="O895" s="12">
        <f>'day2'!O891</f>
        <v>1</v>
      </c>
      <c r="P895" s="12">
        <f>'day2'!P891</f>
        <v>6.0000000000000005E-2</v>
      </c>
      <c r="Q895" s="12">
        <f>'day2'!Q891</f>
        <v>6</v>
      </c>
      <c r="R895" s="12">
        <f>'day2'!R891</f>
        <v>0.04</v>
      </c>
      <c r="S895" s="12">
        <f>'day2'!S891</f>
        <v>4</v>
      </c>
      <c r="T895" s="12">
        <f>'day2'!T891</f>
        <v>5</v>
      </c>
      <c r="U895" s="12">
        <f>'day2'!U891</f>
        <v>6500</v>
      </c>
      <c r="V895" s="12">
        <f>'day2'!V891</f>
        <v>600</v>
      </c>
      <c r="W895" s="12">
        <f>'day2'!W891</f>
        <v>6165</v>
      </c>
      <c r="X895" s="12">
        <f>'day2'!X891</f>
        <v>0.5</v>
      </c>
      <c r="Y895" s="12">
        <f>'day2'!Y891</f>
        <v>0.5</v>
      </c>
      <c r="Z895" s="12">
        <f>'day2'!Z891</f>
        <v>1675</v>
      </c>
      <c r="AA895" s="12">
        <f>'day2'!AA891</f>
        <v>0</v>
      </c>
      <c r="AB895" s="12">
        <f>'day2'!AB891</f>
        <v>0</v>
      </c>
      <c r="AC895" s="12">
        <f>'day2'!AC891</f>
        <v>0</v>
      </c>
      <c r="AD895" s="12">
        <f>'day2'!AD891</f>
        <v>3000</v>
      </c>
      <c r="AE895" s="12">
        <f>'day2'!AE891</f>
        <v>3000</v>
      </c>
      <c r="AF895" s="12">
        <f>'day2'!AF891</f>
        <v>0</v>
      </c>
      <c r="AG895" s="12">
        <f>'day2'!AG891</f>
        <v>0</v>
      </c>
      <c r="AH895" s="12">
        <f>'day2'!AH891</f>
        <v>1</v>
      </c>
      <c r="AI895" s="12">
        <f>'day2'!AI891</f>
        <v>1</v>
      </c>
      <c r="AJ895" s="12">
        <f>'day2'!AJ891</f>
        <v>0</v>
      </c>
      <c r="AK895" s="12">
        <f>'day2'!AK891</f>
        <v>0</v>
      </c>
      <c r="AL895" s="12" t="str">
        <f>'day2'!AL891</f>
        <v>PTA807</v>
      </c>
      <c r="AM895" s="12" t="str">
        <f>'day2'!AM891</f>
        <v>PTA80710</v>
      </c>
      <c r="AN895" s="12">
        <f>'day2'!AN891</f>
        <v>624</v>
      </c>
      <c r="AO895" s="6">
        <f t="shared" si="375"/>
        <v>20180328</v>
      </c>
      <c r="AP895" s="12" t="str">
        <f>'day2'!AP891</f>
        <v>9999</v>
      </c>
      <c r="AQ895" s="12" t="str">
        <f>'day2'!AQ891</f>
        <v>CNY</v>
      </c>
      <c r="AR895" s="12" t="str">
        <f>'day2'!AR891</f>
        <v>50010002</v>
      </c>
      <c r="AS895" s="6">
        <f t="shared" si="379"/>
        <v>20180328</v>
      </c>
      <c r="AT895" s="12">
        <f>'day2'!AT891</f>
        <v>20180326</v>
      </c>
      <c r="AU895" s="12">
        <f>'day2'!AU891</f>
        <v>1</v>
      </c>
      <c r="AV895" s="12">
        <f>'day2'!AV891</f>
        <v>624</v>
      </c>
    </row>
    <row r="896" spans="1:48" s="6" customFormat="1" x14ac:dyDescent="0.25">
      <c r="A896" s="6" t="s">
        <v>359</v>
      </c>
      <c r="B896" s="12" t="str">
        <f>'day2'!B892</f>
        <v>PTA807&amp;PTA807C6500</v>
      </c>
      <c r="C896" s="12" t="str">
        <f>'day2'!C892</f>
        <v>PRT</v>
      </c>
      <c r="D896" s="12">
        <f>'day2'!D892</f>
        <v>16</v>
      </c>
      <c r="E896" s="12" t="str">
        <f>'day2'!E892</f>
        <v>2018032610000031</v>
      </c>
      <c r="F896" s="12" t="str">
        <f>'day2'!F892</f>
        <v>6001</v>
      </c>
      <c r="G896" s="12" t="str">
        <f>'day2'!G892</f>
        <v>B00102</v>
      </c>
      <c r="H896" s="12" t="str">
        <f>'day2'!H892</f>
        <v>6001</v>
      </c>
      <c r="I896" s="12" t="str">
        <f>'day2'!I892</f>
        <v>PTA807</v>
      </c>
      <c r="J896" s="12">
        <f>'day2'!J892</f>
        <v>1</v>
      </c>
      <c r="K896" s="12">
        <f>'day2'!K892</f>
        <v>1</v>
      </c>
      <c r="L896" s="12">
        <f>'day2'!L892</f>
        <v>1</v>
      </c>
      <c r="M896" s="12">
        <f>'day2'!M892</f>
        <v>3</v>
      </c>
      <c r="N896" s="12">
        <f>'day2'!N892</f>
        <v>0</v>
      </c>
      <c r="O896" s="12">
        <f>'day2'!O892</f>
        <v>1</v>
      </c>
      <c r="P896" s="12">
        <f>'day2'!P892</f>
        <v>6.2E-2</v>
      </c>
      <c r="Q896" s="12">
        <f>'day2'!Q892</f>
        <v>6.21</v>
      </c>
      <c r="R896" s="12">
        <f>'day2'!R892</f>
        <v>4.1000000000000002E-2</v>
      </c>
      <c r="S896" s="12">
        <f>'day2'!S892</f>
        <v>4.0999999999999996</v>
      </c>
      <c r="T896" s="12">
        <f>'day2'!T892</f>
        <v>5</v>
      </c>
      <c r="U896" s="12">
        <f>'day2'!U892</f>
        <v>0</v>
      </c>
      <c r="V896" s="12">
        <f>'day2'!V892</f>
        <v>6165</v>
      </c>
      <c r="W896" s="12">
        <f>'day2'!W892</f>
        <v>0</v>
      </c>
      <c r="X896" s="12">
        <f>'day2'!X892</f>
        <v>0.5</v>
      </c>
      <c r="Y896" s="12">
        <f>'day2'!Y892</f>
        <v>0.5</v>
      </c>
      <c r="Z896" s="12">
        <f>'day2'!Z892</f>
        <v>0</v>
      </c>
      <c r="AA896" s="12">
        <f>'day2'!AA892</f>
        <v>9</v>
      </c>
      <c r="AB896" s="12">
        <f>'day2'!AB892</f>
        <v>0</v>
      </c>
      <c r="AC896" s="12">
        <f>'day2'!AC892</f>
        <v>0</v>
      </c>
      <c r="AD896" s="12" t="b">
        <f>'day2'!AD892</f>
        <v>0</v>
      </c>
      <c r="AE896" s="12">
        <f>'day2'!AE892</f>
        <v>0</v>
      </c>
      <c r="AF896" s="12">
        <f>'day2'!AF892</f>
        <v>0</v>
      </c>
      <c r="AG896" s="12">
        <f>'day2'!AG892</f>
        <v>0</v>
      </c>
      <c r="AH896" s="12">
        <f>'day2'!AH892</f>
        <v>1</v>
      </c>
      <c r="AI896" s="12">
        <f>'day2'!AI892</f>
        <v>0</v>
      </c>
      <c r="AJ896" s="12">
        <f>'day2'!AJ892</f>
        <v>0</v>
      </c>
      <c r="AK896" s="12">
        <f>'day2'!AK892</f>
        <v>0</v>
      </c>
      <c r="AL896" s="12" t="str">
        <f>'day2'!AL892</f>
        <v>PTA807</v>
      </c>
      <c r="AM896" s="12" t="str">
        <f>'day2'!AM892</f>
        <v>PTA80711</v>
      </c>
      <c r="AN896" s="12">
        <f>'day2'!AN892</f>
        <v>6121</v>
      </c>
      <c r="AO896" s="6">
        <f t="shared" si="375"/>
        <v>20180328</v>
      </c>
      <c r="AP896" s="12" t="str">
        <f>'day2'!AP892</f>
        <v>9999</v>
      </c>
      <c r="AQ896" s="12" t="str">
        <f>'day2'!AQ892</f>
        <v>CNY</v>
      </c>
      <c r="AR896" s="12" t="str">
        <f>'day2'!AR892</f>
        <v>50010002</v>
      </c>
      <c r="AS896" s="6">
        <f t="shared" si="379"/>
        <v>20180328</v>
      </c>
      <c r="AT896" s="12">
        <f>'day2'!AT892</f>
        <v>20180326</v>
      </c>
      <c r="AU896" s="12">
        <f>'day2'!AU892</f>
        <v>0</v>
      </c>
      <c r="AV896" s="12">
        <f>'day2'!AV892</f>
        <v>6121</v>
      </c>
    </row>
    <row r="897" spans="1:48" s="6" customFormat="1" x14ac:dyDescent="0.25">
      <c r="A897" s="6" t="s">
        <v>359</v>
      </c>
      <c r="B897" s="12" t="str">
        <f>'day2'!B893</f>
        <v>PTA807&amp;PTA807C6500</v>
      </c>
      <c r="C897" s="12" t="str">
        <f>'day2'!C893</f>
        <v>PRT</v>
      </c>
      <c r="D897" s="12">
        <f>'day2'!D893</f>
        <v>16</v>
      </c>
      <c r="E897" s="12" t="str">
        <f>'day2'!E893</f>
        <v>2018032610000104</v>
      </c>
      <c r="F897" s="12" t="str">
        <f>'day2'!F893</f>
        <v>6001</v>
      </c>
      <c r="G897" s="12" t="str">
        <f>'day2'!G893</f>
        <v>B00102</v>
      </c>
      <c r="H897" s="12" t="str">
        <f>'day2'!H893</f>
        <v>6001</v>
      </c>
      <c r="I897" s="12" t="str">
        <f>'day2'!I893</f>
        <v>PTA807C6500</v>
      </c>
      <c r="J897" s="12">
        <f>'day2'!J893</f>
        <v>1</v>
      </c>
      <c r="K897" s="12">
        <f>'day2'!K893</f>
        <v>1</v>
      </c>
      <c r="L897" s="12">
        <f>'day2'!L893</f>
        <v>1</v>
      </c>
      <c r="M897" s="12">
        <f>'day2'!M893</f>
        <v>3</v>
      </c>
      <c r="N897" s="12">
        <f>'day2'!N893</f>
        <v>0</v>
      </c>
      <c r="O897" s="12">
        <f>'day2'!O893</f>
        <v>1</v>
      </c>
      <c r="P897" s="12">
        <f>'day2'!P893</f>
        <v>6.0000000000000005E-2</v>
      </c>
      <c r="Q897" s="12">
        <f>'day2'!Q893</f>
        <v>6</v>
      </c>
      <c r="R897" s="12">
        <f>'day2'!R893</f>
        <v>0.04</v>
      </c>
      <c r="S897" s="12">
        <f>'day2'!S893</f>
        <v>4</v>
      </c>
      <c r="T897" s="12">
        <f>'day2'!T893</f>
        <v>5</v>
      </c>
      <c r="U897" s="12">
        <f>'day2'!U893</f>
        <v>6500</v>
      </c>
      <c r="V897" s="12">
        <f>'day2'!V893</f>
        <v>600</v>
      </c>
      <c r="W897" s="12">
        <f>'day2'!W893</f>
        <v>6165</v>
      </c>
      <c r="X897" s="12">
        <f>'day2'!X893</f>
        <v>0.5</v>
      </c>
      <c r="Y897" s="12">
        <f>'day2'!Y893</f>
        <v>0.5</v>
      </c>
      <c r="Z897" s="12">
        <f>'day2'!Z893</f>
        <v>1675</v>
      </c>
      <c r="AA897" s="12">
        <f>'day2'!AA893</f>
        <v>0</v>
      </c>
      <c r="AB897" s="12">
        <f>'day2'!AB893</f>
        <v>0</v>
      </c>
      <c r="AC897" s="12">
        <f>'day2'!AC893</f>
        <v>0</v>
      </c>
      <c r="AD897" s="12">
        <f>'day2'!AD893</f>
        <v>3000</v>
      </c>
      <c r="AE897" s="12">
        <f>'day2'!AE893</f>
        <v>3000</v>
      </c>
      <c r="AF897" s="12">
        <f>'day2'!AF893</f>
        <v>0</v>
      </c>
      <c r="AG897" s="12">
        <f>'day2'!AG893</f>
        <v>0</v>
      </c>
      <c r="AH897" s="12">
        <f>'day2'!AH893</f>
        <v>1</v>
      </c>
      <c r="AI897" s="12">
        <f>'day2'!AI893</f>
        <v>1</v>
      </c>
      <c r="AJ897" s="12">
        <f>'day2'!AJ893</f>
        <v>0</v>
      </c>
      <c r="AK897" s="12">
        <f>'day2'!AK893</f>
        <v>0</v>
      </c>
      <c r="AL897" s="12" t="str">
        <f>'day2'!AL893</f>
        <v>PTA807</v>
      </c>
      <c r="AM897" s="12" t="str">
        <f>'day2'!AM893</f>
        <v>PTA80710</v>
      </c>
      <c r="AN897" s="12">
        <f>'day2'!AN893</f>
        <v>624</v>
      </c>
      <c r="AO897" s="6">
        <f t="shared" si="375"/>
        <v>20180328</v>
      </c>
      <c r="AP897" s="12" t="str">
        <f>'day2'!AP893</f>
        <v>9999</v>
      </c>
      <c r="AQ897" s="12" t="str">
        <f>'day2'!AQ893</f>
        <v>CNY</v>
      </c>
      <c r="AR897" s="12" t="str">
        <f>'day2'!AR893</f>
        <v>50010002</v>
      </c>
      <c r="AS897" s="6">
        <f t="shared" si="379"/>
        <v>20180328</v>
      </c>
      <c r="AT897" s="12">
        <f>'day2'!AT893</f>
        <v>20180326</v>
      </c>
      <c r="AU897" s="12">
        <f>'day2'!AU893</f>
        <v>1</v>
      </c>
      <c r="AV897" s="12">
        <f>'day2'!AV893</f>
        <v>624</v>
      </c>
    </row>
    <row r="898" spans="1:48" s="6" customFormat="1" x14ac:dyDescent="0.25">
      <c r="A898" s="6" t="s">
        <v>359</v>
      </c>
      <c r="B898" s="12" t="str">
        <f>'day2'!B894</f>
        <v>PTA807C6500&amp;PTA807P6500</v>
      </c>
      <c r="C898" s="12" t="str">
        <f>'day2'!C894</f>
        <v>STD</v>
      </c>
      <c r="D898" s="12">
        <f>'day2'!D894</f>
        <v>17</v>
      </c>
      <c r="E898" s="12" t="str">
        <f>'day2'!E894</f>
        <v>2018032610000103</v>
      </c>
      <c r="F898" s="12" t="str">
        <f>'day2'!F894</f>
        <v>6001</v>
      </c>
      <c r="G898" s="12" t="str">
        <f>'day2'!G894</f>
        <v>B00102</v>
      </c>
      <c r="H898" s="12" t="str">
        <f>'day2'!H894</f>
        <v>6001</v>
      </c>
      <c r="I898" s="12" t="str">
        <f>'day2'!I894</f>
        <v>PTA807C6500</v>
      </c>
      <c r="J898" s="12">
        <f>'day2'!J894</f>
        <v>1</v>
      </c>
      <c r="K898" s="12">
        <f>'day2'!K894</f>
        <v>0</v>
      </c>
      <c r="L898" s="12">
        <f>'day2'!L894</f>
        <v>0</v>
      </c>
      <c r="M898" s="12">
        <f>'day2'!M894</f>
        <v>2</v>
      </c>
      <c r="N898" s="12">
        <f>'day2'!N894</f>
        <v>0</v>
      </c>
      <c r="O898" s="12">
        <f>'day2'!O894</f>
        <v>1</v>
      </c>
      <c r="P898" s="12">
        <f>'day2'!P894</f>
        <v>6.2E-2</v>
      </c>
      <c r="Q898" s="12">
        <f>'day2'!Q894</f>
        <v>6.21</v>
      </c>
      <c r="R898" s="12">
        <f>'day2'!R894</f>
        <v>4.1000000000000002E-2</v>
      </c>
      <c r="S898" s="12">
        <f>'day2'!S894</f>
        <v>4.0999999999999996</v>
      </c>
      <c r="T898" s="12">
        <f>'day2'!T894</f>
        <v>5</v>
      </c>
      <c r="U898" s="12">
        <f>'day2'!U894</f>
        <v>6500</v>
      </c>
      <c r="V898" s="12">
        <f>'day2'!V894</f>
        <v>600</v>
      </c>
      <c r="W898" s="12">
        <f>'day2'!W894</f>
        <v>6165</v>
      </c>
      <c r="X898" s="12">
        <f>'day2'!X894</f>
        <v>0.5</v>
      </c>
      <c r="Y898" s="12">
        <f>'day2'!Y894</f>
        <v>0.5</v>
      </c>
      <c r="Z898" s="12">
        <f>'day2'!Z894</f>
        <v>1675</v>
      </c>
      <c r="AA898" s="12">
        <f>'day2'!AA894</f>
        <v>0</v>
      </c>
      <c r="AB898" s="12">
        <f>'day2'!AB894</f>
        <v>0</v>
      </c>
      <c r="AC898" s="12">
        <f>'day2'!AC894</f>
        <v>0</v>
      </c>
      <c r="AD898" s="12">
        <f>'day2'!AD894</f>
        <v>3000</v>
      </c>
      <c r="AE898" s="12">
        <f>'day2'!AE894</f>
        <v>3000</v>
      </c>
      <c r="AF898" s="12">
        <f>'day2'!AF894</f>
        <v>0</v>
      </c>
      <c r="AG898" s="12">
        <f>'day2'!AG894</f>
        <v>0</v>
      </c>
      <c r="AH898" s="12">
        <f>'day2'!AH894</f>
        <v>1</v>
      </c>
      <c r="AI898" s="12">
        <f>'day2'!AI894</f>
        <v>1</v>
      </c>
      <c r="AJ898" s="12">
        <f>'day2'!AJ894</f>
        <v>0</v>
      </c>
      <c r="AK898" s="12">
        <f>'day2'!AK894</f>
        <v>0</v>
      </c>
      <c r="AL898" s="12" t="str">
        <f>'day2'!AL894</f>
        <v>PTA807</v>
      </c>
      <c r="AM898" s="12" t="str">
        <f>'day2'!AM894</f>
        <v>PTA80711</v>
      </c>
      <c r="AN898" s="12">
        <f>'day2'!AN894</f>
        <v>623</v>
      </c>
      <c r="AO898" s="6">
        <f t="shared" si="375"/>
        <v>20180328</v>
      </c>
      <c r="AP898" s="12" t="str">
        <f>'day2'!AP894</f>
        <v>9999</v>
      </c>
      <c r="AQ898" s="12" t="str">
        <f>'day2'!AQ894</f>
        <v>CNY</v>
      </c>
      <c r="AR898" s="12" t="str">
        <f>'day2'!AR894</f>
        <v>50010002</v>
      </c>
      <c r="AS898" s="6">
        <f t="shared" si="379"/>
        <v>20180328</v>
      </c>
      <c r="AT898" s="12">
        <f>'day2'!AT894</f>
        <v>20180326</v>
      </c>
      <c r="AU898" s="12">
        <f>'day2'!AU894</f>
        <v>0</v>
      </c>
      <c r="AV898" s="12">
        <f>'day2'!AV894</f>
        <v>623</v>
      </c>
    </row>
    <row r="899" spans="1:48" s="6" customFormat="1" x14ac:dyDescent="0.25">
      <c r="A899" s="6" t="s">
        <v>359</v>
      </c>
      <c r="B899" s="12" t="str">
        <f>'day2'!B895</f>
        <v>PTA807C6500&amp;PTA807P6500</v>
      </c>
      <c r="C899" s="12" t="str">
        <f>'day2'!C895</f>
        <v>STD</v>
      </c>
      <c r="D899" s="12">
        <f>'day2'!D895</f>
        <v>17</v>
      </c>
      <c r="E899" s="12" t="str">
        <f>'day2'!E895</f>
        <v>2018032610000111</v>
      </c>
      <c r="F899" s="12" t="str">
        <f>'day2'!F895</f>
        <v>6001</v>
      </c>
      <c r="G899" s="12" t="str">
        <f>'day2'!G895</f>
        <v>B00102</v>
      </c>
      <c r="H899" s="12" t="str">
        <f>'day2'!H895</f>
        <v>6001</v>
      </c>
      <c r="I899" s="12" t="str">
        <f>'day2'!I895</f>
        <v>PTA807P6500</v>
      </c>
      <c r="J899" s="12">
        <f>'day2'!J895</f>
        <v>1</v>
      </c>
      <c r="K899" s="12">
        <f>'day2'!K895</f>
        <v>0</v>
      </c>
      <c r="L899" s="12">
        <f>'day2'!L895</f>
        <v>0</v>
      </c>
      <c r="M899" s="12">
        <f>'day2'!M895</f>
        <v>2</v>
      </c>
      <c r="N899" s="12">
        <f>'day2'!N895</f>
        <v>0</v>
      </c>
      <c r="O899" s="12">
        <f>'day2'!O895</f>
        <v>1</v>
      </c>
      <c r="P899" s="12">
        <f>'day2'!P895</f>
        <v>6.2E-2</v>
      </c>
      <c r="Q899" s="12">
        <f>'day2'!Q895</f>
        <v>6.21</v>
      </c>
      <c r="R899" s="12">
        <f>'day2'!R895</f>
        <v>4.1000000000000002E-2</v>
      </c>
      <c r="S899" s="12">
        <f>'day2'!S895</f>
        <v>4.0999999999999996</v>
      </c>
      <c r="T899" s="12">
        <f>'day2'!T895</f>
        <v>5</v>
      </c>
      <c r="U899" s="12">
        <f>'day2'!U895</f>
        <v>6500</v>
      </c>
      <c r="V899" s="12">
        <f>'day2'!V895</f>
        <v>610</v>
      </c>
      <c r="W899" s="12">
        <f>'day2'!W895</f>
        <v>6165</v>
      </c>
      <c r="X899" s="12">
        <f>'day2'!X895</f>
        <v>0.5</v>
      </c>
      <c r="Y899" s="12">
        <f>'day2'!Y895</f>
        <v>0.5</v>
      </c>
      <c r="Z899" s="12">
        <f>'day2'!Z895</f>
        <v>0</v>
      </c>
      <c r="AA899" s="12">
        <f>'day2'!AA895</f>
        <v>1</v>
      </c>
      <c r="AB899" s="12">
        <f>'day2'!AB895</f>
        <v>0</v>
      </c>
      <c r="AC899" s="12">
        <f>'day2'!AC895</f>
        <v>0</v>
      </c>
      <c r="AD899" s="12">
        <f>'day2'!AD895</f>
        <v>3050</v>
      </c>
      <c r="AE899" s="12">
        <f>'day2'!AE895</f>
        <v>3050</v>
      </c>
      <c r="AF899" s="12">
        <f>'day2'!AF895</f>
        <v>0</v>
      </c>
      <c r="AG899" s="12">
        <f>'day2'!AG895</f>
        <v>0</v>
      </c>
      <c r="AH899" s="12">
        <f>'day2'!AH895</f>
        <v>1</v>
      </c>
      <c r="AI899" s="12">
        <f>'day2'!AI895</f>
        <v>1</v>
      </c>
      <c r="AJ899" s="12">
        <f>'day2'!AJ895</f>
        <v>0</v>
      </c>
      <c r="AK899" s="12">
        <f>'day2'!AK895</f>
        <v>0</v>
      </c>
      <c r="AL899" s="12" t="str">
        <f>'day2'!AL895</f>
        <v>PTA807</v>
      </c>
      <c r="AM899" s="12" t="str">
        <f>'day2'!AM895</f>
        <v>PTA80711</v>
      </c>
      <c r="AN899" s="12">
        <f>'day2'!AN895</f>
        <v>631</v>
      </c>
      <c r="AO899" s="6">
        <f t="shared" si="375"/>
        <v>20180328</v>
      </c>
      <c r="AP899" s="12" t="str">
        <f>'day2'!AP895</f>
        <v>9999</v>
      </c>
      <c r="AQ899" s="12" t="str">
        <f>'day2'!AQ895</f>
        <v>CNY</v>
      </c>
      <c r="AR899" s="12" t="str">
        <f>'day2'!AR895</f>
        <v>50010002</v>
      </c>
      <c r="AS899" s="6">
        <f t="shared" si="379"/>
        <v>20180328</v>
      </c>
      <c r="AT899" s="12">
        <f>'day2'!AT895</f>
        <v>20180326</v>
      </c>
      <c r="AU899" s="12">
        <f>'day2'!AU895</f>
        <v>1</v>
      </c>
      <c r="AV899" s="12">
        <f>'day2'!AV895</f>
        <v>631</v>
      </c>
    </row>
    <row r="900" spans="1:48" s="6" customFormat="1" x14ac:dyDescent="0.25">
      <c r="A900" s="6" t="s">
        <v>359</v>
      </c>
      <c r="B900" s="12" t="str">
        <f>'day2'!B896</f>
        <v>PTA807C6500&amp;PTA807P6500</v>
      </c>
      <c r="C900" s="12" t="str">
        <f>'day2'!C896</f>
        <v>STD</v>
      </c>
      <c r="D900" s="12">
        <f>'day2'!D896</f>
        <v>18</v>
      </c>
      <c r="E900" s="12" t="str">
        <f>'day2'!E896</f>
        <v>2018032610000104</v>
      </c>
      <c r="F900" s="12" t="str">
        <f>'day2'!F896</f>
        <v>6001</v>
      </c>
      <c r="G900" s="12" t="str">
        <f>'day2'!G896</f>
        <v>B00102</v>
      </c>
      <c r="H900" s="12" t="str">
        <f>'day2'!H896</f>
        <v>6001</v>
      </c>
      <c r="I900" s="12" t="str">
        <f>'day2'!I896</f>
        <v>PTA807C6500</v>
      </c>
      <c r="J900" s="12">
        <f>'day2'!J896</f>
        <v>1</v>
      </c>
      <c r="K900" s="12">
        <f>'day2'!K896</f>
        <v>1</v>
      </c>
      <c r="L900" s="12">
        <f>'day2'!L896</f>
        <v>1</v>
      </c>
      <c r="M900" s="12">
        <f>'day2'!M896</f>
        <v>3</v>
      </c>
      <c r="N900" s="12">
        <f>'day2'!N896</f>
        <v>0</v>
      </c>
      <c r="O900" s="12">
        <f>'day2'!O896</f>
        <v>1</v>
      </c>
      <c r="P900" s="12">
        <f>'day2'!P896</f>
        <v>6.0000000000000005E-2</v>
      </c>
      <c r="Q900" s="12">
        <f>'day2'!Q896</f>
        <v>6</v>
      </c>
      <c r="R900" s="12">
        <f>'day2'!R896</f>
        <v>0.04</v>
      </c>
      <c r="S900" s="12">
        <f>'day2'!S896</f>
        <v>4</v>
      </c>
      <c r="T900" s="12">
        <f>'day2'!T896</f>
        <v>5</v>
      </c>
      <c r="U900" s="12">
        <f>'day2'!U896</f>
        <v>6500</v>
      </c>
      <c r="V900" s="12">
        <f>'day2'!V896</f>
        <v>600</v>
      </c>
      <c r="W900" s="12">
        <f>'day2'!W896</f>
        <v>6165</v>
      </c>
      <c r="X900" s="12">
        <f>'day2'!X896</f>
        <v>0.5</v>
      </c>
      <c r="Y900" s="12">
        <f>'day2'!Y896</f>
        <v>0.5</v>
      </c>
      <c r="Z900" s="12">
        <f>'day2'!Z896</f>
        <v>1675</v>
      </c>
      <c r="AA900" s="12">
        <f>'day2'!AA896</f>
        <v>0</v>
      </c>
      <c r="AB900" s="12">
        <f>'day2'!AB896</f>
        <v>0</v>
      </c>
      <c r="AC900" s="12">
        <f>'day2'!AC896</f>
        <v>0</v>
      </c>
      <c r="AD900" s="12">
        <f>'day2'!AD896</f>
        <v>3000</v>
      </c>
      <c r="AE900" s="12">
        <f>'day2'!AE896</f>
        <v>3000</v>
      </c>
      <c r="AF900" s="12">
        <f>'day2'!AF896</f>
        <v>0</v>
      </c>
      <c r="AG900" s="12">
        <f>'day2'!AG896</f>
        <v>0</v>
      </c>
      <c r="AH900" s="12">
        <f>'day2'!AH896</f>
        <v>1</v>
      </c>
      <c r="AI900" s="12">
        <f>'day2'!AI896</f>
        <v>1</v>
      </c>
      <c r="AJ900" s="12">
        <f>'day2'!AJ896</f>
        <v>0</v>
      </c>
      <c r="AK900" s="12">
        <f>'day2'!AK896</f>
        <v>0</v>
      </c>
      <c r="AL900" s="12" t="str">
        <f>'day2'!AL896</f>
        <v>PTA807</v>
      </c>
      <c r="AM900" s="12" t="str">
        <f>'day2'!AM896</f>
        <v>PTA80710</v>
      </c>
      <c r="AN900" s="12">
        <f>'day2'!AN896</f>
        <v>624</v>
      </c>
      <c r="AO900" s="6">
        <f t="shared" si="375"/>
        <v>20180328</v>
      </c>
      <c r="AP900" s="12" t="str">
        <f>'day2'!AP896</f>
        <v>9999</v>
      </c>
      <c r="AQ900" s="12" t="str">
        <f>'day2'!AQ896</f>
        <v>CNY</v>
      </c>
      <c r="AR900" s="12" t="str">
        <f>'day2'!AR896</f>
        <v>50010002</v>
      </c>
      <c r="AS900" s="6">
        <f t="shared" si="379"/>
        <v>20180328</v>
      </c>
      <c r="AT900" s="12">
        <f>'day2'!AT896</f>
        <v>20180326</v>
      </c>
      <c r="AU900" s="12">
        <f>'day2'!AU896</f>
        <v>0</v>
      </c>
      <c r="AV900" s="12">
        <f>'day2'!AV896</f>
        <v>624</v>
      </c>
    </row>
    <row r="901" spans="1:48" s="6" customFormat="1" x14ac:dyDescent="0.25">
      <c r="A901" s="6" t="s">
        <v>359</v>
      </c>
      <c r="B901" s="12" t="str">
        <f>'day2'!B897</f>
        <v>PTA807C6500&amp;PTA807P6500</v>
      </c>
      <c r="C901" s="12" t="str">
        <f>'day2'!C897</f>
        <v>STD</v>
      </c>
      <c r="D901" s="12">
        <f>'day2'!D897</f>
        <v>18</v>
      </c>
      <c r="E901" s="12" t="str">
        <f>'day2'!E897</f>
        <v>2018032610000112</v>
      </c>
      <c r="F901" s="12" t="str">
        <f>'day2'!F897</f>
        <v>6001</v>
      </c>
      <c r="G901" s="12" t="str">
        <f>'day2'!G897</f>
        <v>B00102</v>
      </c>
      <c r="H901" s="12" t="str">
        <f>'day2'!H897</f>
        <v>6001</v>
      </c>
      <c r="I901" s="12" t="str">
        <f>'day2'!I897</f>
        <v>PTA807P6500</v>
      </c>
      <c r="J901" s="12">
        <f>'day2'!J897</f>
        <v>1</v>
      </c>
      <c r="K901" s="12">
        <f>'day2'!K897</f>
        <v>1</v>
      </c>
      <c r="L901" s="12">
        <f>'day2'!L897</f>
        <v>1</v>
      </c>
      <c r="M901" s="12">
        <f>'day2'!M897</f>
        <v>3</v>
      </c>
      <c r="N901" s="12">
        <f>'day2'!N897</f>
        <v>0</v>
      </c>
      <c r="O901" s="12">
        <f>'day2'!O897</f>
        <v>1</v>
      </c>
      <c r="P901" s="12">
        <f>'day2'!P897</f>
        <v>6.0000000000000005E-2</v>
      </c>
      <c r="Q901" s="12">
        <f>'day2'!Q897</f>
        <v>6</v>
      </c>
      <c r="R901" s="12">
        <f>'day2'!R897</f>
        <v>0.04</v>
      </c>
      <c r="S901" s="12">
        <f>'day2'!S897</f>
        <v>4</v>
      </c>
      <c r="T901" s="12">
        <f>'day2'!T897</f>
        <v>5</v>
      </c>
      <c r="U901" s="12">
        <f>'day2'!U897</f>
        <v>6500</v>
      </c>
      <c r="V901" s="12">
        <f>'day2'!V897</f>
        <v>610</v>
      </c>
      <c r="W901" s="12">
        <f>'day2'!W897</f>
        <v>6165</v>
      </c>
      <c r="X901" s="12">
        <f>'day2'!X897</f>
        <v>0.5</v>
      </c>
      <c r="Y901" s="12">
        <f>'day2'!Y897</f>
        <v>0.5</v>
      </c>
      <c r="Z901" s="12">
        <f>'day2'!Z897</f>
        <v>0</v>
      </c>
      <c r="AA901" s="12">
        <f>'day2'!AA897</f>
        <v>1</v>
      </c>
      <c r="AB901" s="12">
        <f>'day2'!AB897</f>
        <v>0</v>
      </c>
      <c r="AC901" s="12">
        <f>'day2'!AC897</f>
        <v>0</v>
      </c>
      <c r="AD901" s="12">
        <f>'day2'!AD897</f>
        <v>3050</v>
      </c>
      <c r="AE901" s="12">
        <f>'day2'!AE897</f>
        <v>3050</v>
      </c>
      <c r="AF901" s="12">
        <f>'day2'!AF897</f>
        <v>0</v>
      </c>
      <c r="AG901" s="12">
        <f>'day2'!AG897</f>
        <v>0</v>
      </c>
      <c r="AH901" s="12">
        <f>'day2'!AH897</f>
        <v>1</v>
      </c>
      <c r="AI901" s="12">
        <f>'day2'!AI897</f>
        <v>1</v>
      </c>
      <c r="AJ901" s="12">
        <f>'day2'!AJ897</f>
        <v>0</v>
      </c>
      <c r="AK901" s="12">
        <f>'day2'!AK897</f>
        <v>0</v>
      </c>
      <c r="AL901" s="12" t="str">
        <f>'day2'!AL897</f>
        <v>PTA807</v>
      </c>
      <c r="AM901" s="12" t="str">
        <f>'day2'!AM897</f>
        <v>PTA80710</v>
      </c>
      <c r="AN901" s="12">
        <f>'day2'!AN897</f>
        <v>632</v>
      </c>
      <c r="AO901" s="6">
        <f t="shared" si="375"/>
        <v>20180328</v>
      </c>
      <c r="AP901" s="12" t="str">
        <f>'day2'!AP897</f>
        <v>9999</v>
      </c>
      <c r="AQ901" s="12" t="str">
        <f>'day2'!AQ897</f>
        <v>CNY</v>
      </c>
      <c r="AR901" s="12" t="str">
        <f>'day2'!AR897</f>
        <v>50010002</v>
      </c>
      <c r="AS901" s="6">
        <f t="shared" si="379"/>
        <v>20180328</v>
      </c>
      <c r="AT901" s="12">
        <f>'day2'!AT897</f>
        <v>20180326</v>
      </c>
      <c r="AU901" s="12">
        <f>'day2'!AU897</f>
        <v>1</v>
      </c>
      <c r="AV901" s="12">
        <f>'day2'!AV897</f>
        <v>632</v>
      </c>
    </row>
    <row r="902" spans="1:48" s="6" customFormat="1" x14ac:dyDescent="0.25">
      <c r="A902" s="6" t="s">
        <v>359</v>
      </c>
      <c r="B902" s="12" t="str">
        <f>'day2'!B898</f>
        <v>PTA807C6500&amp;PTA807P6200</v>
      </c>
      <c r="C902" s="12" t="str">
        <f>'day2'!C898</f>
        <v>STG</v>
      </c>
      <c r="D902" s="12">
        <f>'day2'!D898</f>
        <v>19</v>
      </c>
      <c r="E902" s="12" t="str">
        <f>'day2'!E898</f>
        <v>2018032610000103</v>
      </c>
      <c r="F902" s="12" t="str">
        <f>'day2'!F898</f>
        <v>6001</v>
      </c>
      <c r="G902" s="12" t="str">
        <f>'day2'!G898</f>
        <v>B00102</v>
      </c>
      <c r="H902" s="12" t="str">
        <f>'day2'!H898</f>
        <v>6001</v>
      </c>
      <c r="I902" s="12" t="str">
        <f>'day2'!I898</f>
        <v>PTA807C6500</v>
      </c>
      <c r="J902" s="12">
        <f>'day2'!J898</f>
        <v>1</v>
      </c>
      <c r="K902" s="12">
        <f>'day2'!K898</f>
        <v>0</v>
      </c>
      <c r="L902" s="12">
        <f>'day2'!L898</f>
        <v>0</v>
      </c>
      <c r="M902" s="12">
        <f>'day2'!M898</f>
        <v>2</v>
      </c>
      <c r="N902" s="12">
        <f>'day2'!N898</f>
        <v>0</v>
      </c>
      <c r="O902" s="12">
        <f>'day2'!O898</f>
        <v>1</v>
      </c>
      <c r="P902" s="12">
        <f>'day2'!P898</f>
        <v>6.2E-2</v>
      </c>
      <c r="Q902" s="12">
        <f>'day2'!Q898</f>
        <v>6.21</v>
      </c>
      <c r="R902" s="12">
        <f>'day2'!R898</f>
        <v>4.1000000000000002E-2</v>
      </c>
      <c r="S902" s="12">
        <f>'day2'!S898</f>
        <v>4.0999999999999996</v>
      </c>
      <c r="T902" s="12">
        <f>'day2'!T898</f>
        <v>5</v>
      </c>
      <c r="U902" s="12">
        <f>'day2'!U898</f>
        <v>6500</v>
      </c>
      <c r="V902" s="12">
        <f>'day2'!V898</f>
        <v>600</v>
      </c>
      <c r="W902" s="12">
        <f>'day2'!W898</f>
        <v>6165</v>
      </c>
      <c r="X902" s="12">
        <f>'day2'!X898</f>
        <v>0.5</v>
      </c>
      <c r="Y902" s="12">
        <f>'day2'!Y898</f>
        <v>0.5</v>
      </c>
      <c r="Z902" s="12">
        <f>'day2'!Z898</f>
        <v>1675</v>
      </c>
      <c r="AA902" s="12">
        <f>'day2'!AA898</f>
        <v>0</v>
      </c>
      <c r="AB902" s="12">
        <f>'day2'!AB898</f>
        <v>0</v>
      </c>
      <c r="AC902" s="12">
        <f>'day2'!AC898</f>
        <v>0</v>
      </c>
      <c r="AD902" s="12">
        <f>'day2'!AD898</f>
        <v>3000</v>
      </c>
      <c r="AE902" s="12">
        <f>'day2'!AE898</f>
        <v>3000</v>
      </c>
      <c r="AF902" s="12">
        <f>'day2'!AF898</f>
        <v>0</v>
      </c>
      <c r="AG902" s="12">
        <f>'day2'!AG898</f>
        <v>0</v>
      </c>
      <c r="AH902" s="12">
        <f>'day2'!AH898</f>
        <v>1</v>
      </c>
      <c r="AI902" s="12">
        <f>'day2'!AI898</f>
        <v>1</v>
      </c>
      <c r="AJ902" s="12">
        <f>'day2'!AJ898</f>
        <v>0</v>
      </c>
      <c r="AK902" s="12">
        <f>'day2'!AK898</f>
        <v>0</v>
      </c>
      <c r="AL902" s="12" t="str">
        <f>'day2'!AL898</f>
        <v>PTA807</v>
      </c>
      <c r="AM902" s="12" t="str">
        <f>'day2'!AM898</f>
        <v>PTA80711</v>
      </c>
      <c r="AN902" s="12">
        <f>'day2'!AN898</f>
        <v>623</v>
      </c>
      <c r="AO902" s="6">
        <f t="shared" si="375"/>
        <v>20180328</v>
      </c>
      <c r="AP902" s="12" t="str">
        <f>'day2'!AP898</f>
        <v>9999</v>
      </c>
      <c r="AQ902" s="12" t="str">
        <f>'day2'!AQ898</f>
        <v>CNY</v>
      </c>
      <c r="AR902" s="12" t="str">
        <f>'day2'!AR898</f>
        <v>50010002</v>
      </c>
      <c r="AS902" s="6">
        <f t="shared" si="379"/>
        <v>20180328</v>
      </c>
      <c r="AT902" s="12">
        <f>'day2'!AT898</f>
        <v>20180326</v>
      </c>
      <c r="AU902" s="12">
        <f>'day2'!AU898</f>
        <v>0</v>
      </c>
      <c r="AV902" s="12">
        <f>'day2'!AV898</f>
        <v>623</v>
      </c>
    </row>
    <row r="903" spans="1:48" s="6" customFormat="1" x14ac:dyDescent="0.25">
      <c r="A903" s="6" t="s">
        <v>359</v>
      </c>
      <c r="B903" s="12" t="str">
        <f>'day2'!B899</f>
        <v>PTA807C6500&amp;PTA807P6200</v>
      </c>
      <c r="C903" s="12" t="str">
        <f>'day2'!C899</f>
        <v>STG</v>
      </c>
      <c r="D903" s="12">
        <f>'day2'!D899</f>
        <v>19</v>
      </c>
      <c r="E903" s="12" t="str">
        <f>'day2'!E899</f>
        <v>2018032610000109</v>
      </c>
      <c r="F903" s="12" t="str">
        <f>'day2'!F899</f>
        <v>6001</v>
      </c>
      <c r="G903" s="12" t="str">
        <f>'day2'!G899</f>
        <v>B00102</v>
      </c>
      <c r="H903" s="12" t="str">
        <f>'day2'!H899</f>
        <v>6001</v>
      </c>
      <c r="I903" s="12" t="str">
        <f>'day2'!I899</f>
        <v>PTA807P6200</v>
      </c>
      <c r="J903" s="12">
        <f>'day2'!J899</f>
        <v>1</v>
      </c>
      <c r="K903" s="12">
        <f>'day2'!K899</f>
        <v>0</v>
      </c>
      <c r="L903" s="12">
        <f>'day2'!L899</f>
        <v>0</v>
      </c>
      <c r="M903" s="12">
        <f>'day2'!M899</f>
        <v>2</v>
      </c>
      <c r="N903" s="12">
        <f>'day2'!N899</f>
        <v>0</v>
      </c>
      <c r="O903" s="12">
        <f>'day2'!O899</f>
        <v>1</v>
      </c>
      <c r="P903" s="12">
        <f>'day2'!P899</f>
        <v>6.2E-2</v>
      </c>
      <c r="Q903" s="12">
        <f>'day2'!Q899</f>
        <v>6.21</v>
      </c>
      <c r="R903" s="12">
        <f>'day2'!R899</f>
        <v>4.1000000000000002E-2</v>
      </c>
      <c r="S903" s="12">
        <f>'day2'!S899</f>
        <v>4.0999999999999996</v>
      </c>
      <c r="T903" s="12">
        <f>'day2'!T899</f>
        <v>5</v>
      </c>
      <c r="U903" s="12">
        <f>'day2'!U899</f>
        <v>6200</v>
      </c>
      <c r="V903" s="12">
        <f>'day2'!V899</f>
        <v>605</v>
      </c>
      <c r="W903" s="12">
        <f>'day2'!W899</f>
        <v>6165</v>
      </c>
      <c r="X903" s="12">
        <f>'day2'!X899</f>
        <v>0.5</v>
      </c>
      <c r="Y903" s="12">
        <f>'day2'!Y899</f>
        <v>0.5</v>
      </c>
      <c r="Z903" s="12">
        <f>'day2'!Z899</f>
        <v>0</v>
      </c>
      <c r="AA903" s="12">
        <f>'day2'!AA899</f>
        <v>1</v>
      </c>
      <c r="AB903" s="12">
        <f>'day2'!AB899</f>
        <v>0</v>
      </c>
      <c r="AC903" s="12">
        <f>'day2'!AC899</f>
        <v>0</v>
      </c>
      <c r="AD903" s="12">
        <f>'day2'!AD899</f>
        <v>3025</v>
      </c>
      <c r="AE903" s="12">
        <f>'day2'!AE899</f>
        <v>3025</v>
      </c>
      <c r="AF903" s="12">
        <f>'day2'!AF899</f>
        <v>0</v>
      </c>
      <c r="AG903" s="12">
        <f>'day2'!AG899</f>
        <v>0</v>
      </c>
      <c r="AH903" s="12">
        <f>'day2'!AH899</f>
        <v>1</v>
      </c>
      <c r="AI903" s="12">
        <f>'day2'!AI899</f>
        <v>1</v>
      </c>
      <c r="AJ903" s="12">
        <f>'day2'!AJ899</f>
        <v>0</v>
      </c>
      <c r="AK903" s="12">
        <f>'day2'!AK899</f>
        <v>0</v>
      </c>
      <c r="AL903" s="12" t="str">
        <f>'day2'!AL899</f>
        <v>PTA807</v>
      </c>
      <c r="AM903" s="12" t="str">
        <f>'day2'!AM899</f>
        <v>PTA80711</v>
      </c>
      <c r="AN903" s="12">
        <f>'day2'!AN899</f>
        <v>629</v>
      </c>
      <c r="AO903" s="6">
        <f t="shared" si="375"/>
        <v>20180328</v>
      </c>
      <c r="AP903" s="12" t="str">
        <f>'day2'!AP899</f>
        <v>9999</v>
      </c>
      <c r="AQ903" s="12" t="str">
        <f>'day2'!AQ899</f>
        <v>CNY</v>
      </c>
      <c r="AR903" s="12" t="str">
        <f>'day2'!AR899</f>
        <v>50010002</v>
      </c>
      <c r="AS903" s="6">
        <f t="shared" si="379"/>
        <v>20180328</v>
      </c>
      <c r="AT903" s="12">
        <f>'day2'!AT899</f>
        <v>20180326</v>
      </c>
      <c r="AU903" s="12">
        <f>'day2'!AU899</f>
        <v>1</v>
      </c>
      <c r="AV903" s="12">
        <f>'day2'!AV899</f>
        <v>629</v>
      </c>
    </row>
    <row r="904" spans="1:48" s="6" customFormat="1" x14ac:dyDescent="0.25">
      <c r="A904" s="6" t="s">
        <v>359</v>
      </c>
      <c r="B904" s="12" t="str">
        <f>'day2'!B900</f>
        <v>PTA807C6500&amp;PTA807P6200</v>
      </c>
      <c r="C904" s="12" t="str">
        <f>'day2'!C900</f>
        <v>STG</v>
      </c>
      <c r="D904" s="12">
        <f>'day2'!D900</f>
        <v>20</v>
      </c>
      <c r="E904" s="12" t="str">
        <f>'day2'!E900</f>
        <v>2018032610000104</v>
      </c>
      <c r="F904" s="12" t="str">
        <f>'day2'!F900</f>
        <v>6001</v>
      </c>
      <c r="G904" s="12" t="str">
        <f>'day2'!G900</f>
        <v>B00102</v>
      </c>
      <c r="H904" s="12" t="str">
        <f>'day2'!H900</f>
        <v>6001</v>
      </c>
      <c r="I904" s="12" t="str">
        <f>'day2'!I900</f>
        <v>PTA807C6500</v>
      </c>
      <c r="J904" s="12">
        <f>'day2'!J900</f>
        <v>1</v>
      </c>
      <c r="K904" s="12">
        <f>'day2'!K900</f>
        <v>1</v>
      </c>
      <c r="L904" s="12">
        <f>'day2'!L900</f>
        <v>1</v>
      </c>
      <c r="M904" s="12">
        <f>'day2'!M900</f>
        <v>3</v>
      </c>
      <c r="N904" s="12">
        <f>'day2'!N900</f>
        <v>0</v>
      </c>
      <c r="O904" s="12">
        <f>'day2'!O900</f>
        <v>1</v>
      </c>
      <c r="P904" s="12">
        <f>'day2'!P900</f>
        <v>6.0000000000000005E-2</v>
      </c>
      <c r="Q904" s="12">
        <f>'day2'!Q900</f>
        <v>6</v>
      </c>
      <c r="R904" s="12">
        <f>'day2'!R900</f>
        <v>0.04</v>
      </c>
      <c r="S904" s="12">
        <f>'day2'!S900</f>
        <v>4</v>
      </c>
      <c r="T904" s="12">
        <f>'day2'!T900</f>
        <v>5</v>
      </c>
      <c r="U904" s="12">
        <f>'day2'!U900</f>
        <v>6500</v>
      </c>
      <c r="V904" s="12">
        <f>'day2'!V900</f>
        <v>600</v>
      </c>
      <c r="W904" s="12">
        <f>'day2'!W900</f>
        <v>6165</v>
      </c>
      <c r="X904" s="12">
        <f>'day2'!X900</f>
        <v>0.5</v>
      </c>
      <c r="Y904" s="12">
        <f>'day2'!Y900</f>
        <v>0.5</v>
      </c>
      <c r="Z904" s="12">
        <f>'day2'!Z900</f>
        <v>1675</v>
      </c>
      <c r="AA904" s="12">
        <f>'day2'!AA900</f>
        <v>0</v>
      </c>
      <c r="AB904" s="12">
        <f>'day2'!AB900</f>
        <v>0</v>
      </c>
      <c r="AC904" s="12">
        <f>'day2'!AC900</f>
        <v>0</v>
      </c>
      <c r="AD904" s="12">
        <f>'day2'!AD900</f>
        <v>3000</v>
      </c>
      <c r="AE904" s="12">
        <f>'day2'!AE900</f>
        <v>3000</v>
      </c>
      <c r="AF904" s="12">
        <f>'day2'!AF900</f>
        <v>0</v>
      </c>
      <c r="AG904" s="12">
        <f>'day2'!AG900</f>
        <v>0</v>
      </c>
      <c r="AH904" s="12">
        <f>'day2'!AH900</f>
        <v>1</v>
      </c>
      <c r="AI904" s="12">
        <f>'day2'!AI900</f>
        <v>1</v>
      </c>
      <c r="AJ904" s="12">
        <f>'day2'!AJ900</f>
        <v>0</v>
      </c>
      <c r="AK904" s="12">
        <f>'day2'!AK900</f>
        <v>0</v>
      </c>
      <c r="AL904" s="12" t="str">
        <f>'day2'!AL900</f>
        <v>PTA807</v>
      </c>
      <c r="AM904" s="12" t="str">
        <f>'day2'!AM900</f>
        <v>PTA80710</v>
      </c>
      <c r="AN904" s="12">
        <f>'day2'!AN900</f>
        <v>624</v>
      </c>
      <c r="AO904" s="6">
        <f t="shared" si="375"/>
        <v>20180328</v>
      </c>
      <c r="AP904" s="12" t="str">
        <f>'day2'!AP900</f>
        <v>9999</v>
      </c>
      <c r="AQ904" s="12" t="str">
        <f>'day2'!AQ900</f>
        <v>CNY</v>
      </c>
      <c r="AR904" s="12" t="str">
        <f>'day2'!AR900</f>
        <v>50010002</v>
      </c>
      <c r="AS904" s="6">
        <f t="shared" si="379"/>
        <v>20180328</v>
      </c>
      <c r="AT904" s="12">
        <f>'day2'!AT900</f>
        <v>20180326</v>
      </c>
      <c r="AU904" s="12">
        <f>'day2'!AU900</f>
        <v>0</v>
      </c>
      <c r="AV904" s="12">
        <f>'day2'!AV900</f>
        <v>624</v>
      </c>
    </row>
    <row r="905" spans="1:48" s="6" customFormat="1" x14ac:dyDescent="0.25">
      <c r="A905" s="6" t="s">
        <v>359</v>
      </c>
      <c r="B905" s="12" t="str">
        <f>'day2'!B901</f>
        <v>PTA807C6500&amp;PTA807P6200</v>
      </c>
      <c r="C905" s="12" t="str">
        <f>'day2'!C901</f>
        <v>STG</v>
      </c>
      <c r="D905" s="12">
        <f>'day2'!D901</f>
        <v>20</v>
      </c>
      <c r="E905" s="12" t="str">
        <f>'day2'!E901</f>
        <v>2018032610000110</v>
      </c>
      <c r="F905" s="12" t="str">
        <f>'day2'!F901</f>
        <v>6001</v>
      </c>
      <c r="G905" s="12" t="str">
        <f>'day2'!G901</f>
        <v>B00102</v>
      </c>
      <c r="H905" s="12" t="str">
        <f>'day2'!H901</f>
        <v>6001</v>
      </c>
      <c r="I905" s="12" t="str">
        <f>'day2'!I901</f>
        <v>PTA807P6200</v>
      </c>
      <c r="J905" s="12">
        <f>'day2'!J901</f>
        <v>1</v>
      </c>
      <c r="K905" s="12">
        <f>'day2'!K901</f>
        <v>1</v>
      </c>
      <c r="L905" s="12">
        <f>'day2'!L901</f>
        <v>1</v>
      </c>
      <c r="M905" s="12">
        <f>'day2'!M901</f>
        <v>3</v>
      </c>
      <c r="N905" s="12">
        <f>'day2'!N901</f>
        <v>0</v>
      </c>
      <c r="O905" s="12">
        <f>'day2'!O901</f>
        <v>1</v>
      </c>
      <c r="P905" s="12">
        <f>'day2'!P901</f>
        <v>6.0000000000000005E-2</v>
      </c>
      <c r="Q905" s="12">
        <f>'day2'!Q901</f>
        <v>6</v>
      </c>
      <c r="R905" s="12">
        <f>'day2'!R901</f>
        <v>0.04</v>
      </c>
      <c r="S905" s="12">
        <f>'day2'!S901</f>
        <v>4</v>
      </c>
      <c r="T905" s="12">
        <f>'day2'!T901</f>
        <v>5</v>
      </c>
      <c r="U905" s="12">
        <f>'day2'!U901</f>
        <v>6200</v>
      </c>
      <c r="V905" s="12">
        <f>'day2'!V901</f>
        <v>605</v>
      </c>
      <c r="W905" s="12">
        <f>'day2'!W901</f>
        <v>6165</v>
      </c>
      <c r="X905" s="12">
        <f>'day2'!X901</f>
        <v>0.5</v>
      </c>
      <c r="Y905" s="12">
        <f>'day2'!Y901</f>
        <v>0.5</v>
      </c>
      <c r="Z905" s="12">
        <f>'day2'!Z901</f>
        <v>0</v>
      </c>
      <c r="AA905" s="12">
        <f>'day2'!AA901</f>
        <v>1</v>
      </c>
      <c r="AB905" s="12">
        <f>'day2'!AB901</f>
        <v>0</v>
      </c>
      <c r="AC905" s="12">
        <f>'day2'!AC901</f>
        <v>0</v>
      </c>
      <c r="AD905" s="12">
        <f>'day2'!AD901</f>
        <v>3025</v>
      </c>
      <c r="AE905" s="12">
        <f>'day2'!AE901</f>
        <v>3025</v>
      </c>
      <c r="AF905" s="12">
        <f>'day2'!AF901</f>
        <v>0</v>
      </c>
      <c r="AG905" s="12">
        <f>'day2'!AG901</f>
        <v>0</v>
      </c>
      <c r="AH905" s="12">
        <f>'day2'!AH901</f>
        <v>1</v>
      </c>
      <c r="AI905" s="12">
        <f>'day2'!AI901</f>
        <v>1</v>
      </c>
      <c r="AJ905" s="12">
        <f>'day2'!AJ901</f>
        <v>0</v>
      </c>
      <c r="AK905" s="12">
        <f>'day2'!AK901</f>
        <v>0</v>
      </c>
      <c r="AL905" s="12" t="str">
        <f>'day2'!AL901</f>
        <v>PTA807</v>
      </c>
      <c r="AM905" s="12" t="str">
        <f>'day2'!AM901</f>
        <v>PTA80710</v>
      </c>
      <c r="AN905" s="12">
        <f>'day2'!AN901</f>
        <v>630</v>
      </c>
      <c r="AO905" s="6">
        <f t="shared" si="375"/>
        <v>20180328</v>
      </c>
      <c r="AP905" s="12" t="str">
        <f>'day2'!AP901</f>
        <v>9999</v>
      </c>
      <c r="AQ905" s="12" t="str">
        <f>'day2'!AQ901</f>
        <v>CNY</v>
      </c>
      <c r="AR905" s="12" t="str">
        <f>'day2'!AR901</f>
        <v>50010002</v>
      </c>
      <c r="AS905" s="6">
        <f t="shared" si="379"/>
        <v>20180328</v>
      </c>
      <c r="AT905" s="12">
        <f>'day2'!AT901</f>
        <v>20180326</v>
      </c>
      <c r="AU905" s="12">
        <f>'day2'!AU901</f>
        <v>1</v>
      </c>
      <c r="AV905" s="12">
        <f>'day2'!AV901</f>
        <v>630</v>
      </c>
    </row>
    <row r="906" spans="1:48" s="6" customFormat="1" x14ac:dyDescent="0.25">
      <c r="A906" t="s">
        <v>359</v>
      </c>
      <c r="B906" s="12" t="str">
        <f>C45</f>
        <v>PTA807C6500&amp;PTA807P6200</v>
      </c>
      <c r="C906" s="12" t="s">
        <v>511</v>
      </c>
      <c r="D906" s="12">
        <v>6</v>
      </c>
      <c r="E906" s="12" t="str">
        <f>B939</f>
        <v>2018032610000030</v>
      </c>
      <c r="F906" s="12" t="str">
        <f>F889</f>
        <v>6001</v>
      </c>
      <c r="G906" s="12" t="str">
        <f>G889</f>
        <v>B00101</v>
      </c>
      <c r="H906" s="12" t="str">
        <f>H889</f>
        <v>6001</v>
      </c>
      <c r="I906" s="12" t="str">
        <f t="shared" ref="I906:I919" si="391">IF(AU906=0,VLOOKUP(B906,$C$33:$I$51,4,FALSE),VLOOKUP(B906,$C$33:$I$51,6,FALSE))</f>
        <v>PTA807P6200</v>
      </c>
      <c r="J906" s="12">
        <v>1</v>
      </c>
      <c r="K906" s="249">
        <v>0</v>
      </c>
      <c r="L906" s="12">
        <v>0</v>
      </c>
      <c r="M906" s="12">
        <f t="shared" si="383"/>
        <v>2</v>
      </c>
      <c r="N906" s="12">
        <v>0</v>
      </c>
      <c r="O906" s="12">
        <v>1</v>
      </c>
      <c r="P906" s="12">
        <f t="shared" ref="P906:P919" si="392">IF(AI906=0, VLOOKUP(AM906,$F$53:$L$72,4,FALSE),VLOOKUP(AM906,$F$53:$L$72,4,FALSE)+VLOOKUP(AM906,$F$53:$L$72,6,FALSE) )</f>
        <v>6.0000000000000005E-2</v>
      </c>
      <c r="Q906" s="12">
        <f>IF(AI906=0, VLOOKUP(AM906,$F$53:$L$72,5,FALSE),VLOOKUP(AM906,$F$53:$L$72,5,FALSE)+VLOOKUP(AM906,$F$53:$L$72,7,FALSE) )+L53</f>
        <v>7</v>
      </c>
      <c r="R906" s="12">
        <f t="shared" ref="R906:R919" si="393">VLOOKUP(AM906,$F$53:$L$72,2,FALSE)</f>
        <v>0.04</v>
      </c>
      <c r="S906" s="12">
        <f t="shared" ref="S906:S919" si="394">VLOOKUP(AM906,$F$53:$L$72,3,FALSE)</f>
        <v>4</v>
      </c>
      <c r="T906" s="12">
        <f t="shared" ref="T906:T919" si="395" xml:space="preserve"> VLOOKUP(I906,$C$19:$L$31,3,FALSE)</f>
        <v>5</v>
      </c>
      <c r="U906" s="12">
        <f t="shared" ref="U906:U919" si="396" xml:space="preserve"> VLOOKUP(I906,$C$230:$F$242,4,FALSE)</f>
        <v>6165</v>
      </c>
      <c r="V906" s="12">
        <f t="shared" ref="V906:V919" si="397" xml:space="preserve"> VLOOKUP(I906,$C$230:$F$242,3,FALSE)</f>
        <v>600</v>
      </c>
      <c r="W906" s="12">
        <f t="shared" ref="W906:W919" si="398" xml:space="preserve"> VLOOKUP(I906,$C$230:$G$242,5,FALSE)</f>
        <v>0</v>
      </c>
      <c r="X906" s="12">
        <f t="shared" ref="X906:Y919" si="399">$F$190</f>
        <v>0.5</v>
      </c>
      <c r="Y906" s="12">
        <f t="shared" si="399"/>
        <v>0.5</v>
      </c>
      <c r="Z906" s="12">
        <f t="shared" si="384"/>
        <v>0</v>
      </c>
      <c r="AA906" s="12">
        <f t="shared" ref="AA906:AA919" si="400" xml:space="preserve"> VLOOKUP(I906,$C$19:$L$31,6,FALSE)</f>
        <v>1</v>
      </c>
      <c r="AB906" s="12">
        <f t="shared" si="368"/>
        <v>0</v>
      </c>
      <c r="AC906" s="12">
        <f t="shared" ref="AC906:AC919" si="401">IF(AI906=0,R906*T906*V906*N906+S906*N906,IF(L906=0,0,MAX(AE906+(R906*T906*W906+S906)*AH906-Z906*X906,AE906+(R906*T906*W906+S906)*AG57*Y906)*N906))</f>
        <v>0</v>
      </c>
      <c r="AD906" s="12">
        <f t="shared" si="369"/>
        <v>0</v>
      </c>
      <c r="AE906" s="12">
        <f t="shared" si="385"/>
        <v>3000</v>
      </c>
      <c r="AF906" s="12">
        <f>AB906+N907*AE907</f>
        <v>0</v>
      </c>
      <c r="AG906" s="12">
        <f>AC906+N907*AE907</f>
        <v>0</v>
      </c>
      <c r="AH906" s="12">
        <v>1</v>
      </c>
      <c r="AI906" s="12">
        <f t="shared" ref="AI906:AI919" si="402" xml:space="preserve"> VLOOKUP(I906,$C$19:$L$31,10,FALSE)</f>
        <v>1</v>
      </c>
      <c r="AJ906" s="12" t="e">
        <f t="shared" ref="AJ906:AJ919" si="403">VLOOKUP(AK906,$B$91:$D$93,3,FALSE)</f>
        <v>#N/A</v>
      </c>
      <c r="AK906" s="12">
        <f t="shared" ref="AK906:AK919" si="404" xml:space="preserve"> VLOOKUP(I906,$C$19:$L$31,9,FALSE)</f>
        <v>0</v>
      </c>
      <c r="AL906" s="3" t="str">
        <f t="shared" ref="AL906:AL919" si="405" xml:space="preserve"> VLOOKUP(I906,$C$19:$L$31,7,FALSE)</f>
        <v>PTA807</v>
      </c>
      <c r="AM906" s="3" t="str">
        <f t="shared" si="386"/>
        <v>PTA80710</v>
      </c>
      <c r="AN906" s="6">
        <f t="shared" ref="AN906:AN919" si="406">VLOOKUP(E906,$B$926:$AC$1002,24,FALSE)</f>
        <v>6120</v>
      </c>
      <c r="AO906" s="6">
        <f t="shared" si="375"/>
        <v>20180328</v>
      </c>
      <c r="AP906" s="6" t="str">
        <f t="shared" ref="AP906:AP919" si="407">$F$5</f>
        <v>9999</v>
      </c>
      <c r="AQ906" s="6" t="str">
        <f t="shared" ref="AQ906:AQ919" si="408">$D$9</f>
        <v>CNY</v>
      </c>
      <c r="AR906" s="6" t="str">
        <f t="shared" ref="AR906:AR919" si="409">VLOOKUP(G906,$C$5:$G$6,5,FALSE)</f>
        <v>50010001</v>
      </c>
      <c r="AS906" s="6">
        <f t="shared" si="379"/>
        <v>20180328</v>
      </c>
      <c r="AT906" s="6">
        <f t="shared" ref="AT906:AT919" si="410">VLOOKUP(E906,$B$926:$AC$1002,6,FALSE)</f>
        <v>20180326</v>
      </c>
      <c r="AU906" s="6">
        <v>0</v>
      </c>
      <c r="AV906" s="6">
        <f t="shared" ref="AV906:AV919" si="411">VLOOKUP(E906,$B$926:$AV$1002,24,FALSE)</f>
        <v>6120</v>
      </c>
    </row>
    <row r="907" spans="1:48" s="6" customFormat="1" x14ac:dyDescent="0.25">
      <c r="A907" t="s">
        <v>359</v>
      </c>
      <c r="B907" s="12" t="str">
        <f>B906</f>
        <v>PTA807C6500&amp;PTA807P6200</v>
      </c>
      <c r="C907" s="12" t="s">
        <v>511</v>
      </c>
      <c r="D907" s="12">
        <f>D906</f>
        <v>6</v>
      </c>
      <c r="E907" s="12" t="str">
        <f>B942</f>
        <v>2018032610000035</v>
      </c>
      <c r="F907" s="12" t="str">
        <f>F906</f>
        <v>6001</v>
      </c>
      <c r="G907" s="12" t="str">
        <f t="shared" ref="G907:H919" si="412">G906</f>
        <v>B00101</v>
      </c>
      <c r="H907" s="12" t="str">
        <f t="shared" si="412"/>
        <v>6001</v>
      </c>
      <c r="I907" s="12" t="str">
        <f t="shared" si="391"/>
        <v>PTA807C6500</v>
      </c>
      <c r="J907" s="12">
        <v>1</v>
      </c>
      <c r="K907" s="249">
        <v>1</v>
      </c>
      <c r="L907" s="12">
        <v>1</v>
      </c>
      <c r="M907" s="12">
        <f t="shared" si="383"/>
        <v>3</v>
      </c>
      <c r="N907" s="12">
        <v>0</v>
      </c>
      <c r="O907" s="12">
        <v>1</v>
      </c>
      <c r="P907" s="12">
        <f t="shared" si="392"/>
        <v>6.2E-2</v>
      </c>
      <c r="Q907" s="12">
        <f>IF(AI907=0, VLOOKUP(AM907,$F$53:$L$72,5,FALSE),VLOOKUP(AM907,$F$53:$L$72,5,FALSE)+VLOOKUP(AM907,$F$53:$L$72,7,FALSE) )</f>
        <v>6.21</v>
      </c>
      <c r="R907" s="12">
        <f t="shared" si="393"/>
        <v>4.1000000000000002E-2</v>
      </c>
      <c r="S907" s="12">
        <f t="shared" si="394"/>
        <v>4.0999999999999996</v>
      </c>
      <c r="T907" s="12">
        <f t="shared" si="395"/>
        <v>5</v>
      </c>
      <c r="U907" s="12">
        <f t="shared" si="396"/>
        <v>6165</v>
      </c>
      <c r="V907" s="12">
        <f t="shared" si="397"/>
        <v>580</v>
      </c>
      <c r="W907" s="12">
        <f t="shared" si="398"/>
        <v>0</v>
      </c>
      <c r="X907" s="12">
        <f t="shared" si="399"/>
        <v>0.5</v>
      </c>
      <c r="Y907" s="12">
        <f t="shared" si="399"/>
        <v>0.5</v>
      </c>
      <c r="Z907" s="12">
        <f t="shared" si="384"/>
        <v>30825</v>
      </c>
      <c r="AA907" s="12">
        <f t="shared" si="400"/>
        <v>0</v>
      </c>
      <c r="AB907" s="12">
        <f t="shared" si="368"/>
        <v>0</v>
      </c>
      <c r="AC907" s="12">
        <f t="shared" si="401"/>
        <v>0</v>
      </c>
      <c r="AD907" s="12">
        <f t="shared" si="369"/>
        <v>0</v>
      </c>
      <c r="AE907" s="12">
        <f>IF(AI907=1,1*T907*V907,0)</f>
        <v>2900</v>
      </c>
      <c r="AF907" s="12">
        <v>0</v>
      </c>
      <c r="AG907" s="12">
        <v>0</v>
      </c>
      <c r="AH907" s="12">
        <v>1</v>
      </c>
      <c r="AI907" s="12">
        <f t="shared" si="402"/>
        <v>1</v>
      </c>
      <c r="AJ907" s="12" t="e">
        <f t="shared" si="403"/>
        <v>#N/A</v>
      </c>
      <c r="AK907" s="12">
        <f t="shared" si="404"/>
        <v>0</v>
      </c>
      <c r="AL907" s="3" t="str">
        <f t="shared" si="405"/>
        <v>PTA807</v>
      </c>
      <c r="AM907" s="3" t="str">
        <f t="shared" si="386"/>
        <v>PTA80711</v>
      </c>
      <c r="AN907" s="6">
        <f t="shared" si="406"/>
        <v>6125</v>
      </c>
      <c r="AO907" s="6">
        <f t="shared" si="375"/>
        <v>20180328</v>
      </c>
      <c r="AP907" s="6" t="str">
        <f t="shared" si="407"/>
        <v>9999</v>
      </c>
      <c r="AQ907" s="6" t="str">
        <f t="shared" si="408"/>
        <v>CNY</v>
      </c>
      <c r="AR907" s="6" t="str">
        <f t="shared" si="409"/>
        <v>50010001</v>
      </c>
      <c r="AS907" s="6">
        <f t="shared" si="379"/>
        <v>20180328</v>
      </c>
      <c r="AT907" s="6">
        <f t="shared" si="410"/>
        <v>20180326</v>
      </c>
      <c r="AU907" s="6">
        <v>1</v>
      </c>
      <c r="AV907" s="6">
        <f t="shared" si="411"/>
        <v>6125</v>
      </c>
    </row>
    <row r="908" spans="1:48" s="6" customFormat="1" x14ac:dyDescent="0.25">
      <c r="A908" t="s">
        <v>359</v>
      </c>
      <c r="B908" s="12" t="str">
        <f>C46</f>
        <v>SR807C6500&amp;SR807P6500</v>
      </c>
      <c r="C908" s="12" t="s">
        <v>511</v>
      </c>
      <c r="D908" s="12">
        <v>7</v>
      </c>
      <c r="E908" s="12" t="str">
        <f>B979</f>
        <v>2018032710000052</v>
      </c>
      <c r="F908" s="12" t="str">
        <f t="shared" ref="F908:F919" si="413">F907</f>
        <v>6001</v>
      </c>
      <c r="G908" s="12" t="str">
        <f t="shared" si="412"/>
        <v>B00101</v>
      </c>
      <c r="H908" s="12" t="str">
        <f t="shared" si="412"/>
        <v>6001</v>
      </c>
      <c r="I908" s="12" t="str">
        <f t="shared" si="391"/>
        <v>SR807C6500</v>
      </c>
      <c r="J908" s="12">
        <v>1</v>
      </c>
      <c r="K908" s="249">
        <v>1</v>
      </c>
      <c r="L908" s="12">
        <v>1</v>
      </c>
      <c r="M908" s="12">
        <f t="shared" si="383"/>
        <v>3</v>
      </c>
      <c r="N908" s="12">
        <v>0</v>
      </c>
      <c r="O908" s="12">
        <v>1</v>
      </c>
      <c r="P908" s="12">
        <f t="shared" si="392"/>
        <v>6.2E-2</v>
      </c>
      <c r="Q908" s="12">
        <f>IF(AI908=0, VLOOKUP(AM908,$F$53:$L$72,5,FALSE),VLOOKUP(AM908,$F$53:$L$72,5,FALSE)+VLOOKUP(AM908,$F$53:$L$72,7,FALSE) )+L54</f>
        <v>7.32</v>
      </c>
      <c r="R908" s="12">
        <f t="shared" si="393"/>
        <v>4.1000000000000002E-2</v>
      </c>
      <c r="S908" s="12">
        <f t="shared" si="394"/>
        <v>4.0999999999999996</v>
      </c>
      <c r="T908" s="12">
        <f t="shared" si="395"/>
        <v>10</v>
      </c>
      <c r="U908" s="12">
        <f t="shared" si="396"/>
        <v>6500</v>
      </c>
      <c r="V908" s="12">
        <f t="shared" si="397"/>
        <v>610</v>
      </c>
      <c r="W908" s="12">
        <f t="shared" si="398"/>
        <v>6170</v>
      </c>
      <c r="X908" s="12">
        <f t="shared" si="399"/>
        <v>0.5</v>
      </c>
      <c r="Y908" s="12">
        <f t="shared" si="399"/>
        <v>0.5</v>
      </c>
      <c r="Z908" s="12">
        <f t="shared" si="384"/>
        <v>3300</v>
      </c>
      <c r="AA908" s="12">
        <f t="shared" si="400"/>
        <v>0</v>
      </c>
      <c r="AB908" s="12">
        <f t="shared" si="368"/>
        <v>0</v>
      </c>
      <c r="AC908" s="12">
        <f t="shared" si="401"/>
        <v>0</v>
      </c>
      <c r="AD908" s="12">
        <f t="shared" si="369"/>
        <v>0</v>
      </c>
      <c r="AE908" s="12">
        <f t="shared" si="385"/>
        <v>6100</v>
      </c>
      <c r="AF908" s="12">
        <f>AB908+N909*AE909</f>
        <v>0</v>
      </c>
      <c r="AG908" s="12">
        <f>AC908+N909*AE909</f>
        <v>0</v>
      </c>
      <c r="AH908" s="12">
        <v>1</v>
      </c>
      <c r="AI908" s="12">
        <f t="shared" si="402"/>
        <v>1</v>
      </c>
      <c r="AJ908" s="12" t="e">
        <f t="shared" si="403"/>
        <v>#N/A</v>
      </c>
      <c r="AK908" s="12">
        <f t="shared" si="404"/>
        <v>0</v>
      </c>
      <c r="AL908" s="3" t="str">
        <f t="shared" si="405"/>
        <v>SR807</v>
      </c>
      <c r="AM908" s="3" t="str">
        <f t="shared" si="386"/>
        <v>SR80711</v>
      </c>
      <c r="AN908" s="6">
        <f t="shared" si="406"/>
        <v>6115</v>
      </c>
      <c r="AO908" s="6">
        <f t="shared" si="375"/>
        <v>20180328</v>
      </c>
      <c r="AP908" s="6" t="str">
        <f t="shared" si="407"/>
        <v>9999</v>
      </c>
      <c r="AQ908" s="6" t="str">
        <f t="shared" si="408"/>
        <v>CNY</v>
      </c>
      <c r="AR908" s="6" t="str">
        <f t="shared" si="409"/>
        <v>50010001</v>
      </c>
      <c r="AS908" s="6">
        <f t="shared" si="379"/>
        <v>20180328</v>
      </c>
      <c r="AT908" s="6">
        <f t="shared" si="410"/>
        <v>20180327</v>
      </c>
      <c r="AU908" s="6">
        <v>0</v>
      </c>
      <c r="AV908" s="6">
        <f t="shared" si="411"/>
        <v>6115</v>
      </c>
    </row>
    <row r="909" spans="1:48" s="6" customFormat="1" x14ac:dyDescent="0.25">
      <c r="A909" t="s">
        <v>359</v>
      </c>
      <c r="B909" s="12" t="str">
        <f>B908</f>
        <v>SR807C6500&amp;SR807P6500</v>
      </c>
      <c r="C909" s="12" t="s">
        <v>511</v>
      </c>
      <c r="D909" s="12">
        <f>D908</f>
        <v>7</v>
      </c>
      <c r="E909" s="12" t="str">
        <f>B941</f>
        <v>2018032610000034</v>
      </c>
      <c r="F909" s="12" t="str">
        <f t="shared" si="413"/>
        <v>6001</v>
      </c>
      <c r="G909" s="12" t="str">
        <f t="shared" si="412"/>
        <v>B00101</v>
      </c>
      <c r="H909" s="12" t="str">
        <f t="shared" si="412"/>
        <v>6001</v>
      </c>
      <c r="I909" s="12" t="str">
        <f t="shared" si="391"/>
        <v>SR807P6500</v>
      </c>
      <c r="J909" s="12">
        <v>1</v>
      </c>
      <c r="K909" s="249">
        <v>1</v>
      </c>
      <c r="L909" s="12">
        <v>1</v>
      </c>
      <c r="M909" s="12">
        <f t="shared" si="383"/>
        <v>3</v>
      </c>
      <c r="N909" s="12">
        <v>0</v>
      </c>
      <c r="O909" s="12">
        <v>1</v>
      </c>
      <c r="P909" s="12">
        <f t="shared" si="392"/>
        <v>6.0000000000000005E-2</v>
      </c>
      <c r="Q909" s="12">
        <f t="shared" ref="Q909:Q919" si="414">IF(AI909=0, VLOOKUP(AM909,$F$53:$L$72,5,FALSE),VLOOKUP(AM909,$F$53:$L$72,5,FALSE)+VLOOKUP(AM909,$F$53:$L$72,7,FALSE) )</f>
        <v>6</v>
      </c>
      <c r="R909" s="12">
        <f t="shared" si="393"/>
        <v>0.04</v>
      </c>
      <c r="S909" s="12">
        <f t="shared" si="394"/>
        <v>4</v>
      </c>
      <c r="T909" s="12">
        <f t="shared" si="395"/>
        <v>10</v>
      </c>
      <c r="U909" s="12">
        <f t="shared" si="396"/>
        <v>6500</v>
      </c>
      <c r="V909" s="12">
        <f t="shared" si="397"/>
        <v>615</v>
      </c>
      <c r="W909" s="12">
        <f t="shared" si="398"/>
        <v>6170</v>
      </c>
      <c r="X909" s="12">
        <f t="shared" si="399"/>
        <v>0.5</v>
      </c>
      <c r="Y909" s="12">
        <f t="shared" si="399"/>
        <v>0.5</v>
      </c>
      <c r="Z909" s="12">
        <f t="shared" si="384"/>
        <v>0</v>
      </c>
      <c r="AA909" s="12">
        <f t="shared" si="400"/>
        <v>1</v>
      </c>
      <c r="AB909" s="12">
        <f t="shared" si="368"/>
        <v>0</v>
      </c>
      <c r="AC909" s="12">
        <f t="shared" si="401"/>
        <v>0</v>
      </c>
      <c r="AD909" s="12">
        <f t="shared" si="369"/>
        <v>0</v>
      </c>
      <c r="AE909" s="12">
        <f t="shared" si="385"/>
        <v>6150</v>
      </c>
      <c r="AF909" s="12">
        <v>0</v>
      </c>
      <c r="AG909" s="12">
        <v>0</v>
      </c>
      <c r="AH909" s="12">
        <v>1</v>
      </c>
      <c r="AI909" s="12">
        <f t="shared" si="402"/>
        <v>1</v>
      </c>
      <c r="AJ909" s="12" t="e">
        <f t="shared" si="403"/>
        <v>#N/A</v>
      </c>
      <c r="AK909" s="12">
        <f t="shared" si="404"/>
        <v>0</v>
      </c>
      <c r="AL909" s="3" t="str">
        <f t="shared" si="405"/>
        <v>SR807</v>
      </c>
      <c r="AM909" s="3" t="str">
        <f t="shared" si="386"/>
        <v>SR80710</v>
      </c>
      <c r="AN909" s="6">
        <f t="shared" si="406"/>
        <v>6124</v>
      </c>
      <c r="AO909" s="6">
        <f t="shared" si="375"/>
        <v>20180328</v>
      </c>
      <c r="AP909" s="6" t="str">
        <f t="shared" si="407"/>
        <v>9999</v>
      </c>
      <c r="AQ909" s="6" t="str">
        <f t="shared" si="408"/>
        <v>CNY</v>
      </c>
      <c r="AR909" s="6" t="str">
        <f t="shared" si="409"/>
        <v>50010001</v>
      </c>
      <c r="AS909" s="6">
        <f t="shared" si="379"/>
        <v>20180328</v>
      </c>
      <c r="AT909" s="6">
        <f t="shared" si="410"/>
        <v>20180326</v>
      </c>
      <c r="AU909" s="6">
        <v>1</v>
      </c>
      <c r="AV909" s="6">
        <f t="shared" si="411"/>
        <v>6124</v>
      </c>
    </row>
    <row r="910" spans="1:48" s="6" customFormat="1" x14ac:dyDescent="0.25">
      <c r="A910" t="s">
        <v>359</v>
      </c>
      <c r="B910" s="12" t="str">
        <f>C48</f>
        <v>SR807C6500&amp;SR807P6400</v>
      </c>
      <c r="C910" s="12" t="s">
        <v>509</v>
      </c>
      <c r="D910" s="12">
        <v>8</v>
      </c>
      <c r="E910" s="12" t="str">
        <f t="shared" ref="E910:E919" si="415">E909</f>
        <v>2018032610000034</v>
      </c>
      <c r="F910" s="12" t="str">
        <f t="shared" si="413"/>
        <v>6001</v>
      </c>
      <c r="G910" s="12" t="str">
        <f t="shared" si="412"/>
        <v>B00101</v>
      </c>
      <c r="H910" s="12" t="str">
        <f t="shared" si="412"/>
        <v>6001</v>
      </c>
      <c r="I910" s="12" t="str">
        <f t="shared" si="391"/>
        <v>SR807C6500</v>
      </c>
      <c r="J910" s="12">
        <v>1</v>
      </c>
      <c r="K910" s="249">
        <v>0</v>
      </c>
      <c r="L910" s="12">
        <v>0</v>
      </c>
      <c r="M910" s="12">
        <f t="shared" si="383"/>
        <v>2</v>
      </c>
      <c r="N910" s="12">
        <v>0</v>
      </c>
      <c r="O910" s="12">
        <v>1</v>
      </c>
      <c r="P910" s="12">
        <f t="shared" si="392"/>
        <v>6.2E-2</v>
      </c>
      <c r="Q910" s="12">
        <f t="shared" si="414"/>
        <v>6.21</v>
      </c>
      <c r="R910" s="12">
        <f t="shared" si="393"/>
        <v>4.1000000000000002E-2</v>
      </c>
      <c r="S910" s="12">
        <f t="shared" si="394"/>
        <v>4.0999999999999996</v>
      </c>
      <c r="T910" s="12">
        <f t="shared" si="395"/>
        <v>10</v>
      </c>
      <c r="U910" s="12">
        <f t="shared" si="396"/>
        <v>6500</v>
      </c>
      <c r="V910" s="12">
        <f t="shared" si="397"/>
        <v>610</v>
      </c>
      <c r="W910" s="12">
        <f t="shared" si="398"/>
        <v>6170</v>
      </c>
      <c r="X910" s="12">
        <f t="shared" si="399"/>
        <v>0.5</v>
      </c>
      <c r="Y910" s="12">
        <f t="shared" si="399"/>
        <v>0.5</v>
      </c>
      <c r="Z910" s="12">
        <f t="shared" si="384"/>
        <v>3300</v>
      </c>
      <c r="AA910" s="12">
        <f t="shared" si="400"/>
        <v>0</v>
      </c>
      <c r="AB910" s="12">
        <f t="shared" si="368"/>
        <v>0</v>
      </c>
      <c r="AC910" s="12">
        <f t="shared" si="401"/>
        <v>0</v>
      </c>
      <c r="AD910" s="12">
        <f t="shared" si="369"/>
        <v>0</v>
      </c>
      <c r="AE910" s="12">
        <f t="shared" si="385"/>
        <v>6100</v>
      </c>
      <c r="AF910" s="12">
        <v>0</v>
      </c>
      <c r="AG910" s="12">
        <v>0</v>
      </c>
      <c r="AH910" s="12">
        <v>1</v>
      </c>
      <c r="AI910" s="12">
        <f t="shared" si="402"/>
        <v>1</v>
      </c>
      <c r="AJ910" s="12" t="e">
        <f t="shared" si="403"/>
        <v>#N/A</v>
      </c>
      <c r="AK910" s="12">
        <f t="shared" si="404"/>
        <v>0</v>
      </c>
      <c r="AL910" s="3" t="str">
        <f t="shared" si="405"/>
        <v>SR807</v>
      </c>
      <c r="AM910" s="3" t="str">
        <f t="shared" si="386"/>
        <v>SR80711</v>
      </c>
      <c r="AN910" s="6">
        <f t="shared" si="406"/>
        <v>6124</v>
      </c>
      <c r="AO910" s="6">
        <f t="shared" si="375"/>
        <v>20180328</v>
      </c>
      <c r="AP910" s="6" t="str">
        <f t="shared" si="407"/>
        <v>9999</v>
      </c>
      <c r="AQ910" s="6" t="str">
        <f t="shared" si="408"/>
        <v>CNY</v>
      </c>
      <c r="AR910" s="6" t="str">
        <f t="shared" si="409"/>
        <v>50010001</v>
      </c>
      <c r="AS910" s="6">
        <f t="shared" si="379"/>
        <v>20180328</v>
      </c>
      <c r="AT910" s="6">
        <f t="shared" si="410"/>
        <v>20180326</v>
      </c>
      <c r="AU910" s="6">
        <v>0</v>
      </c>
      <c r="AV910" s="6">
        <f t="shared" si="411"/>
        <v>6124</v>
      </c>
    </row>
    <row r="911" spans="1:48" s="6" customFormat="1" x14ac:dyDescent="0.25">
      <c r="A911" t="s">
        <v>359</v>
      </c>
      <c r="B911" s="12" t="str">
        <f>B910</f>
        <v>SR807C6500&amp;SR807P6400</v>
      </c>
      <c r="C911" s="12" t="s">
        <v>509</v>
      </c>
      <c r="D911" s="12">
        <f>D910</f>
        <v>8</v>
      </c>
      <c r="E911" s="12" t="str">
        <f t="shared" si="415"/>
        <v>2018032610000034</v>
      </c>
      <c r="F911" s="12" t="str">
        <f t="shared" si="413"/>
        <v>6001</v>
      </c>
      <c r="G911" s="12" t="str">
        <f t="shared" si="412"/>
        <v>B00101</v>
      </c>
      <c r="H911" s="12" t="str">
        <f t="shared" si="412"/>
        <v>6001</v>
      </c>
      <c r="I911" s="12" t="str">
        <f t="shared" si="391"/>
        <v>SR807P6400</v>
      </c>
      <c r="J911" s="12">
        <v>1</v>
      </c>
      <c r="K911" s="249">
        <v>0</v>
      </c>
      <c r="L911" s="12">
        <v>0</v>
      </c>
      <c r="M911" s="12">
        <f t="shared" si="383"/>
        <v>2</v>
      </c>
      <c r="N911" s="12">
        <v>0</v>
      </c>
      <c r="O911" s="12">
        <v>1</v>
      </c>
      <c r="P911" s="12">
        <f t="shared" si="392"/>
        <v>6.0000000000000005E-2</v>
      </c>
      <c r="Q911" s="12">
        <f t="shared" si="414"/>
        <v>6</v>
      </c>
      <c r="R911" s="12">
        <f t="shared" si="393"/>
        <v>0.04</v>
      </c>
      <c r="S911" s="12">
        <f t="shared" si="394"/>
        <v>4</v>
      </c>
      <c r="T911" s="12">
        <f t="shared" si="395"/>
        <v>10</v>
      </c>
      <c r="U911" s="12">
        <f t="shared" si="396"/>
        <v>6400</v>
      </c>
      <c r="V911" s="12">
        <f t="shared" si="397"/>
        <v>620</v>
      </c>
      <c r="W911" s="12">
        <f t="shared" si="398"/>
        <v>6170</v>
      </c>
      <c r="X911" s="12">
        <f t="shared" si="399"/>
        <v>0.5</v>
      </c>
      <c r="Y911" s="12">
        <f t="shared" si="399"/>
        <v>0.5</v>
      </c>
      <c r="Z911" s="12">
        <f t="shared" si="384"/>
        <v>0</v>
      </c>
      <c r="AA911" s="12">
        <f t="shared" si="400"/>
        <v>1</v>
      </c>
      <c r="AB911" s="12">
        <f t="shared" si="368"/>
        <v>0</v>
      </c>
      <c r="AC911" s="12">
        <f t="shared" si="401"/>
        <v>0</v>
      </c>
      <c r="AD911" s="12">
        <f t="shared" si="369"/>
        <v>0</v>
      </c>
      <c r="AE911" s="12">
        <f t="shared" si="385"/>
        <v>6200</v>
      </c>
      <c r="AF911" s="12">
        <v>0</v>
      </c>
      <c r="AG911" s="12">
        <v>0</v>
      </c>
      <c r="AH911" s="12">
        <v>1</v>
      </c>
      <c r="AI911" s="12">
        <f t="shared" si="402"/>
        <v>1</v>
      </c>
      <c r="AJ911" s="12" t="e">
        <f t="shared" si="403"/>
        <v>#N/A</v>
      </c>
      <c r="AK911" s="12">
        <f t="shared" si="404"/>
        <v>0</v>
      </c>
      <c r="AL911" s="3" t="str">
        <f t="shared" si="405"/>
        <v>SR807</v>
      </c>
      <c r="AM911" s="3" t="str">
        <f t="shared" si="386"/>
        <v>SR80710</v>
      </c>
      <c r="AN911" s="6">
        <f t="shared" si="406"/>
        <v>6124</v>
      </c>
      <c r="AO911" s="6">
        <f t="shared" si="375"/>
        <v>20180328</v>
      </c>
      <c r="AP911" s="6" t="str">
        <f t="shared" si="407"/>
        <v>9999</v>
      </c>
      <c r="AQ911" s="6" t="str">
        <f t="shared" si="408"/>
        <v>CNY</v>
      </c>
      <c r="AR911" s="6" t="str">
        <f t="shared" si="409"/>
        <v>50010001</v>
      </c>
      <c r="AS911" s="6">
        <f t="shared" si="379"/>
        <v>20180328</v>
      </c>
      <c r="AT911" s="6">
        <f t="shared" si="410"/>
        <v>20180326</v>
      </c>
      <c r="AU911" s="6">
        <v>1</v>
      </c>
      <c r="AV911" s="6">
        <f t="shared" si="411"/>
        <v>6124</v>
      </c>
    </row>
    <row r="912" spans="1:48" s="6" customFormat="1" x14ac:dyDescent="0.25">
      <c r="A912" t="s">
        <v>359</v>
      </c>
      <c r="B912" s="12" t="str">
        <f>C49</f>
        <v>SR807C6500&amp;SR807P6400</v>
      </c>
      <c r="C912" s="12" t="s">
        <v>509</v>
      </c>
      <c r="D912" s="12">
        <v>9</v>
      </c>
      <c r="E912" s="12" t="str">
        <f t="shared" si="415"/>
        <v>2018032610000034</v>
      </c>
      <c r="F912" s="12" t="str">
        <f t="shared" si="413"/>
        <v>6001</v>
      </c>
      <c r="G912" s="12" t="str">
        <f t="shared" si="412"/>
        <v>B00101</v>
      </c>
      <c r="H912" s="12" t="str">
        <f t="shared" si="412"/>
        <v>6001</v>
      </c>
      <c r="I912" s="12" t="str">
        <f t="shared" si="391"/>
        <v>SR807C6500</v>
      </c>
      <c r="J912" s="12">
        <v>1</v>
      </c>
      <c r="K912" s="249">
        <v>1</v>
      </c>
      <c r="L912" s="12">
        <v>1</v>
      </c>
      <c r="M912" s="12">
        <f t="shared" si="383"/>
        <v>3</v>
      </c>
      <c r="N912" s="12">
        <v>0</v>
      </c>
      <c r="O912" s="12">
        <v>1</v>
      </c>
      <c r="P912" s="12">
        <f t="shared" si="392"/>
        <v>6.2E-2</v>
      </c>
      <c r="Q912" s="12">
        <f t="shared" si="414"/>
        <v>6.21</v>
      </c>
      <c r="R912" s="12">
        <f t="shared" si="393"/>
        <v>4.1000000000000002E-2</v>
      </c>
      <c r="S912" s="12">
        <f t="shared" si="394"/>
        <v>4.0999999999999996</v>
      </c>
      <c r="T912" s="12">
        <f t="shared" si="395"/>
        <v>10</v>
      </c>
      <c r="U912" s="12">
        <f t="shared" si="396"/>
        <v>6500</v>
      </c>
      <c r="V912" s="12">
        <f t="shared" si="397"/>
        <v>610</v>
      </c>
      <c r="W912" s="12">
        <f t="shared" si="398"/>
        <v>6170</v>
      </c>
      <c r="X912" s="12">
        <f t="shared" si="399"/>
        <v>0.5</v>
      </c>
      <c r="Y912" s="12">
        <f t="shared" si="399"/>
        <v>0.5</v>
      </c>
      <c r="Z912" s="12">
        <f t="shared" si="384"/>
        <v>3300</v>
      </c>
      <c r="AA912" s="12">
        <f t="shared" si="400"/>
        <v>0</v>
      </c>
      <c r="AB912" s="12">
        <f t="shared" si="368"/>
        <v>0</v>
      </c>
      <c r="AC912" s="12">
        <f t="shared" si="401"/>
        <v>0</v>
      </c>
      <c r="AD912" s="12">
        <f t="shared" si="369"/>
        <v>0</v>
      </c>
      <c r="AE912" s="12">
        <f>IF(AI912=1,1*T912*V912,0)</f>
        <v>6100</v>
      </c>
      <c r="AF912" s="12">
        <v>0</v>
      </c>
      <c r="AG912" s="12">
        <f>IF(AC912&gt;=AC913,AC912+N913*AE913,0)</f>
        <v>0</v>
      </c>
      <c r="AH912" s="12">
        <v>1</v>
      </c>
      <c r="AI912" s="12">
        <f t="shared" si="402"/>
        <v>1</v>
      </c>
      <c r="AJ912" s="12" t="e">
        <f t="shared" si="403"/>
        <v>#N/A</v>
      </c>
      <c r="AK912" s="12">
        <f t="shared" si="404"/>
        <v>0</v>
      </c>
      <c r="AL912" s="3" t="str">
        <f t="shared" si="405"/>
        <v>SR807</v>
      </c>
      <c r="AM912" s="3" t="str">
        <f t="shared" si="386"/>
        <v>SR80711</v>
      </c>
      <c r="AN912" s="6">
        <f t="shared" si="406"/>
        <v>6124</v>
      </c>
      <c r="AO912" s="6">
        <f t="shared" si="375"/>
        <v>20180328</v>
      </c>
      <c r="AP912" s="6" t="str">
        <f t="shared" si="407"/>
        <v>9999</v>
      </c>
      <c r="AQ912" s="6" t="str">
        <f t="shared" si="408"/>
        <v>CNY</v>
      </c>
      <c r="AR912" s="6" t="str">
        <f t="shared" si="409"/>
        <v>50010001</v>
      </c>
      <c r="AS912" s="6">
        <f t="shared" si="379"/>
        <v>20180328</v>
      </c>
      <c r="AT912" s="6">
        <f t="shared" si="410"/>
        <v>20180326</v>
      </c>
      <c r="AU912" s="6">
        <v>0</v>
      </c>
      <c r="AV912" s="6">
        <f t="shared" si="411"/>
        <v>6124</v>
      </c>
    </row>
    <row r="913" spans="1:49" s="6" customFormat="1" x14ac:dyDescent="0.25">
      <c r="A913" t="s">
        <v>359</v>
      </c>
      <c r="B913" s="12" t="str">
        <f>B912</f>
        <v>SR807C6500&amp;SR807P6400</v>
      </c>
      <c r="C913" s="12" t="s">
        <v>509</v>
      </c>
      <c r="D913" s="12">
        <f>D912</f>
        <v>9</v>
      </c>
      <c r="E913" s="12" t="str">
        <f t="shared" si="415"/>
        <v>2018032610000034</v>
      </c>
      <c r="F913" s="12" t="str">
        <f t="shared" si="413"/>
        <v>6001</v>
      </c>
      <c r="G913" s="12" t="str">
        <f t="shared" si="412"/>
        <v>B00101</v>
      </c>
      <c r="H913" s="12" t="str">
        <f t="shared" si="412"/>
        <v>6001</v>
      </c>
      <c r="I913" s="12" t="str">
        <f t="shared" si="391"/>
        <v>SR807P6400</v>
      </c>
      <c r="J913" s="12">
        <v>1</v>
      </c>
      <c r="K913" s="249">
        <v>1</v>
      </c>
      <c r="L913" s="12">
        <v>1</v>
      </c>
      <c r="M913" s="12">
        <f t="shared" si="383"/>
        <v>3</v>
      </c>
      <c r="N913" s="12">
        <v>0</v>
      </c>
      <c r="O913" s="12">
        <v>1</v>
      </c>
      <c r="P913" s="12">
        <f t="shared" si="392"/>
        <v>6.0000000000000005E-2</v>
      </c>
      <c r="Q913" s="12">
        <f t="shared" si="414"/>
        <v>6</v>
      </c>
      <c r="R913" s="12">
        <f t="shared" si="393"/>
        <v>0.04</v>
      </c>
      <c r="S913" s="12">
        <f t="shared" si="394"/>
        <v>4</v>
      </c>
      <c r="T913" s="12">
        <f t="shared" si="395"/>
        <v>10</v>
      </c>
      <c r="U913" s="12">
        <f t="shared" si="396"/>
        <v>6400</v>
      </c>
      <c r="V913" s="12">
        <f t="shared" si="397"/>
        <v>620</v>
      </c>
      <c r="W913" s="12">
        <f t="shared" si="398"/>
        <v>6170</v>
      </c>
      <c r="X913" s="12">
        <f t="shared" si="399"/>
        <v>0.5</v>
      </c>
      <c r="Y913" s="12">
        <f t="shared" si="399"/>
        <v>0.5</v>
      </c>
      <c r="Z913" s="12">
        <f t="shared" si="384"/>
        <v>0</v>
      </c>
      <c r="AA913" s="12">
        <f t="shared" si="400"/>
        <v>1</v>
      </c>
      <c r="AB913" s="12">
        <f t="shared" si="368"/>
        <v>0</v>
      </c>
      <c r="AC913" s="12">
        <f t="shared" si="401"/>
        <v>0</v>
      </c>
      <c r="AD913" s="12">
        <f t="shared" si="369"/>
        <v>0</v>
      </c>
      <c r="AE913" s="12">
        <f t="shared" si="385"/>
        <v>6200</v>
      </c>
      <c r="AF913" s="12">
        <f>IF(AC912&lt;AC913,AB913+AE912*L912,0)</f>
        <v>0</v>
      </c>
      <c r="AG913" s="12">
        <f>IF(AC912&lt;AC913,AC913+N912*AE912,0)</f>
        <v>0</v>
      </c>
      <c r="AH913" s="12">
        <v>1</v>
      </c>
      <c r="AI913" s="12">
        <f t="shared" si="402"/>
        <v>1</v>
      </c>
      <c r="AJ913" s="12" t="e">
        <f t="shared" si="403"/>
        <v>#N/A</v>
      </c>
      <c r="AK913" s="12">
        <f t="shared" si="404"/>
        <v>0</v>
      </c>
      <c r="AL913" s="3" t="str">
        <f t="shared" si="405"/>
        <v>SR807</v>
      </c>
      <c r="AM913" s="3" t="str">
        <f t="shared" si="386"/>
        <v>SR80710</v>
      </c>
      <c r="AN913" s="6">
        <f t="shared" si="406"/>
        <v>6124</v>
      </c>
      <c r="AO913" s="6">
        <f t="shared" si="375"/>
        <v>20180328</v>
      </c>
      <c r="AP913" s="6" t="str">
        <f t="shared" si="407"/>
        <v>9999</v>
      </c>
      <c r="AQ913" s="6" t="str">
        <f t="shared" si="408"/>
        <v>CNY</v>
      </c>
      <c r="AR913" s="6" t="str">
        <f t="shared" si="409"/>
        <v>50010001</v>
      </c>
      <c r="AS913" s="6">
        <f t="shared" si="379"/>
        <v>20180328</v>
      </c>
      <c r="AT913" s="6">
        <f t="shared" si="410"/>
        <v>20180326</v>
      </c>
      <c r="AU913" s="6">
        <v>1</v>
      </c>
      <c r="AV913" s="6">
        <f t="shared" si="411"/>
        <v>6124</v>
      </c>
    </row>
    <row r="914" spans="1:49" s="6" customFormat="1" x14ac:dyDescent="0.25">
      <c r="A914" t="s">
        <v>359</v>
      </c>
      <c r="B914" s="12" t="str">
        <f>C50</f>
        <v>PTA807&amp;PTA809</v>
      </c>
      <c r="C914" s="12" t="s">
        <v>510</v>
      </c>
      <c r="D914" s="12">
        <v>10</v>
      </c>
      <c r="E914" s="12" t="str">
        <f t="shared" si="415"/>
        <v>2018032610000034</v>
      </c>
      <c r="F914" s="12" t="str">
        <f t="shared" si="413"/>
        <v>6001</v>
      </c>
      <c r="G914" s="12" t="str">
        <f t="shared" si="412"/>
        <v>B00101</v>
      </c>
      <c r="H914" s="12" t="str">
        <f t="shared" si="412"/>
        <v>6001</v>
      </c>
      <c r="I914" s="12" t="str">
        <f t="shared" si="391"/>
        <v>PTA807</v>
      </c>
      <c r="J914" s="12">
        <v>1</v>
      </c>
      <c r="K914" s="249">
        <v>0</v>
      </c>
      <c r="L914" s="12">
        <v>0</v>
      </c>
      <c r="M914" s="12">
        <f t="shared" si="383"/>
        <v>2</v>
      </c>
      <c r="N914" s="12">
        <v>0</v>
      </c>
      <c r="O914" s="12">
        <v>1</v>
      </c>
      <c r="P914" s="12">
        <f t="shared" si="392"/>
        <v>0.05</v>
      </c>
      <c r="Q914" s="12">
        <f t="shared" si="414"/>
        <v>5</v>
      </c>
      <c r="R914" s="12">
        <f t="shared" si="393"/>
        <v>0.04</v>
      </c>
      <c r="S914" s="12">
        <f t="shared" si="394"/>
        <v>4</v>
      </c>
      <c r="T914" s="12">
        <f t="shared" si="395"/>
        <v>5</v>
      </c>
      <c r="U914" s="12">
        <f t="shared" si="396"/>
        <v>0</v>
      </c>
      <c r="V914" s="12">
        <f t="shared" si="397"/>
        <v>6165</v>
      </c>
      <c r="W914" s="12">
        <f t="shared" si="398"/>
        <v>0</v>
      </c>
      <c r="X914" s="12">
        <f t="shared" si="399"/>
        <v>0.5</v>
      </c>
      <c r="Y914" s="12">
        <f t="shared" si="399"/>
        <v>0.5</v>
      </c>
      <c r="Z914" s="12">
        <f t="shared" si="384"/>
        <v>0</v>
      </c>
      <c r="AA914" s="12">
        <f t="shared" si="400"/>
        <v>9</v>
      </c>
      <c r="AB914" s="12">
        <f t="shared" si="368"/>
        <v>0</v>
      </c>
      <c r="AC914" s="12">
        <f t="shared" si="401"/>
        <v>0</v>
      </c>
      <c r="AD914" s="12" t="b">
        <f t="shared" si="369"/>
        <v>0</v>
      </c>
      <c r="AE914" s="12">
        <f t="shared" si="385"/>
        <v>0</v>
      </c>
      <c r="AF914" s="12">
        <v>0</v>
      </c>
      <c r="AG914" s="12">
        <v>0</v>
      </c>
      <c r="AH914" s="12">
        <v>1</v>
      </c>
      <c r="AI914" s="12">
        <f t="shared" si="402"/>
        <v>0</v>
      </c>
      <c r="AJ914" s="12" t="e">
        <f t="shared" si="403"/>
        <v>#N/A</v>
      </c>
      <c r="AK914" s="12">
        <f t="shared" si="404"/>
        <v>1</v>
      </c>
      <c r="AL914" s="3" t="str">
        <f t="shared" si="405"/>
        <v>PTA807</v>
      </c>
      <c r="AM914" s="3" t="str">
        <f t="shared" si="386"/>
        <v>PTA80710</v>
      </c>
      <c r="AN914" s="6">
        <f t="shared" si="406"/>
        <v>6124</v>
      </c>
      <c r="AO914" s="6">
        <f t="shared" si="375"/>
        <v>20180328</v>
      </c>
      <c r="AP914" s="6" t="str">
        <f t="shared" si="407"/>
        <v>9999</v>
      </c>
      <c r="AQ914" s="6" t="str">
        <f t="shared" si="408"/>
        <v>CNY</v>
      </c>
      <c r="AR914" s="6" t="str">
        <f t="shared" si="409"/>
        <v>50010001</v>
      </c>
      <c r="AS914" s="6">
        <f t="shared" si="379"/>
        <v>20180328</v>
      </c>
      <c r="AT914" s="6">
        <f t="shared" si="410"/>
        <v>20180326</v>
      </c>
      <c r="AU914" s="6">
        <v>0</v>
      </c>
      <c r="AV914" s="6">
        <f t="shared" si="411"/>
        <v>6124</v>
      </c>
    </row>
    <row r="915" spans="1:49" s="6" customFormat="1" x14ac:dyDescent="0.25">
      <c r="A915" t="s">
        <v>359</v>
      </c>
      <c r="B915" s="12" t="str">
        <f>B914</f>
        <v>PTA807&amp;PTA809</v>
      </c>
      <c r="C915" s="12" t="s">
        <v>510</v>
      </c>
      <c r="D915" s="12">
        <f>D914</f>
        <v>10</v>
      </c>
      <c r="E915" s="12" t="str">
        <f t="shared" si="415"/>
        <v>2018032610000034</v>
      </c>
      <c r="F915" s="12" t="str">
        <f t="shared" si="413"/>
        <v>6001</v>
      </c>
      <c r="G915" s="12" t="str">
        <f t="shared" si="412"/>
        <v>B00101</v>
      </c>
      <c r="H915" s="12" t="str">
        <f t="shared" si="412"/>
        <v>6001</v>
      </c>
      <c r="I915" s="12" t="str">
        <f t="shared" si="391"/>
        <v>PTA809</v>
      </c>
      <c r="J915" s="12">
        <v>1</v>
      </c>
      <c r="K915" s="249">
        <v>0</v>
      </c>
      <c r="L915" s="12">
        <v>0</v>
      </c>
      <c r="M915" s="12">
        <f t="shared" si="383"/>
        <v>2</v>
      </c>
      <c r="N915" s="12">
        <v>0</v>
      </c>
      <c r="O915" s="12">
        <v>1</v>
      </c>
      <c r="P915" s="12">
        <f t="shared" si="392"/>
        <v>0.05</v>
      </c>
      <c r="Q915" s="12">
        <f t="shared" si="414"/>
        <v>5</v>
      </c>
      <c r="R915" s="12">
        <f t="shared" si="393"/>
        <v>0.04</v>
      </c>
      <c r="S915" s="12">
        <f t="shared" si="394"/>
        <v>4</v>
      </c>
      <c r="T915" s="12">
        <f t="shared" si="395"/>
        <v>5</v>
      </c>
      <c r="U915" s="12">
        <f t="shared" si="396"/>
        <v>0</v>
      </c>
      <c r="V915" s="12">
        <f t="shared" si="397"/>
        <v>6168</v>
      </c>
      <c r="W915" s="12">
        <f t="shared" si="398"/>
        <v>0</v>
      </c>
      <c r="X915" s="12">
        <f t="shared" si="399"/>
        <v>0.5</v>
      </c>
      <c r="Y915" s="12">
        <f t="shared" si="399"/>
        <v>0.5</v>
      </c>
      <c r="Z915" s="12">
        <f t="shared" si="384"/>
        <v>0</v>
      </c>
      <c r="AA915" s="12">
        <f t="shared" si="400"/>
        <v>9</v>
      </c>
      <c r="AB915" s="12">
        <f t="shared" si="368"/>
        <v>0</v>
      </c>
      <c r="AC915" s="12">
        <f t="shared" si="401"/>
        <v>0</v>
      </c>
      <c r="AD915" s="12" t="b">
        <f t="shared" si="369"/>
        <v>0</v>
      </c>
      <c r="AE915" s="12">
        <f t="shared" si="385"/>
        <v>0</v>
      </c>
      <c r="AF915" s="12">
        <v>0</v>
      </c>
      <c r="AG915" s="12">
        <v>0</v>
      </c>
      <c r="AH915" s="12">
        <v>1</v>
      </c>
      <c r="AI915" s="12">
        <f t="shared" si="402"/>
        <v>0</v>
      </c>
      <c r="AJ915" s="12" t="e">
        <f t="shared" si="403"/>
        <v>#N/A</v>
      </c>
      <c r="AK915" s="12">
        <f t="shared" si="404"/>
        <v>1</v>
      </c>
      <c r="AL915" s="3" t="str">
        <f t="shared" si="405"/>
        <v>PTA809</v>
      </c>
      <c r="AM915" s="3" t="str">
        <f t="shared" si="386"/>
        <v>PTA80910</v>
      </c>
      <c r="AN915" s="6">
        <f t="shared" si="406"/>
        <v>6124</v>
      </c>
      <c r="AO915" s="6">
        <f t="shared" si="375"/>
        <v>20180328</v>
      </c>
      <c r="AP915" s="6" t="str">
        <f t="shared" si="407"/>
        <v>9999</v>
      </c>
      <c r="AQ915" s="6" t="str">
        <f t="shared" si="408"/>
        <v>CNY</v>
      </c>
      <c r="AR915" s="6" t="str">
        <f t="shared" si="409"/>
        <v>50010001</v>
      </c>
      <c r="AS915" s="6">
        <f t="shared" si="379"/>
        <v>20180328</v>
      </c>
      <c r="AT915" s="6">
        <f t="shared" si="410"/>
        <v>20180326</v>
      </c>
      <c r="AU915" s="6">
        <v>1</v>
      </c>
      <c r="AV915" s="6">
        <f t="shared" si="411"/>
        <v>6124</v>
      </c>
    </row>
    <row r="916" spans="1:49" s="6" customFormat="1" x14ac:dyDescent="0.25">
      <c r="A916" t="s">
        <v>359</v>
      </c>
      <c r="B916" s="12" t="str">
        <f>B914</f>
        <v>PTA807&amp;PTA809</v>
      </c>
      <c r="C916" s="12" t="s">
        <v>510</v>
      </c>
      <c r="D916" s="12">
        <v>11</v>
      </c>
      <c r="E916" s="12" t="str">
        <f t="shared" si="415"/>
        <v>2018032610000034</v>
      </c>
      <c r="F916" s="12" t="str">
        <f t="shared" si="413"/>
        <v>6001</v>
      </c>
      <c r="G916" s="12" t="str">
        <f t="shared" si="412"/>
        <v>B00101</v>
      </c>
      <c r="H916" s="12" t="str">
        <f t="shared" si="412"/>
        <v>6001</v>
      </c>
      <c r="I916" s="12" t="str">
        <f t="shared" si="391"/>
        <v>PTA807</v>
      </c>
      <c r="J916" s="12">
        <v>1</v>
      </c>
      <c r="K916" s="249">
        <v>0</v>
      </c>
      <c r="L916" s="12">
        <v>0</v>
      </c>
      <c r="M916" s="12">
        <f t="shared" si="383"/>
        <v>2</v>
      </c>
      <c r="N916" s="12">
        <v>0</v>
      </c>
      <c r="O916" s="12">
        <v>1</v>
      </c>
      <c r="P916" s="12">
        <f t="shared" si="392"/>
        <v>0.05</v>
      </c>
      <c r="Q916" s="12">
        <f t="shared" si="414"/>
        <v>5</v>
      </c>
      <c r="R916" s="12">
        <f t="shared" si="393"/>
        <v>0.04</v>
      </c>
      <c r="S916" s="12">
        <f t="shared" si="394"/>
        <v>4</v>
      </c>
      <c r="T916" s="12">
        <f t="shared" si="395"/>
        <v>5</v>
      </c>
      <c r="U916" s="12">
        <f t="shared" si="396"/>
        <v>0</v>
      </c>
      <c r="V916" s="12">
        <f t="shared" si="397"/>
        <v>6165</v>
      </c>
      <c r="W916" s="12">
        <f t="shared" si="398"/>
        <v>0</v>
      </c>
      <c r="X916" s="12">
        <f t="shared" si="399"/>
        <v>0.5</v>
      </c>
      <c r="Y916" s="12">
        <f t="shared" si="399"/>
        <v>0.5</v>
      </c>
      <c r="Z916" s="12">
        <f t="shared" si="384"/>
        <v>0</v>
      </c>
      <c r="AA916" s="12">
        <f t="shared" si="400"/>
        <v>9</v>
      </c>
      <c r="AB916" s="12">
        <f t="shared" si="368"/>
        <v>0</v>
      </c>
      <c r="AC916" s="12">
        <f t="shared" si="401"/>
        <v>0</v>
      </c>
      <c r="AD916" s="12" t="b">
        <f t="shared" si="369"/>
        <v>0</v>
      </c>
      <c r="AE916" s="12">
        <f t="shared" si="385"/>
        <v>0</v>
      </c>
      <c r="AF916" s="12">
        <v>0</v>
      </c>
      <c r="AG916" s="12">
        <v>0</v>
      </c>
      <c r="AH916" s="12">
        <v>1</v>
      </c>
      <c r="AI916" s="12">
        <f t="shared" si="402"/>
        <v>0</v>
      </c>
      <c r="AJ916" s="12" t="e">
        <f t="shared" si="403"/>
        <v>#N/A</v>
      </c>
      <c r="AK916" s="12">
        <f t="shared" si="404"/>
        <v>1</v>
      </c>
      <c r="AL916" s="3" t="str">
        <f t="shared" si="405"/>
        <v>PTA807</v>
      </c>
      <c r="AM916" s="3" t="str">
        <f t="shared" si="386"/>
        <v>PTA80710</v>
      </c>
      <c r="AN916" s="6">
        <f t="shared" si="406"/>
        <v>6124</v>
      </c>
      <c r="AO916" s="6">
        <f t="shared" si="375"/>
        <v>20180328</v>
      </c>
      <c r="AP916" s="6" t="str">
        <f t="shared" si="407"/>
        <v>9999</v>
      </c>
      <c r="AQ916" s="6" t="str">
        <f t="shared" si="408"/>
        <v>CNY</v>
      </c>
      <c r="AR916" s="6" t="str">
        <f t="shared" si="409"/>
        <v>50010001</v>
      </c>
      <c r="AS916" s="6">
        <f t="shared" si="379"/>
        <v>20180328</v>
      </c>
      <c r="AT916" s="6">
        <f t="shared" si="410"/>
        <v>20180326</v>
      </c>
      <c r="AU916" s="6">
        <v>0</v>
      </c>
      <c r="AV916" s="6">
        <f t="shared" si="411"/>
        <v>6124</v>
      </c>
    </row>
    <row r="917" spans="1:49" s="6" customFormat="1" x14ac:dyDescent="0.25">
      <c r="A917" t="s">
        <v>359</v>
      </c>
      <c r="B917" s="12" t="str">
        <f>B914</f>
        <v>PTA807&amp;PTA809</v>
      </c>
      <c r="C917" s="12" t="s">
        <v>510</v>
      </c>
      <c r="D917" s="12">
        <f>D916</f>
        <v>11</v>
      </c>
      <c r="E917" s="12" t="str">
        <f t="shared" si="415"/>
        <v>2018032610000034</v>
      </c>
      <c r="F917" s="12" t="str">
        <f t="shared" si="413"/>
        <v>6001</v>
      </c>
      <c r="G917" s="12" t="str">
        <f t="shared" si="412"/>
        <v>B00101</v>
      </c>
      <c r="H917" s="12" t="str">
        <f t="shared" si="412"/>
        <v>6001</v>
      </c>
      <c r="I917" s="12" t="str">
        <f t="shared" si="391"/>
        <v>PTA809</v>
      </c>
      <c r="J917" s="12">
        <v>1</v>
      </c>
      <c r="K917" s="249">
        <v>0</v>
      </c>
      <c r="L917" s="12">
        <v>0</v>
      </c>
      <c r="M917" s="12">
        <f t="shared" si="383"/>
        <v>2</v>
      </c>
      <c r="N917" s="12">
        <v>0</v>
      </c>
      <c r="O917" s="12">
        <v>1</v>
      </c>
      <c r="P917" s="12">
        <f t="shared" si="392"/>
        <v>0.05</v>
      </c>
      <c r="Q917" s="12">
        <f t="shared" si="414"/>
        <v>5</v>
      </c>
      <c r="R917" s="12">
        <f t="shared" si="393"/>
        <v>0.04</v>
      </c>
      <c r="S917" s="12">
        <f t="shared" si="394"/>
        <v>4</v>
      </c>
      <c r="T917" s="12">
        <f t="shared" si="395"/>
        <v>5</v>
      </c>
      <c r="U917" s="12">
        <f t="shared" si="396"/>
        <v>0</v>
      </c>
      <c r="V917" s="12">
        <f t="shared" si="397"/>
        <v>6168</v>
      </c>
      <c r="W917" s="12">
        <f t="shared" si="398"/>
        <v>0</v>
      </c>
      <c r="X917" s="12">
        <f t="shared" si="399"/>
        <v>0.5</v>
      </c>
      <c r="Y917" s="12">
        <f t="shared" si="399"/>
        <v>0.5</v>
      </c>
      <c r="Z917" s="12">
        <f t="shared" si="384"/>
        <v>0</v>
      </c>
      <c r="AA917" s="12">
        <f t="shared" si="400"/>
        <v>9</v>
      </c>
      <c r="AB917" s="12">
        <f t="shared" si="368"/>
        <v>0</v>
      </c>
      <c r="AC917" s="12">
        <f t="shared" si="401"/>
        <v>0</v>
      </c>
      <c r="AD917" s="12" t="b">
        <f t="shared" si="369"/>
        <v>0</v>
      </c>
      <c r="AE917" s="12">
        <f t="shared" si="385"/>
        <v>0</v>
      </c>
      <c r="AF917" s="12">
        <v>0</v>
      </c>
      <c r="AG917" s="12">
        <v>0</v>
      </c>
      <c r="AH917" s="12">
        <v>1</v>
      </c>
      <c r="AI917" s="12">
        <f t="shared" si="402"/>
        <v>0</v>
      </c>
      <c r="AJ917" s="12" t="e">
        <f t="shared" si="403"/>
        <v>#N/A</v>
      </c>
      <c r="AK917" s="12">
        <f t="shared" si="404"/>
        <v>1</v>
      </c>
      <c r="AL917" s="3" t="str">
        <f t="shared" si="405"/>
        <v>PTA809</v>
      </c>
      <c r="AM917" s="3" t="str">
        <f t="shared" si="386"/>
        <v>PTA80910</v>
      </c>
      <c r="AN917" s="6">
        <f t="shared" si="406"/>
        <v>6124</v>
      </c>
      <c r="AO917" s="6">
        <f t="shared" si="375"/>
        <v>20180328</v>
      </c>
      <c r="AP917" s="6" t="str">
        <f t="shared" si="407"/>
        <v>9999</v>
      </c>
      <c r="AQ917" s="6" t="str">
        <f t="shared" si="408"/>
        <v>CNY</v>
      </c>
      <c r="AR917" s="6" t="str">
        <f t="shared" si="409"/>
        <v>50010001</v>
      </c>
      <c r="AS917" s="6">
        <f t="shared" si="379"/>
        <v>20180328</v>
      </c>
      <c r="AT917" s="6">
        <f t="shared" si="410"/>
        <v>20180326</v>
      </c>
      <c r="AU917" s="6">
        <v>1</v>
      </c>
      <c r="AV917" s="6">
        <f t="shared" si="411"/>
        <v>6124</v>
      </c>
    </row>
    <row r="918" spans="1:49" s="6" customFormat="1" x14ac:dyDescent="0.25">
      <c r="A918" t="s">
        <v>359</v>
      </c>
      <c r="B918" s="12" t="str">
        <f>C50</f>
        <v>PTA807&amp;PTA809</v>
      </c>
      <c r="C918" s="12" t="s">
        <v>510</v>
      </c>
      <c r="D918" s="12">
        <v>12</v>
      </c>
      <c r="E918" s="12" t="str">
        <f t="shared" si="415"/>
        <v>2018032610000034</v>
      </c>
      <c r="F918" s="12" t="str">
        <f t="shared" si="413"/>
        <v>6001</v>
      </c>
      <c r="G918" s="12" t="str">
        <f t="shared" si="412"/>
        <v>B00101</v>
      </c>
      <c r="H918" s="12" t="str">
        <f t="shared" si="412"/>
        <v>6001</v>
      </c>
      <c r="I918" s="12" t="str">
        <f t="shared" si="391"/>
        <v>PTA807</v>
      </c>
      <c r="J918" s="12">
        <v>1</v>
      </c>
      <c r="K918" s="249">
        <v>1</v>
      </c>
      <c r="L918" s="12">
        <v>1</v>
      </c>
      <c r="M918" s="12">
        <f t="shared" si="383"/>
        <v>3</v>
      </c>
      <c r="N918" s="12">
        <v>0</v>
      </c>
      <c r="O918" s="12">
        <v>1</v>
      </c>
      <c r="P918" s="12">
        <f t="shared" si="392"/>
        <v>5.0999999999999997E-2</v>
      </c>
      <c r="Q918" s="12">
        <f t="shared" si="414"/>
        <v>5.0999999999999996</v>
      </c>
      <c r="R918" s="12">
        <f t="shared" si="393"/>
        <v>4.1000000000000002E-2</v>
      </c>
      <c r="S918" s="12">
        <f t="shared" si="394"/>
        <v>4.0999999999999996</v>
      </c>
      <c r="T918" s="12">
        <f t="shared" si="395"/>
        <v>5</v>
      </c>
      <c r="U918" s="12">
        <f t="shared" si="396"/>
        <v>0</v>
      </c>
      <c r="V918" s="12">
        <f t="shared" si="397"/>
        <v>6165</v>
      </c>
      <c r="W918" s="12">
        <f t="shared" si="398"/>
        <v>0</v>
      </c>
      <c r="X918" s="12">
        <f t="shared" si="399"/>
        <v>0.5</v>
      </c>
      <c r="Y918" s="12">
        <f t="shared" si="399"/>
        <v>0.5</v>
      </c>
      <c r="Z918" s="12">
        <f t="shared" si="384"/>
        <v>0</v>
      </c>
      <c r="AA918" s="12">
        <f t="shared" si="400"/>
        <v>9</v>
      </c>
      <c r="AB918" s="12">
        <f t="shared" si="368"/>
        <v>0</v>
      </c>
      <c r="AC918" s="12">
        <f t="shared" si="401"/>
        <v>0</v>
      </c>
      <c r="AD918" s="12" t="b">
        <f t="shared" si="369"/>
        <v>0</v>
      </c>
      <c r="AE918" s="12">
        <f t="shared" si="385"/>
        <v>0</v>
      </c>
      <c r="AF918" s="12">
        <f>IF(AC918&gt;=AC919,AB918+N919*AE919,0)</f>
        <v>0</v>
      </c>
      <c r="AG918" s="12">
        <f>IF(AC918&gt;=AC919,AC918+N919*AE919,0)</f>
        <v>0</v>
      </c>
      <c r="AH918" s="12">
        <v>1</v>
      </c>
      <c r="AI918" s="12">
        <f t="shared" si="402"/>
        <v>0</v>
      </c>
      <c r="AJ918" s="12" t="e">
        <f t="shared" si="403"/>
        <v>#N/A</v>
      </c>
      <c r="AK918" s="12">
        <f t="shared" si="404"/>
        <v>1</v>
      </c>
      <c r="AL918" s="3" t="str">
        <f t="shared" si="405"/>
        <v>PTA807</v>
      </c>
      <c r="AM918" s="3" t="str">
        <f t="shared" si="386"/>
        <v>PTA80711</v>
      </c>
      <c r="AN918" s="6">
        <f t="shared" si="406"/>
        <v>6124</v>
      </c>
      <c r="AO918" s="6">
        <f t="shared" si="375"/>
        <v>20180328</v>
      </c>
      <c r="AP918" s="6" t="str">
        <f t="shared" si="407"/>
        <v>9999</v>
      </c>
      <c r="AQ918" s="6" t="str">
        <f t="shared" si="408"/>
        <v>CNY</v>
      </c>
      <c r="AR918" s="6" t="str">
        <f t="shared" si="409"/>
        <v>50010001</v>
      </c>
      <c r="AS918" s="6">
        <f t="shared" si="379"/>
        <v>20180328</v>
      </c>
      <c r="AT918" s="6">
        <f t="shared" si="410"/>
        <v>20180326</v>
      </c>
      <c r="AU918" s="6">
        <v>0</v>
      </c>
      <c r="AV918" s="6">
        <f t="shared" si="411"/>
        <v>6124</v>
      </c>
    </row>
    <row r="919" spans="1:49" s="6" customFormat="1" x14ac:dyDescent="0.25">
      <c r="A919" t="s">
        <v>359</v>
      </c>
      <c r="B919" s="12" t="str">
        <f>B918</f>
        <v>PTA807&amp;PTA809</v>
      </c>
      <c r="C919" s="12" t="s">
        <v>510</v>
      </c>
      <c r="D919" s="12">
        <f>D918</f>
        <v>12</v>
      </c>
      <c r="E919" s="12" t="str">
        <f t="shared" si="415"/>
        <v>2018032610000034</v>
      </c>
      <c r="F919" s="12" t="str">
        <f t="shared" si="413"/>
        <v>6001</v>
      </c>
      <c r="G919" s="12" t="str">
        <f t="shared" si="412"/>
        <v>B00101</v>
      </c>
      <c r="H919" s="12" t="str">
        <f t="shared" si="412"/>
        <v>6001</v>
      </c>
      <c r="I919" s="12" t="str">
        <f t="shared" si="391"/>
        <v>PTA809</v>
      </c>
      <c r="J919" s="12">
        <v>1</v>
      </c>
      <c r="K919" s="249">
        <v>1</v>
      </c>
      <c r="L919" s="12">
        <v>1</v>
      </c>
      <c r="M919" s="12">
        <f t="shared" si="383"/>
        <v>3</v>
      </c>
      <c r="N919" s="12">
        <v>0</v>
      </c>
      <c r="O919" s="12">
        <v>1</v>
      </c>
      <c r="P919" s="12">
        <f t="shared" si="392"/>
        <v>5.0999999999999997E-2</v>
      </c>
      <c r="Q919" s="12">
        <f t="shared" si="414"/>
        <v>5.0999999999999996</v>
      </c>
      <c r="R919" s="12">
        <f t="shared" si="393"/>
        <v>4.1000000000000002E-2</v>
      </c>
      <c r="S919" s="12">
        <f t="shared" si="394"/>
        <v>4.0999999999999996</v>
      </c>
      <c r="T919" s="12">
        <f t="shared" si="395"/>
        <v>5</v>
      </c>
      <c r="U919" s="12">
        <f t="shared" si="396"/>
        <v>0</v>
      </c>
      <c r="V919" s="12">
        <f t="shared" si="397"/>
        <v>6168</v>
      </c>
      <c r="W919" s="12">
        <f t="shared" si="398"/>
        <v>0</v>
      </c>
      <c r="X919" s="12">
        <f t="shared" si="399"/>
        <v>0.5</v>
      </c>
      <c r="Y919" s="12">
        <f t="shared" si="399"/>
        <v>0.5</v>
      </c>
      <c r="Z919" s="12">
        <f t="shared" si="384"/>
        <v>0</v>
      </c>
      <c r="AA919" s="12">
        <f t="shared" si="400"/>
        <v>9</v>
      </c>
      <c r="AB919" s="12">
        <f t="shared" si="368"/>
        <v>0</v>
      </c>
      <c r="AC919" s="12">
        <f t="shared" si="401"/>
        <v>0</v>
      </c>
      <c r="AD919" s="12" t="b">
        <f t="shared" si="369"/>
        <v>0</v>
      </c>
      <c r="AE919" s="12">
        <f t="shared" si="385"/>
        <v>0</v>
      </c>
      <c r="AF919" s="12">
        <f>IF(AC918&lt;AC919,AB919+N918*AE918,0)</f>
        <v>0</v>
      </c>
      <c r="AG919" s="12">
        <f>IF(AC918&lt;AC919,AC919+N918*AE918,0)</f>
        <v>0</v>
      </c>
      <c r="AH919" s="12">
        <v>1</v>
      </c>
      <c r="AI919" s="12">
        <f t="shared" si="402"/>
        <v>0</v>
      </c>
      <c r="AJ919" s="12" t="e">
        <f t="shared" si="403"/>
        <v>#N/A</v>
      </c>
      <c r="AK919" s="12">
        <f t="shared" si="404"/>
        <v>1</v>
      </c>
      <c r="AL919" s="3" t="str">
        <f t="shared" si="405"/>
        <v>PTA809</v>
      </c>
      <c r="AM919" s="3" t="str">
        <f t="shared" si="386"/>
        <v>PTA80911</v>
      </c>
      <c r="AN919" s="6">
        <f t="shared" si="406"/>
        <v>6124</v>
      </c>
      <c r="AO919" s="6">
        <f t="shared" si="375"/>
        <v>20180328</v>
      </c>
      <c r="AP919" s="6" t="str">
        <f t="shared" si="407"/>
        <v>9999</v>
      </c>
      <c r="AQ919" s="6" t="str">
        <f t="shared" si="408"/>
        <v>CNY</v>
      </c>
      <c r="AR919" s="6" t="str">
        <f t="shared" si="409"/>
        <v>50010001</v>
      </c>
      <c r="AS919" s="6">
        <f t="shared" si="379"/>
        <v>20180328</v>
      </c>
      <c r="AT919" s="6">
        <f t="shared" si="410"/>
        <v>20180326</v>
      </c>
      <c r="AU919" s="6">
        <v>1</v>
      </c>
      <c r="AV919" s="6">
        <f t="shared" si="411"/>
        <v>6124</v>
      </c>
    </row>
    <row r="920" spans="1:49" x14ac:dyDescent="0.25">
      <c r="AE920" s="257"/>
      <c r="AF920" s="257"/>
      <c r="AU920" s="6"/>
    </row>
    <row r="921" spans="1:49" x14ac:dyDescent="0.25">
      <c r="A921" t="s">
        <v>173</v>
      </c>
      <c r="B921" t="s">
        <v>524</v>
      </c>
      <c r="F921" s="3"/>
      <c r="Y921" s="19" t="s">
        <v>97</v>
      </c>
      <c r="Z921" s="6"/>
      <c r="AA921" s="6"/>
      <c r="AB921" s="6"/>
      <c r="AC921" s="6"/>
      <c r="AD921" s="6"/>
      <c r="AE921" s="6"/>
      <c r="AF921" s="6"/>
      <c r="AG921" s="6"/>
      <c r="AH921" s="6"/>
      <c r="AI921" s="6"/>
      <c r="AJ921" s="6"/>
      <c r="AU921" s="6"/>
    </row>
    <row r="922" spans="1:49" x14ac:dyDescent="0.25">
      <c r="A922" s="157" t="s">
        <v>970</v>
      </c>
      <c r="B922" s="157" t="s">
        <v>1335</v>
      </c>
      <c r="C922" s="4"/>
      <c r="AE922" s="142">
        <f>AE920-AF918</f>
        <v>0</v>
      </c>
    </row>
    <row r="923" spans="1:49" x14ac:dyDescent="0.25">
      <c r="A923" t="s">
        <v>306</v>
      </c>
      <c r="B923" s="719" t="s">
        <v>1084</v>
      </c>
      <c r="C923" s="720"/>
      <c r="D923" s="720"/>
      <c r="E923" s="720"/>
      <c r="F923" s="720"/>
      <c r="G923" s="720"/>
      <c r="H923" s="720"/>
      <c r="I923" s="720"/>
      <c r="J923" s="720"/>
      <c r="K923" s="720"/>
      <c r="L923" s="720"/>
      <c r="M923" s="720"/>
      <c r="N923" s="720"/>
      <c r="O923" s="720"/>
      <c r="P923" s="720"/>
      <c r="Q923" s="720"/>
      <c r="R923" s="720"/>
      <c r="S923" s="720"/>
      <c r="T923" s="720"/>
      <c r="U923" s="720"/>
      <c r="V923" s="720"/>
      <c r="W923" s="720"/>
      <c r="X923" s="720"/>
      <c r="Y923" s="720"/>
      <c r="Z923" s="720"/>
      <c r="AA923" s="720"/>
      <c r="AB923" s="720"/>
      <c r="AC923" s="720"/>
      <c r="AD923" s="720"/>
      <c r="AE923" s="720"/>
      <c r="AF923" s="720"/>
      <c r="AG923" s="720"/>
      <c r="AH923" s="720"/>
      <c r="AI923" s="720"/>
      <c r="AJ923" s="720"/>
      <c r="AK923" s="720"/>
      <c r="AL923" s="720"/>
      <c r="AM923" s="720"/>
      <c r="AN923" s="720"/>
      <c r="AO923" s="720"/>
      <c r="AP923" s="720"/>
      <c r="AQ923" s="720"/>
      <c r="AR923" s="720"/>
      <c r="AS923" s="720"/>
      <c r="AT923" s="720"/>
      <c r="AU923" s="720"/>
      <c r="AV923" s="720"/>
    </row>
    <row r="924" spans="1:49" ht="24" x14ac:dyDescent="0.25">
      <c r="A924" t="s">
        <v>359</v>
      </c>
      <c r="B924" s="7" t="s">
        <v>289</v>
      </c>
      <c r="C924" s="7" t="s">
        <v>286</v>
      </c>
      <c r="D924" s="7" t="s">
        <v>287</v>
      </c>
      <c r="E924" s="7" t="s">
        <v>120</v>
      </c>
      <c r="F924" s="29" t="s">
        <v>365</v>
      </c>
      <c r="G924" s="29" t="s">
        <v>676</v>
      </c>
      <c r="H924" s="12" t="s">
        <v>290</v>
      </c>
      <c r="I924" s="7" t="s">
        <v>52</v>
      </c>
      <c r="J924" s="12" t="s">
        <v>1268</v>
      </c>
      <c r="K924" s="12" t="s">
        <v>294</v>
      </c>
      <c r="L924" s="7" t="s">
        <v>9</v>
      </c>
      <c r="M924" s="29" t="s">
        <v>10</v>
      </c>
      <c r="N924" s="29" t="s">
        <v>534</v>
      </c>
      <c r="O924" s="100" t="s">
        <v>1269</v>
      </c>
      <c r="P924" s="7" t="s">
        <v>1270</v>
      </c>
      <c r="Q924" s="245" t="s">
        <v>531</v>
      </c>
      <c r="R924" s="7" t="s">
        <v>532</v>
      </c>
      <c r="S924" s="7" t="s">
        <v>1273</v>
      </c>
      <c r="T924" s="7" t="s">
        <v>1274</v>
      </c>
      <c r="U924" s="7" t="s">
        <v>7</v>
      </c>
      <c r="V924" s="7" t="s">
        <v>1276</v>
      </c>
      <c r="W924" s="7" t="s">
        <v>498</v>
      </c>
      <c r="X924" s="7" t="s">
        <v>1278</v>
      </c>
      <c r="Y924" s="7" t="s">
        <v>682</v>
      </c>
      <c r="Z924" s="7" t="s">
        <v>12</v>
      </c>
      <c r="AA924" s="7" t="s">
        <v>1281</v>
      </c>
      <c r="AB924" s="7" t="s">
        <v>1282</v>
      </c>
      <c r="AC924" s="7" t="s">
        <v>1283</v>
      </c>
      <c r="AD924" s="7" t="s">
        <v>1284</v>
      </c>
      <c r="AE924" s="29" t="s">
        <v>536</v>
      </c>
      <c r="AF924" s="29" t="s">
        <v>537</v>
      </c>
      <c r="AG924" s="158" t="s">
        <v>535</v>
      </c>
      <c r="AH924" s="158" t="s">
        <v>538</v>
      </c>
      <c r="AI924" s="37" t="s">
        <v>1285</v>
      </c>
      <c r="AJ924" s="7" t="s">
        <v>1286</v>
      </c>
      <c r="AK924" s="7" t="s">
        <v>1287</v>
      </c>
      <c r="AL924" s="29" t="s">
        <v>677</v>
      </c>
      <c r="AM924" s="29" t="s">
        <v>678</v>
      </c>
      <c r="AN924" s="29" t="s">
        <v>679</v>
      </c>
      <c r="AO924" s="29" t="s">
        <v>680</v>
      </c>
      <c r="AP924" s="7" t="s">
        <v>355</v>
      </c>
      <c r="AQ924" s="23" t="s">
        <v>1290</v>
      </c>
      <c r="AR924" s="23" t="s">
        <v>1291</v>
      </c>
      <c r="AS924" s="23" t="s">
        <v>191</v>
      </c>
      <c r="AT924" s="23" t="s">
        <v>849</v>
      </c>
      <c r="AU924" s="23" t="s">
        <v>347</v>
      </c>
      <c r="AV924" s="23" t="s">
        <v>1384</v>
      </c>
    </row>
    <row r="925" spans="1:49" x14ac:dyDescent="0.25">
      <c r="B925" s="23" t="s">
        <v>1256</v>
      </c>
      <c r="C925" s="23" t="s">
        <v>1071</v>
      </c>
      <c r="D925" s="23" t="s">
        <v>1072</v>
      </c>
      <c r="E925" s="23" t="s">
        <v>710</v>
      </c>
      <c r="F925" s="36" t="s">
        <v>844</v>
      </c>
      <c r="G925" s="36" t="s">
        <v>1261</v>
      </c>
      <c r="H925" s="3" t="s">
        <v>652</v>
      </c>
      <c r="I925" s="23" t="s">
        <v>651</v>
      </c>
      <c r="J925" s="3" t="s">
        <v>1266</v>
      </c>
      <c r="K925" s="3" t="s">
        <v>1073</v>
      </c>
      <c r="L925" s="23" t="s">
        <v>650</v>
      </c>
      <c r="M925" s="36" t="s">
        <v>1337</v>
      </c>
      <c r="N925" s="36" t="s">
        <v>1336</v>
      </c>
      <c r="O925" s="100" t="s">
        <v>1269</v>
      </c>
      <c r="P925" s="7" t="s">
        <v>1270</v>
      </c>
      <c r="Q925" s="7" t="s">
        <v>1271</v>
      </c>
      <c r="R925" s="7" t="s">
        <v>1272</v>
      </c>
      <c r="S925" s="7" t="s">
        <v>1273</v>
      </c>
      <c r="T925" s="7" t="s">
        <v>1274</v>
      </c>
      <c r="U925" s="7" t="s">
        <v>649</v>
      </c>
      <c r="V925" s="7" t="s">
        <v>1276</v>
      </c>
      <c r="W925" s="7" t="s">
        <v>637</v>
      </c>
      <c r="X925" s="7" t="s">
        <v>1278</v>
      </c>
      <c r="Y925" s="7" t="s">
        <v>1279</v>
      </c>
      <c r="Z925" s="7" t="s">
        <v>1280</v>
      </c>
      <c r="AA925" s="7" t="s">
        <v>1281</v>
      </c>
      <c r="AB925" s="7" t="s">
        <v>1282</v>
      </c>
      <c r="AC925" s="7" t="s">
        <v>1283</v>
      </c>
      <c r="AD925" s="7" t="s">
        <v>1284</v>
      </c>
      <c r="AE925" s="29" t="s">
        <v>1338</v>
      </c>
      <c r="AF925" s="29" t="s">
        <v>1339</v>
      </c>
      <c r="AG925" s="29" t="s">
        <v>1340</v>
      </c>
      <c r="AH925" s="29" t="s">
        <v>1341</v>
      </c>
      <c r="AI925" s="37" t="s">
        <v>1288</v>
      </c>
      <c r="AJ925" s="7" t="s">
        <v>1286</v>
      </c>
      <c r="AK925" s="7" t="s">
        <v>1287</v>
      </c>
      <c r="AL925" s="29" t="s">
        <v>1342</v>
      </c>
      <c r="AM925" s="29" t="s">
        <v>1343</v>
      </c>
      <c r="AN925" s="29" t="s">
        <v>1344</v>
      </c>
      <c r="AO925" s="29" t="s">
        <v>1345</v>
      </c>
      <c r="AP925" s="7" t="s">
        <v>355</v>
      </c>
      <c r="AQ925" s="23" t="s">
        <v>1290</v>
      </c>
      <c r="AR925" s="23" t="s">
        <v>1291</v>
      </c>
      <c r="AS925" s="23" t="s">
        <v>845</v>
      </c>
      <c r="AT925" s="23" t="s">
        <v>709</v>
      </c>
      <c r="AU925" s="23" t="s">
        <v>1296</v>
      </c>
      <c r="AV925" s="23" t="s">
        <v>1384</v>
      </c>
      <c r="AW925" s="142" t="s">
        <v>1787</v>
      </c>
    </row>
    <row r="926" spans="1:49" s="6" customFormat="1" x14ac:dyDescent="0.25">
      <c r="A926" s="6" t="str">
        <f>IF( AND(M926=0,N926=0),"comment","")</f>
        <v/>
      </c>
      <c r="B926" s="140" t="str">
        <f>'day2'!B922</f>
        <v>2018032610000010</v>
      </c>
      <c r="C926" s="140" t="str">
        <f>'day2'!C922</f>
        <v>6001</v>
      </c>
      <c r="D926" s="140" t="str">
        <f>'day2'!D922</f>
        <v>B00101</v>
      </c>
      <c r="E926" s="140" t="str">
        <f>'day2'!E922</f>
        <v>6001</v>
      </c>
      <c r="F926" s="140">
        <f t="shared" ref="F926:F957" si="416">$B$2</f>
        <v>20180328</v>
      </c>
      <c r="G926" s="140">
        <f>'day2'!G922</f>
        <v>20180326</v>
      </c>
      <c r="H926" s="140" t="str">
        <f>'day2'!H922</f>
        <v>CZCE</v>
      </c>
      <c r="I926" s="140" t="str">
        <f>'day2'!I922</f>
        <v>SR807</v>
      </c>
      <c r="J926" s="268">
        <f>'day2'!J922</f>
        <v>1</v>
      </c>
      <c r="K926" s="268">
        <f>'day2'!K922</f>
        <v>3</v>
      </c>
      <c r="L926" s="268">
        <f>'day2'!L922</f>
        <v>3</v>
      </c>
      <c r="M926" s="268">
        <f t="shared" ref="M926:M957" si="417">SUMPRODUCT(($C$662:$C$709=B926)*($E$662:$E$709=C926)*($F$662:$F$709=D926)*($G$662:$G$709=E926)*($L$662:$L$709=I926)*($O$662:$O$709=J926)*($P$662:$P$709=L926)*($N$662:$N$709=0)*($Q$662:$Q$709))-SUMPRODUCT(($D$662:$D$709=B926)*($E$662:$E$709=C926)*($F$662:$F$709=D926)*($G$662:$G$709=E926)*($L$662:$L$709=I926)*($O$662:$O$709&lt;&gt;J926)*($P$662:$P$709=L926)*($N$662:$N$709&lt;&gt;0)*($Q$662:$Q$709))+AV926-SUMPRODUCT(($B$857:$B$873=B926)*($C$857:$C$873=C926)*($D$857:$D$873=D926)*($O$857:$O$873&lt;&gt;2)*($N$857:$N$873))-N926</f>
        <v>4</v>
      </c>
      <c r="N926" s="268">
        <f t="shared" ref="N926:N967" si="418">SUMPRODUCT(($E$880:$E$919=B926)*($F$880:$F$919=C926)*($G$880:$G$919=D926)*($I$880:$I$919=I926)*($J$880:$J$919=L926)*($L$880:$L$919=J926)*($N$880:$N$919))</f>
        <v>0</v>
      </c>
      <c r="O926" s="6">
        <f>IF(AK926=0,0,M926*U926*W926)</f>
        <v>0</v>
      </c>
      <c r="P926" s="12">
        <f>IF(AK926=0,0,(M926+N926)*U926*W926)</f>
        <v>0</v>
      </c>
      <c r="Q926" s="12">
        <f t="shared" ref="Q926:Q957" si="419">IF(AK926=0, VLOOKUP(AR926,$F$53:$L$72,4,FALSE),VLOOKUP(AR926,$F$53:$L$72,4,FALSE)+VLOOKUP(AR926,$F$53:$L$72,6,FALSE) )</f>
        <v>5.2999999999999999E-2</v>
      </c>
      <c r="R926" s="12">
        <f t="shared" ref="R926:R957" si="420">IF(AK926=0, VLOOKUP(AR926,$F$53:$L$72,5,FALSE),VLOOKUP(AR926,$F$53:$L$72,5,FALSE)+VLOOKUP(AR926,$F$53:$L$72,7,FALSE) )</f>
        <v>5.3</v>
      </c>
      <c r="S926" s="12">
        <f t="shared" ref="S926:S957" si="421">VLOOKUP(AR926,$F$53:$L$72,2,FALSE)</f>
        <v>4.2999999999999997E-2</v>
      </c>
      <c r="T926" s="12">
        <f t="shared" ref="T926:T957" si="422">VLOOKUP(AR926,$F$53:$L$72,3,FALSE)</f>
        <v>4.3</v>
      </c>
      <c r="U926" s="12">
        <f t="shared" ref="U926:U957" si="423" xml:space="preserve"> VLOOKUP(I926,$C$19:$L$31,3,FALSE)</f>
        <v>10</v>
      </c>
      <c r="V926" s="12">
        <f t="shared" ref="V926:V957" si="424" xml:space="preserve"> VLOOKUP(I926,$C$230:$F$242,4,FALSE)</f>
        <v>0</v>
      </c>
      <c r="W926" s="266">
        <f t="shared" ref="W926:W957" si="425" xml:space="preserve"> VLOOKUP(I926,$C$230:$F$242,3,FALSE)</f>
        <v>6170</v>
      </c>
      <c r="X926" s="266">
        <f t="shared" ref="X926:X957" si="426" xml:space="preserve"> VLOOKUP(I926,$C$230:$G$242,5,FALSE)</f>
        <v>0</v>
      </c>
      <c r="Y926" s="266">
        <f>'day2'!Y922</f>
        <v>6100</v>
      </c>
      <c r="Z926" s="266">
        <f t="shared" ref="Z926:Z957" si="427" xml:space="preserve"> VLOOKUP(I926,$C$230:$F$242,2,FALSE)</f>
        <v>6155</v>
      </c>
      <c r="AA926" s="12">
        <f t="shared" ref="AA926:AB945" si="428">$F$190</f>
        <v>0.5</v>
      </c>
      <c r="AB926" s="12">
        <f t="shared" si="428"/>
        <v>0.5</v>
      </c>
      <c r="AC926" s="12">
        <f>IF(AD926=0,MAX((V926-X926)*U926,0),MAX((X926-V926)*U926,0))</f>
        <v>0</v>
      </c>
      <c r="AD926" s="12">
        <f t="shared" ref="AD926:AD957" si="429" xml:space="preserve"> VLOOKUP(I926,$C$19:$L$31,6,FALSE)</f>
        <v>9</v>
      </c>
      <c r="AE926" s="100">
        <f t="shared" ref="AE926:AE958" si="430">ROUND(IF(AK926=0,Q926*U926*W926*M926+R926*M926,IF(J926=0,0,MAX(AI926+(Q926*U926*X926+R926)*AJ926-AC926*AA926,AI926+(Q926*U926*X926+R926)*AB926)*M926)),2)</f>
        <v>13101.6</v>
      </c>
      <c r="AF926" s="12">
        <f>ROUND(IF(AK926=0,S926*U926*W926*M926+T926*M926,IF(J926=0,0,MAX(AI926+(S926*U926*X926+T926)*AJ926-AC926*AA926,AI926+(S926*U926*X926+T926)*AB926)*M926)),2)</f>
        <v>10629.6</v>
      </c>
      <c r="AG926" s="12">
        <f>ROUND(IF(AK926=0,Q926*U926*W926*N926+R926*N926,IF(J926=0,0,MAX(AI926+(Q926*U926*X926+R926)*AJ926-AC926*AA926,AI926+(Q926*U926*X926+R926)*AB926)*N926)),2)</f>
        <v>0</v>
      </c>
      <c r="AH926" s="12">
        <f>ROUND(IF(AK926=0,S926*U926*W926*N926+T926*N926,IF(J926=0,0,MAX(AI926+(S926*U926*X926+T926)*AJ926-AC926*AA926,AI926+(S926*U926*X926+T926)*AB926)*N926)),2)</f>
        <v>0</v>
      </c>
      <c r="AI926" s="12">
        <f t="shared" ref="AI926:AI1002" si="431">IF(AK926=1,1*U926*W926,0)</f>
        <v>0</v>
      </c>
      <c r="AJ926" s="12">
        <v>1</v>
      </c>
      <c r="AK926" s="12">
        <f t="shared" ref="AK926:AK957" si="432" xml:space="preserve"> VLOOKUP(I926,$C$19:$L$31,10,FALSE)</f>
        <v>0</v>
      </c>
      <c r="AL926" s="12">
        <f>IF(AK926=0,IF(F926=G926,IF(J926=0,(W926-Y926)*U926*M926,-(W926-Y926)*U926*M926),IF(J926=0,(W926-Z926)*U926*M926,-(W926-Z926)*U926*M926)),0)</f>
        <v>-600</v>
      </c>
      <c r="AM926" s="12">
        <f t="shared" ref="AM926:AM1002" si="433">IF(AK926=0,IF(J926=0,(W926-Y926)*U926*M926,-(W926-Y926)*U926*M926),0)</f>
        <v>-2800</v>
      </c>
      <c r="AN926" s="12">
        <f t="shared" ref="AN926:AN1002" si="434">IF(AK926=0,IF(F926=G926,IF(J926=0,(W926-Y926)*U926*N926,-(W926-Y926)*U926*N926),IF(J926=0,(W926-Z926)*U926*N926,-(W926-Z926)*U926*N926)),0)</f>
        <v>0</v>
      </c>
      <c r="AO926" s="12">
        <f t="shared" ref="AO926:AO1002" si="435">IF(AK926=0,IF(J926=0,(W926-Y926)*U926*N926,-(W926-Y926)*U926*N926),0)</f>
        <v>0</v>
      </c>
      <c r="AP926" s="12">
        <f t="shared" ref="AP926:AP957" si="436" xml:space="preserve"> VLOOKUP(I926,$C$19:$L$31,9,FALSE)</f>
        <v>0</v>
      </c>
      <c r="AQ926" s="3" t="str">
        <f t="shared" ref="AQ926:AQ957" si="437" xml:space="preserve"> VLOOKUP(I926,$C$19:$L$31,7,FALSE)</f>
        <v>SR807</v>
      </c>
      <c r="AR926" s="3" t="str">
        <f t="shared" ref="AR926:AR1002" si="438">IF(AK926=0,AQ926&amp;L926&amp;J926,IF(AD926=0,AQ926&amp;L926&amp;1,AQ926&amp;L926&amp;0))</f>
        <v>SR80731</v>
      </c>
      <c r="AS926" s="6" t="str">
        <f t="shared" ref="AS926:AS957" si="439">$F$5</f>
        <v>9999</v>
      </c>
      <c r="AT926" s="6" t="str">
        <f t="shared" ref="AT926:AT957" si="440">$D$9</f>
        <v>CNY</v>
      </c>
      <c r="AU926" s="6" t="str">
        <f t="shared" ref="AU926:AU957" si="441">VLOOKUP(D926,$C$5:$G$6,5,FALSE)</f>
        <v>50010001</v>
      </c>
      <c r="AV926" s="142">
        <f>'day2'!M922+'day2'!N922</f>
        <v>4</v>
      </c>
      <c r="AW926" s="142">
        <f>(M926+N926)*U926*Y926</f>
        <v>244000</v>
      </c>
    </row>
    <row r="927" spans="1:49" s="6" customFormat="1" x14ac:dyDescent="0.25">
      <c r="A927" s="6" t="str">
        <f t="shared" ref="A927:A987" si="442">IF( AND(M927=0,N927=0),"comment","")</f>
        <v/>
      </c>
      <c r="B927" s="140" t="str">
        <f>'day2'!B923</f>
        <v>2018032610000011</v>
      </c>
      <c r="C927" s="140" t="str">
        <f>'day2'!C923</f>
        <v>6001</v>
      </c>
      <c r="D927" s="140" t="str">
        <f>'day2'!D923</f>
        <v>B00101</v>
      </c>
      <c r="E927" s="140" t="str">
        <f>'day2'!E923</f>
        <v>6001</v>
      </c>
      <c r="F927" s="140">
        <f t="shared" si="416"/>
        <v>20180328</v>
      </c>
      <c r="G927" s="140">
        <f>'day2'!G923</f>
        <v>20180326</v>
      </c>
      <c r="H927" s="140" t="str">
        <f>'day2'!H923</f>
        <v>CZCE</v>
      </c>
      <c r="I927" s="140" t="str">
        <f>'day2'!I923</f>
        <v>SR807</v>
      </c>
      <c r="J927" s="268">
        <f>'day2'!J923</f>
        <v>1</v>
      </c>
      <c r="K927" s="268">
        <f>'day2'!K923</f>
        <v>3</v>
      </c>
      <c r="L927" s="268">
        <f>'day2'!L923</f>
        <v>3</v>
      </c>
      <c r="M927" s="268">
        <f t="shared" si="417"/>
        <v>5</v>
      </c>
      <c r="N927" s="268">
        <f t="shared" si="418"/>
        <v>0</v>
      </c>
      <c r="O927" s="6">
        <f t="shared" ref="O927:O1001" si="443">IF(AK927=0,0,M927*U927*W927)</f>
        <v>0</v>
      </c>
      <c r="P927" s="12">
        <f t="shared" ref="P927:P1002" si="444">IF(AK927=0,0,(M927+N927)*U927*W927)</f>
        <v>0</v>
      </c>
      <c r="Q927" s="12">
        <f t="shared" si="419"/>
        <v>5.2999999999999999E-2</v>
      </c>
      <c r="R927" s="12">
        <f t="shared" si="420"/>
        <v>5.3</v>
      </c>
      <c r="S927" s="12">
        <f t="shared" si="421"/>
        <v>4.2999999999999997E-2</v>
      </c>
      <c r="T927" s="12">
        <f t="shared" si="422"/>
        <v>4.3</v>
      </c>
      <c r="U927" s="12">
        <f t="shared" si="423"/>
        <v>10</v>
      </c>
      <c r="V927" s="12">
        <f t="shared" si="424"/>
        <v>0</v>
      </c>
      <c r="W927" s="266">
        <f t="shared" si="425"/>
        <v>6170</v>
      </c>
      <c r="X927" s="266">
        <f t="shared" si="426"/>
        <v>0</v>
      </c>
      <c r="Y927" s="266">
        <f>'day2'!Y923</f>
        <v>6101</v>
      </c>
      <c r="Z927" s="266">
        <f t="shared" si="427"/>
        <v>6155</v>
      </c>
      <c r="AA927" s="12">
        <f t="shared" si="428"/>
        <v>0.5</v>
      </c>
      <c r="AB927" s="12">
        <f t="shared" si="428"/>
        <v>0.5</v>
      </c>
      <c r="AC927" s="12">
        <f t="shared" ref="AC927:AC1002" si="445">IF(AD927=0,MAX((V927-X927)*U927,0),MAX((X927-V927)*U927,0))</f>
        <v>0</v>
      </c>
      <c r="AD927" s="12">
        <f t="shared" si="429"/>
        <v>9</v>
      </c>
      <c r="AE927" s="100">
        <f t="shared" si="430"/>
        <v>16377</v>
      </c>
      <c r="AF927" s="12">
        <f t="shared" ref="AF927:AF1002" si="446">ROUND(IF(AK927=0,S927*U927*W927*M927+T927*M927,IF(J927=0,0,MAX(AI927+(S927*U927*X927+T927)*AJ927-AC927*AA927,AI927+(S927*U927*X927+T927)*AB927)*M927)),2)</f>
        <v>13287</v>
      </c>
      <c r="AG927" s="12">
        <f t="shared" ref="AG927:AG1002" si="447">ROUND(IF(AK927=0,Q927*U927*W927*N927+R927*N927,IF(J927=0,0,MAX(AI927+(Q927*U927*X927+R927)*AJ927-AC927*AA927,AI927+(Q927*U927*X927+R927)*AB927)*N927)),2)</f>
        <v>0</v>
      </c>
      <c r="AH927" s="12">
        <f t="shared" ref="AH927:AH1002" si="448">ROUND(IF(AK927=0,S927*U927*W927*N927+T927*N927,IF(J927=0,0,MAX(AI927+(S927*U927*X927+T927)*AJ927-AC927*AA927,AI927+(S927*U927*X927+T927)*AB927)*N927)),2)</f>
        <v>0</v>
      </c>
      <c r="AI927" s="12">
        <f t="shared" si="431"/>
        <v>0</v>
      </c>
      <c r="AJ927" s="12">
        <v>1</v>
      </c>
      <c r="AK927" s="12">
        <f t="shared" si="432"/>
        <v>0</v>
      </c>
      <c r="AL927" s="12">
        <f t="shared" ref="AL927:AL1002" si="449">IF(AK927=0,IF(F927=G927,IF(J927=0,(W927-Y927)*U927*M927,-(W927-Y927)*U927*M927),IF(J927=0,(W927-Z927)*U927*M927,-(W927-Z927)*U927*M927)),0)</f>
        <v>-750</v>
      </c>
      <c r="AM927" s="12">
        <f t="shared" si="433"/>
        <v>-3450</v>
      </c>
      <c r="AN927" s="12">
        <f t="shared" si="434"/>
        <v>0</v>
      </c>
      <c r="AO927" s="12">
        <f t="shared" si="435"/>
        <v>0</v>
      </c>
      <c r="AP927" s="12">
        <f t="shared" si="436"/>
        <v>0</v>
      </c>
      <c r="AQ927" s="3" t="str">
        <f t="shared" si="437"/>
        <v>SR807</v>
      </c>
      <c r="AR927" s="3" t="str">
        <f t="shared" si="438"/>
        <v>SR80731</v>
      </c>
      <c r="AS927" s="6" t="str">
        <f t="shared" si="439"/>
        <v>9999</v>
      </c>
      <c r="AT927" s="6" t="str">
        <f t="shared" si="440"/>
        <v>CNY</v>
      </c>
      <c r="AU927" s="6" t="str">
        <f t="shared" si="441"/>
        <v>50010001</v>
      </c>
      <c r="AV927" s="142">
        <f>'day2'!M923+'day2'!N923</f>
        <v>5</v>
      </c>
      <c r="AW927" s="142">
        <f t="shared" ref="AW927:AW992" si="450">(M927+N927)*U927*Y927</f>
        <v>305050</v>
      </c>
    </row>
    <row r="928" spans="1:49" s="6" customFormat="1" x14ac:dyDescent="0.25">
      <c r="A928" s="6" t="str">
        <f t="shared" si="442"/>
        <v/>
      </c>
      <c r="B928" s="140" t="str">
        <f>'day2'!B924</f>
        <v>2018032610000012</v>
      </c>
      <c r="C928" s="140" t="str">
        <f>'day2'!C924</f>
        <v>6001</v>
      </c>
      <c r="D928" s="140" t="str">
        <f>'day2'!D924</f>
        <v>B00101</v>
      </c>
      <c r="E928" s="140" t="str">
        <f>'day2'!E924</f>
        <v>6001</v>
      </c>
      <c r="F928" s="140">
        <f t="shared" si="416"/>
        <v>20180328</v>
      </c>
      <c r="G928" s="140">
        <f>'day2'!G924</f>
        <v>20180326</v>
      </c>
      <c r="H928" s="140" t="str">
        <f>'day2'!H924</f>
        <v>CZCE</v>
      </c>
      <c r="I928" s="140" t="str">
        <f>'day2'!I924</f>
        <v>SR807</v>
      </c>
      <c r="J928" s="268">
        <f>'day2'!J924</f>
        <v>1</v>
      </c>
      <c r="K928" s="268">
        <f>'day2'!K924</f>
        <v>3</v>
      </c>
      <c r="L928" s="268">
        <f>'day2'!L924</f>
        <v>1</v>
      </c>
      <c r="M928" s="268">
        <f t="shared" si="417"/>
        <v>1</v>
      </c>
      <c r="N928" s="268">
        <f t="shared" si="418"/>
        <v>0</v>
      </c>
      <c r="O928" s="6">
        <f t="shared" si="443"/>
        <v>0</v>
      </c>
      <c r="P928" s="12">
        <f t="shared" si="444"/>
        <v>0</v>
      </c>
      <c r="Q928" s="12">
        <f t="shared" si="419"/>
        <v>5.0999999999999997E-2</v>
      </c>
      <c r="R928" s="12">
        <f t="shared" si="420"/>
        <v>5.0999999999999996</v>
      </c>
      <c r="S928" s="12">
        <f t="shared" si="421"/>
        <v>4.1000000000000002E-2</v>
      </c>
      <c r="T928" s="12">
        <f t="shared" si="422"/>
        <v>4.0999999999999996</v>
      </c>
      <c r="U928" s="12">
        <f t="shared" si="423"/>
        <v>10</v>
      </c>
      <c r="V928" s="12">
        <f t="shared" si="424"/>
        <v>0</v>
      </c>
      <c r="W928" s="266">
        <f t="shared" si="425"/>
        <v>6170</v>
      </c>
      <c r="X928" s="266">
        <f t="shared" si="426"/>
        <v>0</v>
      </c>
      <c r="Y928" s="266">
        <f>'day2'!Y924</f>
        <v>6102</v>
      </c>
      <c r="Z928" s="266">
        <f t="shared" si="427"/>
        <v>6155</v>
      </c>
      <c r="AA928" s="12">
        <f t="shared" si="428"/>
        <v>0.5</v>
      </c>
      <c r="AB928" s="12">
        <f t="shared" si="428"/>
        <v>0.5</v>
      </c>
      <c r="AC928" s="12">
        <f t="shared" si="445"/>
        <v>0</v>
      </c>
      <c r="AD928" s="12">
        <f t="shared" si="429"/>
        <v>9</v>
      </c>
      <c r="AE928" s="100">
        <f t="shared" si="430"/>
        <v>3151.8</v>
      </c>
      <c r="AF928" s="12">
        <f t="shared" si="446"/>
        <v>2533.8000000000002</v>
      </c>
      <c r="AG928" s="12">
        <f t="shared" si="447"/>
        <v>0</v>
      </c>
      <c r="AH928" s="12">
        <f t="shared" si="448"/>
        <v>0</v>
      </c>
      <c r="AI928" s="12">
        <f t="shared" si="431"/>
        <v>0</v>
      </c>
      <c r="AJ928" s="12">
        <v>1</v>
      </c>
      <c r="AK928" s="12">
        <f t="shared" si="432"/>
        <v>0</v>
      </c>
      <c r="AL928" s="12">
        <f t="shared" si="449"/>
        <v>-150</v>
      </c>
      <c r="AM928" s="12">
        <f t="shared" si="433"/>
        <v>-680</v>
      </c>
      <c r="AN928" s="12">
        <f t="shared" si="434"/>
        <v>0</v>
      </c>
      <c r="AO928" s="12">
        <f t="shared" si="435"/>
        <v>0</v>
      </c>
      <c r="AP928" s="12">
        <f t="shared" si="436"/>
        <v>0</v>
      </c>
      <c r="AQ928" s="3" t="str">
        <f t="shared" si="437"/>
        <v>SR807</v>
      </c>
      <c r="AR928" s="3" t="str">
        <f t="shared" si="438"/>
        <v>SR80711</v>
      </c>
      <c r="AS928" s="6" t="str">
        <f t="shared" si="439"/>
        <v>9999</v>
      </c>
      <c r="AT928" s="6" t="str">
        <f t="shared" si="440"/>
        <v>CNY</v>
      </c>
      <c r="AU928" s="6" t="str">
        <f t="shared" si="441"/>
        <v>50010001</v>
      </c>
      <c r="AV928" s="142">
        <f>'day2'!M924+'day2'!N924</f>
        <v>1</v>
      </c>
      <c r="AW928" s="142">
        <f t="shared" si="450"/>
        <v>61020</v>
      </c>
    </row>
    <row r="929" spans="1:49" s="13" customFormat="1" x14ac:dyDescent="0.25">
      <c r="A929" s="6" t="str">
        <f t="shared" si="442"/>
        <v/>
      </c>
      <c r="B929" s="140" t="str">
        <f>'day2'!B925</f>
        <v>2018032610000013</v>
      </c>
      <c r="C929" s="140" t="str">
        <f>'day2'!C925</f>
        <v>6001</v>
      </c>
      <c r="D929" s="140" t="str">
        <f>'day2'!D925</f>
        <v>B00101</v>
      </c>
      <c r="E929" s="140" t="str">
        <f>'day2'!E925</f>
        <v>6001</v>
      </c>
      <c r="F929" s="140">
        <f t="shared" si="416"/>
        <v>20180328</v>
      </c>
      <c r="G929" s="140">
        <f>'day2'!G925</f>
        <v>20180326</v>
      </c>
      <c r="H929" s="140" t="str">
        <f>'day2'!H925</f>
        <v>CZCE</v>
      </c>
      <c r="I929" s="140" t="str">
        <f>'day2'!I925</f>
        <v>SR807</v>
      </c>
      <c r="J929" s="268">
        <f>'day2'!J925</f>
        <v>1</v>
      </c>
      <c r="K929" s="268">
        <f>'day2'!K925</f>
        <v>3</v>
      </c>
      <c r="L929" s="268">
        <f>'day2'!L925</f>
        <v>1</v>
      </c>
      <c r="M929" s="268">
        <f t="shared" si="417"/>
        <v>7</v>
      </c>
      <c r="N929" s="268">
        <f t="shared" si="418"/>
        <v>0</v>
      </c>
      <c r="O929" s="13">
        <f t="shared" si="443"/>
        <v>0</v>
      </c>
      <c r="P929" s="12">
        <f t="shared" si="444"/>
        <v>0</v>
      </c>
      <c r="Q929" s="100">
        <f t="shared" si="419"/>
        <v>5.0999999999999997E-2</v>
      </c>
      <c r="R929" s="100">
        <f t="shared" si="420"/>
        <v>5.0999999999999996</v>
      </c>
      <c r="S929" s="100">
        <f t="shared" si="421"/>
        <v>4.1000000000000002E-2</v>
      </c>
      <c r="T929" s="100">
        <f t="shared" si="422"/>
        <v>4.0999999999999996</v>
      </c>
      <c r="U929" s="100">
        <f t="shared" si="423"/>
        <v>10</v>
      </c>
      <c r="V929" s="100">
        <f t="shared" si="424"/>
        <v>0</v>
      </c>
      <c r="W929" s="267">
        <f t="shared" si="425"/>
        <v>6170</v>
      </c>
      <c r="X929" s="267">
        <f t="shared" si="426"/>
        <v>0</v>
      </c>
      <c r="Y929" s="266">
        <f>'day2'!Y925</f>
        <v>6103</v>
      </c>
      <c r="Z929" s="267">
        <f t="shared" si="427"/>
        <v>6155</v>
      </c>
      <c r="AA929" s="100">
        <f t="shared" si="428"/>
        <v>0.5</v>
      </c>
      <c r="AB929" s="100">
        <f t="shared" si="428"/>
        <v>0.5</v>
      </c>
      <c r="AC929" s="100">
        <f t="shared" si="445"/>
        <v>0</v>
      </c>
      <c r="AD929" s="100">
        <f t="shared" si="429"/>
        <v>9</v>
      </c>
      <c r="AE929" s="100">
        <f t="shared" si="430"/>
        <v>22062.6</v>
      </c>
      <c r="AF929" s="12">
        <f t="shared" si="446"/>
        <v>17736.599999999999</v>
      </c>
      <c r="AG929" s="12">
        <f t="shared" si="447"/>
        <v>0</v>
      </c>
      <c r="AH929" s="12">
        <f t="shared" si="448"/>
        <v>0</v>
      </c>
      <c r="AI929" s="100">
        <f t="shared" si="431"/>
        <v>0</v>
      </c>
      <c r="AJ929" s="100">
        <v>1</v>
      </c>
      <c r="AK929" s="100">
        <f t="shared" si="432"/>
        <v>0</v>
      </c>
      <c r="AL929" s="100">
        <f t="shared" si="449"/>
        <v>-1050</v>
      </c>
      <c r="AM929" s="100">
        <f t="shared" si="433"/>
        <v>-4690</v>
      </c>
      <c r="AN929" s="100">
        <f t="shared" si="434"/>
        <v>0</v>
      </c>
      <c r="AO929" s="100">
        <f t="shared" si="435"/>
        <v>0</v>
      </c>
      <c r="AP929" s="100">
        <f t="shared" si="436"/>
        <v>0</v>
      </c>
      <c r="AQ929" s="221" t="str">
        <f t="shared" si="437"/>
        <v>SR807</v>
      </c>
      <c r="AR929" s="221" t="str">
        <f t="shared" si="438"/>
        <v>SR80711</v>
      </c>
      <c r="AS929" s="13" t="str">
        <f t="shared" si="439"/>
        <v>9999</v>
      </c>
      <c r="AT929" s="13" t="str">
        <f t="shared" si="440"/>
        <v>CNY</v>
      </c>
      <c r="AU929" s="13" t="str">
        <f t="shared" si="441"/>
        <v>50010001</v>
      </c>
      <c r="AV929" s="142">
        <f>'day2'!M925+'day2'!N925</f>
        <v>7</v>
      </c>
      <c r="AW929" s="142">
        <f t="shared" si="450"/>
        <v>427210</v>
      </c>
    </row>
    <row r="930" spans="1:49" s="6" customFormat="1" x14ac:dyDescent="0.25">
      <c r="A930" s="6" t="str">
        <f t="shared" si="442"/>
        <v>comment</v>
      </c>
      <c r="B930" s="140" t="str">
        <f>'day2'!B926</f>
        <v>2018032610000018</v>
      </c>
      <c r="C930" s="140" t="str">
        <f>'day2'!C926</f>
        <v>6001</v>
      </c>
      <c r="D930" s="140" t="str">
        <f>'day2'!D926</f>
        <v>B00101</v>
      </c>
      <c r="E930" s="140" t="str">
        <f>'day2'!E926</f>
        <v>6001</v>
      </c>
      <c r="F930" s="140">
        <f t="shared" si="416"/>
        <v>20180328</v>
      </c>
      <c r="G930" s="140">
        <f>'day2'!G926</f>
        <v>20180326</v>
      </c>
      <c r="H930" s="140" t="str">
        <f>'day2'!H926</f>
        <v>CZCE</v>
      </c>
      <c r="I930" s="140" t="str">
        <f>'day2'!I926</f>
        <v>SR807</v>
      </c>
      <c r="J930" s="268">
        <f>'day2'!J926</f>
        <v>0</v>
      </c>
      <c r="K930" s="268">
        <f>'day2'!K926</f>
        <v>2</v>
      </c>
      <c r="L930" s="268">
        <f>'day2'!L926</f>
        <v>3</v>
      </c>
      <c r="M930" s="268">
        <f t="shared" si="417"/>
        <v>0</v>
      </c>
      <c r="N930" s="268">
        <f t="shared" si="418"/>
        <v>0</v>
      </c>
      <c r="O930" s="6">
        <f t="shared" si="443"/>
        <v>0</v>
      </c>
      <c r="P930" s="12">
        <f t="shared" si="444"/>
        <v>0</v>
      </c>
      <c r="Q930" s="12">
        <f t="shared" si="419"/>
        <v>5.1999999999999998E-2</v>
      </c>
      <c r="R930" s="12">
        <f t="shared" si="420"/>
        <v>5.2</v>
      </c>
      <c r="S930" s="12">
        <f t="shared" si="421"/>
        <v>4.2000000000000003E-2</v>
      </c>
      <c r="T930" s="12">
        <f t="shared" si="422"/>
        <v>4.2</v>
      </c>
      <c r="U930" s="12">
        <f t="shared" si="423"/>
        <v>10</v>
      </c>
      <c r="V930" s="12">
        <f t="shared" si="424"/>
        <v>0</v>
      </c>
      <c r="W930" s="12">
        <f t="shared" si="425"/>
        <v>6170</v>
      </c>
      <c r="X930" s="12">
        <f t="shared" si="426"/>
        <v>0</v>
      </c>
      <c r="Y930" s="250">
        <f>'day2'!Y926</f>
        <v>6108</v>
      </c>
      <c r="Z930" s="12">
        <f t="shared" si="427"/>
        <v>6155</v>
      </c>
      <c r="AA930" s="12">
        <f t="shared" si="428"/>
        <v>0.5</v>
      </c>
      <c r="AB930" s="12">
        <f t="shared" si="428"/>
        <v>0.5</v>
      </c>
      <c r="AC930" s="12">
        <f t="shared" si="445"/>
        <v>0</v>
      </c>
      <c r="AD930" s="12">
        <f t="shared" si="429"/>
        <v>9</v>
      </c>
      <c r="AE930" s="100">
        <f t="shared" si="430"/>
        <v>0</v>
      </c>
      <c r="AF930" s="12">
        <f t="shared" si="446"/>
        <v>0</v>
      </c>
      <c r="AG930" s="12">
        <f t="shared" si="447"/>
        <v>0</v>
      </c>
      <c r="AH930" s="12">
        <f t="shared" si="448"/>
        <v>0</v>
      </c>
      <c r="AI930" s="12">
        <f t="shared" si="431"/>
        <v>0</v>
      </c>
      <c r="AJ930" s="12">
        <v>1</v>
      </c>
      <c r="AK930" s="12">
        <f t="shared" si="432"/>
        <v>0</v>
      </c>
      <c r="AL930" s="12">
        <f t="shared" si="449"/>
        <v>0</v>
      </c>
      <c r="AM930" s="12">
        <f t="shared" si="433"/>
        <v>0</v>
      </c>
      <c r="AN930" s="12">
        <f t="shared" si="434"/>
        <v>0</v>
      </c>
      <c r="AO930" s="12">
        <f t="shared" si="435"/>
        <v>0</v>
      </c>
      <c r="AP930" s="12">
        <f t="shared" si="436"/>
        <v>0</v>
      </c>
      <c r="AQ930" s="3" t="str">
        <f t="shared" si="437"/>
        <v>SR807</v>
      </c>
      <c r="AR930" s="3" t="str">
        <f t="shared" si="438"/>
        <v>SR80730</v>
      </c>
      <c r="AS930" s="6" t="str">
        <f t="shared" si="439"/>
        <v>9999</v>
      </c>
      <c r="AT930" s="6" t="str">
        <f t="shared" si="440"/>
        <v>CNY</v>
      </c>
      <c r="AU930" s="6" t="str">
        <f t="shared" si="441"/>
        <v>50010001</v>
      </c>
      <c r="AV930" s="142">
        <f>'day2'!M926+'day2'!N926</f>
        <v>0</v>
      </c>
      <c r="AW930" s="142">
        <f t="shared" si="450"/>
        <v>0</v>
      </c>
    </row>
    <row r="931" spans="1:49" s="6" customFormat="1" x14ac:dyDescent="0.25">
      <c r="A931" s="6" t="str">
        <f t="shared" si="442"/>
        <v>comment</v>
      </c>
      <c r="B931" s="140" t="str">
        <f>'day2'!B927</f>
        <v>2018032610000019</v>
      </c>
      <c r="C931" s="140" t="str">
        <f>'day2'!C927</f>
        <v>6001</v>
      </c>
      <c r="D931" s="140" t="str">
        <f>'day2'!D927</f>
        <v>B00101</v>
      </c>
      <c r="E931" s="140" t="str">
        <f>'day2'!E927</f>
        <v>6001</v>
      </c>
      <c r="F931" s="140">
        <f t="shared" si="416"/>
        <v>20180328</v>
      </c>
      <c r="G931" s="140">
        <f>'day2'!G927</f>
        <v>20180326</v>
      </c>
      <c r="H931" s="140" t="str">
        <f>'day2'!H927</f>
        <v>CZCE</v>
      </c>
      <c r="I931" s="140" t="str">
        <f>'day2'!I927</f>
        <v>SR807</v>
      </c>
      <c r="J931" s="268">
        <f>'day2'!J927</f>
        <v>0</v>
      </c>
      <c r="K931" s="268">
        <f>'day2'!K927</f>
        <v>2</v>
      </c>
      <c r="L931" s="268">
        <f>'day2'!L927</f>
        <v>1</v>
      </c>
      <c r="M931" s="268">
        <f t="shared" si="417"/>
        <v>0</v>
      </c>
      <c r="N931" s="268">
        <f t="shared" si="418"/>
        <v>0</v>
      </c>
      <c r="O931" s="6">
        <f t="shared" si="443"/>
        <v>0</v>
      </c>
      <c r="P931" s="12">
        <f t="shared" si="444"/>
        <v>0</v>
      </c>
      <c r="Q931" s="12">
        <f t="shared" si="419"/>
        <v>0.05</v>
      </c>
      <c r="R931" s="12">
        <f t="shared" si="420"/>
        <v>5</v>
      </c>
      <c r="S931" s="12">
        <f t="shared" si="421"/>
        <v>0.04</v>
      </c>
      <c r="T931" s="12">
        <f t="shared" si="422"/>
        <v>4</v>
      </c>
      <c r="U931" s="12">
        <f t="shared" si="423"/>
        <v>10</v>
      </c>
      <c r="V931" s="12">
        <f t="shared" si="424"/>
        <v>0</v>
      </c>
      <c r="W931" s="12">
        <f t="shared" si="425"/>
        <v>6170</v>
      </c>
      <c r="X931" s="12">
        <f t="shared" si="426"/>
        <v>0</v>
      </c>
      <c r="Y931" s="250">
        <f>'day2'!Y927</f>
        <v>6109</v>
      </c>
      <c r="Z931" s="12">
        <f t="shared" si="427"/>
        <v>6155</v>
      </c>
      <c r="AA931" s="12">
        <f t="shared" si="428"/>
        <v>0.5</v>
      </c>
      <c r="AB931" s="12">
        <f t="shared" si="428"/>
        <v>0.5</v>
      </c>
      <c r="AC931" s="12">
        <f t="shared" si="445"/>
        <v>0</v>
      </c>
      <c r="AD931" s="12">
        <f t="shared" si="429"/>
        <v>9</v>
      </c>
      <c r="AE931" s="100">
        <f t="shared" si="430"/>
        <v>0</v>
      </c>
      <c r="AF931" s="12">
        <f t="shared" si="446"/>
        <v>0</v>
      </c>
      <c r="AG931" s="12">
        <f t="shared" si="447"/>
        <v>0</v>
      </c>
      <c r="AH931" s="12">
        <f t="shared" si="448"/>
        <v>0</v>
      </c>
      <c r="AI931" s="12">
        <f t="shared" si="431"/>
        <v>0</v>
      </c>
      <c r="AJ931" s="12">
        <v>1</v>
      </c>
      <c r="AK931" s="12">
        <f t="shared" si="432"/>
        <v>0</v>
      </c>
      <c r="AL931" s="12">
        <f t="shared" si="449"/>
        <v>0</v>
      </c>
      <c r="AM931" s="12">
        <f t="shared" si="433"/>
        <v>0</v>
      </c>
      <c r="AN931" s="12">
        <f t="shared" si="434"/>
        <v>0</v>
      </c>
      <c r="AO931" s="12">
        <f t="shared" si="435"/>
        <v>0</v>
      </c>
      <c r="AP931" s="12">
        <f t="shared" si="436"/>
        <v>0</v>
      </c>
      <c r="AQ931" s="3" t="str">
        <f t="shared" si="437"/>
        <v>SR807</v>
      </c>
      <c r="AR931" s="3" t="str">
        <f t="shared" si="438"/>
        <v>SR80710</v>
      </c>
      <c r="AS931" s="6" t="str">
        <f t="shared" si="439"/>
        <v>9999</v>
      </c>
      <c r="AT931" s="6" t="str">
        <f t="shared" si="440"/>
        <v>CNY</v>
      </c>
      <c r="AU931" s="6" t="str">
        <f t="shared" si="441"/>
        <v>50010001</v>
      </c>
      <c r="AV931" s="142">
        <f>'day2'!M927+'day2'!N927</f>
        <v>0</v>
      </c>
      <c r="AW931" s="142">
        <f t="shared" si="450"/>
        <v>0</v>
      </c>
    </row>
    <row r="932" spans="1:49" s="6" customFormat="1" x14ac:dyDescent="0.25">
      <c r="A932" s="6" t="str">
        <f t="shared" si="442"/>
        <v>comment</v>
      </c>
      <c r="B932" s="140" t="str">
        <f>'day2'!B928</f>
        <v>2018032610000020</v>
      </c>
      <c r="C932" s="140" t="str">
        <f>'day2'!C928</f>
        <v>6001</v>
      </c>
      <c r="D932" s="140" t="str">
        <f>'day2'!D928</f>
        <v>B00101</v>
      </c>
      <c r="E932" s="140" t="str">
        <f>'day2'!E928</f>
        <v>6001</v>
      </c>
      <c r="F932" s="140">
        <f t="shared" si="416"/>
        <v>20180328</v>
      </c>
      <c r="G932" s="140">
        <f>'day2'!G928</f>
        <v>20180326</v>
      </c>
      <c r="H932" s="140" t="str">
        <f>'day2'!H928</f>
        <v>CZCE</v>
      </c>
      <c r="I932" s="140" t="str">
        <f>'day2'!I928</f>
        <v>SR807</v>
      </c>
      <c r="J932" s="268">
        <f>'day2'!J928</f>
        <v>0</v>
      </c>
      <c r="K932" s="268">
        <f>'day2'!K928</f>
        <v>2</v>
      </c>
      <c r="L932" s="268">
        <f>'day2'!L928</f>
        <v>1</v>
      </c>
      <c r="M932" s="268">
        <f t="shared" si="417"/>
        <v>0</v>
      </c>
      <c r="N932" s="268">
        <f t="shared" si="418"/>
        <v>0</v>
      </c>
      <c r="O932" s="6">
        <f t="shared" si="443"/>
        <v>0</v>
      </c>
      <c r="P932" s="12">
        <f t="shared" si="444"/>
        <v>0</v>
      </c>
      <c r="Q932" s="12">
        <f t="shared" si="419"/>
        <v>0.05</v>
      </c>
      <c r="R932" s="12">
        <f t="shared" si="420"/>
        <v>5</v>
      </c>
      <c r="S932" s="12">
        <f t="shared" si="421"/>
        <v>0.04</v>
      </c>
      <c r="T932" s="12">
        <f t="shared" si="422"/>
        <v>4</v>
      </c>
      <c r="U932" s="12">
        <f t="shared" si="423"/>
        <v>10</v>
      </c>
      <c r="V932" s="12">
        <f t="shared" si="424"/>
        <v>0</v>
      </c>
      <c r="W932" s="12">
        <f t="shared" si="425"/>
        <v>6170</v>
      </c>
      <c r="X932" s="12">
        <f t="shared" si="426"/>
        <v>0</v>
      </c>
      <c r="Y932" s="250">
        <f>'day2'!Y928</f>
        <v>6110</v>
      </c>
      <c r="Z932" s="12">
        <f t="shared" si="427"/>
        <v>6155</v>
      </c>
      <c r="AA932" s="12">
        <f t="shared" si="428"/>
        <v>0.5</v>
      </c>
      <c r="AB932" s="12">
        <f t="shared" si="428"/>
        <v>0.5</v>
      </c>
      <c r="AC932" s="12">
        <f t="shared" si="445"/>
        <v>0</v>
      </c>
      <c r="AD932" s="12">
        <f t="shared" si="429"/>
        <v>9</v>
      </c>
      <c r="AE932" s="100">
        <f t="shared" si="430"/>
        <v>0</v>
      </c>
      <c r="AF932" s="12">
        <f t="shared" si="446"/>
        <v>0</v>
      </c>
      <c r="AG932" s="12">
        <f t="shared" si="447"/>
        <v>0</v>
      </c>
      <c r="AH932" s="12">
        <f t="shared" si="448"/>
        <v>0</v>
      </c>
      <c r="AI932" s="12">
        <f t="shared" si="431"/>
        <v>0</v>
      </c>
      <c r="AJ932" s="12">
        <v>1</v>
      </c>
      <c r="AK932" s="12">
        <f t="shared" si="432"/>
        <v>0</v>
      </c>
      <c r="AL932" s="12">
        <f t="shared" si="449"/>
        <v>0</v>
      </c>
      <c r="AM932" s="12">
        <f t="shared" si="433"/>
        <v>0</v>
      </c>
      <c r="AN932" s="12">
        <f t="shared" si="434"/>
        <v>0</v>
      </c>
      <c r="AO932" s="12">
        <f t="shared" si="435"/>
        <v>0</v>
      </c>
      <c r="AP932" s="12">
        <f t="shared" si="436"/>
        <v>0</v>
      </c>
      <c r="AQ932" s="3" t="str">
        <f t="shared" si="437"/>
        <v>SR807</v>
      </c>
      <c r="AR932" s="3" t="str">
        <f t="shared" si="438"/>
        <v>SR80710</v>
      </c>
      <c r="AS932" s="6" t="str">
        <f t="shared" si="439"/>
        <v>9999</v>
      </c>
      <c r="AT932" s="6" t="str">
        <f t="shared" si="440"/>
        <v>CNY</v>
      </c>
      <c r="AU932" s="6" t="str">
        <f t="shared" si="441"/>
        <v>50010001</v>
      </c>
      <c r="AV932" s="142">
        <f>'day2'!M928+'day2'!N928</f>
        <v>0</v>
      </c>
      <c r="AW932" s="142">
        <f t="shared" si="450"/>
        <v>0</v>
      </c>
    </row>
    <row r="933" spans="1:49" s="6" customFormat="1" x14ac:dyDescent="0.25">
      <c r="A933" s="6" t="str">
        <f t="shared" si="442"/>
        <v/>
      </c>
      <c r="B933" s="140" t="str">
        <f>'day2'!B929</f>
        <v>2018032610000024</v>
      </c>
      <c r="C933" s="140" t="str">
        <f>'day2'!C929</f>
        <v>6001</v>
      </c>
      <c r="D933" s="140" t="str">
        <f>'day2'!D929</f>
        <v>B00101</v>
      </c>
      <c r="E933" s="140" t="str">
        <f>'day2'!E929</f>
        <v>6001</v>
      </c>
      <c r="F933" s="140">
        <f t="shared" si="416"/>
        <v>20180328</v>
      </c>
      <c r="G933" s="140">
        <f>'day2'!G929</f>
        <v>20180326</v>
      </c>
      <c r="H933" s="140" t="str">
        <f>'day2'!H929</f>
        <v>CZCE</v>
      </c>
      <c r="I933" s="140" t="str">
        <f>'day2'!I929</f>
        <v>SR809</v>
      </c>
      <c r="J933" s="268">
        <f>'day2'!J929</f>
        <v>1</v>
      </c>
      <c r="K933" s="268">
        <f>'day2'!K929</f>
        <v>3</v>
      </c>
      <c r="L933" s="268">
        <f>'day2'!L929</f>
        <v>1</v>
      </c>
      <c r="M933" s="268">
        <f t="shared" si="417"/>
        <v>2</v>
      </c>
      <c r="N933" s="268">
        <f t="shared" si="418"/>
        <v>0</v>
      </c>
      <c r="O933" s="6">
        <f t="shared" si="443"/>
        <v>0</v>
      </c>
      <c r="P933" s="12">
        <f t="shared" si="444"/>
        <v>0</v>
      </c>
      <c r="Q933" s="12">
        <f t="shared" si="419"/>
        <v>5.0999999999999997E-2</v>
      </c>
      <c r="R933" s="12">
        <f t="shared" si="420"/>
        <v>5.0999999999999996</v>
      </c>
      <c r="S933" s="12">
        <f t="shared" si="421"/>
        <v>4.1000000000000002E-2</v>
      </c>
      <c r="T933" s="12">
        <f t="shared" si="422"/>
        <v>4.0999999999999996</v>
      </c>
      <c r="U933" s="12">
        <f t="shared" si="423"/>
        <v>10</v>
      </c>
      <c r="V933" s="12">
        <f t="shared" si="424"/>
        <v>0</v>
      </c>
      <c r="W933" s="250">
        <f t="shared" si="425"/>
        <v>6160</v>
      </c>
      <c r="X933" s="12">
        <f t="shared" si="426"/>
        <v>0</v>
      </c>
      <c r="Y933" s="250">
        <f>'day2'!Y929</f>
        <v>6114</v>
      </c>
      <c r="Z933" s="250">
        <f t="shared" si="427"/>
        <v>6156</v>
      </c>
      <c r="AA933" s="12">
        <f t="shared" si="428"/>
        <v>0.5</v>
      </c>
      <c r="AB933" s="12">
        <f t="shared" si="428"/>
        <v>0.5</v>
      </c>
      <c r="AC933" s="12">
        <f t="shared" si="445"/>
        <v>0</v>
      </c>
      <c r="AD933" s="12">
        <f t="shared" si="429"/>
        <v>9</v>
      </c>
      <c r="AE933" s="12">
        <f t="shared" si="430"/>
        <v>6293.4</v>
      </c>
      <c r="AF933" s="12">
        <f t="shared" si="446"/>
        <v>5059.3999999999996</v>
      </c>
      <c r="AG933" s="12">
        <f t="shared" si="447"/>
        <v>0</v>
      </c>
      <c r="AH933" s="12">
        <f t="shared" si="448"/>
        <v>0</v>
      </c>
      <c r="AI933" s="12">
        <f t="shared" si="431"/>
        <v>0</v>
      </c>
      <c r="AJ933" s="12">
        <v>1</v>
      </c>
      <c r="AK933" s="12">
        <f t="shared" si="432"/>
        <v>0</v>
      </c>
      <c r="AL933" s="12">
        <f t="shared" si="449"/>
        <v>-80</v>
      </c>
      <c r="AM933" s="12">
        <f t="shared" si="433"/>
        <v>-920</v>
      </c>
      <c r="AN933" s="12">
        <f t="shared" si="434"/>
        <v>0</v>
      </c>
      <c r="AO933" s="12">
        <f t="shared" si="435"/>
        <v>0</v>
      </c>
      <c r="AP933" s="12">
        <f t="shared" si="436"/>
        <v>0</v>
      </c>
      <c r="AQ933" s="3" t="str">
        <f t="shared" si="437"/>
        <v>SR809</v>
      </c>
      <c r="AR933" s="3" t="str">
        <f t="shared" si="438"/>
        <v>SR80911</v>
      </c>
      <c r="AS933" s="6" t="str">
        <f t="shared" si="439"/>
        <v>9999</v>
      </c>
      <c r="AT933" s="6" t="str">
        <f t="shared" si="440"/>
        <v>CNY</v>
      </c>
      <c r="AU933" s="6" t="str">
        <f t="shared" si="441"/>
        <v>50010001</v>
      </c>
      <c r="AV933" s="229">
        <f>'day2'!M929+'day2'!N929</f>
        <v>2</v>
      </c>
      <c r="AW933" s="142">
        <f t="shared" si="450"/>
        <v>122280</v>
      </c>
    </row>
    <row r="934" spans="1:49" s="6" customFormat="1" x14ac:dyDescent="0.25">
      <c r="A934" s="6" t="str">
        <f t="shared" si="442"/>
        <v>comment</v>
      </c>
      <c r="B934" s="140" t="str">
        <f>'day2'!B930</f>
        <v>2018032610000025</v>
      </c>
      <c r="C934" s="140" t="str">
        <f>'day2'!C930</f>
        <v>6001</v>
      </c>
      <c r="D934" s="140" t="str">
        <f>'day2'!D930</f>
        <v>B00101</v>
      </c>
      <c r="E934" s="140" t="str">
        <f>'day2'!E930</f>
        <v>6001</v>
      </c>
      <c r="F934" s="140">
        <f t="shared" si="416"/>
        <v>20180328</v>
      </c>
      <c r="G934" s="140">
        <f>'day2'!G930</f>
        <v>20180326</v>
      </c>
      <c r="H934" s="140" t="str">
        <f>'day2'!H930</f>
        <v>CZCE</v>
      </c>
      <c r="I934" s="140" t="str">
        <f>'day2'!I930</f>
        <v>SR809</v>
      </c>
      <c r="J934" s="268">
        <f>'day2'!J930</f>
        <v>0</v>
      </c>
      <c r="K934" s="268">
        <f>'day2'!K930</f>
        <v>2</v>
      </c>
      <c r="L934" s="268">
        <f>'day2'!L930</f>
        <v>1</v>
      </c>
      <c r="M934" s="268">
        <f t="shared" si="417"/>
        <v>0</v>
      </c>
      <c r="N934" s="268">
        <f t="shared" si="418"/>
        <v>0</v>
      </c>
      <c r="O934" s="6">
        <f t="shared" si="443"/>
        <v>0</v>
      </c>
      <c r="P934" s="12">
        <f t="shared" si="444"/>
        <v>0</v>
      </c>
      <c r="Q934" s="12">
        <f t="shared" si="419"/>
        <v>0.05</v>
      </c>
      <c r="R934" s="12">
        <f t="shared" si="420"/>
        <v>5</v>
      </c>
      <c r="S934" s="12">
        <f t="shared" si="421"/>
        <v>0.04</v>
      </c>
      <c r="T934" s="12">
        <f t="shared" si="422"/>
        <v>4</v>
      </c>
      <c r="U934" s="12">
        <f t="shared" si="423"/>
        <v>10</v>
      </c>
      <c r="V934" s="12">
        <f t="shared" si="424"/>
        <v>0</v>
      </c>
      <c r="W934" s="250">
        <f t="shared" si="425"/>
        <v>6160</v>
      </c>
      <c r="X934" s="12">
        <f t="shared" si="426"/>
        <v>0</v>
      </c>
      <c r="Y934" s="250">
        <f>'day2'!Y930</f>
        <v>6115</v>
      </c>
      <c r="Z934" s="250">
        <f t="shared" si="427"/>
        <v>6156</v>
      </c>
      <c r="AA934" s="12">
        <f t="shared" si="428"/>
        <v>0.5</v>
      </c>
      <c r="AB934" s="12">
        <f t="shared" si="428"/>
        <v>0.5</v>
      </c>
      <c r="AC934" s="12">
        <f t="shared" si="445"/>
        <v>0</v>
      </c>
      <c r="AD934" s="12">
        <f t="shared" si="429"/>
        <v>9</v>
      </c>
      <c r="AE934" s="12">
        <f t="shared" si="430"/>
        <v>0</v>
      </c>
      <c r="AF934" s="12">
        <f t="shared" si="446"/>
        <v>0</v>
      </c>
      <c r="AG934" s="12">
        <f t="shared" si="447"/>
        <v>0</v>
      </c>
      <c r="AH934" s="12">
        <f t="shared" si="448"/>
        <v>0</v>
      </c>
      <c r="AI934" s="12">
        <f t="shared" si="431"/>
        <v>0</v>
      </c>
      <c r="AJ934" s="12">
        <v>1</v>
      </c>
      <c r="AK934" s="12">
        <f t="shared" si="432"/>
        <v>0</v>
      </c>
      <c r="AL934" s="12">
        <f t="shared" si="449"/>
        <v>0</v>
      </c>
      <c r="AM934" s="12">
        <f t="shared" si="433"/>
        <v>0</v>
      </c>
      <c r="AN934" s="12">
        <f t="shared" si="434"/>
        <v>0</v>
      </c>
      <c r="AO934" s="12">
        <f t="shared" si="435"/>
        <v>0</v>
      </c>
      <c r="AP934" s="12">
        <f t="shared" si="436"/>
        <v>0</v>
      </c>
      <c r="AQ934" s="3" t="str">
        <f t="shared" si="437"/>
        <v>SR809</v>
      </c>
      <c r="AR934" s="3" t="str">
        <f t="shared" si="438"/>
        <v>SR80910</v>
      </c>
      <c r="AS934" s="6" t="str">
        <f t="shared" si="439"/>
        <v>9999</v>
      </c>
      <c r="AT934" s="6" t="str">
        <f t="shared" si="440"/>
        <v>CNY</v>
      </c>
      <c r="AU934" s="6" t="str">
        <f t="shared" si="441"/>
        <v>50010001</v>
      </c>
      <c r="AV934" s="229">
        <f>'day2'!M930+'day2'!N930</f>
        <v>0</v>
      </c>
      <c r="AW934" s="142">
        <f t="shared" si="450"/>
        <v>0</v>
      </c>
    </row>
    <row r="935" spans="1:49" s="6" customFormat="1" x14ac:dyDescent="0.25">
      <c r="A935" s="6" t="str">
        <f t="shared" si="442"/>
        <v/>
      </c>
      <c r="B935" s="140" t="str">
        <f>'day2'!B931</f>
        <v>2018032610000026</v>
      </c>
      <c r="C935" s="140" t="str">
        <f>'day2'!C931</f>
        <v>6001</v>
      </c>
      <c r="D935" s="140" t="str">
        <f>'day2'!D931</f>
        <v>B00101</v>
      </c>
      <c r="E935" s="140" t="str">
        <f>'day2'!E931</f>
        <v>6001</v>
      </c>
      <c r="F935" s="140">
        <f t="shared" si="416"/>
        <v>20180328</v>
      </c>
      <c r="G935" s="140">
        <f>'day2'!G931</f>
        <v>20180326</v>
      </c>
      <c r="H935" s="140" t="str">
        <f>'day2'!H931</f>
        <v>CZCE</v>
      </c>
      <c r="I935" s="140" t="str">
        <f>'day2'!I931</f>
        <v>OI811</v>
      </c>
      <c r="J935" s="268">
        <f>'day2'!J931</f>
        <v>1</v>
      </c>
      <c r="K935" s="268">
        <f>'day2'!K931</f>
        <v>3</v>
      </c>
      <c r="L935" s="268">
        <f>'day2'!L931</f>
        <v>1</v>
      </c>
      <c r="M935" s="268">
        <f t="shared" si="417"/>
        <v>2</v>
      </c>
      <c r="N935" s="268">
        <f t="shared" si="418"/>
        <v>0</v>
      </c>
      <c r="O935" s="6">
        <f t="shared" si="443"/>
        <v>0</v>
      </c>
      <c r="P935" s="12">
        <f t="shared" si="444"/>
        <v>0</v>
      </c>
      <c r="Q935" s="12">
        <f t="shared" si="419"/>
        <v>5.0999999999999997E-2</v>
      </c>
      <c r="R935" s="12">
        <f t="shared" si="420"/>
        <v>5.0999999999999996</v>
      </c>
      <c r="S935" s="12">
        <f t="shared" si="421"/>
        <v>4.1000000000000002E-2</v>
      </c>
      <c r="T935" s="12">
        <f t="shared" si="422"/>
        <v>4.0999999999999996</v>
      </c>
      <c r="U935" s="12">
        <f t="shared" si="423"/>
        <v>10</v>
      </c>
      <c r="V935" s="12">
        <f t="shared" si="424"/>
        <v>0</v>
      </c>
      <c r="W935" s="250">
        <f t="shared" si="425"/>
        <v>6170</v>
      </c>
      <c r="X935" s="12">
        <f t="shared" si="426"/>
        <v>0</v>
      </c>
      <c r="Y935" s="250">
        <f>'day2'!Y931</f>
        <v>6116</v>
      </c>
      <c r="Z935" s="250">
        <f t="shared" si="427"/>
        <v>6165</v>
      </c>
      <c r="AA935" s="12">
        <f t="shared" si="428"/>
        <v>0.5</v>
      </c>
      <c r="AB935" s="12">
        <f t="shared" si="428"/>
        <v>0.5</v>
      </c>
      <c r="AC935" s="12">
        <f t="shared" si="445"/>
        <v>0</v>
      </c>
      <c r="AD935" s="12">
        <f t="shared" si="429"/>
        <v>9</v>
      </c>
      <c r="AE935" s="100">
        <f t="shared" si="430"/>
        <v>6303.6</v>
      </c>
      <c r="AF935" s="12">
        <f t="shared" si="446"/>
        <v>5067.6000000000004</v>
      </c>
      <c r="AG935" s="12">
        <f t="shared" si="447"/>
        <v>0</v>
      </c>
      <c r="AH935" s="12">
        <f t="shared" si="448"/>
        <v>0</v>
      </c>
      <c r="AI935" s="12">
        <f t="shared" si="431"/>
        <v>0</v>
      </c>
      <c r="AJ935" s="12">
        <v>1</v>
      </c>
      <c r="AK935" s="12">
        <f t="shared" si="432"/>
        <v>0</v>
      </c>
      <c r="AL935" s="12">
        <f t="shared" si="449"/>
        <v>-100</v>
      </c>
      <c r="AM935" s="12">
        <f t="shared" si="433"/>
        <v>-1080</v>
      </c>
      <c r="AN935" s="12">
        <f t="shared" si="434"/>
        <v>0</v>
      </c>
      <c r="AO935" s="12">
        <f t="shared" si="435"/>
        <v>0</v>
      </c>
      <c r="AP935" s="12">
        <f t="shared" si="436"/>
        <v>0</v>
      </c>
      <c r="AQ935" s="3" t="str">
        <f t="shared" si="437"/>
        <v>OI811</v>
      </c>
      <c r="AR935" s="3" t="str">
        <f t="shared" si="438"/>
        <v>OI81111</v>
      </c>
      <c r="AS935" s="6" t="str">
        <f t="shared" si="439"/>
        <v>9999</v>
      </c>
      <c r="AT935" s="6" t="str">
        <f t="shared" si="440"/>
        <v>CNY</v>
      </c>
      <c r="AU935" s="6" t="str">
        <f t="shared" si="441"/>
        <v>50010001</v>
      </c>
      <c r="AV935" s="142">
        <f>'day2'!M931+'day2'!N931</f>
        <v>2</v>
      </c>
      <c r="AW935" s="142">
        <f t="shared" si="450"/>
        <v>122320</v>
      </c>
    </row>
    <row r="936" spans="1:49" s="6" customFormat="1" x14ac:dyDescent="0.25">
      <c r="A936" s="6" t="str">
        <f t="shared" si="442"/>
        <v/>
      </c>
      <c r="B936" s="140" t="str">
        <f>'day2'!B932</f>
        <v>2018032610000027</v>
      </c>
      <c r="C936" s="140" t="str">
        <f>'day2'!C932</f>
        <v>6001</v>
      </c>
      <c r="D936" s="140" t="str">
        <f>'day2'!D932</f>
        <v>B00101</v>
      </c>
      <c r="E936" s="140" t="str">
        <f>'day2'!E932</f>
        <v>6001</v>
      </c>
      <c r="F936" s="140">
        <f t="shared" si="416"/>
        <v>20180328</v>
      </c>
      <c r="G936" s="140">
        <f>'day2'!G932</f>
        <v>20180326</v>
      </c>
      <c r="H936" s="140" t="str">
        <f>'day2'!H932</f>
        <v>CZCE</v>
      </c>
      <c r="I936" s="140" t="str">
        <f>'day2'!I932</f>
        <v>OI811</v>
      </c>
      <c r="J936" s="268">
        <f>'day2'!J932</f>
        <v>0</v>
      </c>
      <c r="K936" s="268">
        <f>'day2'!K932</f>
        <v>2</v>
      </c>
      <c r="L936" s="268">
        <f>'day2'!L932</f>
        <v>1</v>
      </c>
      <c r="M936" s="268">
        <f t="shared" si="417"/>
        <v>2</v>
      </c>
      <c r="N936" s="268">
        <f t="shared" si="418"/>
        <v>0</v>
      </c>
      <c r="O936" s="6">
        <f t="shared" si="443"/>
        <v>0</v>
      </c>
      <c r="P936" s="12">
        <f t="shared" si="444"/>
        <v>0</v>
      </c>
      <c r="Q936" s="12">
        <f t="shared" si="419"/>
        <v>0.05</v>
      </c>
      <c r="R936" s="12">
        <f t="shared" si="420"/>
        <v>5</v>
      </c>
      <c r="S936" s="12">
        <f t="shared" si="421"/>
        <v>0.04</v>
      </c>
      <c r="T936" s="12">
        <f t="shared" si="422"/>
        <v>4</v>
      </c>
      <c r="U936" s="12">
        <f t="shared" si="423"/>
        <v>10</v>
      </c>
      <c r="V936" s="12">
        <f t="shared" si="424"/>
        <v>0</v>
      </c>
      <c r="W936" s="250">
        <f t="shared" si="425"/>
        <v>6170</v>
      </c>
      <c r="X936" s="12">
        <f t="shared" si="426"/>
        <v>0</v>
      </c>
      <c r="Y936" s="250">
        <f>'day2'!Y932</f>
        <v>6117</v>
      </c>
      <c r="Z936" s="250">
        <f t="shared" si="427"/>
        <v>6165</v>
      </c>
      <c r="AA936" s="12">
        <f t="shared" si="428"/>
        <v>0.5</v>
      </c>
      <c r="AB936" s="12">
        <f t="shared" si="428"/>
        <v>0.5</v>
      </c>
      <c r="AC936" s="12">
        <f t="shared" si="445"/>
        <v>0</v>
      </c>
      <c r="AD936" s="12">
        <f t="shared" si="429"/>
        <v>9</v>
      </c>
      <c r="AE936" s="100">
        <f t="shared" si="430"/>
        <v>6180</v>
      </c>
      <c r="AF936" s="12">
        <f t="shared" si="446"/>
        <v>4944</v>
      </c>
      <c r="AG936" s="12">
        <f t="shared" si="447"/>
        <v>0</v>
      </c>
      <c r="AH936" s="12">
        <f t="shared" si="448"/>
        <v>0</v>
      </c>
      <c r="AI936" s="12">
        <f t="shared" si="431"/>
        <v>0</v>
      </c>
      <c r="AJ936" s="12">
        <v>1</v>
      </c>
      <c r="AK936" s="12">
        <f t="shared" si="432"/>
        <v>0</v>
      </c>
      <c r="AL936" s="12">
        <f t="shared" si="449"/>
        <v>100</v>
      </c>
      <c r="AM936" s="12">
        <f t="shared" si="433"/>
        <v>1060</v>
      </c>
      <c r="AN936" s="12">
        <f t="shared" si="434"/>
        <v>0</v>
      </c>
      <c r="AO936" s="12">
        <f t="shared" si="435"/>
        <v>0</v>
      </c>
      <c r="AP936" s="12">
        <f t="shared" si="436"/>
        <v>0</v>
      </c>
      <c r="AQ936" s="3" t="str">
        <f t="shared" si="437"/>
        <v>OI811</v>
      </c>
      <c r="AR936" s="3" t="str">
        <f t="shared" si="438"/>
        <v>OI81110</v>
      </c>
      <c r="AS936" s="6" t="str">
        <f t="shared" si="439"/>
        <v>9999</v>
      </c>
      <c r="AT936" s="6" t="str">
        <f t="shared" si="440"/>
        <v>CNY</v>
      </c>
      <c r="AU936" s="6" t="str">
        <f t="shared" si="441"/>
        <v>50010001</v>
      </c>
      <c r="AV936" s="142">
        <f>'day2'!M932+'day2'!N932</f>
        <v>2</v>
      </c>
      <c r="AW936" s="142">
        <f t="shared" si="450"/>
        <v>122340</v>
      </c>
    </row>
    <row r="937" spans="1:49" s="6" customFormat="1" x14ac:dyDescent="0.25">
      <c r="A937" s="6" t="str">
        <f t="shared" si="442"/>
        <v/>
      </c>
      <c r="B937" s="140" t="str">
        <f>'day2'!B933</f>
        <v>2018032610000028</v>
      </c>
      <c r="C937" s="140" t="str">
        <f>'day2'!C933</f>
        <v>6001</v>
      </c>
      <c r="D937" s="140" t="str">
        <f>'day2'!D933</f>
        <v>B00102</v>
      </c>
      <c r="E937" s="140" t="str">
        <f>'day2'!E933</f>
        <v>6001</v>
      </c>
      <c r="F937" s="140">
        <f t="shared" si="416"/>
        <v>20180328</v>
      </c>
      <c r="G937" s="140">
        <f>'day2'!G933</f>
        <v>20180326</v>
      </c>
      <c r="H937" s="140" t="str">
        <f>'day2'!H933</f>
        <v>CZCE</v>
      </c>
      <c r="I937" s="140" t="str">
        <f>'day2'!I933</f>
        <v>PTA807</v>
      </c>
      <c r="J937" s="268">
        <f>'day2'!J933</f>
        <v>0</v>
      </c>
      <c r="K937" s="268">
        <f>'day2'!K933</f>
        <v>2</v>
      </c>
      <c r="L937" s="268">
        <f>'day2'!L933</f>
        <v>3</v>
      </c>
      <c r="M937" s="268">
        <f t="shared" si="417"/>
        <v>2</v>
      </c>
      <c r="N937" s="268">
        <f t="shared" si="418"/>
        <v>0</v>
      </c>
      <c r="O937" s="6">
        <f t="shared" si="443"/>
        <v>0</v>
      </c>
      <c r="P937" s="12">
        <f t="shared" si="444"/>
        <v>0</v>
      </c>
      <c r="Q937" s="12">
        <f t="shared" si="419"/>
        <v>5.1999999999999998E-2</v>
      </c>
      <c r="R937" s="12">
        <f t="shared" si="420"/>
        <v>5.2</v>
      </c>
      <c r="S937" s="12">
        <f t="shared" si="421"/>
        <v>4.2000000000000003E-2</v>
      </c>
      <c r="T937" s="12">
        <f t="shared" si="422"/>
        <v>4.2</v>
      </c>
      <c r="U937" s="12">
        <f t="shared" si="423"/>
        <v>5</v>
      </c>
      <c r="V937" s="12">
        <f t="shared" si="424"/>
        <v>0</v>
      </c>
      <c r="W937" s="266">
        <f t="shared" si="425"/>
        <v>6165</v>
      </c>
      <c r="X937" s="266">
        <f t="shared" si="426"/>
        <v>0</v>
      </c>
      <c r="Y937" s="266">
        <f>'day2'!Y933</f>
        <v>6118</v>
      </c>
      <c r="Z937" s="266">
        <f t="shared" si="427"/>
        <v>6160</v>
      </c>
      <c r="AA937" s="12">
        <f t="shared" si="428"/>
        <v>0.5</v>
      </c>
      <c r="AB937" s="12">
        <f t="shared" si="428"/>
        <v>0.5</v>
      </c>
      <c r="AC937" s="12">
        <f t="shared" si="445"/>
        <v>0</v>
      </c>
      <c r="AD937" s="12">
        <f t="shared" si="429"/>
        <v>9</v>
      </c>
      <c r="AE937" s="100">
        <f t="shared" si="430"/>
        <v>3216.2</v>
      </c>
      <c r="AF937" s="12">
        <f t="shared" si="446"/>
        <v>2597.6999999999998</v>
      </c>
      <c r="AG937" s="12">
        <f t="shared" si="447"/>
        <v>0</v>
      </c>
      <c r="AH937" s="12">
        <f t="shared" si="448"/>
        <v>0</v>
      </c>
      <c r="AI937" s="12">
        <f t="shared" si="431"/>
        <v>0</v>
      </c>
      <c r="AJ937" s="12">
        <v>1</v>
      </c>
      <c r="AK937" s="12">
        <f t="shared" si="432"/>
        <v>0</v>
      </c>
      <c r="AL937" s="12">
        <f t="shared" si="449"/>
        <v>50</v>
      </c>
      <c r="AM937" s="12">
        <f t="shared" si="433"/>
        <v>470</v>
      </c>
      <c r="AN937" s="12">
        <f t="shared" si="434"/>
        <v>0</v>
      </c>
      <c r="AO937" s="12">
        <f t="shared" si="435"/>
        <v>0</v>
      </c>
      <c r="AP937" s="12">
        <f t="shared" si="436"/>
        <v>1</v>
      </c>
      <c r="AQ937" s="3" t="str">
        <f t="shared" si="437"/>
        <v>PTA807</v>
      </c>
      <c r="AR937" s="3" t="str">
        <f t="shared" si="438"/>
        <v>PTA80730</v>
      </c>
      <c r="AS937" s="6" t="str">
        <f t="shared" si="439"/>
        <v>9999</v>
      </c>
      <c r="AT937" s="6" t="str">
        <f t="shared" si="440"/>
        <v>CNY</v>
      </c>
      <c r="AU937" s="6" t="str">
        <f t="shared" si="441"/>
        <v>50010002</v>
      </c>
      <c r="AV937" s="142">
        <f>'day2'!M933+'day2'!N933</f>
        <v>2</v>
      </c>
      <c r="AW937" s="142">
        <f t="shared" si="450"/>
        <v>61180</v>
      </c>
    </row>
    <row r="938" spans="1:49" s="6" customFormat="1" x14ac:dyDescent="0.25">
      <c r="A938" s="6" t="str">
        <f t="shared" si="442"/>
        <v/>
      </c>
      <c r="B938" s="140" t="str">
        <f>'day2'!B934</f>
        <v>2018032610000029</v>
      </c>
      <c r="C938" s="140" t="str">
        <f>'day2'!C934</f>
        <v>6001</v>
      </c>
      <c r="D938" s="140" t="str">
        <f>'day2'!D934</f>
        <v>B00102</v>
      </c>
      <c r="E938" s="140" t="str">
        <f>'day2'!E934</f>
        <v>6001</v>
      </c>
      <c r="F938" s="140">
        <f t="shared" si="416"/>
        <v>20180328</v>
      </c>
      <c r="G938" s="140">
        <f>'day2'!G934</f>
        <v>20180326</v>
      </c>
      <c r="H938" s="140" t="str">
        <f>'day2'!H934</f>
        <v>CZCE</v>
      </c>
      <c r="I938" s="140" t="str">
        <f>'day2'!I934</f>
        <v>PTA807</v>
      </c>
      <c r="J938" s="268">
        <f>'day2'!J934</f>
        <v>1</v>
      </c>
      <c r="K938" s="268">
        <f>'day2'!K934</f>
        <v>3</v>
      </c>
      <c r="L938" s="268">
        <f>'day2'!L934</f>
        <v>3</v>
      </c>
      <c r="M938" s="268">
        <f t="shared" si="417"/>
        <v>6</v>
      </c>
      <c r="N938" s="268">
        <f t="shared" si="418"/>
        <v>0</v>
      </c>
      <c r="O938" s="6">
        <f t="shared" si="443"/>
        <v>0</v>
      </c>
      <c r="P938" s="12">
        <f t="shared" si="444"/>
        <v>0</v>
      </c>
      <c r="Q938" s="12">
        <f t="shared" si="419"/>
        <v>5.2999999999999999E-2</v>
      </c>
      <c r="R938" s="12">
        <f t="shared" si="420"/>
        <v>5.3</v>
      </c>
      <c r="S938" s="12">
        <f t="shared" si="421"/>
        <v>4.2999999999999997E-2</v>
      </c>
      <c r="T938" s="12">
        <f t="shared" si="422"/>
        <v>4.3</v>
      </c>
      <c r="U938" s="12">
        <f t="shared" si="423"/>
        <v>5</v>
      </c>
      <c r="V938" s="12">
        <f t="shared" si="424"/>
        <v>0</v>
      </c>
      <c r="W938" s="266">
        <f t="shared" si="425"/>
        <v>6165</v>
      </c>
      <c r="X938" s="266">
        <f t="shared" si="426"/>
        <v>0</v>
      </c>
      <c r="Y938" s="266">
        <f>'day2'!Y934</f>
        <v>6119</v>
      </c>
      <c r="Z938" s="266">
        <f t="shared" si="427"/>
        <v>6160</v>
      </c>
      <c r="AA938" s="12">
        <f t="shared" si="428"/>
        <v>0.5</v>
      </c>
      <c r="AB938" s="12">
        <f t="shared" si="428"/>
        <v>0.5</v>
      </c>
      <c r="AC938" s="12">
        <f t="shared" si="445"/>
        <v>0</v>
      </c>
      <c r="AD938" s="12">
        <f t="shared" si="429"/>
        <v>9</v>
      </c>
      <c r="AE938" s="100">
        <f t="shared" si="430"/>
        <v>9834.15</v>
      </c>
      <c r="AF938" s="12">
        <f t="shared" si="446"/>
        <v>7978.65</v>
      </c>
      <c r="AG938" s="12">
        <f t="shared" si="447"/>
        <v>0</v>
      </c>
      <c r="AH938" s="12">
        <f t="shared" si="448"/>
        <v>0</v>
      </c>
      <c r="AI938" s="12">
        <f t="shared" si="431"/>
        <v>0</v>
      </c>
      <c r="AJ938" s="12">
        <v>1</v>
      </c>
      <c r="AK938" s="12">
        <f t="shared" si="432"/>
        <v>0</v>
      </c>
      <c r="AL938" s="12">
        <f t="shared" si="449"/>
        <v>-150</v>
      </c>
      <c r="AM938" s="12">
        <f t="shared" si="433"/>
        <v>-1380</v>
      </c>
      <c r="AN938" s="12">
        <f t="shared" si="434"/>
        <v>0</v>
      </c>
      <c r="AO938" s="12">
        <f t="shared" si="435"/>
        <v>0</v>
      </c>
      <c r="AP938" s="12">
        <f t="shared" si="436"/>
        <v>1</v>
      </c>
      <c r="AQ938" s="3" t="str">
        <f t="shared" si="437"/>
        <v>PTA807</v>
      </c>
      <c r="AR938" s="3" t="str">
        <f t="shared" si="438"/>
        <v>PTA80731</v>
      </c>
      <c r="AS938" s="6" t="str">
        <f t="shared" si="439"/>
        <v>9999</v>
      </c>
      <c r="AT938" s="6" t="str">
        <f t="shared" si="440"/>
        <v>CNY</v>
      </c>
      <c r="AU938" s="6" t="str">
        <f t="shared" si="441"/>
        <v>50010002</v>
      </c>
      <c r="AV938" s="142">
        <f>'day2'!M934+'day2'!N934</f>
        <v>6</v>
      </c>
      <c r="AW938" s="142">
        <f t="shared" si="450"/>
        <v>183570</v>
      </c>
    </row>
    <row r="939" spans="1:49" s="6" customFormat="1" x14ac:dyDescent="0.25">
      <c r="A939" s="6" t="str">
        <f t="shared" si="442"/>
        <v/>
      </c>
      <c r="B939" s="140" t="str">
        <f>'day2'!B935</f>
        <v>2018032610000030</v>
      </c>
      <c r="C939" s="140" t="str">
        <f>'day2'!C935</f>
        <v>6001</v>
      </c>
      <c r="D939" s="140" t="str">
        <f>'day2'!D935</f>
        <v>B00102</v>
      </c>
      <c r="E939" s="140" t="str">
        <f>'day2'!E935</f>
        <v>6001</v>
      </c>
      <c r="F939" s="140">
        <f t="shared" si="416"/>
        <v>20180328</v>
      </c>
      <c r="G939" s="140">
        <f>'day2'!G935</f>
        <v>20180326</v>
      </c>
      <c r="H939" s="140" t="str">
        <f>'day2'!H935</f>
        <v>CZCE</v>
      </c>
      <c r="I939" s="140" t="str">
        <f>'day2'!I935</f>
        <v>PTA807</v>
      </c>
      <c r="J939" s="268">
        <f>'day2'!J935</f>
        <v>0</v>
      </c>
      <c r="K939" s="268">
        <f>'day2'!K935</f>
        <v>2</v>
      </c>
      <c r="L939" s="268">
        <f>'day2'!L935</f>
        <v>1</v>
      </c>
      <c r="M939" s="268">
        <f t="shared" si="417"/>
        <v>4</v>
      </c>
      <c r="N939" s="268">
        <f t="shared" si="418"/>
        <v>0</v>
      </c>
      <c r="O939" s="6">
        <f t="shared" si="443"/>
        <v>0</v>
      </c>
      <c r="P939" s="12">
        <f t="shared" si="444"/>
        <v>0</v>
      </c>
      <c r="Q939" s="12">
        <f t="shared" si="419"/>
        <v>0.05</v>
      </c>
      <c r="R939" s="12">
        <f t="shared" si="420"/>
        <v>5</v>
      </c>
      <c r="S939" s="12">
        <f t="shared" si="421"/>
        <v>0.04</v>
      </c>
      <c r="T939" s="12">
        <f t="shared" si="422"/>
        <v>4</v>
      </c>
      <c r="U939" s="12">
        <f t="shared" si="423"/>
        <v>5</v>
      </c>
      <c r="V939" s="12">
        <f t="shared" si="424"/>
        <v>0</v>
      </c>
      <c r="W939" s="266">
        <f t="shared" si="425"/>
        <v>6165</v>
      </c>
      <c r="X939" s="266">
        <f t="shared" si="426"/>
        <v>0</v>
      </c>
      <c r="Y939" s="266">
        <f>'day2'!Y935</f>
        <v>6120</v>
      </c>
      <c r="Z939" s="266">
        <f t="shared" si="427"/>
        <v>6160</v>
      </c>
      <c r="AA939" s="12">
        <f t="shared" si="428"/>
        <v>0.5</v>
      </c>
      <c r="AB939" s="12">
        <f t="shared" si="428"/>
        <v>0.5</v>
      </c>
      <c r="AC939" s="12">
        <f t="shared" si="445"/>
        <v>0</v>
      </c>
      <c r="AD939" s="12">
        <f t="shared" si="429"/>
        <v>9</v>
      </c>
      <c r="AE939" s="100">
        <f t="shared" si="430"/>
        <v>6185</v>
      </c>
      <c r="AF939" s="12">
        <f t="shared" si="446"/>
        <v>4948</v>
      </c>
      <c r="AG939" s="12">
        <f t="shared" si="447"/>
        <v>0</v>
      </c>
      <c r="AH939" s="12">
        <f t="shared" si="448"/>
        <v>0</v>
      </c>
      <c r="AI939" s="12">
        <f t="shared" si="431"/>
        <v>0</v>
      </c>
      <c r="AJ939" s="12">
        <v>1</v>
      </c>
      <c r="AK939" s="12">
        <f t="shared" si="432"/>
        <v>0</v>
      </c>
      <c r="AL939" s="12">
        <f t="shared" si="449"/>
        <v>100</v>
      </c>
      <c r="AM939" s="12">
        <f t="shared" si="433"/>
        <v>900</v>
      </c>
      <c r="AN939" s="12">
        <f t="shared" si="434"/>
        <v>0</v>
      </c>
      <c r="AO939" s="12">
        <f t="shared" si="435"/>
        <v>0</v>
      </c>
      <c r="AP939" s="12">
        <f t="shared" si="436"/>
        <v>1</v>
      </c>
      <c r="AQ939" s="3" t="str">
        <f t="shared" si="437"/>
        <v>PTA807</v>
      </c>
      <c r="AR939" s="3" t="str">
        <f t="shared" si="438"/>
        <v>PTA80710</v>
      </c>
      <c r="AS939" s="6" t="str">
        <f t="shared" si="439"/>
        <v>9999</v>
      </c>
      <c r="AT939" s="6" t="str">
        <f t="shared" si="440"/>
        <v>CNY</v>
      </c>
      <c r="AU939" s="6" t="str">
        <f t="shared" si="441"/>
        <v>50010002</v>
      </c>
      <c r="AV939" s="142">
        <f>'day2'!M935+'day2'!N935</f>
        <v>4</v>
      </c>
      <c r="AW939" s="142">
        <f t="shared" si="450"/>
        <v>122400</v>
      </c>
    </row>
    <row r="940" spans="1:49" s="6" customFormat="1" x14ac:dyDescent="0.25">
      <c r="A940" s="6" t="str">
        <f t="shared" si="442"/>
        <v>comment</v>
      </c>
      <c r="B940" s="140" t="str">
        <f>'day2'!B936</f>
        <v>2018032610000031</v>
      </c>
      <c r="C940" s="140" t="str">
        <f>'day2'!C936</f>
        <v>6001</v>
      </c>
      <c r="D940" s="140" t="str">
        <f>'day2'!D936</f>
        <v>B00102</v>
      </c>
      <c r="E940" s="140" t="str">
        <f>'day2'!E936</f>
        <v>6001</v>
      </c>
      <c r="F940" s="140">
        <f t="shared" si="416"/>
        <v>20180328</v>
      </c>
      <c r="G940" s="140">
        <f>'day2'!G936</f>
        <v>20180326</v>
      </c>
      <c r="H940" s="140" t="str">
        <f>'day2'!H936</f>
        <v>CZCE</v>
      </c>
      <c r="I940" s="140" t="str">
        <f>'day2'!I936</f>
        <v>PTA807</v>
      </c>
      <c r="J940" s="268">
        <f>'day2'!J936</f>
        <v>1</v>
      </c>
      <c r="K940" s="268">
        <f>'day2'!K936</f>
        <v>3</v>
      </c>
      <c r="L940" s="268">
        <f>'day2'!L936</f>
        <v>1</v>
      </c>
      <c r="M940" s="268">
        <f t="shared" si="417"/>
        <v>0</v>
      </c>
      <c r="N940" s="268">
        <f t="shared" si="418"/>
        <v>0</v>
      </c>
      <c r="O940" s="6">
        <f t="shared" si="443"/>
        <v>0</v>
      </c>
      <c r="P940" s="12">
        <f t="shared" si="444"/>
        <v>0</v>
      </c>
      <c r="Q940" s="12">
        <f t="shared" si="419"/>
        <v>5.0999999999999997E-2</v>
      </c>
      <c r="R940" s="12">
        <f t="shared" si="420"/>
        <v>5.0999999999999996</v>
      </c>
      <c r="S940" s="12">
        <f t="shared" si="421"/>
        <v>4.1000000000000002E-2</v>
      </c>
      <c r="T940" s="12">
        <f t="shared" si="422"/>
        <v>4.0999999999999996</v>
      </c>
      <c r="U940" s="12">
        <f t="shared" si="423"/>
        <v>5</v>
      </c>
      <c r="V940" s="12">
        <f t="shared" si="424"/>
        <v>0</v>
      </c>
      <c r="W940" s="12">
        <f t="shared" si="425"/>
        <v>6165</v>
      </c>
      <c r="X940" s="12">
        <f t="shared" si="426"/>
        <v>0</v>
      </c>
      <c r="Y940" s="250">
        <f>'day2'!Y936</f>
        <v>6121</v>
      </c>
      <c r="Z940" s="12">
        <f t="shared" si="427"/>
        <v>6160</v>
      </c>
      <c r="AA940" s="12">
        <f t="shared" si="428"/>
        <v>0.5</v>
      </c>
      <c r="AB940" s="12">
        <f t="shared" si="428"/>
        <v>0.5</v>
      </c>
      <c r="AC940" s="12">
        <f t="shared" si="445"/>
        <v>0</v>
      </c>
      <c r="AD940" s="12">
        <f t="shared" si="429"/>
        <v>9</v>
      </c>
      <c r="AE940" s="100">
        <f t="shared" si="430"/>
        <v>0</v>
      </c>
      <c r="AF940" s="12">
        <f t="shared" si="446"/>
        <v>0</v>
      </c>
      <c r="AG940" s="12">
        <f t="shared" si="447"/>
        <v>0</v>
      </c>
      <c r="AH940" s="12">
        <f t="shared" si="448"/>
        <v>0</v>
      </c>
      <c r="AI940" s="12">
        <f t="shared" si="431"/>
        <v>0</v>
      </c>
      <c r="AJ940" s="12">
        <v>1</v>
      </c>
      <c r="AK940" s="12">
        <f t="shared" si="432"/>
        <v>0</v>
      </c>
      <c r="AL940" s="12">
        <f t="shared" si="449"/>
        <v>0</v>
      </c>
      <c r="AM940" s="12">
        <f t="shared" si="433"/>
        <v>0</v>
      </c>
      <c r="AN940" s="12">
        <f t="shared" si="434"/>
        <v>0</v>
      </c>
      <c r="AO940" s="12">
        <f t="shared" si="435"/>
        <v>0</v>
      </c>
      <c r="AP940" s="12">
        <f t="shared" si="436"/>
        <v>1</v>
      </c>
      <c r="AQ940" s="3" t="str">
        <f t="shared" si="437"/>
        <v>PTA807</v>
      </c>
      <c r="AR940" s="3" t="str">
        <f t="shared" si="438"/>
        <v>PTA80711</v>
      </c>
      <c r="AS940" s="6" t="str">
        <f t="shared" si="439"/>
        <v>9999</v>
      </c>
      <c r="AT940" s="6" t="str">
        <f t="shared" si="440"/>
        <v>CNY</v>
      </c>
      <c r="AU940" s="6" t="str">
        <f t="shared" si="441"/>
        <v>50010002</v>
      </c>
      <c r="AV940" s="142">
        <f>'day2'!M936+'day2'!N936</f>
        <v>0</v>
      </c>
      <c r="AW940" s="142">
        <f t="shared" si="450"/>
        <v>0</v>
      </c>
    </row>
    <row r="941" spans="1:49" s="6" customFormat="1" x14ac:dyDescent="0.25">
      <c r="A941" s="6" t="str">
        <f t="shared" si="442"/>
        <v/>
      </c>
      <c r="B941" s="140" t="str">
        <f>'day2'!B937</f>
        <v>2018032610000034</v>
      </c>
      <c r="C941" s="140" t="str">
        <f>'day2'!C937</f>
        <v>6001</v>
      </c>
      <c r="D941" s="140" t="str">
        <f>'day2'!D937</f>
        <v>B00102</v>
      </c>
      <c r="E941" s="140" t="str">
        <f>'day2'!E937</f>
        <v>6001</v>
      </c>
      <c r="F941" s="140">
        <f t="shared" si="416"/>
        <v>20180328</v>
      </c>
      <c r="G941" s="140">
        <f>'day2'!G937</f>
        <v>20180326</v>
      </c>
      <c r="H941" s="140" t="str">
        <f>'day2'!H937</f>
        <v>CZCE</v>
      </c>
      <c r="I941" s="140" t="str">
        <f>'day2'!I937</f>
        <v>PTA809</v>
      </c>
      <c r="J941" s="268">
        <f>'day2'!J937</f>
        <v>0</v>
      </c>
      <c r="K941" s="268">
        <f>'day2'!K937</f>
        <v>2</v>
      </c>
      <c r="L941" s="268">
        <f>'day2'!L937</f>
        <v>1</v>
      </c>
      <c r="M941" s="268">
        <f t="shared" si="417"/>
        <v>2</v>
      </c>
      <c r="N941" s="268">
        <f t="shared" si="418"/>
        <v>0</v>
      </c>
      <c r="O941" s="6">
        <f t="shared" si="443"/>
        <v>0</v>
      </c>
      <c r="P941" s="12">
        <f t="shared" si="444"/>
        <v>0</v>
      </c>
      <c r="Q941" s="12">
        <f t="shared" si="419"/>
        <v>0.05</v>
      </c>
      <c r="R941" s="12">
        <f t="shared" si="420"/>
        <v>5</v>
      </c>
      <c r="S941" s="12">
        <f t="shared" si="421"/>
        <v>0.04</v>
      </c>
      <c r="T941" s="12">
        <f t="shared" si="422"/>
        <v>4</v>
      </c>
      <c r="U941" s="12">
        <f t="shared" si="423"/>
        <v>5</v>
      </c>
      <c r="V941" s="12">
        <f t="shared" si="424"/>
        <v>0</v>
      </c>
      <c r="W941" s="250">
        <f t="shared" si="425"/>
        <v>6168</v>
      </c>
      <c r="X941" s="12">
        <f t="shared" si="426"/>
        <v>0</v>
      </c>
      <c r="Y941" s="250">
        <f>'day2'!Y937</f>
        <v>6124</v>
      </c>
      <c r="Z941" s="250">
        <f t="shared" si="427"/>
        <v>6165</v>
      </c>
      <c r="AA941" s="12">
        <f t="shared" si="428"/>
        <v>0.5</v>
      </c>
      <c r="AB941" s="12">
        <f t="shared" si="428"/>
        <v>0.5</v>
      </c>
      <c r="AC941" s="12">
        <f t="shared" si="445"/>
        <v>0</v>
      </c>
      <c r="AD941" s="12">
        <f t="shared" si="429"/>
        <v>9</v>
      </c>
      <c r="AE941" s="100">
        <f t="shared" si="430"/>
        <v>3094</v>
      </c>
      <c r="AF941" s="12">
        <f t="shared" si="446"/>
        <v>2475.1999999999998</v>
      </c>
      <c r="AG941" s="12">
        <f t="shared" si="447"/>
        <v>0</v>
      </c>
      <c r="AH941" s="12">
        <f t="shared" si="448"/>
        <v>0</v>
      </c>
      <c r="AI941" s="12">
        <f t="shared" si="431"/>
        <v>0</v>
      </c>
      <c r="AJ941" s="12">
        <v>1</v>
      </c>
      <c r="AK941" s="12">
        <f t="shared" si="432"/>
        <v>0</v>
      </c>
      <c r="AL941" s="12">
        <f t="shared" si="449"/>
        <v>30</v>
      </c>
      <c r="AM941" s="12">
        <f t="shared" si="433"/>
        <v>440</v>
      </c>
      <c r="AN941" s="12">
        <f t="shared" si="434"/>
        <v>0</v>
      </c>
      <c r="AO941" s="12">
        <f t="shared" si="435"/>
        <v>0</v>
      </c>
      <c r="AP941" s="12">
        <f t="shared" si="436"/>
        <v>1</v>
      </c>
      <c r="AQ941" s="3" t="str">
        <f t="shared" si="437"/>
        <v>PTA809</v>
      </c>
      <c r="AR941" s="3" t="str">
        <f t="shared" si="438"/>
        <v>PTA80910</v>
      </c>
      <c r="AS941" s="6" t="str">
        <f t="shared" si="439"/>
        <v>9999</v>
      </c>
      <c r="AT941" s="6" t="str">
        <f t="shared" si="440"/>
        <v>CNY</v>
      </c>
      <c r="AU941" s="6" t="str">
        <f t="shared" si="441"/>
        <v>50010002</v>
      </c>
      <c r="AV941" s="142">
        <f>'day2'!M937+'day2'!N937</f>
        <v>2</v>
      </c>
      <c r="AW941" s="142">
        <f t="shared" si="450"/>
        <v>61240</v>
      </c>
    </row>
    <row r="942" spans="1:49" s="6" customFormat="1" x14ac:dyDescent="0.25">
      <c r="A942" s="6" t="str">
        <f t="shared" si="442"/>
        <v>comment</v>
      </c>
      <c r="B942" s="140" t="str">
        <f>'day2'!B938</f>
        <v>2018032610000035</v>
      </c>
      <c r="C942" s="140" t="str">
        <f>'day2'!C938</f>
        <v>6001</v>
      </c>
      <c r="D942" s="140" t="str">
        <f>'day2'!D938</f>
        <v>B00102</v>
      </c>
      <c r="E942" s="140" t="str">
        <f>'day2'!E938</f>
        <v>6001</v>
      </c>
      <c r="F942" s="140">
        <f t="shared" si="416"/>
        <v>20180328</v>
      </c>
      <c r="G942" s="140">
        <f>'day2'!G938</f>
        <v>20180326</v>
      </c>
      <c r="H942" s="140" t="str">
        <f>'day2'!H938</f>
        <v>CZCE</v>
      </c>
      <c r="I942" s="140" t="str">
        <f>'day2'!I938</f>
        <v>PTA809</v>
      </c>
      <c r="J942" s="268">
        <f>'day2'!J938</f>
        <v>1</v>
      </c>
      <c r="K942" s="268">
        <f>'day2'!K938</f>
        <v>3</v>
      </c>
      <c r="L942" s="268">
        <f>'day2'!L938</f>
        <v>1</v>
      </c>
      <c r="M942" s="268">
        <f t="shared" si="417"/>
        <v>0</v>
      </c>
      <c r="N942" s="268">
        <f t="shared" si="418"/>
        <v>0</v>
      </c>
      <c r="O942" s="6">
        <f t="shared" si="443"/>
        <v>0</v>
      </c>
      <c r="P942" s="12">
        <f t="shared" si="444"/>
        <v>0</v>
      </c>
      <c r="Q942" s="12">
        <f t="shared" si="419"/>
        <v>5.0999999999999997E-2</v>
      </c>
      <c r="R942" s="12">
        <f t="shared" si="420"/>
        <v>5.0999999999999996</v>
      </c>
      <c r="S942" s="12">
        <f t="shared" si="421"/>
        <v>4.1000000000000002E-2</v>
      </c>
      <c r="T942" s="12">
        <f t="shared" si="422"/>
        <v>4.0999999999999996</v>
      </c>
      <c r="U942" s="12">
        <f t="shared" si="423"/>
        <v>5</v>
      </c>
      <c r="V942" s="12">
        <f t="shared" si="424"/>
        <v>0</v>
      </c>
      <c r="W942" s="250">
        <f t="shared" si="425"/>
        <v>6168</v>
      </c>
      <c r="X942" s="12">
        <f t="shared" si="426"/>
        <v>0</v>
      </c>
      <c r="Y942" s="250">
        <f>'day2'!Y938</f>
        <v>6125</v>
      </c>
      <c r="Z942" s="250">
        <f t="shared" si="427"/>
        <v>6165</v>
      </c>
      <c r="AA942" s="12">
        <f t="shared" si="428"/>
        <v>0.5</v>
      </c>
      <c r="AB942" s="12">
        <f t="shared" si="428"/>
        <v>0.5</v>
      </c>
      <c r="AC942" s="12">
        <f t="shared" si="445"/>
        <v>0</v>
      </c>
      <c r="AD942" s="12">
        <f t="shared" si="429"/>
        <v>9</v>
      </c>
      <c r="AE942" s="100">
        <f t="shared" si="430"/>
        <v>0</v>
      </c>
      <c r="AF942" s="12">
        <f t="shared" si="446"/>
        <v>0</v>
      </c>
      <c r="AG942" s="12">
        <f t="shared" si="447"/>
        <v>0</v>
      </c>
      <c r="AH942" s="12">
        <f t="shared" si="448"/>
        <v>0</v>
      </c>
      <c r="AI942" s="12">
        <f t="shared" si="431"/>
        <v>0</v>
      </c>
      <c r="AJ942" s="12">
        <v>1</v>
      </c>
      <c r="AK942" s="12">
        <f t="shared" si="432"/>
        <v>0</v>
      </c>
      <c r="AL942" s="12">
        <f t="shared" si="449"/>
        <v>0</v>
      </c>
      <c r="AM942" s="12">
        <f t="shared" si="433"/>
        <v>0</v>
      </c>
      <c r="AN942" s="12">
        <f t="shared" si="434"/>
        <v>0</v>
      </c>
      <c r="AO942" s="12">
        <f t="shared" si="435"/>
        <v>0</v>
      </c>
      <c r="AP942" s="12">
        <f t="shared" si="436"/>
        <v>1</v>
      </c>
      <c r="AQ942" s="3" t="str">
        <f t="shared" si="437"/>
        <v>PTA809</v>
      </c>
      <c r="AR942" s="3" t="str">
        <f t="shared" si="438"/>
        <v>PTA80911</v>
      </c>
      <c r="AS942" s="6" t="str">
        <f t="shared" si="439"/>
        <v>9999</v>
      </c>
      <c r="AT942" s="6" t="str">
        <f t="shared" si="440"/>
        <v>CNY</v>
      </c>
      <c r="AU942" s="6" t="str">
        <f t="shared" si="441"/>
        <v>50010002</v>
      </c>
      <c r="AV942" s="142">
        <f>'day2'!M938+'day2'!N938</f>
        <v>0</v>
      </c>
      <c r="AW942" s="142">
        <f t="shared" si="450"/>
        <v>0</v>
      </c>
    </row>
    <row r="943" spans="1:49" s="6" customFormat="1" x14ac:dyDescent="0.25">
      <c r="A943" s="6" t="str">
        <f t="shared" si="442"/>
        <v>comment</v>
      </c>
      <c r="B943" s="140" t="str">
        <f>'day2'!B939</f>
        <v>2018032610000050</v>
      </c>
      <c r="C943" s="140" t="str">
        <f>'day2'!C939</f>
        <v>6001</v>
      </c>
      <c r="D943" s="140" t="str">
        <f>'day2'!D939</f>
        <v>B00101</v>
      </c>
      <c r="E943" s="140" t="str">
        <f>'day2'!E939</f>
        <v>6001</v>
      </c>
      <c r="F943" s="140">
        <f t="shared" si="416"/>
        <v>20180328</v>
      </c>
      <c r="G943" s="140">
        <f>'day2'!G939</f>
        <v>20180326</v>
      </c>
      <c r="H943" s="140" t="str">
        <f>'day2'!H939</f>
        <v>CZCE</v>
      </c>
      <c r="I943" s="140" t="str">
        <f>'day2'!I939</f>
        <v>SR807</v>
      </c>
      <c r="J943" s="268">
        <f>'day2'!J939</f>
        <v>0</v>
      </c>
      <c r="K943" s="268">
        <f>'day2'!K939</f>
        <v>2</v>
      </c>
      <c r="L943" s="268">
        <f>'day2'!L939</f>
        <v>1</v>
      </c>
      <c r="M943" s="268">
        <f t="shared" si="417"/>
        <v>0</v>
      </c>
      <c r="N943" s="268">
        <f t="shared" si="418"/>
        <v>0</v>
      </c>
      <c r="O943" s="6">
        <f t="shared" si="443"/>
        <v>0</v>
      </c>
      <c r="P943" s="12">
        <f t="shared" si="444"/>
        <v>0</v>
      </c>
      <c r="Q943" s="12">
        <f t="shared" si="419"/>
        <v>0.05</v>
      </c>
      <c r="R943" s="12">
        <f t="shared" si="420"/>
        <v>5</v>
      </c>
      <c r="S943" s="12">
        <f t="shared" si="421"/>
        <v>0.04</v>
      </c>
      <c r="T943" s="12">
        <f t="shared" si="422"/>
        <v>4</v>
      </c>
      <c r="U943" s="12">
        <f t="shared" si="423"/>
        <v>10</v>
      </c>
      <c r="V943" s="12">
        <f t="shared" si="424"/>
        <v>0</v>
      </c>
      <c r="W943" s="12">
        <f t="shared" si="425"/>
        <v>6170</v>
      </c>
      <c r="X943" s="12">
        <f t="shared" si="426"/>
        <v>0</v>
      </c>
      <c r="Y943" s="250">
        <f>'day2'!Y939</f>
        <v>6400</v>
      </c>
      <c r="Z943" s="12">
        <f t="shared" si="427"/>
        <v>6155</v>
      </c>
      <c r="AA943" s="12">
        <f t="shared" si="428"/>
        <v>0.5</v>
      </c>
      <c r="AB943" s="12">
        <f t="shared" si="428"/>
        <v>0.5</v>
      </c>
      <c r="AC943" s="12">
        <f t="shared" si="445"/>
        <v>0</v>
      </c>
      <c r="AD943" s="12">
        <f t="shared" si="429"/>
        <v>9</v>
      </c>
      <c r="AE943" s="100">
        <f t="shared" si="430"/>
        <v>0</v>
      </c>
      <c r="AF943" s="12">
        <f t="shared" si="446"/>
        <v>0</v>
      </c>
      <c r="AG943" s="12">
        <f t="shared" si="447"/>
        <v>0</v>
      </c>
      <c r="AH943" s="12">
        <f t="shared" si="448"/>
        <v>0</v>
      </c>
      <c r="AI943" s="12">
        <f t="shared" si="431"/>
        <v>0</v>
      </c>
      <c r="AJ943" s="12">
        <v>1</v>
      </c>
      <c r="AK943" s="12">
        <f t="shared" si="432"/>
        <v>0</v>
      </c>
      <c r="AL943" s="12">
        <f t="shared" si="449"/>
        <v>0</v>
      </c>
      <c r="AM943" s="12">
        <f t="shared" si="433"/>
        <v>0</v>
      </c>
      <c r="AN943" s="12">
        <f t="shared" si="434"/>
        <v>0</v>
      </c>
      <c r="AO943" s="12">
        <f t="shared" si="435"/>
        <v>0</v>
      </c>
      <c r="AP943" s="12">
        <f t="shared" si="436"/>
        <v>0</v>
      </c>
      <c r="AQ943" s="3" t="str">
        <f t="shared" si="437"/>
        <v>SR807</v>
      </c>
      <c r="AR943" s="3" t="str">
        <f t="shared" si="438"/>
        <v>SR80710</v>
      </c>
      <c r="AS943" s="6" t="str">
        <f t="shared" si="439"/>
        <v>9999</v>
      </c>
      <c r="AT943" s="6" t="str">
        <f t="shared" si="440"/>
        <v>CNY</v>
      </c>
      <c r="AU943" s="6" t="str">
        <f t="shared" si="441"/>
        <v>50010001</v>
      </c>
      <c r="AV943" s="142">
        <f>'day2'!M939+'day2'!N939</f>
        <v>0</v>
      </c>
      <c r="AW943" s="142">
        <f t="shared" si="450"/>
        <v>0</v>
      </c>
    </row>
    <row r="944" spans="1:49" s="6" customFormat="1" x14ac:dyDescent="0.25">
      <c r="A944" s="6" t="str">
        <f t="shared" si="442"/>
        <v>comment</v>
      </c>
      <c r="B944" s="140" t="str">
        <f>'day2'!B940</f>
        <v>2018032610000051</v>
      </c>
      <c r="C944" s="140" t="str">
        <f>'day2'!C940</f>
        <v>6001</v>
      </c>
      <c r="D944" s="140" t="str">
        <f>'day2'!D940</f>
        <v>B00101</v>
      </c>
      <c r="E944" s="140" t="str">
        <f>'day2'!E940</f>
        <v>6001</v>
      </c>
      <c r="F944" s="140">
        <f t="shared" si="416"/>
        <v>20180328</v>
      </c>
      <c r="G944" s="140">
        <f>'day2'!G940</f>
        <v>20180326</v>
      </c>
      <c r="H944" s="140" t="str">
        <f>'day2'!H940</f>
        <v>CZCE</v>
      </c>
      <c r="I944" s="140" t="str">
        <f>'day2'!I940</f>
        <v>SR807</v>
      </c>
      <c r="J944" s="268">
        <f>'day2'!J940</f>
        <v>0</v>
      </c>
      <c r="K944" s="268">
        <f>'day2'!K940</f>
        <v>2</v>
      </c>
      <c r="L944" s="268">
        <f>'day2'!L940</f>
        <v>3</v>
      </c>
      <c r="M944" s="268">
        <f t="shared" si="417"/>
        <v>0</v>
      </c>
      <c r="N944" s="268">
        <f t="shared" si="418"/>
        <v>0</v>
      </c>
      <c r="O944" s="6">
        <f t="shared" si="443"/>
        <v>0</v>
      </c>
      <c r="P944" s="12">
        <f t="shared" si="444"/>
        <v>0</v>
      </c>
      <c r="Q944" s="12">
        <f t="shared" si="419"/>
        <v>5.1999999999999998E-2</v>
      </c>
      <c r="R944" s="12">
        <f t="shared" si="420"/>
        <v>5.2</v>
      </c>
      <c r="S944" s="12">
        <f t="shared" si="421"/>
        <v>4.2000000000000003E-2</v>
      </c>
      <c r="T944" s="12">
        <f t="shared" si="422"/>
        <v>4.2</v>
      </c>
      <c r="U944" s="12">
        <f t="shared" si="423"/>
        <v>10</v>
      </c>
      <c r="V944" s="12">
        <f t="shared" si="424"/>
        <v>0</v>
      </c>
      <c r="W944" s="12">
        <f t="shared" si="425"/>
        <v>6170</v>
      </c>
      <c r="X944" s="12">
        <f t="shared" si="426"/>
        <v>0</v>
      </c>
      <c r="Y944" s="250">
        <f>'day2'!Y940</f>
        <v>6400</v>
      </c>
      <c r="Z944" s="12">
        <f t="shared" si="427"/>
        <v>6155</v>
      </c>
      <c r="AA944" s="12">
        <f t="shared" si="428"/>
        <v>0.5</v>
      </c>
      <c r="AB944" s="12">
        <f t="shared" si="428"/>
        <v>0.5</v>
      </c>
      <c r="AC944" s="12">
        <f t="shared" si="445"/>
        <v>0</v>
      </c>
      <c r="AD944" s="12">
        <f t="shared" si="429"/>
        <v>9</v>
      </c>
      <c r="AE944" s="100">
        <f t="shared" si="430"/>
        <v>0</v>
      </c>
      <c r="AF944" s="12">
        <f t="shared" si="446"/>
        <v>0</v>
      </c>
      <c r="AG944" s="12">
        <f t="shared" si="447"/>
        <v>0</v>
      </c>
      <c r="AH944" s="12">
        <f t="shared" si="448"/>
        <v>0</v>
      </c>
      <c r="AI944" s="12">
        <f t="shared" si="431"/>
        <v>0</v>
      </c>
      <c r="AJ944" s="12">
        <v>1</v>
      </c>
      <c r="AK944" s="12">
        <f t="shared" si="432"/>
        <v>0</v>
      </c>
      <c r="AL944" s="12">
        <f t="shared" si="449"/>
        <v>0</v>
      </c>
      <c r="AM944" s="12">
        <f t="shared" si="433"/>
        <v>0</v>
      </c>
      <c r="AN944" s="12">
        <f t="shared" si="434"/>
        <v>0</v>
      </c>
      <c r="AO944" s="12">
        <f t="shared" si="435"/>
        <v>0</v>
      </c>
      <c r="AP944" s="12">
        <f t="shared" si="436"/>
        <v>0</v>
      </c>
      <c r="AQ944" s="3" t="str">
        <f t="shared" si="437"/>
        <v>SR807</v>
      </c>
      <c r="AR944" s="3" t="str">
        <f t="shared" si="438"/>
        <v>SR80730</v>
      </c>
      <c r="AS944" s="6" t="str">
        <f t="shared" si="439"/>
        <v>9999</v>
      </c>
      <c r="AT944" s="6" t="str">
        <f t="shared" si="440"/>
        <v>CNY</v>
      </c>
      <c r="AU944" s="6" t="str">
        <f t="shared" si="441"/>
        <v>50010001</v>
      </c>
      <c r="AV944" s="142">
        <f>'day2'!M940+'day2'!N940</f>
        <v>0</v>
      </c>
      <c r="AW944" s="142">
        <f t="shared" si="450"/>
        <v>0</v>
      </c>
    </row>
    <row r="945" spans="1:49" s="6" customFormat="1" x14ac:dyDescent="0.25">
      <c r="A945" s="6" t="str">
        <f t="shared" si="442"/>
        <v>comment</v>
      </c>
      <c r="B945" s="140" t="str">
        <f>'day2'!B941</f>
        <v>2018032610000052</v>
      </c>
      <c r="C945" s="140" t="str">
        <f>'day2'!C941</f>
        <v>6001</v>
      </c>
      <c r="D945" s="140" t="str">
        <f>'day2'!D941</f>
        <v>B00101</v>
      </c>
      <c r="E945" s="140" t="str">
        <f>'day2'!E941</f>
        <v>6001</v>
      </c>
      <c r="F945" s="140">
        <f t="shared" si="416"/>
        <v>20180328</v>
      </c>
      <c r="G945" s="140">
        <f>'day2'!G941</f>
        <v>20180326</v>
      </c>
      <c r="H945" s="140" t="str">
        <f>'day2'!H941</f>
        <v>CZCE</v>
      </c>
      <c r="I945" s="140" t="str">
        <f>'day2'!I941</f>
        <v>SR807</v>
      </c>
      <c r="J945" s="268">
        <f>'day2'!J941</f>
        <v>1</v>
      </c>
      <c r="K945" s="268">
        <f>'day2'!K941</f>
        <v>3</v>
      </c>
      <c r="L945" s="268">
        <f>'day2'!L941</f>
        <v>1</v>
      </c>
      <c r="M945" s="268">
        <f t="shared" si="417"/>
        <v>0</v>
      </c>
      <c r="N945" s="268">
        <f t="shared" si="418"/>
        <v>0</v>
      </c>
      <c r="O945" s="6">
        <f t="shared" si="443"/>
        <v>0</v>
      </c>
      <c r="P945" s="12">
        <f t="shared" si="444"/>
        <v>0</v>
      </c>
      <c r="Q945" s="12">
        <f t="shared" si="419"/>
        <v>5.0999999999999997E-2</v>
      </c>
      <c r="R945" s="12">
        <f t="shared" si="420"/>
        <v>5.0999999999999996</v>
      </c>
      <c r="S945" s="12">
        <f t="shared" si="421"/>
        <v>4.1000000000000002E-2</v>
      </c>
      <c r="T945" s="12">
        <f t="shared" si="422"/>
        <v>4.0999999999999996</v>
      </c>
      <c r="U945" s="12">
        <f t="shared" si="423"/>
        <v>10</v>
      </c>
      <c r="V945" s="12">
        <f t="shared" si="424"/>
        <v>0</v>
      </c>
      <c r="W945" s="12">
        <f t="shared" si="425"/>
        <v>6170</v>
      </c>
      <c r="X945" s="12">
        <f t="shared" si="426"/>
        <v>0</v>
      </c>
      <c r="Y945" s="250">
        <f>'day2'!Y941</f>
        <v>6400</v>
      </c>
      <c r="Z945" s="12">
        <f t="shared" si="427"/>
        <v>6155</v>
      </c>
      <c r="AA945" s="12">
        <f t="shared" si="428"/>
        <v>0.5</v>
      </c>
      <c r="AB945" s="12">
        <f t="shared" si="428"/>
        <v>0.5</v>
      </c>
      <c r="AC945" s="12">
        <f t="shared" si="445"/>
        <v>0</v>
      </c>
      <c r="AD945" s="12">
        <f t="shared" si="429"/>
        <v>9</v>
      </c>
      <c r="AE945" s="100">
        <f t="shared" si="430"/>
        <v>0</v>
      </c>
      <c r="AF945" s="12">
        <f t="shared" si="446"/>
        <v>0</v>
      </c>
      <c r="AG945" s="12">
        <f t="shared" si="447"/>
        <v>0</v>
      </c>
      <c r="AH945" s="12">
        <f t="shared" si="448"/>
        <v>0</v>
      </c>
      <c r="AI945" s="12">
        <f t="shared" si="431"/>
        <v>0</v>
      </c>
      <c r="AJ945" s="12">
        <v>1</v>
      </c>
      <c r="AK945" s="12">
        <f t="shared" si="432"/>
        <v>0</v>
      </c>
      <c r="AL945" s="12">
        <f t="shared" si="449"/>
        <v>0</v>
      </c>
      <c r="AM945" s="12">
        <f t="shared" si="433"/>
        <v>0</v>
      </c>
      <c r="AN945" s="12">
        <f t="shared" si="434"/>
        <v>0</v>
      </c>
      <c r="AO945" s="12">
        <f t="shared" si="435"/>
        <v>0</v>
      </c>
      <c r="AP945" s="12">
        <f t="shared" si="436"/>
        <v>0</v>
      </c>
      <c r="AQ945" s="3" t="str">
        <f t="shared" si="437"/>
        <v>SR807</v>
      </c>
      <c r="AR945" s="3" t="str">
        <f t="shared" si="438"/>
        <v>SR80711</v>
      </c>
      <c r="AS945" s="6" t="str">
        <f t="shared" si="439"/>
        <v>9999</v>
      </c>
      <c r="AT945" s="6" t="str">
        <f t="shared" si="440"/>
        <v>CNY</v>
      </c>
      <c r="AU945" s="6" t="str">
        <f t="shared" si="441"/>
        <v>50010001</v>
      </c>
      <c r="AV945" s="142">
        <f>'day2'!M941+'day2'!N941</f>
        <v>0</v>
      </c>
      <c r="AW945" s="142">
        <f t="shared" si="450"/>
        <v>0</v>
      </c>
    </row>
    <row r="946" spans="1:49" s="6" customFormat="1" x14ac:dyDescent="0.25">
      <c r="A946" s="6" t="str">
        <f t="shared" si="442"/>
        <v>comment</v>
      </c>
      <c r="B946" s="140" t="str">
        <f>'day2'!B942</f>
        <v>2018032610000053</v>
      </c>
      <c r="C946" s="140" t="str">
        <f>'day2'!C942</f>
        <v>6001</v>
      </c>
      <c r="D946" s="140" t="str">
        <f>'day2'!D942</f>
        <v>B00101</v>
      </c>
      <c r="E946" s="140" t="str">
        <f>'day2'!E942</f>
        <v>6001</v>
      </c>
      <c r="F946" s="140">
        <f t="shared" si="416"/>
        <v>20180328</v>
      </c>
      <c r="G946" s="140">
        <f>'day2'!G942</f>
        <v>20180326</v>
      </c>
      <c r="H946" s="140" t="str">
        <f>'day2'!H942</f>
        <v>CZCE</v>
      </c>
      <c r="I946" s="140" t="str">
        <f>'day2'!I942</f>
        <v>SR807</v>
      </c>
      <c r="J946" s="268">
        <f>'day2'!J942</f>
        <v>1</v>
      </c>
      <c r="K946" s="268">
        <f>'day2'!K942</f>
        <v>3</v>
      </c>
      <c r="L946" s="268">
        <f>'day2'!L942</f>
        <v>3</v>
      </c>
      <c r="M946" s="268">
        <f t="shared" si="417"/>
        <v>0</v>
      </c>
      <c r="N946" s="268">
        <f t="shared" si="418"/>
        <v>0</v>
      </c>
      <c r="O946" s="6">
        <f t="shared" si="443"/>
        <v>0</v>
      </c>
      <c r="P946" s="12">
        <f t="shared" si="444"/>
        <v>0</v>
      </c>
      <c r="Q946" s="12">
        <f t="shared" si="419"/>
        <v>5.2999999999999999E-2</v>
      </c>
      <c r="R946" s="12">
        <f t="shared" si="420"/>
        <v>5.3</v>
      </c>
      <c r="S946" s="12">
        <f t="shared" si="421"/>
        <v>4.2999999999999997E-2</v>
      </c>
      <c r="T946" s="12">
        <f t="shared" si="422"/>
        <v>4.3</v>
      </c>
      <c r="U946" s="12">
        <f t="shared" si="423"/>
        <v>10</v>
      </c>
      <c r="V946" s="12">
        <f t="shared" si="424"/>
        <v>0</v>
      </c>
      <c r="W946" s="12">
        <f t="shared" si="425"/>
        <v>6170</v>
      </c>
      <c r="X946" s="12">
        <f t="shared" si="426"/>
        <v>0</v>
      </c>
      <c r="Y946" s="250">
        <f>'day2'!Y942</f>
        <v>6400</v>
      </c>
      <c r="Z946" s="12">
        <f t="shared" si="427"/>
        <v>6155</v>
      </c>
      <c r="AA946" s="12">
        <f t="shared" ref="AA946:AB965" si="451">$F$190</f>
        <v>0.5</v>
      </c>
      <c r="AB946" s="12">
        <f t="shared" si="451"/>
        <v>0.5</v>
      </c>
      <c r="AC946" s="12">
        <f t="shared" si="445"/>
        <v>0</v>
      </c>
      <c r="AD946" s="12">
        <f t="shared" si="429"/>
        <v>9</v>
      </c>
      <c r="AE946" s="100">
        <f t="shared" si="430"/>
        <v>0</v>
      </c>
      <c r="AF946" s="12">
        <f t="shared" si="446"/>
        <v>0</v>
      </c>
      <c r="AG946" s="12">
        <f t="shared" si="447"/>
        <v>0</v>
      </c>
      <c r="AH946" s="12">
        <f t="shared" si="448"/>
        <v>0</v>
      </c>
      <c r="AI946" s="12">
        <f t="shared" si="431"/>
        <v>0</v>
      </c>
      <c r="AJ946" s="12">
        <v>1</v>
      </c>
      <c r="AK946" s="12">
        <f t="shared" si="432"/>
        <v>0</v>
      </c>
      <c r="AL946" s="12">
        <f t="shared" si="449"/>
        <v>0</v>
      </c>
      <c r="AM946" s="12">
        <f t="shared" si="433"/>
        <v>0</v>
      </c>
      <c r="AN946" s="12">
        <f t="shared" si="434"/>
        <v>0</v>
      </c>
      <c r="AO946" s="12">
        <f t="shared" si="435"/>
        <v>0</v>
      </c>
      <c r="AP946" s="12">
        <f t="shared" si="436"/>
        <v>0</v>
      </c>
      <c r="AQ946" s="3" t="str">
        <f t="shared" si="437"/>
        <v>SR807</v>
      </c>
      <c r="AR946" s="3" t="str">
        <f t="shared" si="438"/>
        <v>SR80731</v>
      </c>
      <c r="AS946" s="6" t="str">
        <f t="shared" si="439"/>
        <v>9999</v>
      </c>
      <c r="AT946" s="6" t="str">
        <f t="shared" si="440"/>
        <v>CNY</v>
      </c>
      <c r="AU946" s="6" t="str">
        <f t="shared" si="441"/>
        <v>50010001</v>
      </c>
      <c r="AV946" s="142">
        <f>'day2'!M942+'day2'!N942</f>
        <v>0</v>
      </c>
      <c r="AW946" s="142">
        <f t="shared" si="450"/>
        <v>0</v>
      </c>
    </row>
    <row r="947" spans="1:49" s="6" customFormat="1" x14ac:dyDescent="0.25">
      <c r="A947" s="6" t="str">
        <f t="shared" si="442"/>
        <v>comment</v>
      </c>
      <c r="B947" s="140" t="str">
        <f>'day2'!B943</f>
        <v>2018032610000054</v>
      </c>
      <c r="C947" s="140" t="str">
        <f>'day2'!C943</f>
        <v>6001</v>
      </c>
      <c r="D947" s="140" t="str">
        <f>'day2'!D943</f>
        <v>B00101</v>
      </c>
      <c r="E947" s="140" t="str">
        <f>'day2'!E943</f>
        <v>6001</v>
      </c>
      <c r="F947" s="140">
        <f t="shared" si="416"/>
        <v>20180328</v>
      </c>
      <c r="G947" s="140">
        <f>'day2'!G943</f>
        <v>20180326</v>
      </c>
      <c r="H947" s="140" t="str">
        <f>'day2'!H943</f>
        <v>CZCE</v>
      </c>
      <c r="I947" s="140" t="str">
        <f>'day2'!I943</f>
        <v>SR807</v>
      </c>
      <c r="J947" s="268">
        <f>'day2'!J943</f>
        <v>0</v>
      </c>
      <c r="K947" s="268">
        <f>'day2'!K943</f>
        <v>2</v>
      </c>
      <c r="L947" s="268">
        <f>'day2'!L943</f>
        <v>1</v>
      </c>
      <c r="M947" s="268">
        <f t="shared" si="417"/>
        <v>0</v>
      </c>
      <c r="N947" s="268">
        <f t="shared" si="418"/>
        <v>0</v>
      </c>
      <c r="O947" s="6">
        <f t="shared" si="443"/>
        <v>0</v>
      </c>
      <c r="P947" s="12">
        <f t="shared" si="444"/>
        <v>0</v>
      </c>
      <c r="Q947" s="12">
        <f t="shared" si="419"/>
        <v>0.05</v>
      </c>
      <c r="R947" s="12">
        <f t="shared" si="420"/>
        <v>5</v>
      </c>
      <c r="S947" s="12">
        <f t="shared" si="421"/>
        <v>0.04</v>
      </c>
      <c r="T947" s="12">
        <f t="shared" si="422"/>
        <v>4</v>
      </c>
      <c r="U947" s="12">
        <f t="shared" si="423"/>
        <v>10</v>
      </c>
      <c r="V947" s="12">
        <f t="shared" si="424"/>
        <v>0</v>
      </c>
      <c r="W947" s="12">
        <f t="shared" si="425"/>
        <v>6170</v>
      </c>
      <c r="X947" s="12">
        <f t="shared" si="426"/>
        <v>0</v>
      </c>
      <c r="Y947" s="250">
        <f>'day2'!Y943</f>
        <v>6500</v>
      </c>
      <c r="Z947" s="12">
        <f t="shared" si="427"/>
        <v>6155</v>
      </c>
      <c r="AA947" s="12">
        <f t="shared" si="451"/>
        <v>0.5</v>
      </c>
      <c r="AB947" s="12">
        <f t="shared" si="451"/>
        <v>0.5</v>
      </c>
      <c r="AC947" s="12">
        <f t="shared" si="445"/>
        <v>0</v>
      </c>
      <c r="AD947" s="12">
        <f t="shared" si="429"/>
        <v>9</v>
      </c>
      <c r="AE947" s="100">
        <f t="shared" si="430"/>
        <v>0</v>
      </c>
      <c r="AF947" s="12">
        <f t="shared" si="446"/>
        <v>0</v>
      </c>
      <c r="AG947" s="12">
        <f t="shared" si="447"/>
        <v>0</v>
      </c>
      <c r="AH947" s="12">
        <f t="shared" si="448"/>
        <v>0</v>
      </c>
      <c r="AI947" s="12">
        <f t="shared" si="431"/>
        <v>0</v>
      </c>
      <c r="AJ947" s="12">
        <v>1</v>
      </c>
      <c r="AK947" s="12">
        <f t="shared" si="432"/>
        <v>0</v>
      </c>
      <c r="AL947" s="12">
        <f t="shared" si="449"/>
        <v>0</v>
      </c>
      <c r="AM947" s="12">
        <f t="shared" si="433"/>
        <v>0</v>
      </c>
      <c r="AN947" s="12">
        <f t="shared" si="434"/>
        <v>0</v>
      </c>
      <c r="AO947" s="12">
        <f t="shared" si="435"/>
        <v>0</v>
      </c>
      <c r="AP947" s="12">
        <f t="shared" si="436"/>
        <v>0</v>
      </c>
      <c r="AQ947" s="3" t="str">
        <f t="shared" si="437"/>
        <v>SR807</v>
      </c>
      <c r="AR947" s="3" t="str">
        <f t="shared" si="438"/>
        <v>SR80710</v>
      </c>
      <c r="AS947" s="6" t="str">
        <f t="shared" si="439"/>
        <v>9999</v>
      </c>
      <c r="AT947" s="6" t="str">
        <f t="shared" si="440"/>
        <v>CNY</v>
      </c>
      <c r="AU947" s="6" t="str">
        <f t="shared" si="441"/>
        <v>50010001</v>
      </c>
      <c r="AV947" s="142">
        <f>'day2'!M943+'day2'!N943</f>
        <v>0</v>
      </c>
      <c r="AW947" s="142">
        <f t="shared" si="450"/>
        <v>0</v>
      </c>
    </row>
    <row r="948" spans="1:49" s="6" customFormat="1" x14ac:dyDescent="0.25">
      <c r="A948" s="6" t="str">
        <f t="shared" si="442"/>
        <v/>
      </c>
      <c r="B948" s="140" t="str">
        <f>'day2'!B944</f>
        <v>2018032610000055</v>
      </c>
      <c r="C948" s="140" t="str">
        <f>'day2'!C944</f>
        <v>6001</v>
      </c>
      <c r="D948" s="140" t="str">
        <f>'day2'!D944</f>
        <v>B00101</v>
      </c>
      <c r="E948" s="140" t="str">
        <f>'day2'!E944</f>
        <v>6001</v>
      </c>
      <c r="F948" s="140">
        <f t="shared" si="416"/>
        <v>20180328</v>
      </c>
      <c r="G948" s="140">
        <f>'day2'!G944</f>
        <v>20180326</v>
      </c>
      <c r="H948" s="140" t="str">
        <f>'day2'!H944</f>
        <v>CZCE</v>
      </c>
      <c r="I948" s="140" t="str">
        <f>'day2'!I944</f>
        <v>SR807</v>
      </c>
      <c r="J948" s="268">
        <f>'day2'!J944</f>
        <v>0</v>
      </c>
      <c r="K948" s="268">
        <f>'day2'!K944</f>
        <v>2</v>
      </c>
      <c r="L948" s="268">
        <f>'day2'!L944</f>
        <v>3</v>
      </c>
      <c r="M948" s="268">
        <f t="shared" si="417"/>
        <v>1</v>
      </c>
      <c r="N948" s="268">
        <f t="shared" si="418"/>
        <v>0</v>
      </c>
      <c r="O948" s="6">
        <f t="shared" si="443"/>
        <v>0</v>
      </c>
      <c r="P948" s="12">
        <f t="shared" si="444"/>
        <v>0</v>
      </c>
      <c r="Q948" s="12">
        <f t="shared" si="419"/>
        <v>5.1999999999999998E-2</v>
      </c>
      <c r="R948" s="12">
        <f t="shared" si="420"/>
        <v>5.2</v>
      </c>
      <c r="S948" s="12">
        <f t="shared" si="421"/>
        <v>4.2000000000000003E-2</v>
      </c>
      <c r="T948" s="12">
        <f t="shared" si="422"/>
        <v>4.2</v>
      </c>
      <c r="U948" s="12">
        <f t="shared" si="423"/>
        <v>10</v>
      </c>
      <c r="V948" s="12">
        <f t="shared" si="424"/>
        <v>0</v>
      </c>
      <c r="W948" s="266">
        <f t="shared" si="425"/>
        <v>6170</v>
      </c>
      <c r="X948" s="266">
        <f t="shared" si="426"/>
        <v>0</v>
      </c>
      <c r="Y948" s="266">
        <f>'day2'!Y944</f>
        <v>6500</v>
      </c>
      <c r="Z948" s="266">
        <f t="shared" si="427"/>
        <v>6155</v>
      </c>
      <c r="AA948" s="12">
        <f t="shared" si="451"/>
        <v>0.5</v>
      </c>
      <c r="AB948" s="12">
        <f t="shared" si="451"/>
        <v>0.5</v>
      </c>
      <c r="AC948" s="12">
        <f t="shared" si="445"/>
        <v>0</v>
      </c>
      <c r="AD948" s="12">
        <f t="shared" si="429"/>
        <v>9</v>
      </c>
      <c r="AE948" s="100">
        <f t="shared" si="430"/>
        <v>3213.6</v>
      </c>
      <c r="AF948" s="12">
        <f t="shared" si="446"/>
        <v>2595.6</v>
      </c>
      <c r="AG948" s="12">
        <f t="shared" si="447"/>
        <v>0</v>
      </c>
      <c r="AH948" s="12">
        <f t="shared" si="448"/>
        <v>0</v>
      </c>
      <c r="AI948" s="12">
        <f t="shared" si="431"/>
        <v>0</v>
      </c>
      <c r="AJ948" s="12">
        <v>1</v>
      </c>
      <c r="AK948" s="12">
        <f t="shared" si="432"/>
        <v>0</v>
      </c>
      <c r="AL948" s="12">
        <f t="shared" si="449"/>
        <v>150</v>
      </c>
      <c r="AM948" s="12">
        <f t="shared" si="433"/>
        <v>-3300</v>
      </c>
      <c r="AN948" s="12">
        <f t="shared" si="434"/>
        <v>0</v>
      </c>
      <c r="AO948" s="12">
        <f t="shared" si="435"/>
        <v>0</v>
      </c>
      <c r="AP948" s="12">
        <f t="shared" si="436"/>
        <v>0</v>
      </c>
      <c r="AQ948" s="3" t="str">
        <f t="shared" si="437"/>
        <v>SR807</v>
      </c>
      <c r="AR948" s="3" t="str">
        <f t="shared" si="438"/>
        <v>SR80730</v>
      </c>
      <c r="AS948" s="6" t="str">
        <f t="shared" si="439"/>
        <v>9999</v>
      </c>
      <c r="AT948" s="6" t="str">
        <f t="shared" si="440"/>
        <v>CNY</v>
      </c>
      <c r="AU948" s="6" t="str">
        <f t="shared" si="441"/>
        <v>50010001</v>
      </c>
      <c r="AV948" s="142">
        <f>'day2'!M944+'day2'!N944</f>
        <v>1</v>
      </c>
      <c r="AW948" s="142">
        <f t="shared" si="450"/>
        <v>65000</v>
      </c>
    </row>
    <row r="949" spans="1:49" s="6" customFormat="1" x14ac:dyDescent="0.25">
      <c r="A949" s="6" t="str">
        <f t="shared" si="442"/>
        <v/>
      </c>
      <c r="B949" s="140" t="str">
        <f>'day2'!B945</f>
        <v>2018032610000056</v>
      </c>
      <c r="C949" s="140" t="str">
        <f>'day2'!C945</f>
        <v>6001</v>
      </c>
      <c r="D949" s="140" t="str">
        <f>'day2'!D945</f>
        <v>B00101</v>
      </c>
      <c r="E949" s="140" t="str">
        <f>'day2'!E945</f>
        <v>6001</v>
      </c>
      <c r="F949" s="140">
        <f t="shared" si="416"/>
        <v>20180328</v>
      </c>
      <c r="G949" s="140">
        <f>'day2'!G945</f>
        <v>20180326</v>
      </c>
      <c r="H949" s="140" t="str">
        <f>'day2'!H945</f>
        <v>CZCE</v>
      </c>
      <c r="I949" s="140" t="str">
        <f>'day2'!I945</f>
        <v>SR807</v>
      </c>
      <c r="J949" s="268">
        <f>'day2'!J945</f>
        <v>1</v>
      </c>
      <c r="K949" s="268">
        <f>'day2'!K945</f>
        <v>3</v>
      </c>
      <c r="L949" s="268">
        <f>'day2'!L945</f>
        <v>1</v>
      </c>
      <c r="M949" s="268">
        <f t="shared" si="417"/>
        <v>3</v>
      </c>
      <c r="N949" s="268">
        <f t="shared" si="418"/>
        <v>0</v>
      </c>
      <c r="O949" s="6">
        <f t="shared" si="443"/>
        <v>0</v>
      </c>
      <c r="P949" s="12">
        <f t="shared" si="444"/>
        <v>0</v>
      </c>
      <c r="Q949" s="12">
        <f t="shared" si="419"/>
        <v>5.0999999999999997E-2</v>
      </c>
      <c r="R949" s="12">
        <f t="shared" si="420"/>
        <v>5.0999999999999996</v>
      </c>
      <c r="S949" s="12">
        <f t="shared" si="421"/>
        <v>4.1000000000000002E-2</v>
      </c>
      <c r="T949" s="12">
        <f t="shared" si="422"/>
        <v>4.0999999999999996</v>
      </c>
      <c r="U949" s="12">
        <f t="shared" si="423"/>
        <v>10</v>
      </c>
      <c r="V949" s="12">
        <f t="shared" si="424"/>
        <v>0</v>
      </c>
      <c r="W949" s="266">
        <f t="shared" si="425"/>
        <v>6170</v>
      </c>
      <c r="X949" s="266">
        <f t="shared" si="426"/>
        <v>0</v>
      </c>
      <c r="Y949" s="266">
        <f>'day2'!Y945</f>
        <v>6500</v>
      </c>
      <c r="Z949" s="266">
        <f t="shared" si="427"/>
        <v>6155</v>
      </c>
      <c r="AA949" s="12">
        <f t="shared" si="451"/>
        <v>0.5</v>
      </c>
      <c r="AB949" s="12">
        <f t="shared" si="451"/>
        <v>0.5</v>
      </c>
      <c r="AC949" s="12">
        <f t="shared" si="445"/>
        <v>0</v>
      </c>
      <c r="AD949" s="12">
        <f t="shared" si="429"/>
        <v>9</v>
      </c>
      <c r="AE949" s="100">
        <f t="shared" si="430"/>
        <v>9455.4</v>
      </c>
      <c r="AF949" s="12">
        <f t="shared" si="446"/>
        <v>7601.4</v>
      </c>
      <c r="AG949" s="12">
        <f t="shared" si="447"/>
        <v>0</v>
      </c>
      <c r="AH949" s="12">
        <f t="shared" si="448"/>
        <v>0</v>
      </c>
      <c r="AI949" s="12">
        <f t="shared" si="431"/>
        <v>0</v>
      </c>
      <c r="AJ949" s="12">
        <v>1</v>
      </c>
      <c r="AK949" s="12">
        <f t="shared" si="432"/>
        <v>0</v>
      </c>
      <c r="AL949" s="12">
        <f t="shared" si="449"/>
        <v>-450</v>
      </c>
      <c r="AM949" s="12">
        <f t="shared" si="433"/>
        <v>9900</v>
      </c>
      <c r="AN949" s="12">
        <f t="shared" si="434"/>
        <v>0</v>
      </c>
      <c r="AO949" s="12">
        <f t="shared" si="435"/>
        <v>0</v>
      </c>
      <c r="AP949" s="12">
        <f t="shared" si="436"/>
        <v>0</v>
      </c>
      <c r="AQ949" s="3" t="str">
        <f t="shared" si="437"/>
        <v>SR807</v>
      </c>
      <c r="AR949" s="3" t="str">
        <f t="shared" si="438"/>
        <v>SR80711</v>
      </c>
      <c r="AS949" s="6" t="str">
        <f t="shared" si="439"/>
        <v>9999</v>
      </c>
      <c r="AT949" s="6" t="str">
        <f t="shared" si="440"/>
        <v>CNY</v>
      </c>
      <c r="AU949" s="6" t="str">
        <f t="shared" si="441"/>
        <v>50010001</v>
      </c>
      <c r="AV949" s="142">
        <f>'day2'!M945+'day2'!N945</f>
        <v>3</v>
      </c>
      <c r="AW949" s="142">
        <f t="shared" si="450"/>
        <v>195000</v>
      </c>
    </row>
    <row r="950" spans="1:49" s="6" customFormat="1" x14ac:dyDescent="0.25">
      <c r="A950" s="6" t="str">
        <f t="shared" si="442"/>
        <v/>
      </c>
      <c r="B950" s="140" t="str">
        <f>'day2'!B946</f>
        <v>2018032610000057</v>
      </c>
      <c r="C950" s="140" t="str">
        <f>'day2'!C946</f>
        <v>6001</v>
      </c>
      <c r="D950" s="140" t="str">
        <f>'day2'!D946</f>
        <v>B00101</v>
      </c>
      <c r="E950" s="140" t="str">
        <f>'day2'!E946</f>
        <v>6001</v>
      </c>
      <c r="F950" s="140">
        <f t="shared" si="416"/>
        <v>20180328</v>
      </c>
      <c r="G950" s="140">
        <f>'day2'!G946</f>
        <v>20180326</v>
      </c>
      <c r="H950" s="140" t="str">
        <f>'day2'!H946</f>
        <v>CZCE</v>
      </c>
      <c r="I950" s="140" t="str">
        <f>'day2'!I946</f>
        <v>SR807</v>
      </c>
      <c r="J950" s="268">
        <f>'day2'!J946</f>
        <v>1</v>
      </c>
      <c r="K950" s="268">
        <f>'day2'!K946</f>
        <v>3</v>
      </c>
      <c r="L950" s="268">
        <f>'day2'!L946</f>
        <v>3</v>
      </c>
      <c r="M950" s="268">
        <f t="shared" si="417"/>
        <v>2</v>
      </c>
      <c r="N950" s="268">
        <f t="shared" si="418"/>
        <v>0</v>
      </c>
      <c r="O950" s="6">
        <f t="shared" si="443"/>
        <v>0</v>
      </c>
      <c r="P950" s="12">
        <f t="shared" si="444"/>
        <v>0</v>
      </c>
      <c r="Q950" s="12">
        <f t="shared" si="419"/>
        <v>5.2999999999999999E-2</v>
      </c>
      <c r="R950" s="12">
        <f t="shared" si="420"/>
        <v>5.3</v>
      </c>
      <c r="S950" s="12">
        <f t="shared" si="421"/>
        <v>4.2999999999999997E-2</v>
      </c>
      <c r="T950" s="12">
        <f t="shared" si="422"/>
        <v>4.3</v>
      </c>
      <c r="U950" s="12">
        <f t="shared" si="423"/>
        <v>10</v>
      </c>
      <c r="V950" s="12">
        <f t="shared" si="424"/>
        <v>0</v>
      </c>
      <c r="W950" s="266">
        <f t="shared" si="425"/>
        <v>6170</v>
      </c>
      <c r="X950" s="266">
        <f t="shared" si="426"/>
        <v>0</v>
      </c>
      <c r="Y950" s="266">
        <f>'day2'!Y946</f>
        <v>6500</v>
      </c>
      <c r="Z950" s="266">
        <f t="shared" si="427"/>
        <v>6155</v>
      </c>
      <c r="AA950" s="12">
        <f t="shared" si="451"/>
        <v>0.5</v>
      </c>
      <c r="AB950" s="12">
        <f t="shared" si="451"/>
        <v>0.5</v>
      </c>
      <c r="AC950" s="12">
        <f t="shared" si="445"/>
        <v>0</v>
      </c>
      <c r="AD950" s="12">
        <f t="shared" si="429"/>
        <v>9</v>
      </c>
      <c r="AE950" s="100">
        <f t="shared" si="430"/>
        <v>6550.8</v>
      </c>
      <c r="AF950" s="12">
        <f t="shared" si="446"/>
        <v>5314.8</v>
      </c>
      <c r="AG950" s="12">
        <f t="shared" si="447"/>
        <v>0</v>
      </c>
      <c r="AH950" s="12">
        <f t="shared" si="448"/>
        <v>0</v>
      </c>
      <c r="AI950" s="12">
        <f t="shared" si="431"/>
        <v>0</v>
      </c>
      <c r="AJ950" s="12">
        <v>1</v>
      </c>
      <c r="AK950" s="12">
        <f t="shared" si="432"/>
        <v>0</v>
      </c>
      <c r="AL950" s="12">
        <f t="shared" si="449"/>
        <v>-300</v>
      </c>
      <c r="AM950" s="12">
        <f t="shared" si="433"/>
        <v>6600</v>
      </c>
      <c r="AN950" s="12">
        <f t="shared" si="434"/>
        <v>0</v>
      </c>
      <c r="AO950" s="12">
        <f t="shared" si="435"/>
        <v>0</v>
      </c>
      <c r="AP950" s="12">
        <f t="shared" si="436"/>
        <v>0</v>
      </c>
      <c r="AQ950" s="3" t="str">
        <f t="shared" si="437"/>
        <v>SR807</v>
      </c>
      <c r="AR950" s="3" t="str">
        <f t="shared" si="438"/>
        <v>SR80731</v>
      </c>
      <c r="AS950" s="6" t="str">
        <f t="shared" si="439"/>
        <v>9999</v>
      </c>
      <c r="AT950" s="6" t="str">
        <f t="shared" si="440"/>
        <v>CNY</v>
      </c>
      <c r="AU950" s="6" t="str">
        <f t="shared" si="441"/>
        <v>50010001</v>
      </c>
      <c r="AV950" s="142">
        <f>'day2'!M946+'day2'!N946</f>
        <v>2</v>
      </c>
      <c r="AW950" s="142">
        <f t="shared" si="450"/>
        <v>130000</v>
      </c>
    </row>
    <row r="951" spans="1:49" s="4" customFormat="1" x14ac:dyDescent="0.25">
      <c r="A951" s="6" t="str">
        <f t="shared" si="442"/>
        <v/>
      </c>
      <c r="B951" s="308" t="str">
        <f>'day2'!B947</f>
        <v>2018032610000060</v>
      </c>
      <c r="C951" s="308" t="str">
        <f>'day2'!C947</f>
        <v>6001</v>
      </c>
      <c r="D951" s="308" t="str">
        <f>'day2'!D947</f>
        <v>B00102</v>
      </c>
      <c r="E951" s="308" t="str">
        <f>'day2'!E947</f>
        <v>6001</v>
      </c>
      <c r="F951" s="308">
        <f t="shared" si="416"/>
        <v>20180328</v>
      </c>
      <c r="G951" s="308">
        <f>'day2'!G947</f>
        <v>20180326</v>
      </c>
      <c r="H951" s="308" t="str">
        <f>'day2'!H947</f>
        <v>CZCE</v>
      </c>
      <c r="I951" s="308" t="str">
        <f>'day2'!I947</f>
        <v>PTA807</v>
      </c>
      <c r="J951" s="384">
        <f>'day2'!J947</f>
        <v>0</v>
      </c>
      <c r="K951" s="384">
        <f>'day2'!K947</f>
        <v>2</v>
      </c>
      <c r="L951" s="384">
        <f>'day2'!L947</f>
        <v>3</v>
      </c>
      <c r="M951" s="384">
        <f t="shared" si="417"/>
        <v>5</v>
      </c>
      <c r="N951" s="384">
        <f t="shared" ref="N951:N952" si="452">SUMPRODUCT(($E$880:$E$919=B951)*($F$880:$F$919=C951)*($G$880:$G$919=D951)*($I$880:$I$919=I951)*($J$880:$J$919=L951)*($L$880:$L$919=J951)*($N$880:$N$919))</f>
        <v>0</v>
      </c>
      <c r="O951" s="4">
        <f t="shared" ref="O951:O952" si="453">IF(AK951=0,0,M951*U951*W951)</f>
        <v>0</v>
      </c>
      <c r="P951" s="29">
        <f t="shared" ref="P951:P952" si="454">IF(AK951=0,0,(M951+N951)*U951*W951)</f>
        <v>0</v>
      </c>
      <c r="Q951" s="29">
        <f t="shared" si="419"/>
        <v>5.1999999999999998E-2</v>
      </c>
      <c r="R951" s="29">
        <f t="shared" si="420"/>
        <v>5.2</v>
      </c>
      <c r="S951" s="29">
        <f t="shared" si="421"/>
        <v>4.2000000000000003E-2</v>
      </c>
      <c r="T951" s="29">
        <f t="shared" si="422"/>
        <v>4.2</v>
      </c>
      <c r="U951" s="29">
        <f t="shared" si="423"/>
        <v>5</v>
      </c>
      <c r="V951" s="29">
        <f t="shared" si="424"/>
        <v>0</v>
      </c>
      <c r="W951" s="385">
        <f t="shared" si="425"/>
        <v>6165</v>
      </c>
      <c r="X951" s="385">
        <f t="shared" si="426"/>
        <v>0</v>
      </c>
      <c r="Y951" s="385">
        <f>'day2'!Y947</f>
        <v>6500</v>
      </c>
      <c r="Z951" s="385">
        <f t="shared" si="427"/>
        <v>6160</v>
      </c>
      <c r="AA951" s="29">
        <f t="shared" si="451"/>
        <v>0.5</v>
      </c>
      <c r="AB951" s="29">
        <f t="shared" si="451"/>
        <v>0.5</v>
      </c>
      <c r="AC951" s="29">
        <f t="shared" ref="AC951:AC952" si="455">IF(AD951=0,MAX((V951-X951)*U951,0),MAX((X951-V951)*U951,0))</f>
        <v>0</v>
      </c>
      <c r="AD951" s="29">
        <f t="shared" si="429"/>
        <v>9</v>
      </c>
      <c r="AE951" s="29">
        <f t="shared" ref="AE951:AE952" si="456">ROUND(IF(AK951=0,Q951*U951*W951*M951+R951*M951,IF(J951=0,0,MAX(AI951+(Q951*U951*X951+R951)*AJ951-AC951*AA951,AI951+(Q951*U951*X951+R951)*AB951)*M951)),2)</f>
        <v>8040.5</v>
      </c>
      <c r="AF951" s="29">
        <f t="shared" ref="AF951:AF952" si="457">ROUND(IF(AK951=0,S951*U951*W951*M951+T951*M951,IF(J951=0,0,MAX(AI951+(S951*U951*X951+T951)*AJ951-AC951*AA951,AI951+(S951*U951*X951+T951)*AB951)*M951)),2)</f>
        <v>6494.25</v>
      </c>
      <c r="AG951" s="29">
        <f t="shared" ref="AG951:AG952" si="458">ROUND(IF(AK951=0,Q951*U951*W951*N951+R951*N951,IF(J951=0,0,MAX(AI951+(Q951*U951*X951+R951)*AJ951-AC951*AA951,AI951+(Q951*U951*X951+R951)*AB951)*N951)),2)</f>
        <v>0</v>
      </c>
      <c r="AH951" s="29">
        <f t="shared" ref="AH951:AH952" si="459">ROUND(IF(AK951=0,S951*U951*W951*N951+T951*N951,IF(J951=0,0,MAX(AI951+(S951*U951*X951+T951)*AJ951-AC951*AA951,AI951+(S951*U951*X951+T951)*AB951)*N951)),2)</f>
        <v>0</v>
      </c>
      <c r="AI951" s="29">
        <f t="shared" ref="AI951:AI952" si="460">IF(AK951=1,1*U951*W951,0)</f>
        <v>0</v>
      </c>
      <c r="AJ951" s="12">
        <v>1</v>
      </c>
      <c r="AK951" s="29">
        <f t="shared" si="432"/>
        <v>0</v>
      </c>
      <c r="AL951" s="29">
        <f t="shared" ref="AL951:AL952" si="461">IF(AK951=0,IF(F951=G951,IF(J951=0,(W951-Y951)*U951*M951,-(W951-Y951)*U951*M951),IF(J951=0,(W951-Z951)*U951*M951,-(W951-Z951)*U951*M951)),0)</f>
        <v>125</v>
      </c>
      <c r="AM951" s="29">
        <f t="shared" ref="AM951:AM952" si="462">IF(AK951=0,IF(J951=0,(W951-Y951)*U951*M951,-(W951-Y951)*U951*M951),0)</f>
        <v>-8375</v>
      </c>
      <c r="AN951" s="29">
        <f t="shared" ref="AN951:AN952" si="463">IF(AK951=0,IF(F951=G951,IF(J951=0,(W951-Y951)*U951*N951,-(W951-Y951)*U951*N951),IF(J951=0,(W951-Z951)*U951*N951,-(W951-Z951)*U951*N951)),0)</f>
        <v>0</v>
      </c>
      <c r="AO951" s="29">
        <f t="shared" ref="AO951:AO952" si="464">IF(AK951=0,IF(J951=0,(W951-Y951)*U951*N951,-(W951-Y951)*U951*N951),0)</f>
        <v>0</v>
      </c>
      <c r="AP951" s="29">
        <f t="shared" si="436"/>
        <v>1</v>
      </c>
      <c r="AQ951" s="36" t="str">
        <f t="shared" si="437"/>
        <v>PTA807</v>
      </c>
      <c r="AR951" s="36" t="str">
        <f t="shared" ref="AR951:AR952" si="465">IF(AK951=0,AQ951&amp;L951&amp;J951,IF(AD951=0,AQ951&amp;L951&amp;1,AQ951&amp;L951&amp;0))</f>
        <v>PTA80730</v>
      </c>
      <c r="AS951" s="4" t="str">
        <f t="shared" si="439"/>
        <v>9999</v>
      </c>
      <c r="AT951" s="4" t="str">
        <f t="shared" si="440"/>
        <v>CNY</v>
      </c>
      <c r="AU951" s="4" t="str">
        <f t="shared" si="441"/>
        <v>50010002</v>
      </c>
      <c r="AV951" s="309">
        <f>'day2'!M947+'day2'!N947</f>
        <v>5</v>
      </c>
      <c r="AW951" s="142">
        <f t="shared" si="450"/>
        <v>162500</v>
      </c>
    </row>
    <row r="952" spans="1:49" s="4" customFormat="1" x14ac:dyDescent="0.25">
      <c r="A952" s="6" t="str">
        <f t="shared" si="442"/>
        <v/>
      </c>
      <c r="B952" s="308" t="str">
        <f>'day2'!B948</f>
        <v>2018032610000061</v>
      </c>
      <c r="C952" s="308" t="str">
        <f>'day2'!C948</f>
        <v>6001</v>
      </c>
      <c r="D952" s="308" t="str">
        <f>'day2'!D948</f>
        <v>B00102</v>
      </c>
      <c r="E952" s="308" t="str">
        <f>'day2'!E948</f>
        <v>6001</v>
      </c>
      <c r="F952" s="308">
        <f t="shared" si="416"/>
        <v>20180328</v>
      </c>
      <c r="G952" s="308">
        <f>'day2'!G948</f>
        <v>20180326</v>
      </c>
      <c r="H952" s="308" t="str">
        <f>'day2'!H948</f>
        <v>CZCE</v>
      </c>
      <c r="I952" s="308" t="str">
        <f>'day2'!I948</f>
        <v>PTA807</v>
      </c>
      <c r="J952" s="384">
        <f>'day2'!J948</f>
        <v>0</v>
      </c>
      <c r="K952" s="384">
        <f>'day2'!K948</f>
        <v>2</v>
      </c>
      <c r="L952" s="384">
        <f>'day2'!L948</f>
        <v>1</v>
      </c>
      <c r="M952" s="384">
        <f t="shared" si="417"/>
        <v>2</v>
      </c>
      <c r="N952" s="384">
        <f t="shared" si="452"/>
        <v>0</v>
      </c>
      <c r="O952" s="4">
        <f t="shared" si="453"/>
        <v>0</v>
      </c>
      <c r="P952" s="29">
        <f t="shared" si="454"/>
        <v>0</v>
      </c>
      <c r="Q952" s="29">
        <f t="shared" si="419"/>
        <v>0.05</v>
      </c>
      <c r="R952" s="29">
        <f t="shared" si="420"/>
        <v>5</v>
      </c>
      <c r="S952" s="29">
        <f t="shared" si="421"/>
        <v>0.04</v>
      </c>
      <c r="T952" s="29">
        <f t="shared" si="422"/>
        <v>4</v>
      </c>
      <c r="U952" s="29">
        <f t="shared" si="423"/>
        <v>5</v>
      </c>
      <c r="V952" s="29">
        <f t="shared" si="424"/>
        <v>0</v>
      </c>
      <c r="W952" s="385">
        <f t="shared" si="425"/>
        <v>6165</v>
      </c>
      <c r="X952" s="385">
        <f t="shared" si="426"/>
        <v>0</v>
      </c>
      <c r="Y952" s="385">
        <f>'day2'!Y948</f>
        <v>6500</v>
      </c>
      <c r="Z952" s="385">
        <f t="shared" si="427"/>
        <v>6160</v>
      </c>
      <c r="AA952" s="29">
        <f t="shared" si="451"/>
        <v>0.5</v>
      </c>
      <c r="AB952" s="29">
        <f t="shared" si="451"/>
        <v>0.5</v>
      </c>
      <c r="AC952" s="29">
        <f t="shared" si="455"/>
        <v>0</v>
      </c>
      <c r="AD952" s="29">
        <f t="shared" si="429"/>
        <v>9</v>
      </c>
      <c r="AE952" s="29">
        <f t="shared" si="456"/>
        <v>3092.5</v>
      </c>
      <c r="AF952" s="29">
        <f t="shared" si="457"/>
        <v>2474</v>
      </c>
      <c r="AG952" s="29">
        <f t="shared" si="458"/>
        <v>0</v>
      </c>
      <c r="AH952" s="29">
        <f t="shared" si="459"/>
        <v>0</v>
      </c>
      <c r="AI952" s="29">
        <f t="shared" si="460"/>
        <v>0</v>
      </c>
      <c r="AJ952" s="12">
        <v>1</v>
      </c>
      <c r="AK952" s="29">
        <f t="shared" si="432"/>
        <v>0</v>
      </c>
      <c r="AL952" s="29">
        <f t="shared" si="461"/>
        <v>50</v>
      </c>
      <c r="AM952" s="29">
        <f t="shared" si="462"/>
        <v>-3350</v>
      </c>
      <c r="AN952" s="29">
        <f t="shared" si="463"/>
        <v>0</v>
      </c>
      <c r="AO952" s="29">
        <f t="shared" si="464"/>
        <v>0</v>
      </c>
      <c r="AP952" s="29">
        <f t="shared" si="436"/>
        <v>1</v>
      </c>
      <c r="AQ952" s="36" t="str">
        <f t="shared" si="437"/>
        <v>PTA807</v>
      </c>
      <c r="AR952" s="36" t="str">
        <f t="shared" si="465"/>
        <v>PTA80710</v>
      </c>
      <c r="AS952" s="4" t="str">
        <f t="shared" si="439"/>
        <v>9999</v>
      </c>
      <c r="AT952" s="4" t="str">
        <f t="shared" si="440"/>
        <v>CNY</v>
      </c>
      <c r="AU952" s="4" t="str">
        <f t="shared" si="441"/>
        <v>50010002</v>
      </c>
      <c r="AV952" s="309">
        <f>'day2'!M948+'day2'!N948</f>
        <v>2</v>
      </c>
      <c r="AW952" s="142">
        <f t="shared" si="450"/>
        <v>65000</v>
      </c>
    </row>
    <row r="953" spans="1:49" s="6" customFormat="1" x14ac:dyDescent="0.25">
      <c r="A953" s="6" t="str">
        <f t="shared" si="442"/>
        <v>comment</v>
      </c>
      <c r="B953" s="140" t="str">
        <f>'day2'!B949</f>
        <v>2018032610000080</v>
      </c>
      <c r="C953" s="140" t="str">
        <f>'day2'!C949</f>
        <v>6001</v>
      </c>
      <c r="D953" s="140" t="str">
        <f>'day2'!D949</f>
        <v>B00101</v>
      </c>
      <c r="E953" s="140" t="str">
        <f>'day2'!E949</f>
        <v>6001</v>
      </c>
      <c r="F953" s="140">
        <f t="shared" si="416"/>
        <v>20180328</v>
      </c>
      <c r="G953" s="140">
        <f>'day2'!G949</f>
        <v>20180326</v>
      </c>
      <c r="H953" s="140" t="str">
        <f>'day2'!H949</f>
        <v>CZCE</v>
      </c>
      <c r="I953" s="140" t="str">
        <f>'day2'!I949</f>
        <v>SR807C6500</v>
      </c>
      <c r="J953" s="268">
        <f>'day2'!J949</f>
        <v>0</v>
      </c>
      <c r="K953" s="268">
        <f>'day2'!K949</f>
        <v>2</v>
      </c>
      <c r="L953" s="268">
        <f>'day2'!L949</f>
        <v>3</v>
      </c>
      <c r="M953" s="268">
        <f t="shared" si="417"/>
        <v>0</v>
      </c>
      <c r="N953" s="268">
        <f t="shared" si="418"/>
        <v>0</v>
      </c>
      <c r="O953" s="6">
        <f t="shared" si="443"/>
        <v>0</v>
      </c>
      <c r="P953" s="12">
        <f>IF(AK953=0,0,(M953+N953)*U953*W953)</f>
        <v>0</v>
      </c>
      <c r="Q953" s="12">
        <f t="shared" si="419"/>
        <v>6.6000000000000003E-2</v>
      </c>
      <c r="R953" s="12">
        <f t="shared" si="420"/>
        <v>6.43</v>
      </c>
      <c r="S953" s="12">
        <f t="shared" si="421"/>
        <v>4.2999999999999997E-2</v>
      </c>
      <c r="T953" s="12">
        <f t="shared" si="422"/>
        <v>4.3</v>
      </c>
      <c r="U953" s="12">
        <f t="shared" si="423"/>
        <v>10</v>
      </c>
      <c r="V953" s="12">
        <f t="shared" si="424"/>
        <v>6500</v>
      </c>
      <c r="W953" s="12">
        <f t="shared" si="425"/>
        <v>610</v>
      </c>
      <c r="X953" s="12">
        <f t="shared" si="426"/>
        <v>6170</v>
      </c>
      <c r="Y953" s="250">
        <f>'day2'!Y949</f>
        <v>600</v>
      </c>
      <c r="Z953" s="12">
        <f t="shared" si="427"/>
        <v>610</v>
      </c>
      <c r="AA953" s="12">
        <f t="shared" si="451"/>
        <v>0.5</v>
      </c>
      <c r="AB953" s="12">
        <f t="shared" si="451"/>
        <v>0.5</v>
      </c>
      <c r="AC953" s="12">
        <f t="shared" si="445"/>
        <v>3300</v>
      </c>
      <c r="AD953" s="12">
        <f t="shared" si="429"/>
        <v>0</v>
      </c>
      <c r="AE953" s="100">
        <f t="shared" si="430"/>
        <v>0</v>
      </c>
      <c r="AF953" s="12">
        <f t="shared" si="446"/>
        <v>0</v>
      </c>
      <c r="AG953" s="12">
        <f t="shared" si="447"/>
        <v>0</v>
      </c>
      <c r="AH953" s="12">
        <f t="shared" si="448"/>
        <v>0</v>
      </c>
      <c r="AI953" s="12">
        <f t="shared" si="431"/>
        <v>6100</v>
      </c>
      <c r="AJ953" s="12">
        <v>1</v>
      </c>
      <c r="AK953" s="12">
        <f t="shared" si="432"/>
        <v>1</v>
      </c>
      <c r="AL953" s="12">
        <f t="shared" si="449"/>
        <v>0</v>
      </c>
      <c r="AM953" s="12">
        <f t="shared" si="433"/>
        <v>0</v>
      </c>
      <c r="AN953" s="12">
        <f t="shared" si="434"/>
        <v>0</v>
      </c>
      <c r="AO953" s="12">
        <f t="shared" si="435"/>
        <v>0</v>
      </c>
      <c r="AP953" s="12">
        <f t="shared" si="436"/>
        <v>0</v>
      </c>
      <c r="AQ953" s="3" t="str">
        <f t="shared" si="437"/>
        <v>SR807</v>
      </c>
      <c r="AR953" s="3" t="str">
        <f t="shared" si="438"/>
        <v>SR80731</v>
      </c>
      <c r="AS953" s="6" t="str">
        <f t="shared" si="439"/>
        <v>9999</v>
      </c>
      <c r="AT953" s="6" t="str">
        <f t="shared" si="440"/>
        <v>CNY</v>
      </c>
      <c r="AU953" s="6" t="str">
        <f t="shared" si="441"/>
        <v>50010001</v>
      </c>
      <c r="AV953" s="142">
        <f>'day2'!M949+'day2'!N949</f>
        <v>0</v>
      </c>
      <c r="AW953" s="142">
        <f t="shared" si="450"/>
        <v>0</v>
      </c>
    </row>
    <row r="954" spans="1:49" s="6" customFormat="1" x14ac:dyDescent="0.25">
      <c r="A954" s="6" t="str">
        <f t="shared" si="442"/>
        <v>comment</v>
      </c>
      <c r="B954" s="140" t="str">
        <f>'day2'!B950</f>
        <v>2018032610000081</v>
      </c>
      <c r="C954" s="140" t="str">
        <f>'day2'!C950</f>
        <v>6001</v>
      </c>
      <c r="D954" s="140" t="str">
        <f>'day2'!D950</f>
        <v>B00101</v>
      </c>
      <c r="E954" s="140" t="str">
        <f>'day2'!E950</f>
        <v>6001</v>
      </c>
      <c r="F954" s="140">
        <f t="shared" si="416"/>
        <v>20180328</v>
      </c>
      <c r="G954" s="140">
        <f>'day2'!G950</f>
        <v>20180326</v>
      </c>
      <c r="H954" s="140" t="str">
        <f>'day2'!H950</f>
        <v>CZCE</v>
      </c>
      <c r="I954" s="140" t="str">
        <f>'day2'!I950</f>
        <v>SR807C6500</v>
      </c>
      <c r="J954" s="268">
        <f>'day2'!J950</f>
        <v>0</v>
      </c>
      <c r="K954" s="268">
        <f>'day2'!K950</f>
        <v>2</v>
      </c>
      <c r="L954" s="268">
        <f>'day2'!L950</f>
        <v>3</v>
      </c>
      <c r="M954" s="268">
        <f t="shared" si="417"/>
        <v>0</v>
      </c>
      <c r="N954" s="268">
        <f t="shared" si="418"/>
        <v>0</v>
      </c>
      <c r="O954" s="6">
        <f t="shared" si="443"/>
        <v>0</v>
      </c>
      <c r="P954" s="12">
        <f t="shared" si="444"/>
        <v>0</v>
      </c>
      <c r="Q954" s="12">
        <f t="shared" si="419"/>
        <v>6.6000000000000003E-2</v>
      </c>
      <c r="R954" s="12">
        <f t="shared" si="420"/>
        <v>6.43</v>
      </c>
      <c r="S954" s="12">
        <f t="shared" si="421"/>
        <v>4.2999999999999997E-2</v>
      </c>
      <c r="T954" s="12">
        <f t="shared" si="422"/>
        <v>4.3</v>
      </c>
      <c r="U954" s="12">
        <f t="shared" si="423"/>
        <v>10</v>
      </c>
      <c r="V954" s="12">
        <f t="shared" si="424"/>
        <v>6500</v>
      </c>
      <c r="W954" s="12">
        <f t="shared" si="425"/>
        <v>610</v>
      </c>
      <c r="X954" s="12">
        <f t="shared" si="426"/>
        <v>6170</v>
      </c>
      <c r="Y954" s="250">
        <f>'day2'!Y950</f>
        <v>601</v>
      </c>
      <c r="Z954" s="12">
        <f t="shared" si="427"/>
        <v>610</v>
      </c>
      <c r="AA954" s="12">
        <f t="shared" si="451"/>
        <v>0.5</v>
      </c>
      <c r="AB954" s="12">
        <f t="shared" si="451"/>
        <v>0.5</v>
      </c>
      <c r="AC954" s="12">
        <f t="shared" si="445"/>
        <v>3300</v>
      </c>
      <c r="AD954" s="12">
        <f t="shared" si="429"/>
        <v>0</v>
      </c>
      <c r="AE954" s="100">
        <f t="shared" si="430"/>
        <v>0</v>
      </c>
      <c r="AF954" s="12">
        <f t="shared" si="446"/>
        <v>0</v>
      </c>
      <c r="AG954" s="12">
        <f t="shared" si="447"/>
        <v>0</v>
      </c>
      <c r="AH954" s="12">
        <f t="shared" si="448"/>
        <v>0</v>
      </c>
      <c r="AI954" s="12">
        <f t="shared" si="431"/>
        <v>6100</v>
      </c>
      <c r="AJ954" s="12">
        <v>1</v>
      </c>
      <c r="AK954" s="12">
        <f t="shared" si="432"/>
        <v>1</v>
      </c>
      <c r="AL954" s="12">
        <f t="shared" si="449"/>
        <v>0</v>
      </c>
      <c r="AM954" s="12">
        <f t="shared" si="433"/>
        <v>0</v>
      </c>
      <c r="AN954" s="12">
        <f t="shared" si="434"/>
        <v>0</v>
      </c>
      <c r="AO954" s="12">
        <f t="shared" si="435"/>
        <v>0</v>
      </c>
      <c r="AP954" s="12">
        <f t="shared" si="436"/>
        <v>0</v>
      </c>
      <c r="AQ954" s="3" t="str">
        <f t="shared" si="437"/>
        <v>SR807</v>
      </c>
      <c r="AR954" s="3" t="str">
        <f t="shared" si="438"/>
        <v>SR80731</v>
      </c>
      <c r="AS954" s="6" t="str">
        <f t="shared" si="439"/>
        <v>9999</v>
      </c>
      <c r="AT954" s="6" t="str">
        <f t="shared" si="440"/>
        <v>CNY</v>
      </c>
      <c r="AU954" s="6" t="str">
        <f t="shared" si="441"/>
        <v>50010001</v>
      </c>
      <c r="AV954" s="142">
        <f>'day2'!M950+'day2'!N950</f>
        <v>0</v>
      </c>
      <c r="AW954" s="142">
        <f t="shared" si="450"/>
        <v>0</v>
      </c>
    </row>
    <row r="955" spans="1:49" s="6" customFormat="1" x14ac:dyDescent="0.25">
      <c r="A955" s="6" t="str">
        <f t="shared" si="442"/>
        <v>comment</v>
      </c>
      <c r="B955" s="140" t="str">
        <f>'day2'!B951</f>
        <v>2018032610000082</v>
      </c>
      <c r="C955" s="140" t="str">
        <f>'day2'!C951</f>
        <v>6001</v>
      </c>
      <c r="D955" s="140" t="str">
        <f>'day2'!D951</f>
        <v>B00101</v>
      </c>
      <c r="E955" s="140" t="str">
        <f>'day2'!E951</f>
        <v>6001</v>
      </c>
      <c r="F955" s="140">
        <f t="shared" si="416"/>
        <v>20180328</v>
      </c>
      <c r="G955" s="140">
        <f>'day2'!G951</f>
        <v>20180326</v>
      </c>
      <c r="H955" s="140" t="str">
        <f>'day2'!H951</f>
        <v>CZCE</v>
      </c>
      <c r="I955" s="140" t="str">
        <f>'day2'!I951</f>
        <v>SR807C6500</v>
      </c>
      <c r="J955" s="268">
        <f>'day2'!J951</f>
        <v>0</v>
      </c>
      <c r="K955" s="268">
        <f>'day2'!K951</f>
        <v>2</v>
      </c>
      <c r="L955" s="268">
        <f>'day2'!L951</f>
        <v>1</v>
      </c>
      <c r="M955" s="268">
        <f t="shared" si="417"/>
        <v>0</v>
      </c>
      <c r="N955" s="268">
        <f t="shared" si="418"/>
        <v>0</v>
      </c>
      <c r="O955" s="6">
        <f t="shared" si="443"/>
        <v>0</v>
      </c>
      <c r="P955" s="12">
        <f t="shared" si="444"/>
        <v>0</v>
      </c>
      <c r="Q955" s="12">
        <f t="shared" si="419"/>
        <v>6.2E-2</v>
      </c>
      <c r="R955" s="12">
        <f t="shared" si="420"/>
        <v>6.21</v>
      </c>
      <c r="S955" s="12">
        <f t="shared" si="421"/>
        <v>4.1000000000000002E-2</v>
      </c>
      <c r="T955" s="12">
        <f t="shared" si="422"/>
        <v>4.0999999999999996</v>
      </c>
      <c r="U955" s="12">
        <f t="shared" si="423"/>
        <v>10</v>
      </c>
      <c r="V955" s="12">
        <f t="shared" si="424"/>
        <v>6500</v>
      </c>
      <c r="W955" s="12">
        <f t="shared" si="425"/>
        <v>610</v>
      </c>
      <c r="X955" s="12">
        <f t="shared" si="426"/>
        <v>6170</v>
      </c>
      <c r="Y955" s="250">
        <f>'day2'!Y951</f>
        <v>602</v>
      </c>
      <c r="Z955" s="12">
        <f t="shared" si="427"/>
        <v>610</v>
      </c>
      <c r="AA955" s="12">
        <f t="shared" si="451"/>
        <v>0.5</v>
      </c>
      <c r="AB955" s="12">
        <f t="shared" si="451"/>
        <v>0.5</v>
      </c>
      <c r="AC955" s="12">
        <f t="shared" si="445"/>
        <v>3300</v>
      </c>
      <c r="AD955" s="12">
        <f t="shared" si="429"/>
        <v>0</v>
      </c>
      <c r="AE955" s="100">
        <f t="shared" si="430"/>
        <v>0</v>
      </c>
      <c r="AF955" s="12">
        <f t="shared" si="446"/>
        <v>0</v>
      </c>
      <c r="AG955" s="12">
        <f t="shared" si="447"/>
        <v>0</v>
      </c>
      <c r="AH955" s="12">
        <f t="shared" si="448"/>
        <v>0</v>
      </c>
      <c r="AI955" s="12">
        <f t="shared" si="431"/>
        <v>6100</v>
      </c>
      <c r="AJ955" s="12">
        <v>1</v>
      </c>
      <c r="AK955" s="12">
        <f t="shared" si="432"/>
        <v>1</v>
      </c>
      <c r="AL955" s="12">
        <f t="shared" si="449"/>
        <v>0</v>
      </c>
      <c r="AM955" s="12">
        <f t="shared" si="433"/>
        <v>0</v>
      </c>
      <c r="AN955" s="12">
        <f t="shared" si="434"/>
        <v>0</v>
      </c>
      <c r="AO955" s="12">
        <f t="shared" si="435"/>
        <v>0</v>
      </c>
      <c r="AP955" s="12">
        <f t="shared" si="436"/>
        <v>0</v>
      </c>
      <c r="AQ955" s="3" t="str">
        <f t="shared" si="437"/>
        <v>SR807</v>
      </c>
      <c r="AR955" s="3" t="str">
        <f t="shared" si="438"/>
        <v>SR80711</v>
      </c>
      <c r="AS955" s="6" t="str">
        <f t="shared" si="439"/>
        <v>9999</v>
      </c>
      <c r="AT955" s="6" t="str">
        <f t="shared" si="440"/>
        <v>CNY</v>
      </c>
      <c r="AU955" s="6" t="str">
        <f t="shared" si="441"/>
        <v>50010001</v>
      </c>
      <c r="AV955" s="142">
        <f>'day2'!M951+'day2'!N951</f>
        <v>0</v>
      </c>
      <c r="AW955" s="142">
        <f t="shared" si="450"/>
        <v>0</v>
      </c>
    </row>
    <row r="956" spans="1:49" s="6" customFormat="1" x14ac:dyDescent="0.25">
      <c r="A956" s="6" t="str">
        <f t="shared" si="442"/>
        <v>comment</v>
      </c>
      <c r="B956" s="140" t="str">
        <f>'day2'!B952</f>
        <v>2018032610000083</v>
      </c>
      <c r="C956" s="140" t="str">
        <f>'day2'!C952</f>
        <v>6001</v>
      </c>
      <c r="D956" s="140" t="str">
        <f>'day2'!D952</f>
        <v>B00101</v>
      </c>
      <c r="E956" s="140" t="str">
        <f>'day2'!E952</f>
        <v>6001</v>
      </c>
      <c r="F956" s="140">
        <f t="shared" si="416"/>
        <v>20180328</v>
      </c>
      <c r="G956" s="140">
        <f>'day2'!G952</f>
        <v>20180326</v>
      </c>
      <c r="H956" s="140" t="str">
        <f>'day2'!H952</f>
        <v>CZCE</v>
      </c>
      <c r="I956" s="140" t="str">
        <f>'day2'!I952</f>
        <v>SR807C6500</v>
      </c>
      <c r="J956" s="268">
        <f>'day2'!J952</f>
        <v>0</v>
      </c>
      <c r="K956" s="268">
        <f>'day2'!K952</f>
        <v>2</v>
      </c>
      <c r="L956" s="268">
        <f>'day2'!L952</f>
        <v>1</v>
      </c>
      <c r="M956" s="268">
        <f t="shared" si="417"/>
        <v>0</v>
      </c>
      <c r="N956" s="268">
        <f t="shared" si="418"/>
        <v>0</v>
      </c>
      <c r="O956" s="6">
        <f t="shared" si="443"/>
        <v>0</v>
      </c>
      <c r="P956" s="12">
        <f t="shared" si="444"/>
        <v>0</v>
      </c>
      <c r="Q956" s="12">
        <f t="shared" si="419"/>
        <v>6.2E-2</v>
      </c>
      <c r="R956" s="12">
        <f t="shared" si="420"/>
        <v>6.21</v>
      </c>
      <c r="S956" s="12">
        <f t="shared" si="421"/>
        <v>4.1000000000000002E-2</v>
      </c>
      <c r="T956" s="12">
        <f t="shared" si="422"/>
        <v>4.0999999999999996</v>
      </c>
      <c r="U956" s="12">
        <f t="shared" si="423"/>
        <v>10</v>
      </c>
      <c r="V956" s="12">
        <f t="shared" si="424"/>
        <v>6500</v>
      </c>
      <c r="W956" s="12">
        <f t="shared" si="425"/>
        <v>610</v>
      </c>
      <c r="X956" s="12">
        <f t="shared" si="426"/>
        <v>6170</v>
      </c>
      <c r="Y956" s="250">
        <f>'day2'!Y952</f>
        <v>603</v>
      </c>
      <c r="Z956" s="12">
        <f t="shared" si="427"/>
        <v>610</v>
      </c>
      <c r="AA956" s="12">
        <f t="shared" si="451"/>
        <v>0.5</v>
      </c>
      <c r="AB956" s="12">
        <f t="shared" si="451"/>
        <v>0.5</v>
      </c>
      <c r="AC956" s="12">
        <f t="shared" si="445"/>
        <v>3300</v>
      </c>
      <c r="AD956" s="12">
        <f t="shared" si="429"/>
        <v>0</v>
      </c>
      <c r="AE956" s="100">
        <f t="shared" si="430"/>
        <v>0</v>
      </c>
      <c r="AF956" s="12">
        <f t="shared" si="446"/>
        <v>0</v>
      </c>
      <c r="AG956" s="12">
        <f t="shared" si="447"/>
        <v>0</v>
      </c>
      <c r="AH956" s="12">
        <f t="shared" si="448"/>
        <v>0</v>
      </c>
      <c r="AI956" s="12">
        <f t="shared" si="431"/>
        <v>6100</v>
      </c>
      <c r="AJ956" s="12">
        <v>1</v>
      </c>
      <c r="AK956" s="12">
        <f t="shared" si="432"/>
        <v>1</v>
      </c>
      <c r="AL956" s="12">
        <f t="shared" si="449"/>
        <v>0</v>
      </c>
      <c r="AM956" s="12">
        <f t="shared" si="433"/>
        <v>0</v>
      </c>
      <c r="AN956" s="12">
        <f t="shared" si="434"/>
        <v>0</v>
      </c>
      <c r="AO956" s="12">
        <f t="shared" si="435"/>
        <v>0</v>
      </c>
      <c r="AP956" s="12">
        <f t="shared" si="436"/>
        <v>0</v>
      </c>
      <c r="AQ956" s="3" t="str">
        <f t="shared" si="437"/>
        <v>SR807</v>
      </c>
      <c r="AR956" s="3" t="str">
        <f t="shared" si="438"/>
        <v>SR80711</v>
      </c>
      <c r="AS956" s="6" t="str">
        <f t="shared" si="439"/>
        <v>9999</v>
      </c>
      <c r="AT956" s="6" t="str">
        <f t="shared" si="440"/>
        <v>CNY</v>
      </c>
      <c r="AU956" s="6" t="str">
        <f t="shared" si="441"/>
        <v>50010001</v>
      </c>
      <c r="AV956" s="142">
        <f>'day2'!M952+'day2'!N952</f>
        <v>0</v>
      </c>
      <c r="AW956" s="142">
        <f t="shared" si="450"/>
        <v>0</v>
      </c>
    </row>
    <row r="957" spans="1:49" s="6" customFormat="1" x14ac:dyDescent="0.25">
      <c r="A957" s="6" t="str">
        <f t="shared" si="442"/>
        <v>comment</v>
      </c>
      <c r="B957" s="140" t="str">
        <f>'day2'!B953</f>
        <v>2018032610000089</v>
      </c>
      <c r="C957" s="140" t="str">
        <f>'day2'!C953</f>
        <v>6001</v>
      </c>
      <c r="D957" s="140" t="str">
        <f>'day2'!D953</f>
        <v>B00101</v>
      </c>
      <c r="E957" s="140" t="str">
        <f>'day2'!E953</f>
        <v>6001</v>
      </c>
      <c r="F957" s="140">
        <f t="shared" si="416"/>
        <v>20180328</v>
      </c>
      <c r="G957" s="140">
        <f>'day2'!G953</f>
        <v>20180326</v>
      </c>
      <c r="H957" s="140" t="str">
        <f>'day2'!H953</f>
        <v>CZCE</v>
      </c>
      <c r="I957" s="140" t="str">
        <f>'day2'!I953</f>
        <v>SR807C6500</v>
      </c>
      <c r="J957" s="268">
        <f>'day2'!J953</f>
        <v>0</v>
      </c>
      <c r="K957" s="268">
        <f>'day2'!K953</f>
        <v>2</v>
      </c>
      <c r="L957" s="268">
        <f>'day2'!L953</f>
        <v>1</v>
      </c>
      <c r="M957" s="268">
        <f t="shared" si="417"/>
        <v>0</v>
      </c>
      <c r="N957" s="268">
        <f t="shared" si="418"/>
        <v>0</v>
      </c>
      <c r="O957" s="6">
        <f t="shared" si="443"/>
        <v>0</v>
      </c>
      <c r="P957" s="12">
        <f t="shared" si="444"/>
        <v>0</v>
      </c>
      <c r="Q957" s="12">
        <f t="shared" si="419"/>
        <v>6.2E-2</v>
      </c>
      <c r="R957" s="12">
        <f t="shared" si="420"/>
        <v>6.21</v>
      </c>
      <c r="S957" s="12">
        <f t="shared" si="421"/>
        <v>4.1000000000000002E-2</v>
      </c>
      <c r="T957" s="12">
        <f t="shared" si="422"/>
        <v>4.0999999999999996</v>
      </c>
      <c r="U957" s="12">
        <f t="shared" si="423"/>
        <v>10</v>
      </c>
      <c r="V957" s="12">
        <f t="shared" si="424"/>
        <v>6500</v>
      </c>
      <c r="W957" s="12">
        <f t="shared" si="425"/>
        <v>610</v>
      </c>
      <c r="X957" s="12">
        <f t="shared" si="426"/>
        <v>6170</v>
      </c>
      <c r="Y957" s="250">
        <f>'day2'!Y953</f>
        <v>609</v>
      </c>
      <c r="Z957" s="12">
        <f t="shared" si="427"/>
        <v>610</v>
      </c>
      <c r="AA957" s="12">
        <f t="shared" si="451"/>
        <v>0.5</v>
      </c>
      <c r="AB957" s="12">
        <f t="shared" si="451"/>
        <v>0.5</v>
      </c>
      <c r="AC957" s="12">
        <f t="shared" si="445"/>
        <v>3300</v>
      </c>
      <c r="AD957" s="12">
        <f t="shared" si="429"/>
        <v>0</v>
      </c>
      <c r="AE957" s="100">
        <f t="shared" si="430"/>
        <v>0</v>
      </c>
      <c r="AF957" s="12">
        <f t="shared" si="446"/>
        <v>0</v>
      </c>
      <c r="AG957" s="12">
        <f t="shared" si="447"/>
        <v>0</v>
      </c>
      <c r="AH957" s="12">
        <f t="shared" si="448"/>
        <v>0</v>
      </c>
      <c r="AI957" s="12">
        <f t="shared" si="431"/>
        <v>6100</v>
      </c>
      <c r="AJ957" s="12">
        <v>1</v>
      </c>
      <c r="AK957" s="12">
        <f t="shared" si="432"/>
        <v>1</v>
      </c>
      <c r="AL957" s="12">
        <f t="shared" si="449"/>
        <v>0</v>
      </c>
      <c r="AM957" s="12">
        <f t="shared" si="433"/>
        <v>0</v>
      </c>
      <c r="AN957" s="12">
        <f t="shared" si="434"/>
        <v>0</v>
      </c>
      <c r="AO957" s="12">
        <f t="shared" si="435"/>
        <v>0</v>
      </c>
      <c r="AP957" s="12">
        <f t="shared" si="436"/>
        <v>0</v>
      </c>
      <c r="AQ957" s="3" t="str">
        <f t="shared" si="437"/>
        <v>SR807</v>
      </c>
      <c r="AR957" s="3" t="str">
        <f t="shared" si="438"/>
        <v>SR80711</v>
      </c>
      <c r="AS957" s="6" t="str">
        <f t="shared" si="439"/>
        <v>9999</v>
      </c>
      <c r="AT957" s="6" t="str">
        <f t="shared" si="440"/>
        <v>CNY</v>
      </c>
      <c r="AU957" s="6" t="str">
        <f t="shared" si="441"/>
        <v>50010001</v>
      </c>
      <c r="AV957" s="142">
        <f>'day2'!M953+'day2'!N953</f>
        <v>0</v>
      </c>
      <c r="AW957" s="142">
        <f t="shared" si="450"/>
        <v>0</v>
      </c>
    </row>
    <row r="958" spans="1:49" s="6" customFormat="1" x14ac:dyDescent="0.25">
      <c r="A958" s="6" t="str">
        <f t="shared" si="442"/>
        <v>comment</v>
      </c>
      <c r="B958" s="140" t="str">
        <f>'day2'!B954</f>
        <v>2018032610000090</v>
      </c>
      <c r="C958" s="140" t="str">
        <f>'day2'!C954</f>
        <v>6001</v>
      </c>
      <c r="D958" s="140" t="str">
        <f>'day2'!D954</f>
        <v>B00101</v>
      </c>
      <c r="E958" s="140" t="str">
        <f>'day2'!E954</f>
        <v>6001</v>
      </c>
      <c r="F958" s="140">
        <f t="shared" ref="F958:F991" si="466">$B$2</f>
        <v>20180328</v>
      </c>
      <c r="G958" s="140">
        <f>'day2'!G954</f>
        <v>20180326</v>
      </c>
      <c r="H958" s="140" t="str">
        <f>'day2'!H954</f>
        <v>CZCE</v>
      </c>
      <c r="I958" s="140" t="str">
        <f>'day2'!I954</f>
        <v>SR807C6500</v>
      </c>
      <c r="J958" s="268">
        <f>'day2'!J954</f>
        <v>1</v>
      </c>
      <c r="K958" s="268">
        <f>'day2'!K954</f>
        <v>3</v>
      </c>
      <c r="L958" s="268">
        <f>'day2'!L954</f>
        <v>3</v>
      </c>
      <c r="M958" s="268">
        <f t="shared" ref="M958:M989" si="467">SUMPRODUCT(($C$662:$C$709=B958)*($E$662:$E$709=C958)*($F$662:$F$709=D958)*($G$662:$G$709=E958)*($L$662:$L$709=I958)*($O$662:$O$709=J958)*($P$662:$P$709=L958)*($N$662:$N$709=0)*($Q$662:$Q$709))-SUMPRODUCT(($D$662:$D$709=B958)*($E$662:$E$709=C958)*($F$662:$F$709=D958)*($G$662:$G$709=E958)*($L$662:$L$709=I958)*($O$662:$O$709&lt;&gt;J958)*($P$662:$P$709=L958)*($N$662:$N$709&lt;&gt;0)*($Q$662:$Q$709))+AV958-SUMPRODUCT(($B$857:$B$873=B958)*($C$857:$C$873=C958)*($D$857:$D$873=D958)*($O$857:$O$873&lt;&gt;2)*($N$857:$N$873))-N958</f>
        <v>0</v>
      </c>
      <c r="N958" s="268">
        <f t="shared" si="418"/>
        <v>0</v>
      </c>
      <c r="O958" s="6">
        <f t="shared" si="443"/>
        <v>0</v>
      </c>
      <c r="P958" s="12">
        <f t="shared" si="444"/>
        <v>0</v>
      </c>
      <c r="Q958" s="12">
        <f t="shared" ref="Q958:Q991" si="468">IF(AK958=0, VLOOKUP(AR958,$F$53:$L$72,4,FALSE),VLOOKUP(AR958,$F$53:$L$72,4,FALSE)+VLOOKUP(AR958,$F$53:$L$72,6,FALSE) )</f>
        <v>6.6000000000000003E-2</v>
      </c>
      <c r="R958" s="12">
        <f t="shared" ref="R958:R991" si="469">IF(AK958=0, VLOOKUP(AR958,$F$53:$L$72,5,FALSE),VLOOKUP(AR958,$F$53:$L$72,5,FALSE)+VLOOKUP(AR958,$F$53:$L$72,7,FALSE) )</f>
        <v>6.43</v>
      </c>
      <c r="S958" s="12">
        <f t="shared" ref="S958:S991" si="470">VLOOKUP(AR958,$F$53:$L$72,2,FALSE)</f>
        <v>4.2999999999999997E-2</v>
      </c>
      <c r="T958" s="12">
        <f t="shared" ref="T958:T991" si="471">VLOOKUP(AR958,$F$53:$L$72,3,FALSE)</f>
        <v>4.3</v>
      </c>
      <c r="U958" s="12">
        <f t="shared" ref="U958:U991" si="472" xml:space="preserve"> VLOOKUP(I958,$C$19:$L$31,3,FALSE)</f>
        <v>10</v>
      </c>
      <c r="V958" s="12">
        <f t="shared" ref="V958:V989" si="473" xml:space="preserve"> VLOOKUP(I958,$C$230:$F$242,4,FALSE)</f>
        <v>6500</v>
      </c>
      <c r="W958" s="12">
        <f t="shared" ref="W958:W989" si="474" xml:space="preserve"> VLOOKUP(I958,$C$230:$F$242,3,FALSE)</f>
        <v>610</v>
      </c>
      <c r="X958" s="12">
        <f t="shared" ref="X958:X989" si="475" xml:space="preserve"> VLOOKUP(I958,$C$230:$G$242,5,FALSE)</f>
        <v>6170</v>
      </c>
      <c r="Y958" s="250">
        <f>'day2'!Y954</f>
        <v>610</v>
      </c>
      <c r="Z958" s="12">
        <f t="shared" ref="Z958:Z989" si="476" xml:space="preserve"> VLOOKUP(I958,$C$230:$F$242,2,FALSE)</f>
        <v>610</v>
      </c>
      <c r="AA958" s="12">
        <f t="shared" si="451"/>
        <v>0.5</v>
      </c>
      <c r="AB958" s="12">
        <f t="shared" si="451"/>
        <v>0.5</v>
      </c>
      <c r="AC958" s="12">
        <f t="shared" si="445"/>
        <v>3300</v>
      </c>
      <c r="AD958" s="12">
        <f t="shared" ref="AD958:AD991" si="477" xml:space="preserve"> VLOOKUP(I958,$C$19:$L$31,6,FALSE)</f>
        <v>0</v>
      </c>
      <c r="AE958" s="100">
        <f t="shared" si="430"/>
        <v>0</v>
      </c>
      <c r="AF958" s="12">
        <f t="shared" si="446"/>
        <v>0</v>
      </c>
      <c r="AG958" s="12">
        <f t="shared" si="447"/>
        <v>0</v>
      </c>
      <c r="AH958" s="12">
        <f t="shared" si="448"/>
        <v>0</v>
      </c>
      <c r="AI958" s="12">
        <f t="shared" si="431"/>
        <v>6100</v>
      </c>
      <c r="AJ958" s="12">
        <v>1</v>
      </c>
      <c r="AK958" s="12">
        <f t="shared" ref="AK958:AK991" si="478" xml:space="preserve"> VLOOKUP(I958,$C$19:$L$31,10,FALSE)</f>
        <v>1</v>
      </c>
      <c r="AL958" s="12">
        <f t="shared" si="449"/>
        <v>0</v>
      </c>
      <c r="AM958" s="12">
        <f t="shared" si="433"/>
        <v>0</v>
      </c>
      <c r="AN958" s="12">
        <f t="shared" si="434"/>
        <v>0</v>
      </c>
      <c r="AO958" s="12">
        <f t="shared" si="435"/>
        <v>0</v>
      </c>
      <c r="AP958" s="12">
        <f t="shared" ref="AP958:AP991" si="479" xml:space="preserve"> VLOOKUP(I958,$C$19:$L$31,9,FALSE)</f>
        <v>0</v>
      </c>
      <c r="AQ958" s="3" t="str">
        <f t="shared" ref="AQ958:AQ991" si="480" xml:space="preserve"> VLOOKUP(I958,$C$19:$L$31,7,FALSE)</f>
        <v>SR807</v>
      </c>
      <c r="AR958" s="3" t="str">
        <f t="shared" si="438"/>
        <v>SR80731</v>
      </c>
      <c r="AS958" s="6" t="str">
        <f t="shared" ref="AS958:AS991" si="481">$F$5</f>
        <v>9999</v>
      </c>
      <c r="AT958" s="6" t="str">
        <f t="shared" ref="AT958:AT991" si="482">$D$9</f>
        <v>CNY</v>
      </c>
      <c r="AU958" s="6" t="str">
        <f t="shared" ref="AU958:AU991" si="483">VLOOKUP(D958,$C$5:$G$6,5,FALSE)</f>
        <v>50010001</v>
      </c>
      <c r="AV958" s="142">
        <f>'day2'!M954+'day2'!N954</f>
        <v>0</v>
      </c>
      <c r="AW958" s="142">
        <f t="shared" si="450"/>
        <v>0</v>
      </c>
    </row>
    <row r="959" spans="1:49" s="13" customFormat="1" x14ac:dyDescent="0.25">
      <c r="A959" s="6" t="str">
        <f t="shared" si="442"/>
        <v>comment</v>
      </c>
      <c r="B959" s="140" t="str">
        <f>'day2'!B955</f>
        <v>2018032610000091</v>
      </c>
      <c r="C959" s="140" t="str">
        <f>'day2'!C955</f>
        <v>6001</v>
      </c>
      <c r="D959" s="140" t="str">
        <f>'day2'!D955</f>
        <v>B00101</v>
      </c>
      <c r="E959" s="140" t="str">
        <f>'day2'!E955</f>
        <v>6001</v>
      </c>
      <c r="F959" s="140">
        <f t="shared" si="466"/>
        <v>20180328</v>
      </c>
      <c r="G959" s="140">
        <f>'day2'!G955</f>
        <v>20180326</v>
      </c>
      <c r="H959" s="140" t="str">
        <f>'day2'!H955</f>
        <v>CZCE</v>
      </c>
      <c r="I959" s="140" t="str">
        <f>'day2'!I955</f>
        <v>SR807C6500</v>
      </c>
      <c r="J959" s="268">
        <f>'day2'!J955</f>
        <v>1</v>
      </c>
      <c r="K959" s="268">
        <f>'day2'!K955</f>
        <v>3</v>
      </c>
      <c r="L959" s="268">
        <f>'day2'!L955</f>
        <v>1</v>
      </c>
      <c r="M959" s="268">
        <f t="shared" si="467"/>
        <v>0</v>
      </c>
      <c r="N959" s="268">
        <f t="shared" si="418"/>
        <v>0</v>
      </c>
      <c r="O959" s="13">
        <f t="shared" si="443"/>
        <v>0</v>
      </c>
      <c r="P959" s="12">
        <f t="shared" si="444"/>
        <v>0</v>
      </c>
      <c r="Q959" s="100">
        <f t="shared" si="468"/>
        <v>6.2E-2</v>
      </c>
      <c r="R959" s="100">
        <f t="shared" si="469"/>
        <v>6.21</v>
      </c>
      <c r="S959" s="100">
        <f t="shared" si="470"/>
        <v>4.1000000000000002E-2</v>
      </c>
      <c r="T959" s="100">
        <f t="shared" si="471"/>
        <v>4.0999999999999996</v>
      </c>
      <c r="U959" s="100">
        <f t="shared" si="472"/>
        <v>10</v>
      </c>
      <c r="V959" s="100">
        <f t="shared" si="473"/>
        <v>6500</v>
      </c>
      <c r="W959" s="100">
        <f t="shared" si="474"/>
        <v>610</v>
      </c>
      <c r="X959" s="100">
        <f t="shared" si="475"/>
        <v>6170</v>
      </c>
      <c r="Y959" s="250">
        <f>'day2'!Y955</f>
        <v>611</v>
      </c>
      <c r="Z959" s="100">
        <f t="shared" si="476"/>
        <v>610</v>
      </c>
      <c r="AA959" s="100">
        <f t="shared" si="451"/>
        <v>0.5</v>
      </c>
      <c r="AB959" s="100">
        <f t="shared" si="451"/>
        <v>0.5</v>
      </c>
      <c r="AC959" s="100">
        <f t="shared" si="445"/>
        <v>3300</v>
      </c>
      <c r="AD959" s="100">
        <f t="shared" si="477"/>
        <v>0</v>
      </c>
      <c r="AE959" s="100">
        <f>ROUND(IF(AK959=0,Q959*U959*W959*N959+R959*M959,IF(J959=0,0,MAX(AI959+(Q959*U959*X959+R959)*AJ959-AC959*AA959,AI959+(Q959*U959*X959+R959)*AB959)*M959)),2)</f>
        <v>0</v>
      </c>
      <c r="AF959" s="12">
        <f t="shared" si="446"/>
        <v>0</v>
      </c>
      <c r="AG959" s="12">
        <f>ROUND(IF(AK959=0,Q959*U959*W959*N959+R959*N959,IF(J959=0,0,MAX(AI959+(Q959*U959*X959+R959)*AJ959-AC959*AA959,AI959+(Q959*U959*X959+R959)*AB959)*N959)),2)</f>
        <v>0</v>
      </c>
      <c r="AH959" s="12">
        <f t="shared" si="448"/>
        <v>0</v>
      </c>
      <c r="AI959" s="100">
        <f t="shared" si="431"/>
        <v>6100</v>
      </c>
      <c r="AJ959" s="12">
        <v>1</v>
      </c>
      <c r="AK959" s="100">
        <f t="shared" si="478"/>
        <v>1</v>
      </c>
      <c r="AL959" s="100">
        <f t="shared" si="449"/>
        <v>0</v>
      </c>
      <c r="AM959" s="100">
        <f t="shared" si="433"/>
        <v>0</v>
      </c>
      <c r="AN959" s="100">
        <f t="shared" si="434"/>
        <v>0</v>
      </c>
      <c r="AO959" s="100">
        <f t="shared" si="435"/>
        <v>0</v>
      </c>
      <c r="AP959" s="100">
        <f t="shared" si="479"/>
        <v>0</v>
      </c>
      <c r="AQ959" s="221" t="str">
        <f t="shared" si="480"/>
        <v>SR807</v>
      </c>
      <c r="AR959" s="221" t="str">
        <f>IF(AK959=0,AQ959&amp;L959&amp;J959,IF(AD959=0,AQ959&amp;L959&amp;1,AQ959&amp;L959&amp;0))</f>
        <v>SR80711</v>
      </c>
      <c r="AS959" s="13" t="str">
        <f t="shared" si="481"/>
        <v>9999</v>
      </c>
      <c r="AT959" s="13" t="str">
        <f t="shared" si="482"/>
        <v>CNY</v>
      </c>
      <c r="AU959" s="13" t="str">
        <f t="shared" si="483"/>
        <v>50010001</v>
      </c>
      <c r="AV959" s="142">
        <f>'day2'!M955+'day2'!N955</f>
        <v>0</v>
      </c>
      <c r="AW959" s="142">
        <f t="shared" si="450"/>
        <v>0</v>
      </c>
    </row>
    <row r="960" spans="1:49" s="6" customFormat="1" x14ac:dyDescent="0.25">
      <c r="A960" s="6" t="str">
        <f t="shared" si="442"/>
        <v>comment</v>
      </c>
      <c r="B960" s="140" t="str">
        <f>'day2'!B956</f>
        <v>2018032610000092</v>
      </c>
      <c r="C960" s="140" t="str">
        <f>'day2'!C956</f>
        <v>6001</v>
      </c>
      <c r="D960" s="140" t="str">
        <f>'day2'!D956</f>
        <v>B00101</v>
      </c>
      <c r="E960" s="140" t="str">
        <f>'day2'!E956</f>
        <v>6001</v>
      </c>
      <c r="F960" s="140">
        <f t="shared" si="466"/>
        <v>20180328</v>
      </c>
      <c r="G960" s="140">
        <f>'day2'!G956</f>
        <v>20180326</v>
      </c>
      <c r="H960" s="140" t="str">
        <f>'day2'!H956</f>
        <v>CZCE</v>
      </c>
      <c r="I960" s="140" t="str">
        <f>'day2'!I956</f>
        <v>SR807C6500</v>
      </c>
      <c r="J960" s="268">
        <f>'day2'!J956</f>
        <v>1</v>
      </c>
      <c r="K960" s="268">
        <f>'day2'!K956</f>
        <v>3</v>
      </c>
      <c r="L960" s="268">
        <f>'day2'!L956</f>
        <v>1</v>
      </c>
      <c r="M960" s="268">
        <f t="shared" si="467"/>
        <v>0</v>
      </c>
      <c r="N960" s="268">
        <f t="shared" si="418"/>
        <v>0</v>
      </c>
      <c r="O960" s="6">
        <f t="shared" si="443"/>
        <v>0</v>
      </c>
      <c r="P960" s="12">
        <f t="shared" si="444"/>
        <v>0</v>
      </c>
      <c r="Q960" s="12">
        <f t="shared" si="468"/>
        <v>6.2E-2</v>
      </c>
      <c r="R960" s="12">
        <f t="shared" si="469"/>
        <v>6.21</v>
      </c>
      <c r="S960" s="12">
        <f t="shared" si="470"/>
        <v>4.1000000000000002E-2</v>
      </c>
      <c r="T960" s="12">
        <f t="shared" si="471"/>
        <v>4.0999999999999996</v>
      </c>
      <c r="U960" s="12">
        <f t="shared" si="472"/>
        <v>10</v>
      </c>
      <c r="V960" s="12">
        <f t="shared" si="473"/>
        <v>6500</v>
      </c>
      <c r="W960" s="12">
        <f t="shared" si="474"/>
        <v>610</v>
      </c>
      <c r="X960" s="12">
        <f t="shared" si="475"/>
        <v>6170</v>
      </c>
      <c r="Y960" s="250">
        <f>'day2'!Y956</f>
        <v>612</v>
      </c>
      <c r="Z960" s="12">
        <f t="shared" si="476"/>
        <v>610</v>
      </c>
      <c r="AA960" s="12">
        <f t="shared" si="451"/>
        <v>0.5</v>
      </c>
      <c r="AB960" s="12">
        <f t="shared" si="451"/>
        <v>0.5</v>
      </c>
      <c r="AC960" s="12">
        <f t="shared" si="445"/>
        <v>3300</v>
      </c>
      <c r="AD960" s="12">
        <f t="shared" si="477"/>
        <v>0</v>
      </c>
      <c r="AE960" s="100">
        <f t="shared" ref="AE960:AE1002" si="484">ROUND(IF(AK960=0,Q960*U960*W960*M960+R960*M960,IF(J960=0,0,MAX(AI960+(Q960*U960*X960+R960)*AJ960-AC960*AA960,AI960+(Q960*U960*X960+R960)*AB960)*M960)),2)</f>
        <v>0</v>
      </c>
      <c r="AF960" s="12">
        <f t="shared" si="446"/>
        <v>0</v>
      </c>
      <c r="AG960" s="12">
        <f t="shared" si="447"/>
        <v>0</v>
      </c>
      <c r="AH960" s="12">
        <f t="shared" si="448"/>
        <v>0</v>
      </c>
      <c r="AI960" s="12">
        <f t="shared" si="431"/>
        <v>6100</v>
      </c>
      <c r="AJ960" s="12">
        <v>1</v>
      </c>
      <c r="AK960" s="12">
        <f t="shared" si="478"/>
        <v>1</v>
      </c>
      <c r="AL960" s="12">
        <f t="shared" si="449"/>
        <v>0</v>
      </c>
      <c r="AM960" s="12">
        <f t="shared" si="433"/>
        <v>0</v>
      </c>
      <c r="AN960" s="12">
        <f t="shared" si="434"/>
        <v>0</v>
      </c>
      <c r="AO960" s="12">
        <f t="shared" si="435"/>
        <v>0</v>
      </c>
      <c r="AP960" s="12">
        <f t="shared" si="479"/>
        <v>0</v>
      </c>
      <c r="AQ960" s="3" t="str">
        <f t="shared" si="480"/>
        <v>SR807</v>
      </c>
      <c r="AR960" s="3" t="str">
        <f t="shared" si="438"/>
        <v>SR80711</v>
      </c>
      <c r="AS960" s="6" t="str">
        <f t="shared" si="481"/>
        <v>9999</v>
      </c>
      <c r="AT960" s="6" t="str">
        <f t="shared" si="482"/>
        <v>CNY</v>
      </c>
      <c r="AU960" s="6" t="str">
        <f t="shared" si="483"/>
        <v>50010001</v>
      </c>
      <c r="AV960" s="142">
        <f>'day2'!M956+'day2'!N956</f>
        <v>0</v>
      </c>
      <c r="AW960" s="142">
        <f t="shared" si="450"/>
        <v>0</v>
      </c>
    </row>
    <row r="961" spans="1:49" s="6" customFormat="1" x14ac:dyDescent="0.25">
      <c r="A961" s="6" t="str">
        <f t="shared" si="442"/>
        <v>comment</v>
      </c>
      <c r="B961" s="140" t="str">
        <f>'day2'!B957</f>
        <v>2018032610000096</v>
      </c>
      <c r="C961" s="140" t="str">
        <f>'day2'!C957</f>
        <v>6001</v>
      </c>
      <c r="D961" s="140" t="str">
        <f>'day2'!D957</f>
        <v>B00101</v>
      </c>
      <c r="E961" s="140" t="str">
        <f>'day2'!E957</f>
        <v>6001</v>
      </c>
      <c r="F961" s="140">
        <f t="shared" si="466"/>
        <v>20180328</v>
      </c>
      <c r="G961" s="140">
        <f>'day2'!G957</f>
        <v>20180326</v>
      </c>
      <c r="H961" s="140" t="str">
        <f>'day2'!H957</f>
        <v>CZCE</v>
      </c>
      <c r="I961" s="140" t="str">
        <f>'day2'!I957</f>
        <v>SR807P6500</v>
      </c>
      <c r="J961" s="268">
        <f>'day2'!J957</f>
        <v>0</v>
      </c>
      <c r="K961" s="268">
        <f>'day2'!K957</f>
        <v>2</v>
      </c>
      <c r="L961" s="268">
        <f>'day2'!L957</f>
        <v>1</v>
      </c>
      <c r="M961" s="268">
        <f t="shared" si="467"/>
        <v>0</v>
      </c>
      <c r="N961" s="268">
        <f t="shared" si="418"/>
        <v>0</v>
      </c>
      <c r="O961" s="6">
        <f t="shared" si="443"/>
        <v>0</v>
      </c>
      <c r="P961" s="12">
        <f t="shared" si="444"/>
        <v>0</v>
      </c>
      <c r="Q961" s="12">
        <f t="shared" si="468"/>
        <v>6.0000000000000005E-2</v>
      </c>
      <c r="R961" s="12">
        <f t="shared" si="469"/>
        <v>6</v>
      </c>
      <c r="S961" s="12">
        <f t="shared" si="470"/>
        <v>0.04</v>
      </c>
      <c r="T961" s="12">
        <f t="shared" si="471"/>
        <v>4</v>
      </c>
      <c r="U961" s="12">
        <f t="shared" si="472"/>
        <v>10</v>
      </c>
      <c r="V961" s="12">
        <f t="shared" si="473"/>
        <v>6500</v>
      </c>
      <c r="W961" s="12">
        <f t="shared" si="474"/>
        <v>615</v>
      </c>
      <c r="X961" s="12">
        <f t="shared" si="475"/>
        <v>6170</v>
      </c>
      <c r="Y961" s="250">
        <f>'day2'!Y957</f>
        <v>616</v>
      </c>
      <c r="Z961" s="12">
        <f t="shared" si="476"/>
        <v>615</v>
      </c>
      <c r="AA961" s="12">
        <f t="shared" si="451"/>
        <v>0.5</v>
      </c>
      <c r="AB961" s="12">
        <f t="shared" si="451"/>
        <v>0.5</v>
      </c>
      <c r="AC961" s="12">
        <f t="shared" si="445"/>
        <v>0</v>
      </c>
      <c r="AD961" s="12">
        <f t="shared" si="477"/>
        <v>1</v>
      </c>
      <c r="AE961" s="100">
        <f t="shared" si="484"/>
        <v>0</v>
      </c>
      <c r="AF961" s="12">
        <f t="shared" si="446"/>
        <v>0</v>
      </c>
      <c r="AG961" s="12">
        <f t="shared" si="447"/>
        <v>0</v>
      </c>
      <c r="AH961" s="12">
        <f t="shared" si="448"/>
        <v>0</v>
      </c>
      <c r="AI961" s="12">
        <f t="shared" si="431"/>
        <v>6150</v>
      </c>
      <c r="AJ961" s="12">
        <v>1</v>
      </c>
      <c r="AK961" s="12">
        <f t="shared" si="478"/>
        <v>1</v>
      </c>
      <c r="AL961" s="12">
        <f t="shared" si="449"/>
        <v>0</v>
      </c>
      <c r="AM961" s="12">
        <f t="shared" si="433"/>
        <v>0</v>
      </c>
      <c r="AN961" s="12">
        <f t="shared" si="434"/>
        <v>0</v>
      </c>
      <c r="AO961" s="12">
        <f t="shared" si="435"/>
        <v>0</v>
      </c>
      <c r="AP961" s="12">
        <f t="shared" si="479"/>
        <v>0</v>
      </c>
      <c r="AQ961" s="3" t="str">
        <f t="shared" si="480"/>
        <v>SR807</v>
      </c>
      <c r="AR961" s="3" t="str">
        <f t="shared" si="438"/>
        <v>SR80710</v>
      </c>
      <c r="AS961" s="6" t="str">
        <f t="shared" si="481"/>
        <v>9999</v>
      </c>
      <c r="AT961" s="6" t="str">
        <f t="shared" si="482"/>
        <v>CNY</v>
      </c>
      <c r="AU961" s="6" t="str">
        <f t="shared" si="483"/>
        <v>50010001</v>
      </c>
      <c r="AV961" s="142">
        <f>'day2'!M957+'day2'!N957</f>
        <v>0</v>
      </c>
      <c r="AW961" s="142">
        <f t="shared" si="450"/>
        <v>0</v>
      </c>
    </row>
    <row r="962" spans="1:49" s="6" customFormat="1" x14ac:dyDescent="0.25">
      <c r="A962" s="6" t="str">
        <f t="shared" si="442"/>
        <v>comment</v>
      </c>
      <c r="B962" s="140" t="str">
        <f>'day2'!B958</f>
        <v>2018032610000097</v>
      </c>
      <c r="C962" s="140" t="str">
        <f>'day2'!C958</f>
        <v>6001</v>
      </c>
      <c r="D962" s="140" t="str">
        <f>'day2'!D958</f>
        <v>B00101</v>
      </c>
      <c r="E962" s="140" t="str">
        <f>'day2'!E958</f>
        <v>6001</v>
      </c>
      <c r="F962" s="140">
        <f t="shared" si="466"/>
        <v>20180328</v>
      </c>
      <c r="G962" s="140">
        <f>'day2'!G958</f>
        <v>20180326</v>
      </c>
      <c r="H962" s="140" t="str">
        <f>'day2'!H958</f>
        <v>CZCE</v>
      </c>
      <c r="I962" s="140" t="str">
        <f>'day2'!I958</f>
        <v>SR807P6500</v>
      </c>
      <c r="J962" s="268">
        <f>'day2'!J958</f>
        <v>1</v>
      </c>
      <c r="K962" s="268">
        <f>'day2'!K958</f>
        <v>3</v>
      </c>
      <c r="L962" s="268">
        <f>'day2'!L958</f>
        <v>1</v>
      </c>
      <c r="M962" s="268">
        <f t="shared" si="467"/>
        <v>0</v>
      </c>
      <c r="N962" s="268">
        <f t="shared" si="418"/>
        <v>0</v>
      </c>
      <c r="O962" s="6">
        <f t="shared" si="443"/>
        <v>0</v>
      </c>
      <c r="P962" s="12">
        <f t="shared" si="444"/>
        <v>0</v>
      </c>
      <c r="Q962" s="12">
        <f t="shared" si="468"/>
        <v>6.0000000000000005E-2</v>
      </c>
      <c r="R962" s="12">
        <f t="shared" si="469"/>
        <v>6</v>
      </c>
      <c r="S962" s="12">
        <f t="shared" si="470"/>
        <v>0.04</v>
      </c>
      <c r="T962" s="12">
        <f t="shared" si="471"/>
        <v>4</v>
      </c>
      <c r="U962" s="12">
        <f t="shared" si="472"/>
        <v>10</v>
      </c>
      <c r="V962" s="12">
        <f t="shared" si="473"/>
        <v>6500</v>
      </c>
      <c r="W962" s="12">
        <f t="shared" si="474"/>
        <v>615</v>
      </c>
      <c r="X962" s="12">
        <f t="shared" si="475"/>
        <v>6170</v>
      </c>
      <c r="Y962" s="250">
        <f>'day2'!Y958</f>
        <v>617</v>
      </c>
      <c r="Z962" s="12">
        <f t="shared" si="476"/>
        <v>615</v>
      </c>
      <c r="AA962" s="12">
        <f t="shared" si="451"/>
        <v>0.5</v>
      </c>
      <c r="AB962" s="12">
        <f t="shared" si="451"/>
        <v>0.5</v>
      </c>
      <c r="AC962" s="12">
        <f t="shared" si="445"/>
        <v>0</v>
      </c>
      <c r="AD962" s="12">
        <f t="shared" si="477"/>
        <v>1</v>
      </c>
      <c r="AE962" s="100">
        <f t="shared" si="484"/>
        <v>0</v>
      </c>
      <c r="AF962" s="12">
        <f t="shared" si="446"/>
        <v>0</v>
      </c>
      <c r="AG962" s="12">
        <f t="shared" si="447"/>
        <v>0</v>
      </c>
      <c r="AH962" s="12">
        <f t="shared" si="448"/>
        <v>0</v>
      </c>
      <c r="AI962" s="12">
        <f t="shared" si="431"/>
        <v>6150</v>
      </c>
      <c r="AJ962" s="12">
        <v>1</v>
      </c>
      <c r="AK962" s="12">
        <f t="shared" si="478"/>
        <v>1</v>
      </c>
      <c r="AL962" s="12">
        <f t="shared" si="449"/>
        <v>0</v>
      </c>
      <c r="AM962" s="12">
        <f t="shared" si="433"/>
        <v>0</v>
      </c>
      <c r="AN962" s="12">
        <f t="shared" si="434"/>
        <v>0</v>
      </c>
      <c r="AO962" s="12">
        <f t="shared" si="435"/>
        <v>0</v>
      </c>
      <c r="AP962" s="12">
        <f t="shared" si="479"/>
        <v>0</v>
      </c>
      <c r="AQ962" s="3" t="str">
        <f t="shared" si="480"/>
        <v>SR807</v>
      </c>
      <c r="AR962" s="3" t="str">
        <f t="shared" si="438"/>
        <v>SR80710</v>
      </c>
      <c r="AS962" s="6" t="str">
        <f t="shared" si="481"/>
        <v>9999</v>
      </c>
      <c r="AT962" s="6" t="str">
        <f t="shared" si="482"/>
        <v>CNY</v>
      </c>
      <c r="AU962" s="6" t="str">
        <f t="shared" si="483"/>
        <v>50010001</v>
      </c>
      <c r="AV962" s="142">
        <f>'day2'!M958+'day2'!N958</f>
        <v>0</v>
      </c>
      <c r="AW962" s="142">
        <f t="shared" si="450"/>
        <v>0</v>
      </c>
    </row>
    <row r="963" spans="1:49" s="6" customFormat="1" x14ac:dyDescent="0.25">
      <c r="A963" s="6" t="str">
        <f t="shared" si="442"/>
        <v>comment</v>
      </c>
      <c r="B963" s="140" t="str">
        <f>'day2'!B959</f>
        <v>2018032610000098</v>
      </c>
      <c r="C963" s="140" t="str">
        <f>'day2'!C959</f>
        <v>6001</v>
      </c>
      <c r="D963" s="140" t="str">
        <f>'day2'!D959</f>
        <v>B00101</v>
      </c>
      <c r="E963" s="140" t="str">
        <f>'day2'!E959</f>
        <v>6001</v>
      </c>
      <c r="F963" s="140">
        <f t="shared" si="466"/>
        <v>20180328</v>
      </c>
      <c r="G963" s="140">
        <f>'day2'!G959</f>
        <v>20180326</v>
      </c>
      <c r="H963" s="140" t="str">
        <f>'day2'!H959</f>
        <v>CZCE</v>
      </c>
      <c r="I963" s="140" t="str">
        <f>'day2'!I959</f>
        <v>SR807P6500</v>
      </c>
      <c r="J963" s="268">
        <f>'day2'!J959</f>
        <v>0</v>
      </c>
      <c r="K963" s="268">
        <f>'day2'!K959</f>
        <v>2</v>
      </c>
      <c r="L963" s="268">
        <f>'day2'!L959</f>
        <v>3</v>
      </c>
      <c r="M963" s="268">
        <f t="shared" si="467"/>
        <v>0</v>
      </c>
      <c r="N963" s="268">
        <f t="shared" si="418"/>
        <v>0</v>
      </c>
      <c r="O963" s="6">
        <f t="shared" si="443"/>
        <v>0</v>
      </c>
      <c r="P963" s="12">
        <f t="shared" si="444"/>
        <v>0</v>
      </c>
      <c r="Q963" s="12">
        <f t="shared" si="468"/>
        <v>6.4000000000000001E-2</v>
      </c>
      <c r="R963" s="12">
        <f t="shared" si="469"/>
        <v>6.32</v>
      </c>
      <c r="S963" s="12">
        <f t="shared" si="470"/>
        <v>4.2000000000000003E-2</v>
      </c>
      <c r="T963" s="12">
        <f t="shared" si="471"/>
        <v>4.2</v>
      </c>
      <c r="U963" s="12">
        <f t="shared" si="472"/>
        <v>10</v>
      </c>
      <c r="V963" s="12">
        <f t="shared" si="473"/>
        <v>6500</v>
      </c>
      <c r="W963" s="12">
        <f t="shared" si="474"/>
        <v>615</v>
      </c>
      <c r="X963" s="12">
        <f t="shared" si="475"/>
        <v>6170</v>
      </c>
      <c r="Y963" s="250">
        <f>'day2'!Y959</f>
        <v>618</v>
      </c>
      <c r="Z963" s="12">
        <f t="shared" si="476"/>
        <v>615</v>
      </c>
      <c r="AA963" s="12">
        <f t="shared" si="451"/>
        <v>0.5</v>
      </c>
      <c r="AB963" s="12">
        <f t="shared" si="451"/>
        <v>0.5</v>
      </c>
      <c r="AC963" s="12">
        <f t="shared" si="445"/>
        <v>0</v>
      </c>
      <c r="AD963" s="12">
        <f t="shared" si="477"/>
        <v>1</v>
      </c>
      <c r="AE963" s="100">
        <f t="shared" si="484"/>
        <v>0</v>
      </c>
      <c r="AF963" s="12">
        <f t="shared" si="446"/>
        <v>0</v>
      </c>
      <c r="AG963" s="12">
        <f t="shared" si="447"/>
        <v>0</v>
      </c>
      <c r="AH963" s="12">
        <f t="shared" si="448"/>
        <v>0</v>
      </c>
      <c r="AI963" s="12">
        <f t="shared" si="431"/>
        <v>6150</v>
      </c>
      <c r="AJ963" s="12">
        <v>1</v>
      </c>
      <c r="AK963" s="12">
        <f t="shared" si="478"/>
        <v>1</v>
      </c>
      <c r="AL963" s="12">
        <f t="shared" si="449"/>
        <v>0</v>
      </c>
      <c r="AM963" s="12">
        <f t="shared" si="433"/>
        <v>0</v>
      </c>
      <c r="AN963" s="12">
        <f t="shared" si="434"/>
        <v>0</v>
      </c>
      <c r="AO963" s="12">
        <f t="shared" si="435"/>
        <v>0</v>
      </c>
      <c r="AP963" s="12">
        <f t="shared" si="479"/>
        <v>0</v>
      </c>
      <c r="AQ963" s="3" t="str">
        <f t="shared" si="480"/>
        <v>SR807</v>
      </c>
      <c r="AR963" s="3" t="str">
        <f t="shared" si="438"/>
        <v>SR80730</v>
      </c>
      <c r="AS963" s="6" t="str">
        <f t="shared" si="481"/>
        <v>9999</v>
      </c>
      <c r="AT963" s="6" t="str">
        <f t="shared" si="482"/>
        <v>CNY</v>
      </c>
      <c r="AU963" s="6" t="str">
        <f t="shared" si="483"/>
        <v>50010001</v>
      </c>
      <c r="AV963" s="142">
        <f>'day2'!M959+'day2'!N959</f>
        <v>0</v>
      </c>
      <c r="AW963" s="142">
        <f t="shared" si="450"/>
        <v>0</v>
      </c>
    </row>
    <row r="964" spans="1:49" s="6" customFormat="1" x14ac:dyDescent="0.25">
      <c r="A964" s="6" t="str">
        <f t="shared" si="442"/>
        <v>comment</v>
      </c>
      <c r="B964" s="140" t="str">
        <f>'day2'!B960</f>
        <v>2018032610000099</v>
      </c>
      <c r="C964" s="140" t="str">
        <f>'day2'!C960</f>
        <v>6001</v>
      </c>
      <c r="D964" s="140" t="str">
        <f>'day2'!D960</f>
        <v>B00101</v>
      </c>
      <c r="E964" s="140" t="str">
        <f>'day2'!E960</f>
        <v>6001</v>
      </c>
      <c r="F964" s="140">
        <f t="shared" si="466"/>
        <v>20180328</v>
      </c>
      <c r="G964" s="140">
        <f>'day2'!G960</f>
        <v>20180326</v>
      </c>
      <c r="H964" s="140" t="str">
        <f>'day2'!H960</f>
        <v>CZCE</v>
      </c>
      <c r="I964" s="140" t="str">
        <f>'day2'!I960</f>
        <v>SR807P6500</v>
      </c>
      <c r="J964" s="268">
        <f>'day2'!J960</f>
        <v>1</v>
      </c>
      <c r="K964" s="268">
        <f>'day2'!K960</f>
        <v>3</v>
      </c>
      <c r="L964" s="268">
        <f>'day2'!L960</f>
        <v>3</v>
      </c>
      <c r="M964" s="268">
        <f t="shared" si="467"/>
        <v>0</v>
      </c>
      <c r="N964" s="268">
        <f t="shared" si="418"/>
        <v>0</v>
      </c>
      <c r="O964" s="6">
        <f t="shared" si="443"/>
        <v>0</v>
      </c>
      <c r="P964" s="12">
        <f t="shared" si="444"/>
        <v>0</v>
      </c>
      <c r="Q964" s="12">
        <f t="shared" si="468"/>
        <v>6.4000000000000001E-2</v>
      </c>
      <c r="R964" s="12">
        <f t="shared" si="469"/>
        <v>6.32</v>
      </c>
      <c r="S964" s="12">
        <f t="shared" si="470"/>
        <v>4.2000000000000003E-2</v>
      </c>
      <c r="T964" s="12">
        <f t="shared" si="471"/>
        <v>4.2</v>
      </c>
      <c r="U964" s="12">
        <f t="shared" si="472"/>
        <v>10</v>
      </c>
      <c r="V964" s="12">
        <f t="shared" si="473"/>
        <v>6500</v>
      </c>
      <c r="W964" s="12">
        <f t="shared" si="474"/>
        <v>615</v>
      </c>
      <c r="X964" s="12">
        <f t="shared" si="475"/>
        <v>6170</v>
      </c>
      <c r="Y964" s="250">
        <f>'day2'!Y960</f>
        <v>619</v>
      </c>
      <c r="Z964" s="12">
        <f t="shared" si="476"/>
        <v>615</v>
      </c>
      <c r="AA964" s="12">
        <f t="shared" si="451"/>
        <v>0.5</v>
      </c>
      <c r="AB964" s="12">
        <f t="shared" si="451"/>
        <v>0.5</v>
      </c>
      <c r="AC964" s="12">
        <f t="shared" si="445"/>
        <v>0</v>
      </c>
      <c r="AD964" s="12">
        <f t="shared" si="477"/>
        <v>1</v>
      </c>
      <c r="AE964" s="100">
        <f t="shared" si="484"/>
        <v>0</v>
      </c>
      <c r="AF964" s="12">
        <f t="shared" si="446"/>
        <v>0</v>
      </c>
      <c r="AG964" s="12">
        <f t="shared" si="447"/>
        <v>0</v>
      </c>
      <c r="AH964" s="12">
        <f t="shared" si="448"/>
        <v>0</v>
      </c>
      <c r="AI964" s="12">
        <f t="shared" si="431"/>
        <v>6150</v>
      </c>
      <c r="AJ964" s="12">
        <v>1</v>
      </c>
      <c r="AK964" s="12">
        <f t="shared" si="478"/>
        <v>1</v>
      </c>
      <c r="AL964" s="12">
        <f t="shared" si="449"/>
        <v>0</v>
      </c>
      <c r="AM964" s="12">
        <f t="shared" si="433"/>
        <v>0</v>
      </c>
      <c r="AN964" s="12">
        <f t="shared" si="434"/>
        <v>0</v>
      </c>
      <c r="AO964" s="12">
        <f t="shared" si="435"/>
        <v>0</v>
      </c>
      <c r="AP964" s="12">
        <f t="shared" si="479"/>
        <v>0</v>
      </c>
      <c r="AQ964" s="3" t="str">
        <f t="shared" si="480"/>
        <v>SR807</v>
      </c>
      <c r="AR964" s="3" t="str">
        <f t="shared" si="438"/>
        <v>SR80730</v>
      </c>
      <c r="AS964" s="6" t="str">
        <f t="shared" si="481"/>
        <v>9999</v>
      </c>
      <c r="AT964" s="6" t="str">
        <f t="shared" si="482"/>
        <v>CNY</v>
      </c>
      <c r="AU964" s="6" t="str">
        <f t="shared" si="483"/>
        <v>50010001</v>
      </c>
      <c r="AV964" s="142">
        <f>'day2'!M960+'day2'!N960</f>
        <v>0</v>
      </c>
      <c r="AW964" s="142">
        <f t="shared" si="450"/>
        <v>0</v>
      </c>
    </row>
    <row r="965" spans="1:49" s="6" customFormat="1" x14ac:dyDescent="0.25">
      <c r="A965" s="6" t="str">
        <f t="shared" si="442"/>
        <v>comment</v>
      </c>
      <c r="B965" s="140" t="str">
        <f>'day2'!B961</f>
        <v>2018032610000100</v>
      </c>
      <c r="C965" s="140" t="str">
        <f>'day2'!C961</f>
        <v>6001</v>
      </c>
      <c r="D965" s="140" t="str">
        <f>'day2'!D961</f>
        <v>B00101</v>
      </c>
      <c r="E965" s="140" t="str">
        <f>'day2'!E961</f>
        <v>6001</v>
      </c>
      <c r="F965" s="140">
        <f t="shared" si="466"/>
        <v>20180328</v>
      </c>
      <c r="G965" s="140">
        <f>'day2'!G961</f>
        <v>20180326</v>
      </c>
      <c r="H965" s="140" t="str">
        <f>'day2'!H961</f>
        <v>CZCE</v>
      </c>
      <c r="I965" s="140" t="str">
        <f>'day2'!I961</f>
        <v>SR807P6400</v>
      </c>
      <c r="J965" s="268">
        <f>'day2'!J961</f>
        <v>0</v>
      </c>
      <c r="K965" s="268">
        <f>'day2'!K961</f>
        <v>2</v>
      </c>
      <c r="L965" s="268">
        <f>'day2'!L961</f>
        <v>1</v>
      </c>
      <c r="M965" s="268">
        <f t="shared" si="467"/>
        <v>0</v>
      </c>
      <c r="N965" s="268">
        <f t="shared" si="418"/>
        <v>0</v>
      </c>
      <c r="O965" s="6">
        <f t="shared" si="443"/>
        <v>0</v>
      </c>
      <c r="P965" s="12">
        <f t="shared" si="444"/>
        <v>0</v>
      </c>
      <c r="Q965" s="12">
        <f t="shared" si="468"/>
        <v>6.0000000000000005E-2</v>
      </c>
      <c r="R965" s="12">
        <f t="shared" si="469"/>
        <v>6</v>
      </c>
      <c r="S965" s="12">
        <f t="shared" si="470"/>
        <v>0.04</v>
      </c>
      <c r="T965" s="12">
        <f t="shared" si="471"/>
        <v>4</v>
      </c>
      <c r="U965" s="12">
        <f t="shared" si="472"/>
        <v>10</v>
      </c>
      <c r="V965" s="12">
        <f t="shared" si="473"/>
        <v>6400</v>
      </c>
      <c r="W965" s="12">
        <f t="shared" si="474"/>
        <v>620</v>
      </c>
      <c r="X965" s="12">
        <f t="shared" si="475"/>
        <v>6170</v>
      </c>
      <c r="Y965" s="250">
        <f>'day2'!Y961</f>
        <v>620</v>
      </c>
      <c r="Z965" s="12">
        <f t="shared" si="476"/>
        <v>620</v>
      </c>
      <c r="AA965" s="12">
        <f t="shared" si="451"/>
        <v>0.5</v>
      </c>
      <c r="AB965" s="12">
        <f t="shared" si="451"/>
        <v>0.5</v>
      </c>
      <c r="AC965" s="12">
        <f t="shared" si="445"/>
        <v>0</v>
      </c>
      <c r="AD965" s="12">
        <f t="shared" si="477"/>
        <v>1</v>
      </c>
      <c r="AE965" s="100">
        <f t="shared" si="484"/>
        <v>0</v>
      </c>
      <c r="AF965" s="12">
        <f t="shared" si="446"/>
        <v>0</v>
      </c>
      <c r="AG965" s="12">
        <f t="shared" si="447"/>
        <v>0</v>
      </c>
      <c r="AH965" s="12">
        <f t="shared" si="448"/>
        <v>0</v>
      </c>
      <c r="AI965" s="12">
        <f t="shared" si="431"/>
        <v>6200</v>
      </c>
      <c r="AJ965" s="12">
        <v>1</v>
      </c>
      <c r="AK965" s="12">
        <f t="shared" si="478"/>
        <v>1</v>
      </c>
      <c r="AL965" s="12">
        <f t="shared" si="449"/>
        <v>0</v>
      </c>
      <c r="AM965" s="12">
        <f t="shared" si="433"/>
        <v>0</v>
      </c>
      <c r="AN965" s="12">
        <f t="shared" si="434"/>
        <v>0</v>
      </c>
      <c r="AO965" s="12">
        <f t="shared" si="435"/>
        <v>0</v>
      </c>
      <c r="AP965" s="12">
        <f t="shared" si="479"/>
        <v>0</v>
      </c>
      <c r="AQ965" s="3" t="str">
        <f t="shared" si="480"/>
        <v>SR807</v>
      </c>
      <c r="AR965" s="3" t="str">
        <f t="shared" si="438"/>
        <v>SR80710</v>
      </c>
      <c r="AS965" s="6" t="str">
        <f t="shared" si="481"/>
        <v>9999</v>
      </c>
      <c r="AT965" s="6" t="str">
        <f t="shared" si="482"/>
        <v>CNY</v>
      </c>
      <c r="AU965" s="6" t="str">
        <f t="shared" si="483"/>
        <v>50010001</v>
      </c>
      <c r="AV965" s="142">
        <f>'day2'!M961+'day2'!N961</f>
        <v>0</v>
      </c>
      <c r="AW965" s="142">
        <f t="shared" si="450"/>
        <v>0</v>
      </c>
    </row>
    <row r="966" spans="1:49" s="6" customFormat="1" x14ac:dyDescent="0.25">
      <c r="A966" s="6" t="str">
        <f t="shared" si="442"/>
        <v>comment</v>
      </c>
      <c r="B966" s="140" t="str">
        <f>'day2'!B962</f>
        <v>2018032610000101</v>
      </c>
      <c r="C966" s="140" t="str">
        <f>'day2'!C962</f>
        <v>6001</v>
      </c>
      <c r="D966" s="140" t="str">
        <f>'day2'!D962</f>
        <v>B00101</v>
      </c>
      <c r="E966" s="140" t="str">
        <f>'day2'!E962</f>
        <v>6001</v>
      </c>
      <c r="F966" s="140">
        <f t="shared" si="466"/>
        <v>20180328</v>
      </c>
      <c r="G966" s="140">
        <f>'day2'!G962</f>
        <v>20180326</v>
      </c>
      <c r="H966" s="140" t="str">
        <f>'day2'!H962</f>
        <v>CZCE</v>
      </c>
      <c r="I966" s="140" t="str">
        <f>'day2'!I962</f>
        <v>SR807P6400</v>
      </c>
      <c r="J966" s="268">
        <f>'day2'!J962</f>
        <v>0</v>
      </c>
      <c r="K966" s="268">
        <f>'day2'!K962</f>
        <v>2</v>
      </c>
      <c r="L966" s="268">
        <f>'day2'!L962</f>
        <v>1</v>
      </c>
      <c r="M966" s="268">
        <f t="shared" si="467"/>
        <v>0</v>
      </c>
      <c r="N966" s="268">
        <f t="shared" si="418"/>
        <v>0</v>
      </c>
      <c r="O966" s="6">
        <f t="shared" si="443"/>
        <v>0</v>
      </c>
      <c r="P966" s="12">
        <f t="shared" si="444"/>
        <v>0</v>
      </c>
      <c r="Q966" s="12">
        <f t="shared" si="468"/>
        <v>6.0000000000000005E-2</v>
      </c>
      <c r="R966" s="12">
        <f t="shared" si="469"/>
        <v>6</v>
      </c>
      <c r="S966" s="12">
        <f t="shared" si="470"/>
        <v>0.04</v>
      </c>
      <c r="T966" s="12">
        <f t="shared" si="471"/>
        <v>4</v>
      </c>
      <c r="U966" s="12">
        <f t="shared" si="472"/>
        <v>10</v>
      </c>
      <c r="V966" s="12">
        <f t="shared" si="473"/>
        <v>6400</v>
      </c>
      <c r="W966" s="12">
        <f t="shared" si="474"/>
        <v>620</v>
      </c>
      <c r="X966" s="12">
        <f t="shared" si="475"/>
        <v>6170</v>
      </c>
      <c r="Y966" s="250">
        <f>'day2'!Y962</f>
        <v>621</v>
      </c>
      <c r="Z966" s="12">
        <f t="shared" si="476"/>
        <v>620</v>
      </c>
      <c r="AA966" s="12">
        <f t="shared" ref="AA966:AB987" si="485">$F$190</f>
        <v>0.5</v>
      </c>
      <c r="AB966" s="12">
        <f t="shared" si="485"/>
        <v>0.5</v>
      </c>
      <c r="AC966" s="12">
        <f t="shared" si="445"/>
        <v>0</v>
      </c>
      <c r="AD966" s="12">
        <f t="shared" si="477"/>
        <v>1</v>
      </c>
      <c r="AE966" s="100">
        <f t="shared" si="484"/>
        <v>0</v>
      </c>
      <c r="AF966" s="12">
        <f t="shared" si="446"/>
        <v>0</v>
      </c>
      <c r="AG966" s="12">
        <f t="shared" si="447"/>
        <v>0</v>
      </c>
      <c r="AH966" s="12">
        <f t="shared" si="448"/>
        <v>0</v>
      </c>
      <c r="AI966" s="12">
        <f t="shared" si="431"/>
        <v>6200</v>
      </c>
      <c r="AJ966" s="12">
        <v>1</v>
      </c>
      <c r="AK966" s="12">
        <f t="shared" si="478"/>
        <v>1</v>
      </c>
      <c r="AL966" s="12">
        <f t="shared" si="449"/>
        <v>0</v>
      </c>
      <c r="AM966" s="12">
        <f t="shared" si="433"/>
        <v>0</v>
      </c>
      <c r="AN966" s="12">
        <f t="shared" si="434"/>
        <v>0</v>
      </c>
      <c r="AO966" s="12">
        <f t="shared" si="435"/>
        <v>0</v>
      </c>
      <c r="AP966" s="12">
        <f t="shared" si="479"/>
        <v>0</v>
      </c>
      <c r="AQ966" s="3" t="str">
        <f t="shared" si="480"/>
        <v>SR807</v>
      </c>
      <c r="AR966" s="3" t="str">
        <f t="shared" si="438"/>
        <v>SR80710</v>
      </c>
      <c r="AS966" s="6" t="str">
        <f t="shared" si="481"/>
        <v>9999</v>
      </c>
      <c r="AT966" s="6" t="str">
        <f t="shared" si="482"/>
        <v>CNY</v>
      </c>
      <c r="AU966" s="6" t="str">
        <f t="shared" si="483"/>
        <v>50010001</v>
      </c>
      <c r="AV966" s="142">
        <f>'day2'!M962+'day2'!N962</f>
        <v>0</v>
      </c>
      <c r="AW966" s="142">
        <f t="shared" si="450"/>
        <v>0</v>
      </c>
    </row>
    <row r="967" spans="1:49" s="6" customFormat="1" x14ac:dyDescent="0.25">
      <c r="A967" s="6" t="str">
        <f t="shared" si="442"/>
        <v>comment</v>
      </c>
      <c r="B967" s="140" t="str">
        <f>'day2'!B963</f>
        <v>2018032610000102</v>
      </c>
      <c r="C967" s="140" t="str">
        <f>'day2'!C963</f>
        <v>6001</v>
      </c>
      <c r="D967" s="140" t="str">
        <f>'day2'!D963</f>
        <v>B00101</v>
      </c>
      <c r="E967" s="140" t="str">
        <f>'day2'!E963</f>
        <v>6001</v>
      </c>
      <c r="F967" s="140">
        <f t="shared" si="466"/>
        <v>20180328</v>
      </c>
      <c r="G967" s="140">
        <f>'day2'!G963</f>
        <v>20180326</v>
      </c>
      <c r="H967" s="140" t="str">
        <f>'day2'!H963</f>
        <v>CZCE</v>
      </c>
      <c r="I967" s="140" t="str">
        <f>'day2'!I963</f>
        <v>SR807P6400</v>
      </c>
      <c r="J967" s="268">
        <f>'day2'!J963</f>
        <v>1</v>
      </c>
      <c r="K967" s="268">
        <f>'day2'!K963</f>
        <v>3</v>
      </c>
      <c r="L967" s="268">
        <f>'day2'!L963</f>
        <v>1</v>
      </c>
      <c r="M967" s="268">
        <f t="shared" si="467"/>
        <v>0</v>
      </c>
      <c r="N967" s="268">
        <f t="shared" si="418"/>
        <v>0</v>
      </c>
      <c r="O967" s="6">
        <f t="shared" si="443"/>
        <v>0</v>
      </c>
      <c r="P967" s="12">
        <f t="shared" si="444"/>
        <v>0</v>
      </c>
      <c r="Q967" s="12">
        <f t="shared" si="468"/>
        <v>6.0000000000000005E-2</v>
      </c>
      <c r="R967" s="12">
        <f t="shared" si="469"/>
        <v>6</v>
      </c>
      <c r="S967" s="12">
        <f t="shared" si="470"/>
        <v>0.04</v>
      </c>
      <c r="T967" s="12">
        <f t="shared" si="471"/>
        <v>4</v>
      </c>
      <c r="U967" s="12">
        <f t="shared" si="472"/>
        <v>10</v>
      </c>
      <c r="V967" s="12">
        <f t="shared" si="473"/>
        <v>6400</v>
      </c>
      <c r="W967" s="12">
        <f t="shared" si="474"/>
        <v>620</v>
      </c>
      <c r="X967" s="12">
        <f t="shared" si="475"/>
        <v>6170</v>
      </c>
      <c r="Y967" s="250">
        <f>'day2'!Y963</f>
        <v>622</v>
      </c>
      <c r="Z967" s="12">
        <f t="shared" si="476"/>
        <v>620</v>
      </c>
      <c r="AA967" s="12">
        <f t="shared" si="485"/>
        <v>0.5</v>
      </c>
      <c r="AB967" s="12">
        <f t="shared" si="485"/>
        <v>0.5</v>
      </c>
      <c r="AC967" s="12">
        <f t="shared" si="445"/>
        <v>0</v>
      </c>
      <c r="AD967" s="12">
        <f t="shared" si="477"/>
        <v>1</v>
      </c>
      <c r="AE967" s="12">
        <f t="shared" si="484"/>
        <v>0</v>
      </c>
      <c r="AF967" s="12">
        <f t="shared" si="446"/>
        <v>0</v>
      </c>
      <c r="AG967" s="12">
        <f t="shared" si="447"/>
        <v>0</v>
      </c>
      <c r="AH967" s="12">
        <f t="shared" si="448"/>
        <v>0</v>
      </c>
      <c r="AI967" s="12">
        <f t="shared" si="431"/>
        <v>6200</v>
      </c>
      <c r="AJ967" s="12">
        <v>1</v>
      </c>
      <c r="AK967" s="12">
        <f t="shared" si="478"/>
        <v>1</v>
      </c>
      <c r="AL967" s="12">
        <f t="shared" si="449"/>
        <v>0</v>
      </c>
      <c r="AM967" s="12">
        <f t="shared" si="433"/>
        <v>0</v>
      </c>
      <c r="AN967" s="12">
        <f t="shared" si="434"/>
        <v>0</v>
      </c>
      <c r="AO967" s="12">
        <f t="shared" si="435"/>
        <v>0</v>
      </c>
      <c r="AP967" s="12">
        <f t="shared" si="479"/>
        <v>0</v>
      </c>
      <c r="AQ967" s="3" t="str">
        <f t="shared" si="480"/>
        <v>SR807</v>
      </c>
      <c r="AR967" s="3" t="str">
        <f t="shared" si="438"/>
        <v>SR80710</v>
      </c>
      <c r="AS967" s="6" t="str">
        <f t="shared" si="481"/>
        <v>9999</v>
      </c>
      <c r="AT967" s="6" t="str">
        <f t="shared" si="482"/>
        <v>CNY</v>
      </c>
      <c r="AU967" s="6" t="str">
        <f t="shared" si="483"/>
        <v>50010001</v>
      </c>
      <c r="AV967" s="229">
        <f>'day2'!M963+'day2'!N963</f>
        <v>0</v>
      </c>
      <c r="AW967" s="142">
        <f t="shared" si="450"/>
        <v>0</v>
      </c>
    </row>
    <row r="968" spans="1:49" s="4" customFormat="1" x14ac:dyDescent="0.25">
      <c r="A968" s="4" t="str">
        <f t="shared" si="442"/>
        <v/>
      </c>
      <c r="B968" s="308" t="str">
        <f>'day2'!B964</f>
        <v>2018032610000150</v>
      </c>
      <c r="C968" s="308" t="str">
        <f>'day2'!C964</f>
        <v>6001</v>
      </c>
      <c r="D968" s="308" t="str">
        <f>'day2'!D964</f>
        <v>B00101</v>
      </c>
      <c r="E968" s="308" t="str">
        <f>'day2'!E964</f>
        <v>6001</v>
      </c>
      <c r="F968" s="308">
        <f t="shared" si="466"/>
        <v>20180328</v>
      </c>
      <c r="G968" s="308">
        <f>'day2'!G964</f>
        <v>20180326</v>
      </c>
      <c r="H968" s="308" t="str">
        <f>'day2'!H964</f>
        <v>CZCE</v>
      </c>
      <c r="I968" s="308" t="str">
        <f>'day2'!I964</f>
        <v>SR809C6600</v>
      </c>
      <c r="J968" s="384">
        <f>'day2'!J964</f>
        <v>1</v>
      </c>
      <c r="K968" s="384">
        <f>'day2'!K964</f>
        <v>3</v>
      </c>
      <c r="L968" s="384">
        <f>'day2'!L964</f>
        <v>1</v>
      </c>
      <c r="M968" s="384">
        <f t="shared" si="467"/>
        <v>2</v>
      </c>
      <c r="N968" s="384">
        <f t="shared" ref="N968" si="486">SUMPRODUCT(($E$880:$E$919=B968)*($F$880:$F$919=C968)*($G$880:$G$919=D968)*($I$880:$I$919=I968)*($J$880:$J$919=L968)*($L$880:$L$919=J968)*($N$880:$N$919))</f>
        <v>0</v>
      </c>
      <c r="O968" s="4">
        <f t="shared" si="443"/>
        <v>12500</v>
      </c>
      <c r="P968" s="29">
        <f t="shared" ref="P968" si="487">IF(AK968=0,0,(M968+N968)*U968*W968)</f>
        <v>12500</v>
      </c>
      <c r="Q968" s="29">
        <f t="shared" ref="Q968" si="488">IF(AK968=0, VLOOKUP(AR968,$F$53:$L$72,4,FALSE),VLOOKUP(AR968,$F$53:$L$72,4,FALSE)+VLOOKUP(AR968,$F$53:$L$72,6,FALSE) )</f>
        <v>6.2E-2</v>
      </c>
      <c r="R968" s="29">
        <f t="shared" ref="R968" si="489">IF(AK968=0, VLOOKUP(AR968,$F$53:$L$72,5,FALSE),VLOOKUP(AR968,$F$53:$L$72,5,FALSE)+VLOOKUP(AR968,$F$53:$L$72,7,FALSE) )</f>
        <v>6.21</v>
      </c>
      <c r="S968" s="29">
        <f t="shared" ref="S968" si="490">VLOOKUP(AR968,$F$53:$L$72,2,FALSE)</f>
        <v>4.1000000000000002E-2</v>
      </c>
      <c r="T968" s="29">
        <f t="shared" ref="T968" si="491">VLOOKUP(AR968,$F$53:$L$72,3,FALSE)</f>
        <v>4.0999999999999996</v>
      </c>
      <c r="U968" s="29">
        <f t="shared" ref="U968" si="492" xml:space="preserve"> VLOOKUP(I968,$C$19:$L$31,3,FALSE)</f>
        <v>10</v>
      </c>
      <c r="V968" s="29">
        <f t="shared" si="473"/>
        <v>6600</v>
      </c>
      <c r="W968" s="29">
        <f t="shared" si="474"/>
        <v>625</v>
      </c>
      <c r="X968" s="29">
        <f t="shared" si="475"/>
        <v>6160</v>
      </c>
      <c r="Y968" s="303">
        <f>'day2'!Y964</f>
        <v>630</v>
      </c>
      <c r="Z968" s="29">
        <f t="shared" si="476"/>
        <v>640</v>
      </c>
      <c r="AA968" s="29">
        <f t="shared" si="485"/>
        <v>0.5</v>
      </c>
      <c r="AB968" s="29">
        <f t="shared" si="485"/>
        <v>0.5</v>
      </c>
      <c r="AC968" s="29">
        <f t="shared" ref="AC968" si="493">IF(AD968=0,MAX((V968-X968)*U968,0),MAX((X968-V968)*U968,0))</f>
        <v>4400</v>
      </c>
      <c r="AD968" s="29">
        <f t="shared" ref="AD968" si="494" xml:space="preserve"> VLOOKUP(I968,$C$19:$L$31,6,FALSE)</f>
        <v>0</v>
      </c>
      <c r="AE968" s="29">
        <f>ROUND(IF(AK968=0,Q968*U968*W968*M968+R968*M968,IF(J968=0,0,MAX(AI968+(Q968*U968*X968+R968)*AJ968-AC968*AA968,AI968+(Q968*U968*X968+R968)*AB968)*M968)),2)</f>
        <v>16325.41</v>
      </c>
      <c r="AF968" s="29">
        <f t="shared" ref="AF968" si="495">ROUND(IF(AK968=0,S968*U968*W968*M968+T968*M968,IF(J968=0,0,MAX(AI968+(S968*U968*X968+T968)*AJ968-AC968*AA968,AI968+(S968*U968*X968+T968)*AB968)*M968)),2)</f>
        <v>15029.7</v>
      </c>
      <c r="AG968" s="29">
        <f t="shared" ref="AG968" si="496">ROUND(IF(AK968=0,Q968*U968*W968*N968+R968*N968,IF(J968=0,0,MAX(AI968+(Q968*U968*X968+R968)*AJ968-AC968*AA968,AI968+(Q968*U968*X968+R968)*AB968)*N968)),2)</f>
        <v>0</v>
      </c>
      <c r="AH968" s="29">
        <f t="shared" ref="AH968" si="497">ROUND(IF(AK968=0,S968*U968*W968*N968+T968*N968,IF(J968=0,0,MAX(AI968+(S968*U968*X968+T968)*AJ968-AC968*AA968,AI968+(S968*U968*X968+T968)*AB968)*N968)),2)</f>
        <v>0</v>
      </c>
      <c r="AI968" s="29">
        <f t="shared" ref="AI968" si="498">IF(AK968=1,1*U968*W968,0)</f>
        <v>6250</v>
      </c>
      <c r="AJ968" s="29">
        <v>1</v>
      </c>
      <c r="AK968" s="29">
        <f t="shared" ref="AK968" si="499" xml:space="preserve"> VLOOKUP(I968,$C$19:$L$31,10,FALSE)</f>
        <v>1</v>
      </c>
      <c r="AL968" s="29">
        <f t="shared" ref="AL968" si="500">IF(AK968=0,IF(F968=G968,IF(J968=0,(W968-Y968)*U968*M968,-(W968-Y968)*U968*M968),IF(J968=0,(W968-Z968)*U968*M968,-(W968-Z968)*U968*M968)),0)</f>
        <v>0</v>
      </c>
      <c r="AM968" s="29">
        <f t="shared" ref="AM968" si="501">IF(AK968=0,IF(J968=0,(W968-Y968)*U968*M968,-(W968-Y968)*U968*M968),0)</f>
        <v>0</v>
      </c>
      <c r="AN968" s="29">
        <f t="shared" ref="AN968" si="502">IF(AK968=0,IF(F968=G968,IF(J968=0,(W968-Y968)*U968*N968,-(W968-Y968)*U968*N968),IF(J968=0,(W968-Z968)*U968*N968,-(W968-Z968)*U968*N968)),0)</f>
        <v>0</v>
      </c>
      <c r="AO968" s="29">
        <f t="shared" ref="AO968" si="503">IF(AK968=0,IF(J968=0,(W968-Y968)*U968*N968,-(W968-Y968)*U968*N968),0)</f>
        <v>0</v>
      </c>
      <c r="AP968" s="29">
        <f t="shared" ref="AP968" si="504" xml:space="preserve"> VLOOKUP(I968,$C$19:$L$31,9,FALSE)</f>
        <v>0</v>
      </c>
      <c r="AQ968" s="36" t="str">
        <f t="shared" ref="AQ968" si="505" xml:space="preserve"> VLOOKUP(I968,$C$19:$L$31,7,FALSE)</f>
        <v>SR809</v>
      </c>
      <c r="AR968" s="36" t="str">
        <f t="shared" ref="AR968" si="506">IF(AK968=0,AQ968&amp;L968&amp;J968,IF(AD968=0,AQ968&amp;L968&amp;1,AQ968&amp;L968&amp;0))</f>
        <v>SR80911</v>
      </c>
      <c r="AS968" s="4" t="str">
        <f t="shared" si="481"/>
        <v>9999</v>
      </c>
      <c r="AT968" s="4" t="str">
        <f t="shared" si="482"/>
        <v>CNY</v>
      </c>
      <c r="AU968" s="4" t="str">
        <f t="shared" ref="AU968" si="507">VLOOKUP(D968,$C$5:$G$6,5,FALSE)</f>
        <v>50010001</v>
      </c>
      <c r="AV968" s="309">
        <f>'day2'!M964+'day2'!N964</f>
        <v>2</v>
      </c>
      <c r="AW968" s="309">
        <f t="shared" ref="AW968" si="508">(M968+N968)*U968*Y968</f>
        <v>12600</v>
      </c>
    </row>
    <row r="969" spans="1:49" s="6" customFormat="1" x14ac:dyDescent="0.25">
      <c r="A969" s="6" t="str">
        <f t="shared" si="442"/>
        <v>comment</v>
      </c>
      <c r="B969" s="140" t="str">
        <f>'day2'!B965</f>
        <v>2018032610000103</v>
      </c>
      <c r="C969" s="140" t="str">
        <f>'day2'!C965</f>
        <v>6001</v>
      </c>
      <c r="D969" s="140" t="str">
        <f>'day2'!D965</f>
        <v>B00102</v>
      </c>
      <c r="E969" s="140" t="str">
        <f>'day2'!E965</f>
        <v>6001</v>
      </c>
      <c r="F969" s="140">
        <f t="shared" si="466"/>
        <v>20180328</v>
      </c>
      <c r="G969" s="140">
        <f>'day2'!G965</f>
        <v>20180326</v>
      </c>
      <c r="H969" s="140" t="str">
        <f>'day2'!H965</f>
        <v>CZCE</v>
      </c>
      <c r="I969" s="140" t="str">
        <f>'day2'!I965</f>
        <v>PTA807C6500</v>
      </c>
      <c r="J969" s="268">
        <f>'day2'!J965</f>
        <v>0</v>
      </c>
      <c r="K969" s="268">
        <f>'day2'!K965</f>
        <v>2</v>
      </c>
      <c r="L969" s="268">
        <f>'day2'!L965</f>
        <v>1</v>
      </c>
      <c r="M969" s="268">
        <f t="shared" si="467"/>
        <v>0</v>
      </c>
      <c r="N969" s="268">
        <f t="shared" ref="N969:N976" si="509">SUMPRODUCT(($E$880:$E$919=B969)*($F$880:$F$919=C969)*($G$880:$G$919=D969)*($I$880:$I$919=I969)*($J$880:$J$919=L969)*($L$880:$L$919=J969)*($N$880:$N$919))</f>
        <v>0</v>
      </c>
      <c r="O969" s="6">
        <f t="shared" si="443"/>
        <v>0</v>
      </c>
      <c r="P969" s="12">
        <f t="shared" ref="P969:P976" si="510">IF(AK969=0,0,(M969+N969)*U969*W969)</f>
        <v>0</v>
      </c>
      <c r="Q969" s="12">
        <f t="shared" si="468"/>
        <v>6.2E-2</v>
      </c>
      <c r="R969" s="12">
        <f t="shared" si="469"/>
        <v>6.21</v>
      </c>
      <c r="S969" s="12">
        <f t="shared" si="470"/>
        <v>4.1000000000000002E-2</v>
      </c>
      <c r="T969" s="12">
        <f t="shared" si="471"/>
        <v>4.0999999999999996</v>
      </c>
      <c r="U969" s="12">
        <f t="shared" si="472"/>
        <v>5</v>
      </c>
      <c r="V969" s="12">
        <f t="shared" si="473"/>
        <v>6165</v>
      </c>
      <c r="W969" s="12">
        <f t="shared" si="474"/>
        <v>580</v>
      </c>
      <c r="X969" s="12">
        <f t="shared" si="475"/>
        <v>0</v>
      </c>
      <c r="Y969" s="250">
        <f>'day2'!Y965</f>
        <v>623</v>
      </c>
      <c r="Z969" s="12">
        <f t="shared" si="476"/>
        <v>580</v>
      </c>
      <c r="AA969" s="12">
        <f t="shared" si="485"/>
        <v>0.5</v>
      </c>
      <c r="AB969" s="12">
        <f t="shared" si="485"/>
        <v>0.5</v>
      </c>
      <c r="AC969" s="12">
        <f t="shared" ref="AC969:AC976" si="511">IF(AD969=0,MAX((V969-X969)*U969,0),MAX((X969-V969)*U969,0))</f>
        <v>30825</v>
      </c>
      <c r="AD969" s="12">
        <f t="shared" si="477"/>
        <v>0</v>
      </c>
      <c r="AE969" s="12">
        <f t="shared" ref="AE969:AE976" si="512">ROUND(IF(AK969=0,Q969*U969*W969*M969+R969*M969,IF(J969=0,0,MAX(AI969+(Q969*U969*X969+R969)*AJ969-AC969*AA969,AI969+(Q969*U969*X969+R969)*AB969)*M969)),2)</f>
        <v>0</v>
      </c>
      <c r="AF969" s="12">
        <f t="shared" ref="AF969:AF976" si="513">ROUND(IF(AK969=0,S969*U969*W969*M969+T969*M969,IF(J969=0,0,MAX(AI969+(S969*U969*X969+T969)*AJ969-AC969*AA969,AI969+(S969*U969*X969+T969)*AB969)*M969)),2)</f>
        <v>0</v>
      </c>
      <c r="AG969" s="12">
        <f t="shared" ref="AG969:AG976" si="514">ROUND(IF(AK969=0,Q969*U969*W969*N969+R969*N969,IF(J969=0,0,MAX(AI969+(Q969*U969*X969+R969)*AJ969-AC969*AA969,AI969+(Q969*U969*X969+R969)*AB969)*N969)),2)</f>
        <v>0</v>
      </c>
      <c r="AH969" s="12">
        <f t="shared" ref="AH969:AH976" si="515">ROUND(IF(AK969=0,S969*U969*W969*N969+T969*N969,IF(J969=0,0,MAX(AI969+(S969*U969*X969+T969)*AJ969-AC969*AA969,AI969+(S969*U969*X969+T969)*AB969)*N969)),2)</f>
        <v>0</v>
      </c>
      <c r="AI969" s="12">
        <f t="shared" ref="AI969:AI976" si="516">IF(AK969=1,1*U969*W969,0)</f>
        <v>2900</v>
      </c>
      <c r="AJ969" s="12">
        <v>1</v>
      </c>
      <c r="AK969" s="12">
        <f t="shared" si="478"/>
        <v>1</v>
      </c>
      <c r="AL969" s="12">
        <f t="shared" ref="AL969:AL976" si="517">IF(AK969=0,IF(F969=G969,IF(J969=0,(W969-Y969)*U969*M969,-(W969-Y969)*U969*M969),IF(J969=0,(W969-Z969)*U969*M969,-(W969-Z969)*U969*M969)),0)</f>
        <v>0</v>
      </c>
      <c r="AM969" s="12">
        <f t="shared" ref="AM969:AM976" si="518">IF(AK969=0,IF(J969=0,(W969-Y969)*U969*M969,-(W969-Y969)*U969*M969),0)</f>
        <v>0</v>
      </c>
      <c r="AN969" s="12">
        <f t="shared" ref="AN969:AN976" si="519">IF(AK969=0,IF(F969=G969,IF(J969=0,(W969-Y969)*U969*N969,-(W969-Y969)*U969*N969),IF(J969=0,(W969-Z969)*U969*N969,-(W969-Z969)*U969*N969)),0)</f>
        <v>0</v>
      </c>
      <c r="AO969" s="12">
        <f t="shared" ref="AO969:AO976" si="520">IF(AK969=0,IF(J969=0,(W969-Y969)*U969*N969,-(W969-Y969)*U969*N969),0)</f>
        <v>0</v>
      </c>
      <c r="AP969" s="12">
        <f t="shared" si="479"/>
        <v>0</v>
      </c>
      <c r="AQ969" s="3" t="str">
        <f t="shared" si="480"/>
        <v>PTA807</v>
      </c>
      <c r="AR969" s="3" t="str">
        <f t="shared" ref="AR969:AR976" si="521">IF(AK969=0,AQ969&amp;L969&amp;J969,IF(AD969=0,AQ969&amp;L969&amp;1,AQ969&amp;L969&amp;0))</f>
        <v>PTA80711</v>
      </c>
      <c r="AS969" s="6" t="str">
        <f t="shared" si="481"/>
        <v>9999</v>
      </c>
      <c r="AT969" s="6" t="str">
        <f t="shared" si="482"/>
        <v>CNY</v>
      </c>
      <c r="AU969" s="6" t="str">
        <f t="shared" si="483"/>
        <v>50010002</v>
      </c>
      <c r="AV969" s="229">
        <f>'day2'!M965+'day2'!N965</f>
        <v>0</v>
      </c>
      <c r="AW969" s="142">
        <f t="shared" si="450"/>
        <v>0</v>
      </c>
    </row>
    <row r="970" spans="1:49" s="6" customFormat="1" x14ac:dyDescent="0.25">
      <c r="A970" s="6" t="str">
        <f t="shared" si="442"/>
        <v>comment</v>
      </c>
      <c r="B970" s="140" t="str">
        <f>'day2'!B966</f>
        <v>2018032610000104</v>
      </c>
      <c r="C970" s="140" t="str">
        <f>'day2'!C966</f>
        <v>6001</v>
      </c>
      <c r="D970" s="140" t="str">
        <f>'day2'!D966</f>
        <v>B00102</v>
      </c>
      <c r="E970" s="140" t="str">
        <f>'day2'!E966</f>
        <v>6001</v>
      </c>
      <c r="F970" s="140">
        <f t="shared" si="466"/>
        <v>20180328</v>
      </c>
      <c r="G970" s="140">
        <f>'day2'!G966</f>
        <v>20180326</v>
      </c>
      <c r="H970" s="140" t="str">
        <f>'day2'!H966</f>
        <v>CZCE</v>
      </c>
      <c r="I970" s="140" t="str">
        <f>'day2'!I966</f>
        <v>PTA807C6500</v>
      </c>
      <c r="J970" s="268">
        <f>'day2'!J966</f>
        <v>1</v>
      </c>
      <c r="K970" s="268">
        <f>'day2'!K966</f>
        <v>3</v>
      </c>
      <c r="L970" s="268">
        <f>'day2'!L966</f>
        <v>1</v>
      </c>
      <c r="M970" s="268">
        <f t="shared" si="467"/>
        <v>0</v>
      </c>
      <c r="N970" s="268">
        <f t="shared" si="509"/>
        <v>0</v>
      </c>
      <c r="O970" s="6">
        <f t="shared" si="443"/>
        <v>0</v>
      </c>
      <c r="P970" s="12">
        <f t="shared" si="510"/>
        <v>0</v>
      </c>
      <c r="Q970" s="12">
        <f t="shared" si="468"/>
        <v>6.2E-2</v>
      </c>
      <c r="R970" s="12">
        <f t="shared" si="469"/>
        <v>6.21</v>
      </c>
      <c r="S970" s="12">
        <f t="shared" si="470"/>
        <v>4.1000000000000002E-2</v>
      </c>
      <c r="T970" s="12">
        <f t="shared" si="471"/>
        <v>4.0999999999999996</v>
      </c>
      <c r="U970" s="12">
        <f t="shared" si="472"/>
        <v>5</v>
      </c>
      <c r="V970" s="12">
        <f t="shared" si="473"/>
        <v>6165</v>
      </c>
      <c r="W970" s="12">
        <f t="shared" si="474"/>
        <v>580</v>
      </c>
      <c r="X970" s="12">
        <f t="shared" si="475"/>
        <v>0</v>
      </c>
      <c r="Y970" s="250">
        <f>'day2'!Y966</f>
        <v>624</v>
      </c>
      <c r="Z970" s="12">
        <f t="shared" si="476"/>
        <v>580</v>
      </c>
      <c r="AA970" s="12">
        <f t="shared" si="485"/>
        <v>0.5</v>
      </c>
      <c r="AB970" s="12">
        <f t="shared" si="485"/>
        <v>0.5</v>
      </c>
      <c r="AC970" s="12">
        <f t="shared" si="511"/>
        <v>30825</v>
      </c>
      <c r="AD970" s="12">
        <f t="shared" si="477"/>
        <v>0</v>
      </c>
      <c r="AE970" s="12">
        <f t="shared" si="512"/>
        <v>0</v>
      </c>
      <c r="AF970" s="12">
        <f t="shared" si="513"/>
        <v>0</v>
      </c>
      <c r="AG970" s="12">
        <f t="shared" si="514"/>
        <v>0</v>
      </c>
      <c r="AH970" s="12">
        <f t="shared" si="515"/>
        <v>0</v>
      </c>
      <c r="AI970" s="12">
        <f t="shared" si="516"/>
        <v>2900</v>
      </c>
      <c r="AJ970" s="12">
        <v>1</v>
      </c>
      <c r="AK970" s="12">
        <f t="shared" si="478"/>
        <v>1</v>
      </c>
      <c r="AL970" s="12">
        <f t="shared" si="517"/>
        <v>0</v>
      </c>
      <c r="AM970" s="12">
        <f t="shared" si="518"/>
        <v>0</v>
      </c>
      <c r="AN970" s="12">
        <f t="shared" si="519"/>
        <v>0</v>
      </c>
      <c r="AO970" s="12">
        <f t="shared" si="520"/>
        <v>0</v>
      </c>
      <c r="AP970" s="12">
        <f t="shared" si="479"/>
        <v>0</v>
      </c>
      <c r="AQ970" s="3" t="str">
        <f t="shared" si="480"/>
        <v>PTA807</v>
      </c>
      <c r="AR970" s="3" t="str">
        <f t="shared" si="521"/>
        <v>PTA80711</v>
      </c>
      <c r="AS970" s="6" t="str">
        <f t="shared" si="481"/>
        <v>9999</v>
      </c>
      <c r="AT970" s="6" t="str">
        <f t="shared" si="482"/>
        <v>CNY</v>
      </c>
      <c r="AU970" s="6" t="str">
        <f t="shared" si="483"/>
        <v>50010002</v>
      </c>
      <c r="AV970" s="229">
        <f>'day2'!M966+'day2'!N966</f>
        <v>0</v>
      </c>
      <c r="AW970" s="142">
        <f t="shared" si="450"/>
        <v>0</v>
      </c>
    </row>
    <row r="971" spans="1:49" s="6" customFormat="1" x14ac:dyDescent="0.25">
      <c r="A971" s="6" t="str">
        <f t="shared" si="442"/>
        <v>comment</v>
      </c>
      <c r="B971" s="140" t="str">
        <f>'day2'!B967</f>
        <v>2018032610000105</v>
      </c>
      <c r="C971" s="140" t="str">
        <f>'day2'!C967</f>
        <v>6001</v>
      </c>
      <c r="D971" s="140" t="str">
        <f>'day2'!D967</f>
        <v>B00102</v>
      </c>
      <c r="E971" s="140" t="str">
        <f>'day2'!E967</f>
        <v>6001</v>
      </c>
      <c r="F971" s="140">
        <f t="shared" si="466"/>
        <v>20180328</v>
      </c>
      <c r="G971" s="140">
        <f>'day2'!G967</f>
        <v>20180326</v>
      </c>
      <c r="H971" s="140" t="str">
        <f>'day2'!H967</f>
        <v>CZCE</v>
      </c>
      <c r="I971" s="140" t="str">
        <f>'day2'!I967</f>
        <v>PTA807C6500</v>
      </c>
      <c r="J971" s="268">
        <f>'day2'!J967</f>
        <v>0</v>
      </c>
      <c r="K971" s="268">
        <f>'day2'!K967</f>
        <v>2</v>
      </c>
      <c r="L971" s="268">
        <f>'day2'!L967</f>
        <v>3</v>
      </c>
      <c r="M971" s="268">
        <f t="shared" si="467"/>
        <v>0</v>
      </c>
      <c r="N971" s="268">
        <f t="shared" si="509"/>
        <v>0</v>
      </c>
      <c r="O971" s="6">
        <f t="shared" si="443"/>
        <v>0</v>
      </c>
      <c r="P971" s="12">
        <f t="shared" si="510"/>
        <v>0</v>
      </c>
      <c r="Q971" s="12">
        <f t="shared" si="468"/>
        <v>6.6000000000000003E-2</v>
      </c>
      <c r="R971" s="12">
        <f t="shared" si="469"/>
        <v>6.43</v>
      </c>
      <c r="S971" s="12">
        <f t="shared" si="470"/>
        <v>4.2999999999999997E-2</v>
      </c>
      <c r="T971" s="12">
        <f t="shared" si="471"/>
        <v>4.3</v>
      </c>
      <c r="U971" s="12">
        <f t="shared" si="472"/>
        <v>5</v>
      </c>
      <c r="V971" s="12">
        <f t="shared" si="473"/>
        <v>6165</v>
      </c>
      <c r="W971" s="12">
        <f t="shared" si="474"/>
        <v>580</v>
      </c>
      <c r="X971" s="12">
        <f t="shared" si="475"/>
        <v>0</v>
      </c>
      <c r="Y971" s="250">
        <f>'day2'!Y967</f>
        <v>625</v>
      </c>
      <c r="Z971" s="12">
        <f t="shared" si="476"/>
        <v>580</v>
      </c>
      <c r="AA971" s="12">
        <f t="shared" si="485"/>
        <v>0.5</v>
      </c>
      <c r="AB971" s="12">
        <f t="shared" si="485"/>
        <v>0.5</v>
      </c>
      <c r="AC971" s="12">
        <f t="shared" si="511"/>
        <v>30825</v>
      </c>
      <c r="AD971" s="12">
        <f t="shared" si="477"/>
        <v>0</v>
      </c>
      <c r="AE971" s="12">
        <f t="shared" si="512"/>
        <v>0</v>
      </c>
      <c r="AF971" s="12">
        <f t="shared" si="513"/>
        <v>0</v>
      </c>
      <c r="AG971" s="12">
        <f t="shared" si="514"/>
        <v>0</v>
      </c>
      <c r="AH971" s="12">
        <f t="shared" si="515"/>
        <v>0</v>
      </c>
      <c r="AI971" s="12">
        <f t="shared" si="516"/>
        <v>2900</v>
      </c>
      <c r="AJ971" s="12">
        <v>1</v>
      </c>
      <c r="AK971" s="12">
        <f t="shared" si="478"/>
        <v>1</v>
      </c>
      <c r="AL971" s="12">
        <f t="shared" si="517"/>
        <v>0</v>
      </c>
      <c r="AM971" s="12">
        <f t="shared" si="518"/>
        <v>0</v>
      </c>
      <c r="AN971" s="12">
        <f t="shared" si="519"/>
        <v>0</v>
      </c>
      <c r="AO971" s="12">
        <f t="shared" si="520"/>
        <v>0</v>
      </c>
      <c r="AP971" s="12">
        <f t="shared" si="479"/>
        <v>0</v>
      </c>
      <c r="AQ971" s="3" t="str">
        <f t="shared" si="480"/>
        <v>PTA807</v>
      </c>
      <c r="AR971" s="3" t="str">
        <f t="shared" si="521"/>
        <v>PTA80731</v>
      </c>
      <c r="AS971" s="6" t="str">
        <f t="shared" si="481"/>
        <v>9999</v>
      </c>
      <c r="AT971" s="6" t="str">
        <f t="shared" si="482"/>
        <v>CNY</v>
      </c>
      <c r="AU971" s="6" t="str">
        <f t="shared" si="483"/>
        <v>50010002</v>
      </c>
      <c r="AV971" s="229">
        <f>'day2'!M967+'day2'!N967</f>
        <v>0</v>
      </c>
      <c r="AW971" s="142">
        <f t="shared" si="450"/>
        <v>0</v>
      </c>
    </row>
    <row r="972" spans="1:49" s="6" customFormat="1" x14ac:dyDescent="0.25">
      <c r="A972" s="6" t="str">
        <f t="shared" si="442"/>
        <v>comment</v>
      </c>
      <c r="B972" s="140" t="str">
        <f>'day2'!B968</f>
        <v>2018032610000106</v>
      </c>
      <c r="C972" s="140" t="str">
        <f>'day2'!C968</f>
        <v>6001</v>
      </c>
      <c r="D972" s="140" t="str">
        <f>'day2'!D968</f>
        <v>B00102</v>
      </c>
      <c r="E972" s="140" t="str">
        <f>'day2'!E968</f>
        <v>6001</v>
      </c>
      <c r="F972" s="140">
        <f t="shared" si="466"/>
        <v>20180328</v>
      </c>
      <c r="G972" s="140">
        <f>'day2'!G968</f>
        <v>20180326</v>
      </c>
      <c r="H972" s="140" t="str">
        <f>'day2'!H968</f>
        <v>CZCE</v>
      </c>
      <c r="I972" s="140" t="str">
        <f>'day2'!I968</f>
        <v>PTA807C6500</v>
      </c>
      <c r="J972" s="268">
        <f>'day2'!J968</f>
        <v>1</v>
      </c>
      <c r="K972" s="268">
        <f>'day2'!K968</f>
        <v>3</v>
      </c>
      <c r="L972" s="268">
        <f>'day2'!L968</f>
        <v>3</v>
      </c>
      <c r="M972" s="268">
        <f t="shared" si="467"/>
        <v>0</v>
      </c>
      <c r="N972" s="268">
        <f t="shared" si="509"/>
        <v>0</v>
      </c>
      <c r="O972" s="6">
        <f t="shared" si="443"/>
        <v>0</v>
      </c>
      <c r="P972" s="12">
        <f t="shared" si="510"/>
        <v>0</v>
      </c>
      <c r="Q972" s="12">
        <f t="shared" si="468"/>
        <v>6.6000000000000003E-2</v>
      </c>
      <c r="R972" s="12">
        <f t="shared" si="469"/>
        <v>6.43</v>
      </c>
      <c r="S972" s="12">
        <f t="shared" si="470"/>
        <v>4.2999999999999997E-2</v>
      </c>
      <c r="T972" s="12">
        <f t="shared" si="471"/>
        <v>4.3</v>
      </c>
      <c r="U972" s="12">
        <f t="shared" si="472"/>
        <v>5</v>
      </c>
      <c r="V972" s="12">
        <f t="shared" si="473"/>
        <v>6165</v>
      </c>
      <c r="W972" s="12">
        <f t="shared" si="474"/>
        <v>580</v>
      </c>
      <c r="X972" s="12">
        <f t="shared" si="475"/>
        <v>0</v>
      </c>
      <c r="Y972" s="250">
        <f>'day2'!Y968</f>
        <v>626</v>
      </c>
      <c r="Z972" s="12">
        <f t="shared" si="476"/>
        <v>580</v>
      </c>
      <c r="AA972" s="12">
        <f t="shared" si="485"/>
        <v>0.5</v>
      </c>
      <c r="AB972" s="12">
        <f t="shared" si="485"/>
        <v>0.5</v>
      </c>
      <c r="AC972" s="12">
        <f t="shared" si="511"/>
        <v>30825</v>
      </c>
      <c r="AD972" s="12">
        <f t="shared" si="477"/>
        <v>0</v>
      </c>
      <c r="AE972" s="12">
        <f t="shared" si="512"/>
        <v>0</v>
      </c>
      <c r="AF972" s="12">
        <f t="shared" si="513"/>
        <v>0</v>
      </c>
      <c r="AG972" s="12">
        <f t="shared" si="514"/>
        <v>0</v>
      </c>
      <c r="AH972" s="12">
        <f t="shared" si="515"/>
        <v>0</v>
      </c>
      <c r="AI972" s="12">
        <f t="shared" si="516"/>
        <v>2900</v>
      </c>
      <c r="AJ972" s="12">
        <v>1</v>
      </c>
      <c r="AK972" s="12">
        <f t="shared" si="478"/>
        <v>1</v>
      </c>
      <c r="AL972" s="12">
        <f t="shared" si="517"/>
        <v>0</v>
      </c>
      <c r="AM972" s="12">
        <f t="shared" si="518"/>
        <v>0</v>
      </c>
      <c r="AN972" s="12">
        <f t="shared" si="519"/>
        <v>0</v>
      </c>
      <c r="AO972" s="12">
        <f t="shared" si="520"/>
        <v>0</v>
      </c>
      <c r="AP972" s="12">
        <f t="shared" si="479"/>
        <v>0</v>
      </c>
      <c r="AQ972" s="3" t="str">
        <f t="shared" si="480"/>
        <v>PTA807</v>
      </c>
      <c r="AR972" s="3" t="str">
        <f t="shared" si="521"/>
        <v>PTA80731</v>
      </c>
      <c r="AS972" s="6" t="str">
        <f t="shared" si="481"/>
        <v>9999</v>
      </c>
      <c r="AT972" s="6" t="str">
        <f t="shared" si="482"/>
        <v>CNY</v>
      </c>
      <c r="AU972" s="6" t="str">
        <f t="shared" si="483"/>
        <v>50010002</v>
      </c>
      <c r="AV972" s="229">
        <f>'day2'!M968+'day2'!N968</f>
        <v>0</v>
      </c>
      <c r="AW972" s="142">
        <f t="shared" si="450"/>
        <v>0</v>
      </c>
    </row>
    <row r="973" spans="1:49" s="6" customFormat="1" x14ac:dyDescent="0.25">
      <c r="A973" s="6" t="str">
        <f t="shared" si="442"/>
        <v>comment</v>
      </c>
      <c r="B973" s="140" t="str">
        <f>'day2'!B969</f>
        <v>2018032610000109</v>
      </c>
      <c r="C973" s="140" t="str">
        <f>'day2'!C969</f>
        <v>6001</v>
      </c>
      <c r="D973" s="140" t="str">
        <f>'day2'!D969</f>
        <v>B00102</v>
      </c>
      <c r="E973" s="140" t="str">
        <f>'day2'!E969</f>
        <v>6001</v>
      </c>
      <c r="F973" s="140">
        <f t="shared" si="466"/>
        <v>20180328</v>
      </c>
      <c r="G973" s="140">
        <f>'day2'!G969</f>
        <v>20180326</v>
      </c>
      <c r="H973" s="140" t="str">
        <f>'day2'!H969</f>
        <v>CZCE</v>
      </c>
      <c r="I973" s="140" t="str">
        <f>'day2'!I969</f>
        <v>PTA807P6200</v>
      </c>
      <c r="J973" s="268">
        <f>'day2'!J969</f>
        <v>0</v>
      </c>
      <c r="K973" s="268">
        <f>'day2'!K969</f>
        <v>2</v>
      </c>
      <c r="L973" s="268">
        <f>'day2'!L969</f>
        <v>1</v>
      </c>
      <c r="M973" s="268">
        <f t="shared" si="467"/>
        <v>0</v>
      </c>
      <c r="N973" s="268">
        <f t="shared" si="509"/>
        <v>0</v>
      </c>
      <c r="O973" s="6">
        <f t="shared" si="443"/>
        <v>0</v>
      </c>
      <c r="P973" s="12">
        <f t="shared" si="510"/>
        <v>0</v>
      </c>
      <c r="Q973" s="12">
        <f t="shared" si="468"/>
        <v>6.0000000000000005E-2</v>
      </c>
      <c r="R973" s="12">
        <f t="shared" si="469"/>
        <v>6</v>
      </c>
      <c r="S973" s="12">
        <f t="shared" si="470"/>
        <v>0.04</v>
      </c>
      <c r="T973" s="12">
        <f t="shared" si="471"/>
        <v>4</v>
      </c>
      <c r="U973" s="12">
        <f t="shared" si="472"/>
        <v>5</v>
      </c>
      <c r="V973" s="12">
        <f t="shared" si="473"/>
        <v>6165</v>
      </c>
      <c r="W973" s="12">
        <f t="shared" si="474"/>
        <v>600</v>
      </c>
      <c r="X973" s="12">
        <f t="shared" si="475"/>
        <v>0</v>
      </c>
      <c r="Y973" s="250">
        <f>'day2'!Y969</f>
        <v>629</v>
      </c>
      <c r="Z973" s="12">
        <f t="shared" si="476"/>
        <v>600</v>
      </c>
      <c r="AA973" s="12">
        <f t="shared" si="485"/>
        <v>0.5</v>
      </c>
      <c r="AB973" s="12">
        <f t="shared" si="485"/>
        <v>0.5</v>
      </c>
      <c r="AC973" s="12">
        <f t="shared" si="511"/>
        <v>0</v>
      </c>
      <c r="AD973" s="12">
        <f t="shared" si="477"/>
        <v>1</v>
      </c>
      <c r="AE973" s="12">
        <f t="shared" si="512"/>
        <v>0</v>
      </c>
      <c r="AF973" s="12">
        <f t="shared" si="513"/>
        <v>0</v>
      </c>
      <c r="AG973" s="12">
        <f t="shared" si="514"/>
        <v>0</v>
      </c>
      <c r="AH973" s="12">
        <f t="shared" si="515"/>
        <v>0</v>
      </c>
      <c r="AI973" s="12">
        <f t="shared" si="516"/>
        <v>3000</v>
      </c>
      <c r="AJ973" s="12">
        <v>1</v>
      </c>
      <c r="AK973" s="12">
        <f t="shared" si="478"/>
        <v>1</v>
      </c>
      <c r="AL973" s="12">
        <f t="shared" si="517"/>
        <v>0</v>
      </c>
      <c r="AM973" s="12">
        <f t="shared" si="518"/>
        <v>0</v>
      </c>
      <c r="AN973" s="12">
        <f t="shared" si="519"/>
        <v>0</v>
      </c>
      <c r="AO973" s="12">
        <f t="shared" si="520"/>
        <v>0</v>
      </c>
      <c r="AP973" s="12">
        <f t="shared" si="479"/>
        <v>0</v>
      </c>
      <c r="AQ973" s="3" t="str">
        <f t="shared" si="480"/>
        <v>PTA807</v>
      </c>
      <c r="AR973" s="3" t="str">
        <f t="shared" si="521"/>
        <v>PTA80710</v>
      </c>
      <c r="AS973" s="6" t="str">
        <f t="shared" si="481"/>
        <v>9999</v>
      </c>
      <c r="AT973" s="6" t="str">
        <f t="shared" si="482"/>
        <v>CNY</v>
      </c>
      <c r="AU973" s="6" t="str">
        <f t="shared" si="483"/>
        <v>50010002</v>
      </c>
      <c r="AV973" s="229">
        <f>'day2'!M969+'day2'!N969</f>
        <v>0</v>
      </c>
      <c r="AW973" s="142">
        <f t="shared" si="450"/>
        <v>0</v>
      </c>
    </row>
    <row r="974" spans="1:49" s="6" customFormat="1" x14ac:dyDescent="0.25">
      <c r="A974" s="6" t="str">
        <f t="shared" si="442"/>
        <v>comment</v>
      </c>
      <c r="B974" s="140" t="str">
        <f>'day2'!B970</f>
        <v>2018032610000110</v>
      </c>
      <c r="C974" s="140" t="str">
        <f>'day2'!C970</f>
        <v>6001</v>
      </c>
      <c r="D974" s="140" t="str">
        <f>'day2'!D970</f>
        <v>B00102</v>
      </c>
      <c r="E974" s="140" t="str">
        <f>'day2'!E970</f>
        <v>6001</v>
      </c>
      <c r="F974" s="140">
        <f t="shared" si="466"/>
        <v>20180328</v>
      </c>
      <c r="G974" s="140">
        <f>'day2'!G970</f>
        <v>20180326</v>
      </c>
      <c r="H974" s="140" t="str">
        <f>'day2'!H970</f>
        <v>CZCE</v>
      </c>
      <c r="I974" s="140" t="str">
        <f>'day2'!I970</f>
        <v>PTA807P6200</v>
      </c>
      <c r="J974" s="268">
        <f>'day2'!J970</f>
        <v>1</v>
      </c>
      <c r="K974" s="268">
        <f>'day2'!K970</f>
        <v>3</v>
      </c>
      <c r="L974" s="268">
        <f>'day2'!L970</f>
        <v>1</v>
      </c>
      <c r="M974" s="268">
        <f t="shared" si="467"/>
        <v>0</v>
      </c>
      <c r="N974" s="268">
        <f t="shared" si="509"/>
        <v>0</v>
      </c>
      <c r="O974" s="6">
        <f t="shared" si="443"/>
        <v>0</v>
      </c>
      <c r="P974" s="12">
        <f t="shared" si="510"/>
        <v>0</v>
      </c>
      <c r="Q974" s="12">
        <f t="shared" si="468"/>
        <v>6.0000000000000005E-2</v>
      </c>
      <c r="R974" s="12">
        <f t="shared" si="469"/>
        <v>6</v>
      </c>
      <c r="S974" s="12">
        <f t="shared" si="470"/>
        <v>0.04</v>
      </c>
      <c r="T974" s="12">
        <f t="shared" si="471"/>
        <v>4</v>
      </c>
      <c r="U974" s="12">
        <f t="shared" si="472"/>
        <v>5</v>
      </c>
      <c r="V974" s="12">
        <f t="shared" si="473"/>
        <v>6165</v>
      </c>
      <c r="W974" s="12">
        <f t="shared" si="474"/>
        <v>600</v>
      </c>
      <c r="X974" s="12">
        <f t="shared" si="475"/>
        <v>0</v>
      </c>
      <c r="Y974" s="250">
        <f>'day2'!Y970</f>
        <v>630</v>
      </c>
      <c r="Z974" s="12">
        <f t="shared" si="476"/>
        <v>600</v>
      </c>
      <c r="AA974" s="12">
        <f t="shared" si="485"/>
        <v>0.5</v>
      </c>
      <c r="AB974" s="12">
        <f t="shared" si="485"/>
        <v>0.5</v>
      </c>
      <c r="AC974" s="12">
        <f t="shared" si="511"/>
        <v>0</v>
      </c>
      <c r="AD974" s="12">
        <f t="shared" si="477"/>
        <v>1</v>
      </c>
      <c r="AE974" s="12">
        <f t="shared" si="512"/>
        <v>0</v>
      </c>
      <c r="AF974" s="12">
        <f t="shared" si="513"/>
        <v>0</v>
      </c>
      <c r="AG974" s="12">
        <f t="shared" si="514"/>
        <v>0</v>
      </c>
      <c r="AH974" s="12">
        <f t="shared" si="515"/>
        <v>0</v>
      </c>
      <c r="AI974" s="12">
        <f t="shared" si="516"/>
        <v>3000</v>
      </c>
      <c r="AJ974" s="12">
        <v>1</v>
      </c>
      <c r="AK974" s="12">
        <f t="shared" si="478"/>
        <v>1</v>
      </c>
      <c r="AL974" s="12">
        <f t="shared" si="517"/>
        <v>0</v>
      </c>
      <c r="AM974" s="12">
        <f t="shared" si="518"/>
        <v>0</v>
      </c>
      <c r="AN974" s="12">
        <f t="shared" si="519"/>
        <v>0</v>
      </c>
      <c r="AO974" s="12">
        <f t="shared" si="520"/>
        <v>0</v>
      </c>
      <c r="AP974" s="12">
        <f t="shared" si="479"/>
        <v>0</v>
      </c>
      <c r="AQ974" s="3" t="str">
        <f t="shared" si="480"/>
        <v>PTA807</v>
      </c>
      <c r="AR974" s="3" t="str">
        <f t="shared" si="521"/>
        <v>PTA80710</v>
      </c>
      <c r="AS974" s="6" t="str">
        <f t="shared" si="481"/>
        <v>9999</v>
      </c>
      <c r="AT974" s="6" t="str">
        <f t="shared" si="482"/>
        <v>CNY</v>
      </c>
      <c r="AU974" s="6" t="str">
        <f t="shared" si="483"/>
        <v>50010002</v>
      </c>
      <c r="AV974" s="229">
        <f>'day2'!M970+'day2'!N970</f>
        <v>0</v>
      </c>
      <c r="AW974" s="142">
        <f>(M974+N974)*U974*Y974</f>
        <v>0</v>
      </c>
    </row>
    <row r="975" spans="1:49" s="6" customFormat="1" x14ac:dyDescent="0.25">
      <c r="A975" s="6" t="str">
        <f t="shared" si="442"/>
        <v>comment</v>
      </c>
      <c r="B975" s="140" t="str">
        <f>'day2'!B971</f>
        <v>2018032610000111</v>
      </c>
      <c r="C975" s="140" t="str">
        <f>'day2'!C971</f>
        <v>6001</v>
      </c>
      <c r="D975" s="140" t="str">
        <f>'day2'!D971</f>
        <v>B00102</v>
      </c>
      <c r="E975" s="140" t="str">
        <f>'day2'!E971</f>
        <v>6001</v>
      </c>
      <c r="F975" s="140">
        <f t="shared" si="466"/>
        <v>20180328</v>
      </c>
      <c r="G975" s="140">
        <f>'day2'!G971</f>
        <v>20180326</v>
      </c>
      <c r="H975" s="140" t="str">
        <f>'day2'!H971</f>
        <v>CZCE</v>
      </c>
      <c r="I975" s="140" t="str">
        <f>'day2'!I971</f>
        <v>PTA807P6500</v>
      </c>
      <c r="J975" s="268">
        <f>'day2'!J971</f>
        <v>0</v>
      </c>
      <c r="K975" s="268">
        <f>'day2'!K971</f>
        <v>2</v>
      </c>
      <c r="L975" s="268">
        <f>'day2'!L971</f>
        <v>1</v>
      </c>
      <c r="M975" s="268">
        <f t="shared" si="467"/>
        <v>0</v>
      </c>
      <c r="N975" s="268">
        <f t="shared" si="509"/>
        <v>0</v>
      </c>
      <c r="O975" s="6">
        <f t="shared" si="443"/>
        <v>0</v>
      </c>
      <c r="P975" s="12">
        <f t="shared" si="510"/>
        <v>0</v>
      </c>
      <c r="Q975" s="12">
        <f t="shared" si="468"/>
        <v>6.0000000000000005E-2</v>
      </c>
      <c r="R975" s="12">
        <f t="shared" si="469"/>
        <v>6</v>
      </c>
      <c r="S975" s="12">
        <f t="shared" si="470"/>
        <v>0.04</v>
      </c>
      <c r="T975" s="12">
        <f t="shared" si="471"/>
        <v>4</v>
      </c>
      <c r="U975" s="12">
        <f t="shared" si="472"/>
        <v>5</v>
      </c>
      <c r="V975" s="12">
        <f t="shared" si="473"/>
        <v>0</v>
      </c>
      <c r="W975" s="12">
        <f t="shared" si="474"/>
        <v>620</v>
      </c>
      <c r="X975" s="12">
        <f t="shared" si="475"/>
        <v>0</v>
      </c>
      <c r="Y975" s="250">
        <f>'day2'!Y971</f>
        <v>631</v>
      </c>
      <c r="Z975" s="12">
        <f t="shared" si="476"/>
        <v>620</v>
      </c>
      <c r="AA975" s="12">
        <f t="shared" si="485"/>
        <v>0.5</v>
      </c>
      <c r="AB975" s="12">
        <f t="shared" si="485"/>
        <v>0.5</v>
      </c>
      <c r="AC975" s="12">
        <f t="shared" si="511"/>
        <v>0</v>
      </c>
      <c r="AD975" s="12">
        <f t="shared" si="477"/>
        <v>1</v>
      </c>
      <c r="AE975" s="12">
        <f t="shared" si="512"/>
        <v>0</v>
      </c>
      <c r="AF975" s="12">
        <f t="shared" si="513"/>
        <v>0</v>
      </c>
      <c r="AG975" s="12">
        <f t="shared" si="514"/>
        <v>0</v>
      </c>
      <c r="AH975" s="12">
        <f t="shared" si="515"/>
        <v>0</v>
      </c>
      <c r="AI975" s="12">
        <f t="shared" si="516"/>
        <v>3100</v>
      </c>
      <c r="AJ975" s="12">
        <v>1</v>
      </c>
      <c r="AK975" s="12">
        <f t="shared" si="478"/>
        <v>1</v>
      </c>
      <c r="AL975" s="12">
        <f t="shared" si="517"/>
        <v>0</v>
      </c>
      <c r="AM975" s="12">
        <f t="shared" si="518"/>
        <v>0</v>
      </c>
      <c r="AN975" s="12">
        <f t="shared" si="519"/>
        <v>0</v>
      </c>
      <c r="AO975" s="12">
        <f t="shared" si="520"/>
        <v>0</v>
      </c>
      <c r="AP975" s="12">
        <f t="shared" si="479"/>
        <v>0</v>
      </c>
      <c r="AQ975" s="3" t="str">
        <f t="shared" si="480"/>
        <v>PTA807</v>
      </c>
      <c r="AR975" s="3" t="str">
        <f t="shared" si="521"/>
        <v>PTA80710</v>
      </c>
      <c r="AS975" s="6" t="str">
        <f t="shared" si="481"/>
        <v>9999</v>
      </c>
      <c r="AT975" s="6" t="str">
        <f t="shared" si="482"/>
        <v>CNY</v>
      </c>
      <c r="AU975" s="6" t="str">
        <f t="shared" si="483"/>
        <v>50010002</v>
      </c>
      <c r="AV975" s="229">
        <f>'day2'!M971+'day2'!N971</f>
        <v>0</v>
      </c>
      <c r="AW975" s="142">
        <f t="shared" si="450"/>
        <v>0</v>
      </c>
    </row>
    <row r="976" spans="1:49" s="6" customFormat="1" x14ac:dyDescent="0.25">
      <c r="A976" s="6" t="str">
        <f t="shared" si="442"/>
        <v>comment</v>
      </c>
      <c r="B976" s="140" t="str">
        <f>'day2'!B972</f>
        <v>2018032610000112</v>
      </c>
      <c r="C976" s="140" t="str">
        <f>'day2'!C972</f>
        <v>6001</v>
      </c>
      <c r="D976" s="140" t="str">
        <f>'day2'!D972</f>
        <v>B00102</v>
      </c>
      <c r="E976" s="140" t="str">
        <f>'day2'!E972</f>
        <v>6001</v>
      </c>
      <c r="F976" s="140">
        <f t="shared" si="466"/>
        <v>20180328</v>
      </c>
      <c r="G976" s="140">
        <f>'day2'!G972</f>
        <v>20180326</v>
      </c>
      <c r="H976" s="140" t="str">
        <f>'day2'!H972</f>
        <v>CZCE</v>
      </c>
      <c r="I976" s="140" t="str">
        <f>'day2'!I972</f>
        <v>PTA807P6500</v>
      </c>
      <c r="J976" s="268">
        <f>'day2'!J972</f>
        <v>1</v>
      </c>
      <c r="K976" s="268">
        <f>'day2'!K972</f>
        <v>3</v>
      </c>
      <c r="L976" s="268">
        <f>'day2'!L972</f>
        <v>1</v>
      </c>
      <c r="M976" s="268">
        <f t="shared" si="467"/>
        <v>0</v>
      </c>
      <c r="N976" s="268">
        <f t="shared" si="509"/>
        <v>0</v>
      </c>
      <c r="O976" s="6">
        <f t="shared" si="443"/>
        <v>0</v>
      </c>
      <c r="P976" s="12">
        <f t="shared" si="510"/>
        <v>0</v>
      </c>
      <c r="Q976" s="12">
        <f t="shared" si="468"/>
        <v>6.0000000000000005E-2</v>
      </c>
      <c r="R976" s="12">
        <f t="shared" si="469"/>
        <v>6</v>
      </c>
      <c r="S976" s="12">
        <f t="shared" si="470"/>
        <v>0.04</v>
      </c>
      <c r="T976" s="12">
        <f t="shared" si="471"/>
        <v>4</v>
      </c>
      <c r="U976" s="12">
        <f t="shared" si="472"/>
        <v>5</v>
      </c>
      <c r="V976" s="12">
        <f t="shared" si="473"/>
        <v>0</v>
      </c>
      <c r="W976" s="12">
        <f t="shared" si="474"/>
        <v>620</v>
      </c>
      <c r="X976" s="12">
        <f t="shared" si="475"/>
        <v>0</v>
      </c>
      <c r="Y976" s="250">
        <f>'day2'!Y972</f>
        <v>632</v>
      </c>
      <c r="Z976" s="12">
        <f t="shared" si="476"/>
        <v>620</v>
      </c>
      <c r="AA976" s="12">
        <f t="shared" si="485"/>
        <v>0.5</v>
      </c>
      <c r="AB976" s="12">
        <f t="shared" si="485"/>
        <v>0.5</v>
      </c>
      <c r="AC976" s="12">
        <f t="shared" si="511"/>
        <v>0</v>
      </c>
      <c r="AD976" s="12">
        <f t="shared" si="477"/>
        <v>1</v>
      </c>
      <c r="AE976" s="12">
        <f t="shared" si="512"/>
        <v>0</v>
      </c>
      <c r="AF976" s="12">
        <f t="shared" si="513"/>
        <v>0</v>
      </c>
      <c r="AG976" s="12">
        <f t="shared" si="514"/>
        <v>0</v>
      </c>
      <c r="AH976" s="12">
        <f t="shared" si="515"/>
        <v>0</v>
      </c>
      <c r="AI976" s="12">
        <f t="shared" si="516"/>
        <v>3100</v>
      </c>
      <c r="AJ976" s="12">
        <v>1</v>
      </c>
      <c r="AK976" s="12">
        <f t="shared" si="478"/>
        <v>1</v>
      </c>
      <c r="AL976" s="12">
        <f t="shared" si="517"/>
        <v>0</v>
      </c>
      <c r="AM976" s="12">
        <f t="shared" si="518"/>
        <v>0</v>
      </c>
      <c r="AN976" s="12">
        <f t="shared" si="519"/>
        <v>0</v>
      </c>
      <c r="AO976" s="12">
        <f t="shared" si="520"/>
        <v>0</v>
      </c>
      <c r="AP976" s="12">
        <f t="shared" si="479"/>
        <v>0</v>
      </c>
      <c r="AQ976" s="3" t="str">
        <f t="shared" si="480"/>
        <v>PTA807</v>
      </c>
      <c r="AR976" s="3" t="str">
        <f t="shared" si="521"/>
        <v>PTA80710</v>
      </c>
      <c r="AS976" s="6" t="str">
        <f t="shared" si="481"/>
        <v>9999</v>
      </c>
      <c r="AT976" s="6" t="str">
        <f t="shared" si="482"/>
        <v>CNY</v>
      </c>
      <c r="AU976" s="6" t="str">
        <f t="shared" si="483"/>
        <v>50010002</v>
      </c>
      <c r="AV976" s="229">
        <f>'day2'!M972+'day2'!N972</f>
        <v>0</v>
      </c>
      <c r="AW976" s="142">
        <f t="shared" si="450"/>
        <v>0</v>
      </c>
    </row>
    <row r="977" spans="1:49" s="6" customFormat="1" x14ac:dyDescent="0.25">
      <c r="A977" s="6" t="str">
        <f t="shared" si="442"/>
        <v>comment</v>
      </c>
      <c r="B977" s="140" t="str">
        <f>'day2'!B973</f>
        <v>2018032710000017</v>
      </c>
      <c r="C977" s="140" t="str">
        <f>'day2'!C973</f>
        <v>6001</v>
      </c>
      <c r="D977" s="140" t="str">
        <f>'day2'!D973</f>
        <v>B00101</v>
      </c>
      <c r="E977" s="140" t="str">
        <f>'day2'!E973</f>
        <v>6001</v>
      </c>
      <c r="F977" s="140">
        <f t="shared" si="466"/>
        <v>20180328</v>
      </c>
      <c r="G977" s="140">
        <f>'day2'!G973</f>
        <v>20180327</v>
      </c>
      <c r="H977" s="140" t="str">
        <f>'day2'!H973</f>
        <v>CZCE</v>
      </c>
      <c r="I977" s="140" t="str">
        <f>'day2'!I973</f>
        <v>SR807</v>
      </c>
      <c r="J977" s="268">
        <f>'day2'!J973</f>
        <v>0</v>
      </c>
      <c r="K977" s="268">
        <f>'day2'!K973</f>
        <v>2</v>
      </c>
      <c r="L977" s="268">
        <f>'day2'!L973</f>
        <v>1</v>
      </c>
      <c r="M977" s="268">
        <f t="shared" si="467"/>
        <v>0</v>
      </c>
      <c r="N977" s="268">
        <f t="shared" ref="N977:N1006" si="522">SUMPRODUCT(($E$880:$E$919=B977)*($F$880:$F$919=C977)*($G$880:$G$919=D977)*($I$880:$I$919=I977)*($J$880:$J$919=L977)*($L$880:$L$919=J977)*($N$880:$N$919))</f>
        <v>0</v>
      </c>
      <c r="O977" s="6">
        <f t="shared" si="443"/>
        <v>0</v>
      </c>
      <c r="P977" s="12">
        <f t="shared" si="444"/>
        <v>0</v>
      </c>
      <c r="Q977" s="12">
        <f t="shared" si="468"/>
        <v>0.05</v>
      </c>
      <c r="R977" s="12">
        <f t="shared" si="469"/>
        <v>5</v>
      </c>
      <c r="S977" s="12">
        <f t="shared" si="470"/>
        <v>0.04</v>
      </c>
      <c r="T977" s="12">
        <f t="shared" si="471"/>
        <v>4</v>
      </c>
      <c r="U977" s="12">
        <f t="shared" si="472"/>
        <v>10</v>
      </c>
      <c r="V977" s="12">
        <f t="shared" si="473"/>
        <v>0</v>
      </c>
      <c r="W977" s="12">
        <f t="shared" si="474"/>
        <v>6170</v>
      </c>
      <c r="X977" s="12">
        <f t="shared" si="475"/>
        <v>0</v>
      </c>
      <c r="Y977" s="250">
        <f>'day2'!Y973</f>
        <v>6111</v>
      </c>
      <c r="Z977" s="12">
        <f t="shared" si="476"/>
        <v>6155</v>
      </c>
      <c r="AA977" s="12">
        <f t="shared" si="485"/>
        <v>0.5</v>
      </c>
      <c r="AB977" s="12">
        <f t="shared" si="485"/>
        <v>0.5</v>
      </c>
      <c r="AC977" s="12">
        <f t="shared" si="445"/>
        <v>0</v>
      </c>
      <c r="AD977" s="12">
        <f t="shared" si="477"/>
        <v>9</v>
      </c>
      <c r="AE977" s="12">
        <f t="shared" si="484"/>
        <v>0</v>
      </c>
      <c r="AF977" s="12">
        <f t="shared" si="446"/>
        <v>0</v>
      </c>
      <c r="AG977" s="12">
        <f t="shared" si="447"/>
        <v>0</v>
      </c>
      <c r="AH977" s="12">
        <f t="shared" si="448"/>
        <v>0</v>
      </c>
      <c r="AI977" s="12">
        <f t="shared" si="431"/>
        <v>0</v>
      </c>
      <c r="AJ977" s="12">
        <v>1</v>
      </c>
      <c r="AK977" s="12">
        <f t="shared" si="478"/>
        <v>0</v>
      </c>
      <c r="AL977" s="12">
        <f t="shared" si="449"/>
        <v>0</v>
      </c>
      <c r="AM977" s="12">
        <f t="shared" si="433"/>
        <v>0</v>
      </c>
      <c r="AN977" s="12">
        <f t="shared" si="434"/>
        <v>0</v>
      </c>
      <c r="AO977" s="12">
        <f t="shared" si="435"/>
        <v>0</v>
      </c>
      <c r="AP977" s="12">
        <f t="shared" si="479"/>
        <v>0</v>
      </c>
      <c r="AQ977" s="3" t="str">
        <f t="shared" si="480"/>
        <v>SR807</v>
      </c>
      <c r="AR977" s="3" t="str">
        <f t="shared" si="438"/>
        <v>SR80710</v>
      </c>
      <c r="AS977" s="6" t="str">
        <f t="shared" si="481"/>
        <v>9999</v>
      </c>
      <c r="AT977" s="6" t="str">
        <f t="shared" si="482"/>
        <v>CNY</v>
      </c>
      <c r="AU977" s="6" t="str">
        <f t="shared" si="483"/>
        <v>50010001</v>
      </c>
      <c r="AV977" s="229">
        <f>'day2'!M973+'day2'!N973</f>
        <v>0</v>
      </c>
      <c r="AW977" s="142">
        <f t="shared" si="450"/>
        <v>0</v>
      </c>
    </row>
    <row r="978" spans="1:49" s="6" customFormat="1" x14ac:dyDescent="0.25">
      <c r="A978" s="6" t="str">
        <f t="shared" si="442"/>
        <v/>
      </c>
      <c r="B978" s="140" t="str">
        <f>'day2'!B974</f>
        <v>2018032710000018</v>
      </c>
      <c r="C978" s="140" t="str">
        <f>'day2'!C974</f>
        <v>6001</v>
      </c>
      <c r="D978" s="140" t="str">
        <f>'day2'!D974</f>
        <v>B00101</v>
      </c>
      <c r="E978" s="140" t="str">
        <f>'day2'!E974</f>
        <v>6001</v>
      </c>
      <c r="F978" s="140">
        <f t="shared" si="466"/>
        <v>20180328</v>
      </c>
      <c r="G978" s="140">
        <f>'day2'!G974</f>
        <v>20180327</v>
      </c>
      <c r="H978" s="140" t="str">
        <f>'day2'!H974</f>
        <v>CZCE</v>
      </c>
      <c r="I978" s="140" t="str">
        <f>'day2'!I974</f>
        <v>SR807</v>
      </c>
      <c r="J978" s="268">
        <f>'day2'!J974</f>
        <v>0</v>
      </c>
      <c r="K978" s="268">
        <f>'day2'!K974</f>
        <v>2</v>
      </c>
      <c r="L978" s="268">
        <f>'day2'!L974</f>
        <v>3</v>
      </c>
      <c r="M978" s="268">
        <f t="shared" si="467"/>
        <v>4</v>
      </c>
      <c r="N978" s="268">
        <f t="shared" si="522"/>
        <v>0</v>
      </c>
      <c r="O978" s="6">
        <f t="shared" si="443"/>
        <v>0</v>
      </c>
      <c r="P978" s="12">
        <f t="shared" si="444"/>
        <v>0</v>
      </c>
      <c r="Q978" s="12">
        <f t="shared" si="468"/>
        <v>5.1999999999999998E-2</v>
      </c>
      <c r="R978" s="12">
        <f t="shared" si="469"/>
        <v>5.2</v>
      </c>
      <c r="S978" s="12">
        <f t="shared" si="470"/>
        <v>4.2000000000000003E-2</v>
      </c>
      <c r="T978" s="12">
        <f t="shared" si="471"/>
        <v>4.2</v>
      </c>
      <c r="U978" s="12">
        <f t="shared" si="472"/>
        <v>10</v>
      </c>
      <c r="V978" s="12">
        <f t="shared" si="473"/>
        <v>0</v>
      </c>
      <c r="W978" s="266">
        <f t="shared" si="474"/>
        <v>6170</v>
      </c>
      <c r="X978" s="266">
        <f t="shared" si="475"/>
        <v>0</v>
      </c>
      <c r="Y978" s="266">
        <f>'day2'!Y974</f>
        <v>6112</v>
      </c>
      <c r="Z978" s="266">
        <f t="shared" si="476"/>
        <v>6155</v>
      </c>
      <c r="AA978" s="12">
        <f t="shared" si="485"/>
        <v>0.5</v>
      </c>
      <c r="AB978" s="12">
        <f t="shared" si="485"/>
        <v>0.5</v>
      </c>
      <c r="AC978" s="12">
        <f t="shared" si="445"/>
        <v>0</v>
      </c>
      <c r="AD978" s="12">
        <f t="shared" si="477"/>
        <v>9</v>
      </c>
      <c r="AE978" s="12">
        <f t="shared" si="484"/>
        <v>12854.4</v>
      </c>
      <c r="AF978" s="12">
        <f t="shared" si="446"/>
        <v>10382.4</v>
      </c>
      <c r="AG978" s="12">
        <f t="shared" si="447"/>
        <v>0</v>
      </c>
      <c r="AH978" s="12">
        <f t="shared" si="448"/>
        <v>0</v>
      </c>
      <c r="AI978" s="12">
        <f t="shared" si="431"/>
        <v>0</v>
      </c>
      <c r="AJ978" s="12">
        <v>1</v>
      </c>
      <c r="AK978" s="12">
        <f t="shared" si="478"/>
        <v>0</v>
      </c>
      <c r="AL978" s="12">
        <f t="shared" si="449"/>
        <v>600</v>
      </c>
      <c r="AM978" s="12">
        <f t="shared" si="433"/>
        <v>2320</v>
      </c>
      <c r="AN978" s="12">
        <f t="shared" si="434"/>
        <v>0</v>
      </c>
      <c r="AO978" s="12">
        <f t="shared" si="435"/>
        <v>0</v>
      </c>
      <c r="AP978" s="12">
        <f t="shared" si="479"/>
        <v>0</v>
      </c>
      <c r="AQ978" s="3" t="str">
        <f t="shared" si="480"/>
        <v>SR807</v>
      </c>
      <c r="AR978" s="3" t="str">
        <f t="shared" si="438"/>
        <v>SR80730</v>
      </c>
      <c r="AS978" s="6" t="str">
        <f t="shared" si="481"/>
        <v>9999</v>
      </c>
      <c r="AT978" s="6" t="str">
        <f t="shared" si="482"/>
        <v>CNY</v>
      </c>
      <c r="AU978" s="6" t="str">
        <f t="shared" si="483"/>
        <v>50010001</v>
      </c>
      <c r="AV978" s="229">
        <f>'day2'!M974+'day2'!N974</f>
        <v>4</v>
      </c>
      <c r="AW978" s="142">
        <f t="shared" si="450"/>
        <v>244480</v>
      </c>
    </row>
    <row r="979" spans="1:49" s="6" customFormat="1" x14ac:dyDescent="0.25">
      <c r="A979" s="6" t="str">
        <f t="shared" si="442"/>
        <v/>
      </c>
      <c r="B979" s="140" t="str">
        <f>'day2'!B975</f>
        <v>2018032710000052</v>
      </c>
      <c r="C979" s="140" t="str">
        <f>'day2'!C975</f>
        <v>6001</v>
      </c>
      <c r="D979" s="140" t="str">
        <f>'day2'!D975</f>
        <v>B00102</v>
      </c>
      <c r="E979" s="140" t="str">
        <f>'day2'!E975</f>
        <v>6001</v>
      </c>
      <c r="F979" s="140">
        <f t="shared" si="466"/>
        <v>20180328</v>
      </c>
      <c r="G979" s="140">
        <f>'day2'!G975</f>
        <v>20180327</v>
      </c>
      <c r="H979" s="140" t="str">
        <f>'day2'!H975</f>
        <v>CZCE</v>
      </c>
      <c r="I979" s="140" t="str">
        <f>'day2'!I975</f>
        <v>PTA807</v>
      </c>
      <c r="J979" s="268">
        <f>'day2'!J975</f>
        <v>1</v>
      </c>
      <c r="K979" s="268">
        <f>'day2'!K975</f>
        <v>3</v>
      </c>
      <c r="L979" s="268">
        <f>'day2'!L975</f>
        <v>1</v>
      </c>
      <c r="M979" s="268">
        <f t="shared" si="467"/>
        <v>2</v>
      </c>
      <c r="N979" s="268">
        <f t="shared" si="522"/>
        <v>0</v>
      </c>
      <c r="O979" s="6">
        <f t="shared" si="443"/>
        <v>0</v>
      </c>
      <c r="P979" s="12">
        <f t="shared" si="444"/>
        <v>0</v>
      </c>
      <c r="Q979" s="12">
        <f t="shared" si="468"/>
        <v>5.0999999999999997E-2</v>
      </c>
      <c r="R979" s="12">
        <f t="shared" si="469"/>
        <v>5.0999999999999996</v>
      </c>
      <c r="S979" s="12">
        <f t="shared" si="470"/>
        <v>4.1000000000000002E-2</v>
      </c>
      <c r="T979" s="12">
        <f t="shared" si="471"/>
        <v>4.0999999999999996</v>
      </c>
      <c r="U979" s="12">
        <f t="shared" si="472"/>
        <v>5</v>
      </c>
      <c r="V979" s="12">
        <f t="shared" si="473"/>
        <v>0</v>
      </c>
      <c r="W979" s="266">
        <f t="shared" si="474"/>
        <v>6165</v>
      </c>
      <c r="X979" s="266">
        <f t="shared" si="475"/>
        <v>0</v>
      </c>
      <c r="Y979" s="266">
        <f>'day2'!Y975</f>
        <v>6115</v>
      </c>
      <c r="Z979" s="266">
        <f t="shared" si="476"/>
        <v>6160</v>
      </c>
      <c r="AA979" s="12">
        <f t="shared" si="485"/>
        <v>0.5</v>
      </c>
      <c r="AB979" s="12">
        <f t="shared" si="485"/>
        <v>0.5</v>
      </c>
      <c r="AC979" s="12">
        <f t="shared" si="445"/>
        <v>0</v>
      </c>
      <c r="AD979" s="12">
        <f t="shared" si="477"/>
        <v>9</v>
      </c>
      <c r="AE979" s="12">
        <f t="shared" si="484"/>
        <v>3154.35</v>
      </c>
      <c r="AF979" s="12">
        <f t="shared" si="446"/>
        <v>2535.85</v>
      </c>
      <c r="AG979" s="12">
        <f t="shared" si="447"/>
        <v>0</v>
      </c>
      <c r="AH979" s="12">
        <f t="shared" si="448"/>
        <v>0</v>
      </c>
      <c r="AI979" s="12">
        <f t="shared" si="431"/>
        <v>0</v>
      </c>
      <c r="AJ979" s="12">
        <v>1</v>
      </c>
      <c r="AK979" s="12">
        <f t="shared" si="478"/>
        <v>0</v>
      </c>
      <c r="AL979" s="12">
        <f t="shared" si="449"/>
        <v>-50</v>
      </c>
      <c r="AM979" s="12">
        <f t="shared" si="433"/>
        <v>-500</v>
      </c>
      <c r="AN979" s="12">
        <f t="shared" si="434"/>
        <v>0</v>
      </c>
      <c r="AO979" s="12">
        <f t="shared" si="435"/>
        <v>0</v>
      </c>
      <c r="AP979" s="12">
        <f t="shared" si="479"/>
        <v>1</v>
      </c>
      <c r="AQ979" s="3" t="str">
        <f t="shared" si="480"/>
        <v>PTA807</v>
      </c>
      <c r="AR979" s="3" t="str">
        <f t="shared" si="438"/>
        <v>PTA80711</v>
      </c>
      <c r="AS979" s="6" t="str">
        <f t="shared" si="481"/>
        <v>9999</v>
      </c>
      <c r="AT979" s="6" t="str">
        <f t="shared" si="482"/>
        <v>CNY</v>
      </c>
      <c r="AU979" s="6" t="str">
        <f t="shared" si="483"/>
        <v>50010002</v>
      </c>
      <c r="AV979" s="229">
        <f>'day2'!M975+'day2'!N975</f>
        <v>2</v>
      </c>
      <c r="AW979" s="142">
        <f t="shared" si="450"/>
        <v>61150</v>
      </c>
    </row>
    <row r="980" spans="1:49" s="6" customFormat="1" x14ac:dyDescent="0.25">
      <c r="A980" s="6" t="str">
        <f t="shared" si="442"/>
        <v/>
      </c>
      <c r="B980" s="140" t="str">
        <f>'day2'!B976</f>
        <v>2018032710000053</v>
      </c>
      <c r="C980" s="140" t="str">
        <f>'day2'!C976</f>
        <v>6001</v>
      </c>
      <c r="D980" s="140" t="str">
        <f>'day2'!D976</f>
        <v>B00102</v>
      </c>
      <c r="E980" s="140" t="str">
        <f>'day2'!E976</f>
        <v>6001</v>
      </c>
      <c r="F980" s="140">
        <f t="shared" si="466"/>
        <v>20180328</v>
      </c>
      <c r="G980" s="140">
        <f>'day2'!G976</f>
        <v>20180327</v>
      </c>
      <c r="H980" s="140" t="str">
        <f>'day2'!H976</f>
        <v>CZCE</v>
      </c>
      <c r="I980" s="140" t="str">
        <f>'day2'!I976</f>
        <v>PTA807</v>
      </c>
      <c r="J980" s="268">
        <f>'day2'!J976</f>
        <v>1</v>
      </c>
      <c r="K980" s="268">
        <f>'day2'!K976</f>
        <v>3</v>
      </c>
      <c r="L980" s="268">
        <f>'day2'!L976</f>
        <v>3</v>
      </c>
      <c r="M980" s="268">
        <f t="shared" si="467"/>
        <v>1</v>
      </c>
      <c r="N980" s="268">
        <f t="shared" si="522"/>
        <v>0</v>
      </c>
      <c r="O980" s="6">
        <f t="shared" si="443"/>
        <v>0</v>
      </c>
      <c r="P980" s="12">
        <f t="shared" si="444"/>
        <v>0</v>
      </c>
      <c r="Q980" s="12">
        <f t="shared" si="468"/>
        <v>5.2999999999999999E-2</v>
      </c>
      <c r="R980" s="12">
        <f t="shared" si="469"/>
        <v>5.3</v>
      </c>
      <c r="S980" s="12">
        <f t="shared" si="470"/>
        <v>4.2999999999999997E-2</v>
      </c>
      <c r="T980" s="12">
        <f t="shared" si="471"/>
        <v>4.3</v>
      </c>
      <c r="U980" s="12">
        <f t="shared" si="472"/>
        <v>5</v>
      </c>
      <c r="V980" s="12">
        <f t="shared" si="473"/>
        <v>0</v>
      </c>
      <c r="W980" s="266">
        <f t="shared" si="474"/>
        <v>6165</v>
      </c>
      <c r="X980" s="266">
        <f t="shared" si="475"/>
        <v>0</v>
      </c>
      <c r="Y980" s="266">
        <f>'day2'!Y976</f>
        <v>6116</v>
      </c>
      <c r="Z980" s="266">
        <f t="shared" si="476"/>
        <v>6160</v>
      </c>
      <c r="AA980" s="12">
        <f t="shared" si="485"/>
        <v>0.5</v>
      </c>
      <c r="AB980" s="12">
        <f t="shared" si="485"/>
        <v>0.5</v>
      </c>
      <c r="AC980" s="12">
        <f t="shared" si="445"/>
        <v>0</v>
      </c>
      <c r="AD980" s="12">
        <f t="shared" si="477"/>
        <v>9</v>
      </c>
      <c r="AE980" s="12">
        <f t="shared" si="484"/>
        <v>1639.03</v>
      </c>
      <c r="AF980" s="12">
        <f t="shared" si="446"/>
        <v>1329.78</v>
      </c>
      <c r="AG980" s="12">
        <f t="shared" si="447"/>
        <v>0</v>
      </c>
      <c r="AH980" s="12">
        <f t="shared" si="448"/>
        <v>0</v>
      </c>
      <c r="AI980" s="12">
        <f t="shared" si="431"/>
        <v>0</v>
      </c>
      <c r="AJ980" s="12">
        <v>1</v>
      </c>
      <c r="AK980" s="12">
        <f t="shared" si="478"/>
        <v>0</v>
      </c>
      <c r="AL980" s="12">
        <f t="shared" si="449"/>
        <v>-25</v>
      </c>
      <c r="AM980" s="12">
        <f t="shared" si="433"/>
        <v>-245</v>
      </c>
      <c r="AN980" s="12">
        <f t="shared" si="434"/>
        <v>0</v>
      </c>
      <c r="AO980" s="12">
        <f t="shared" si="435"/>
        <v>0</v>
      </c>
      <c r="AP980" s="12">
        <f t="shared" si="479"/>
        <v>1</v>
      </c>
      <c r="AQ980" s="3" t="str">
        <f t="shared" si="480"/>
        <v>PTA807</v>
      </c>
      <c r="AR980" s="3" t="str">
        <f>IF(AK980=0,AQ980&amp;L980&amp;J980,IF(AD980=0,AQ980&amp;L980&amp;1,AQ980&amp;L980&amp;0))</f>
        <v>PTA80731</v>
      </c>
      <c r="AS980" s="6" t="str">
        <f t="shared" si="481"/>
        <v>9999</v>
      </c>
      <c r="AT980" s="6" t="str">
        <f t="shared" si="482"/>
        <v>CNY</v>
      </c>
      <c r="AU980" s="6" t="str">
        <f t="shared" si="483"/>
        <v>50010002</v>
      </c>
      <c r="AV980" s="142">
        <f>'day2'!M976+'day2'!N976</f>
        <v>1</v>
      </c>
      <c r="AW980" s="142">
        <f t="shared" si="450"/>
        <v>30580</v>
      </c>
    </row>
    <row r="981" spans="1:49" s="6" customFormat="1" x14ac:dyDescent="0.25">
      <c r="A981" s="6" t="str">
        <f t="shared" si="442"/>
        <v>comment</v>
      </c>
      <c r="B981" s="140" t="str">
        <f>'day2'!B977</f>
        <v>2018032710000064</v>
      </c>
      <c r="C981" s="140" t="str">
        <f>'day2'!C977</f>
        <v>6001</v>
      </c>
      <c r="D981" s="140" t="str">
        <f>'day2'!D977</f>
        <v>B00102</v>
      </c>
      <c r="E981" s="140" t="str">
        <f>'day2'!E977</f>
        <v>6001</v>
      </c>
      <c r="F981" s="140">
        <f t="shared" si="466"/>
        <v>20180328</v>
      </c>
      <c r="G981" s="140">
        <f>'day2'!G977</f>
        <v>20180327</v>
      </c>
      <c r="H981" s="140" t="str">
        <f>'day2'!H977</f>
        <v>CZCE</v>
      </c>
      <c r="I981" s="140" t="str">
        <f>'day2'!I977</f>
        <v>PTA809</v>
      </c>
      <c r="J981" s="268">
        <f>'day2'!J977</f>
        <v>1</v>
      </c>
      <c r="K981" s="268">
        <f>'day2'!K977</f>
        <v>3</v>
      </c>
      <c r="L981" s="268">
        <f>'day2'!L977</f>
        <v>1</v>
      </c>
      <c r="M981" s="268">
        <f t="shared" si="467"/>
        <v>0</v>
      </c>
      <c r="N981" s="268">
        <f t="shared" ref="N981" si="523">SUMPRODUCT(($E$880:$E$919=B981)*($F$880:$F$919=C981)*($G$880:$G$919=D981)*($I$880:$I$919=I981)*($J$880:$J$919=L981)*($L$880:$L$919=J981)*($N$880:$N$919))</f>
        <v>0</v>
      </c>
      <c r="O981" s="6">
        <f t="shared" si="443"/>
        <v>0</v>
      </c>
      <c r="P981" s="12">
        <f t="shared" ref="P981" si="524">IF(AK981=0,0,(M981+N981)*U981*W981)</f>
        <v>0</v>
      </c>
      <c r="Q981" s="12">
        <f t="shared" ref="Q981" si="525">IF(AK981=0, VLOOKUP(AR981,$F$53:$L$72,4,FALSE),VLOOKUP(AR981,$F$53:$L$72,4,FALSE)+VLOOKUP(AR981,$F$53:$L$72,6,FALSE) )</f>
        <v>5.0999999999999997E-2</v>
      </c>
      <c r="R981" s="12">
        <f t="shared" ref="R981" si="526">IF(AK981=0, VLOOKUP(AR981,$F$53:$L$72,5,FALSE),VLOOKUP(AR981,$F$53:$L$72,5,FALSE)+VLOOKUP(AR981,$F$53:$L$72,7,FALSE) )</f>
        <v>5.0999999999999996</v>
      </c>
      <c r="S981" s="12">
        <f t="shared" ref="S981" si="527">VLOOKUP(AR981,$F$53:$L$72,2,FALSE)</f>
        <v>4.1000000000000002E-2</v>
      </c>
      <c r="T981" s="12">
        <f t="shared" ref="T981" si="528">VLOOKUP(AR981,$F$53:$L$72,3,FALSE)</f>
        <v>4.0999999999999996</v>
      </c>
      <c r="U981" s="12">
        <f t="shared" ref="U981" si="529" xml:space="preserve"> VLOOKUP(I981,$C$19:$L$31,3,FALSE)</f>
        <v>5</v>
      </c>
      <c r="V981" s="12">
        <f t="shared" si="473"/>
        <v>0</v>
      </c>
      <c r="W981" s="266">
        <f t="shared" si="474"/>
        <v>6168</v>
      </c>
      <c r="X981" s="266">
        <f t="shared" si="475"/>
        <v>0</v>
      </c>
      <c r="Y981" s="266">
        <f>'day2'!Y977</f>
        <v>6123</v>
      </c>
      <c r="Z981" s="266">
        <f t="shared" si="476"/>
        <v>6165</v>
      </c>
      <c r="AA981" s="12">
        <f t="shared" si="485"/>
        <v>0.5</v>
      </c>
      <c r="AB981" s="12">
        <f t="shared" si="485"/>
        <v>0.5</v>
      </c>
      <c r="AC981" s="12">
        <f t="shared" ref="AC981" si="530">IF(AD981=0,MAX((V981-X981)*U981,0),MAX((X981-V981)*U981,0))</f>
        <v>0</v>
      </c>
      <c r="AD981" s="12">
        <f t="shared" ref="AD981" si="531" xml:space="preserve"> VLOOKUP(I981,$C$19:$L$31,6,FALSE)</f>
        <v>9</v>
      </c>
      <c r="AE981" s="12">
        <f t="shared" ref="AE981" si="532">ROUND(IF(AK981=0,Q981*U981*W981*M981+R981*M981,IF(J981=0,0,MAX(AI981+(Q981*U981*X981+R981)*AJ981-AC981*AA981,AI981+(Q981*U981*X981+R981)*AB981)*M981)),2)</f>
        <v>0</v>
      </c>
      <c r="AF981" s="12">
        <f t="shared" ref="AF981" si="533">ROUND(IF(AK981=0,S981*U981*W981*M981+T981*M981,IF(J981=0,0,MAX(AI981+(S981*U981*X981+T981)*AJ981-AC981*AA981,AI981+(S981*U981*X981+T981)*AB981)*M981)),2)</f>
        <v>0</v>
      </c>
      <c r="AG981" s="12">
        <f t="shared" ref="AG981" si="534">ROUND(IF(AK981=0,Q981*U981*W981*N981+R981*N981,IF(J981=0,0,MAX(AI981+(Q981*U981*X981+R981)*AJ981-AC981*AA981,AI981+(Q981*U981*X981+R981)*AB981)*N981)),2)</f>
        <v>0</v>
      </c>
      <c r="AH981" s="12">
        <f t="shared" ref="AH981" si="535">ROUND(IF(AK981=0,S981*U981*W981*N981+T981*N981,IF(J981=0,0,MAX(AI981+(S981*U981*X981+T981)*AJ981-AC981*AA981,AI981+(S981*U981*X981+T981)*AB981)*N981)),2)</f>
        <v>0</v>
      </c>
      <c r="AI981" s="12">
        <f t="shared" ref="AI981" si="536">IF(AK981=1,1*U981*W981,0)</f>
        <v>0</v>
      </c>
      <c r="AJ981" s="12">
        <v>1</v>
      </c>
      <c r="AK981" s="12">
        <f t="shared" ref="AK981" si="537" xml:space="preserve"> VLOOKUP(I981,$C$19:$L$31,10,FALSE)</f>
        <v>0</v>
      </c>
      <c r="AL981" s="12">
        <f t="shared" ref="AL981" si="538">IF(AK981=0,IF(F981=G981,IF(J981=0,(W981-Y981)*U981*M981,-(W981-Y981)*U981*M981),IF(J981=0,(W981-Z981)*U981*M981,-(W981-Z981)*U981*M981)),0)</f>
        <v>0</v>
      </c>
      <c r="AM981" s="12">
        <f t="shared" ref="AM981" si="539">IF(AK981=0,IF(J981=0,(W981-Y981)*U981*M981,-(W981-Y981)*U981*M981),0)</f>
        <v>0</v>
      </c>
      <c r="AN981" s="12">
        <f t="shared" ref="AN981" si="540">IF(AK981=0,IF(F981=G981,IF(J981=0,(W981-Y981)*U981*N981,-(W981-Y981)*U981*N981),IF(J981=0,(W981-Z981)*U981*N981,-(W981-Z981)*U981*N981)),0)</f>
        <v>0</v>
      </c>
      <c r="AO981" s="12">
        <f t="shared" ref="AO981" si="541">IF(AK981=0,IF(J981=0,(W981-Y981)*U981*N981,-(W981-Y981)*U981*N981),0)</f>
        <v>0</v>
      </c>
      <c r="AP981" s="12">
        <f t="shared" ref="AP981" si="542" xml:space="preserve"> VLOOKUP(I981,$C$19:$L$31,9,FALSE)</f>
        <v>1</v>
      </c>
      <c r="AQ981" s="3" t="str">
        <f t="shared" si="480"/>
        <v>PTA809</v>
      </c>
      <c r="AR981" s="3" t="str">
        <f t="shared" si="438"/>
        <v>PTA80911</v>
      </c>
      <c r="AS981" s="6" t="str">
        <f t="shared" si="481"/>
        <v>9999</v>
      </c>
      <c r="AT981" s="6" t="str">
        <f t="shared" si="482"/>
        <v>CNY</v>
      </c>
      <c r="AU981" s="6" t="str">
        <f t="shared" ref="AU981" si="543">VLOOKUP(D981,$C$5:$G$6,5,FALSE)</f>
        <v>50010002</v>
      </c>
      <c r="AV981" s="142">
        <f>'day2'!M977+'day2'!N977</f>
        <v>0</v>
      </c>
      <c r="AW981" s="142">
        <f t="shared" si="450"/>
        <v>0</v>
      </c>
    </row>
    <row r="982" spans="1:49" s="6" customFormat="1" x14ac:dyDescent="0.25">
      <c r="A982" s="6" t="str">
        <f t="shared" si="442"/>
        <v>comment</v>
      </c>
      <c r="B982" s="140" t="str">
        <f>'day2'!B978</f>
        <v>2018032710000070</v>
      </c>
      <c r="C982" s="140" t="str">
        <f>'day2'!C978</f>
        <v>6001</v>
      </c>
      <c r="D982" s="140" t="str">
        <f>'day2'!D978</f>
        <v>B00101</v>
      </c>
      <c r="E982" s="140" t="str">
        <f>'day2'!E978</f>
        <v>6001</v>
      </c>
      <c r="F982" s="140">
        <f t="shared" si="466"/>
        <v>20180328</v>
      </c>
      <c r="G982" s="140">
        <f>'day2'!G978</f>
        <v>20180327</v>
      </c>
      <c r="H982" s="140" t="str">
        <f>'day2'!H978</f>
        <v>CZCE</v>
      </c>
      <c r="I982" s="140" t="str">
        <f>'day2'!I978</f>
        <v>SR807</v>
      </c>
      <c r="J982" s="268">
        <f>'day2'!J978</f>
        <v>0</v>
      </c>
      <c r="K982" s="268">
        <f>'day2'!K978</f>
        <v>2</v>
      </c>
      <c r="L982" s="268">
        <f>'day2'!L978</f>
        <v>1</v>
      </c>
      <c r="M982" s="268">
        <f t="shared" si="467"/>
        <v>0</v>
      </c>
      <c r="N982" s="268">
        <f t="shared" si="522"/>
        <v>0</v>
      </c>
      <c r="O982" s="6">
        <f t="shared" si="443"/>
        <v>0</v>
      </c>
      <c r="P982" s="12">
        <f t="shared" si="444"/>
        <v>0</v>
      </c>
      <c r="Q982" s="12">
        <f t="shared" si="468"/>
        <v>0.05</v>
      </c>
      <c r="R982" s="12">
        <f t="shared" si="469"/>
        <v>5</v>
      </c>
      <c r="S982" s="12">
        <f t="shared" si="470"/>
        <v>0.04</v>
      </c>
      <c r="T982" s="12">
        <f t="shared" si="471"/>
        <v>4</v>
      </c>
      <c r="U982" s="12">
        <f t="shared" si="472"/>
        <v>10</v>
      </c>
      <c r="V982" s="12">
        <f t="shared" si="473"/>
        <v>0</v>
      </c>
      <c r="W982" s="12">
        <f t="shared" si="474"/>
        <v>6170</v>
      </c>
      <c r="X982" s="12">
        <f t="shared" si="475"/>
        <v>0</v>
      </c>
      <c r="Y982" s="250">
        <f>'day2'!Y978</f>
        <v>6400</v>
      </c>
      <c r="Z982" s="12">
        <f t="shared" si="476"/>
        <v>6155</v>
      </c>
      <c r="AA982" s="12">
        <f t="shared" si="485"/>
        <v>0.5</v>
      </c>
      <c r="AB982" s="12">
        <f t="shared" si="485"/>
        <v>0.5</v>
      </c>
      <c r="AC982" s="12">
        <f t="shared" si="445"/>
        <v>0</v>
      </c>
      <c r="AD982" s="12">
        <f t="shared" si="477"/>
        <v>9</v>
      </c>
      <c r="AE982" s="12">
        <f t="shared" si="484"/>
        <v>0</v>
      </c>
      <c r="AF982" s="12">
        <f t="shared" si="446"/>
        <v>0</v>
      </c>
      <c r="AG982" s="12">
        <f t="shared" si="447"/>
        <v>0</v>
      </c>
      <c r="AH982" s="12">
        <f t="shared" si="448"/>
        <v>0</v>
      </c>
      <c r="AI982" s="12">
        <f t="shared" si="431"/>
        <v>0</v>
      </c>
      <c r="AJ982" s="12">
        <v>1</v>
      </c>
      <c r="AK982" s="12">
        <f t="shared" si="478"/>
        <v>0</v>
      </c>
      <c r="AL982" s="12">
        <f t="shared" si="449"/>
        <v>0</v>
      </c>
      <c r="AM982" s="12">
        <f t="shared" si="433"/>
        <v>0</v>
      </c>
      <c r="AN982" s="12">
        <f t="shared" si="434"/>
        <v>0</v>
      </c>
      <c r="AO982" s="12">
        <f t="shared" si="435"/>
        <v>0</v>
      </c>
      <c r="AP982" s="12">
        <f t="shared" si="479"/>
        <v>0</v>
      </c>
      <c r="AQ982" s="3" t="str">
        <f t="shared" si="480"/>
        <v>SR807</v>
      </c>
      <c r="AR982" s="3" t="str">
        <f t="shared" si="438"/>
        <v>SR80710</v>
      </c>
      <c r="AS982" s="6" t="str">
        <f t="shared" si="481"/>
        <v>9999</v>
      </c>
      <c r="AT982" s="6" t="str">
        <f t="shared" si="482"/>
        <v>CNY</v>
      </c>
      <c r="AU982" s="6" t="str">
        <f t="shared" si="483"/>
        <v>50010001</v>
      </c>
      <c r="AV982" s="142">
        <f>'day2'!M978+'day2'!N978</f>
        <v>0</v>
      </c>
      <c r="AW982" s="142">
        <f t="shared" si="450"/>
        <v>0</v>
      </c>
    </row>
    <row r="983" spans="1:49" s="6" customFormat="1" x14ac:dyDescent="0.25">
      <c r="A983" s="6" t="str">
        <f t="shared" si="442"/>
        <v>comment</v>
      </c>
      <c r="B983" s="140" t="str">
        <f>'day2'!B979</f>
        <v>2018032710000071</v>
      </c>
      <c r="C983" s="140" t="str">
        <f>'day2'!C979</f>
        <v>6001</v>
      </c>
      <c r="D983" s="140" t="str">
        <f>'day2'!D979</f>
        <v>B00101</v>
      </c>
      <c r="E983" s="140" t="str">
        <f>'day2'!E979</f>
        <v>6001</v>
      </c>
      <c r="F983" s="140">
        <f t="shared" si="466"/>
        <v>20180328</v>
      </c>
      <c r="G983" s="140">
        <f>'day2'!G979</f>
        <v>20180327</v>
      </c>
      <c r="H983" s="140" t="str">
        <f>'day2'!H979</f>
        <v>CZCE</v>
      </c>
      <c r="I983" s="140" t="str">
        <f>'day2'!I979</f>
        <v>SR807</v>
      </c>
      <c r="J983" s="268">
        <f>'day2'!J979</f>
        <v>0</v>
      </c>
      <c r="K983" s="268">
        <f>'day2'!K979</f>
        <v>2</v>
      </c>
      <c r="L983" s="268">
        <f>'day2'!L979</f>
        <v>3</v>
      </c>
      <c r="M983" s="268">
        <f t="shared" si="467"/>
        <v>0</v>
      </c>
      <c r="N983" s="268">
        <f t="shared" si="522"/>
        <v>0</v>
      </c>
      <c r="O983" s="6">
        <f t="shared" si="443"/>
        <v>0</v>
      </c>
      <c r="P983" s="12">
        <f t="shared" si="444"/>
        <v>0</v>
      </c>
      <c r="Q983" s="12">
        <f t="shared" si="468"/>
        <v>5.1999999999999998E-2</v>
      </c>
      <c r="R983" s="12">
        <f t="shared" si="469"/>
        <v>5.2</v>
      </c>
      <c r="S983" s="12">
        <f t="shared" si="470"/>
        <v>4.2000000000000003E-2</v>
      </c>
      <c r="T983" s="12">
        <f t="shared" si="471"/>
        <v>4.2</v>
      </c>
      <c r="U983" s="12">
        <f t="shared" si="472"/>
        <v>10</v>
      </c>
      <c r="V983" s="12">
        <f t="shared" si="473"/>
        <v>0</v>
      </c>
      <c r="W983" s="12">
        <f t="shared" si="474"/>
        <v>6170</v>
      </c>
      <c r="X983" s="12">
        <f t="shared" si="475"/>
        <v>0</v>
      </c>
      <c r="Y983" s="250">
        <f>'day2'!Y979</f>
        <v>6400</v>
      </c>
      <c r="Z983" s="12">
        <f t="shared" si="476"/>
        <v>6155</v>
      </c>
      <c r="AA983" s="12">
        <f t="shared" si="485"/>
        <v>0.5</v>
      </c>
      <c r="AB983" s="12">
        <f t="shared" si="485"/>
        <v>0.5</v>
      </c>
      <c r="AC983" s="12">
        <f t="shared" si="445"/>
        <v>0</v>
      </c>
      <c r="AD983" s="12">
        <f t="shared" si="477"/>
        <v>9</v>
      </c>
      <c r="AE983" s="12">
        <f t="shared" si="484"/>
        <v>0</v>
      </c>
      <c r="AF983" s="12">
        <f t="shared" si="446"/>
        <v>0</v>
      </c>
      <c r="AG983" s="12">
        <f t="shared" si="447"/>
        <v>0</v>
      </c>
      <c r="AH983" s="12">
        <f t="shared" si="448"/>
        <v>0</v>
      </c>
      <c r="AI983" s="12">
        <f t="shared" si="431"/>
        <v>0</v>
      </c>
      <c r="AJ983" s="12">
        <v>1</v>
      </c>
      <c r="AK983" s="12">
        <f t="shared" si="478"/>
        <v>0</v>
      </c>
      <c r="AL983" s="12">
        <f t="shared" si="449"/>
        <v>0</v>
      </c>
      <c r="AM983" s="12">
        <f t="shared" si="433"/>
        <v>0</v>
      </c>
      <c r="AN983" s="12">
        <f t="shared" si="434"/>
        <v>0</v>
      </c>
      <c r="AO983" s="12">
        <f t="shared" si="435"/>
        <v>0</v>
      </c>
      <c r="AP983" s="12">
        <f t="shared" si="479"/>
        <v>0</v>
      </c>
      <c r="AQ983" s="3" t="str">
        <f t="shared" si="480"/>
        <v>SR807</v>
      </c>
      <c r="AR983" s="3" t="str">
        <f t="shared" si="438"/>
        <v>SR80730</v>
      </c>
      <c r="AS983" s="6" t="str">
        <f t="shared" si="481"/>
        <v>9999</v>
      </c>
      <c r="AT983" s="6" t="str">
        <f t="shared" si="482"/>
        <v>CNY</v>
      </c>
      <c r="AU983" s="6" t="str">
        <f t="shared" si="483"/>
        <v>50010001</v>
      </c>
      <c r="AV983" s="142">
        <f>'day2'!M979+'day2'!N979</f>
        <v>0</v>
      </c>
      <c r="AW983" s="142">
        <f t="shared" si="450"/>
        <v>0</v>
      </c>
    </row>
    <row r="984" spans="1:49" s="6" customFormat="1" x14ac:dyDescent="0.25">
      <c r="A984" s="6" t="str">
        <f t="shared" si="442"/>
        <v/>
      </c>
      <c r="B984" s="140" t="str">
        <f>'day2'!B980</f>
        <v>2018032710000072</v>
      </c>
      <c r="C984" s="140" t="str">
        <f>'day2'!C980</f>
        <v>6001</v>
      </c>
      <c r="D984" s="140" t="str">
        <f>'day2'!D980</f>
        <v>B00101</v>
      </c>
      <c r="E984" s="140" t="str">
        <f>'day2'!E980</f>
        <v>6001</v>
      </c>
      <c r="F984" s="140">
        <f t="shared" si="466"/>
        <v>20180328</v>
      </c>
      <c r="G984" s="140">
        <f>'day2'!G980</f>
        <v>20180327</v>
      </c>
      <c r="H984" s="140" t="str">
        <f>'day2'!H980</f>
        <v>CZCE</v>
      </c>
      <c r="I984" s="140" t="str">
        <f>'day2'!I980</f>
        <v>SR807</v>
      </c>
      <c r="J984" s="268">
        <f>'day2'!J980</f>
        <v>1</v>
      </c>
      <c r="K984" s="268">
        <f>'day2'!K980</f>
        <v>3</v>
      </c>
      <c r="L984" s="268">
        <f>'day2'!L980</f>
        <v>1</v>
      </c>
      <c r="M984" s="268">
        <f t="shared" si="467"/>
        <v>2</v>
      </c>
      <c r="N984" s="268">
        <f t="shared" si="522"/>
        <v>0</v>
      </c>
      <c r="O984" s="6">
        <f t="shared" si="443"/>
        <v>0</v>
      </c>
      <c r="P984" s="12">
        <f t="shared" si="444"/>
        <v>0</v>
      </c>
      <c r="Q984" s="12">
        <f t="shared" si="468"/>
        <v>5.0999999999999997E-2</v>
      </c>
      <c r="R984" s="12">
        <f t="shared" si="469"/>
        <v>5.0999999999999996</v>
      </c>
      <c r="S984" s="12">
        <f t="shared" si="470"/>
        <v>4.1000000000000002E-2</v>
      </c>
      <c r="T984" s="12">
        <f t="shared" si="471"/>
        <v>4.0999999999999996</v>
      </c>
      <c r="U984" s="12">
        <f t="shared" si="472"/>
        <v>10</v>
      </c>
      <c r="V984" s="12">
        <f t="shared" si="473"/>
        <v>0</v>
      </c>
      <c r="W984" s="266">
        <f t="shared" si="474"/>
        <v>6170</v>
      </c>
      <c r="X984" s="266">
        <f t="shared" si="475"/>
        <v>0</v>
      </c>
      <c r="Y984" s="266">
        <f>'day2'!Y980</f>
        <v>6400</v>
      </c>
      <c r="Z984" s="266">
        <f t="shared" si="476"/>
        <v>6155</v>
      </c>
      <c r="AA984" s="12">
        <f t="shared" si="485"/>
        <v>0.5</v>
      </c>
      <c r="AB984" s="12">
        <f t="shared" si="485"/>
        <v>0.5</v>
      </c>
      <c r="AC984" s="12">
        <f t="shared" si="445"/>
        <v>0</v>
      </c>
      <c r="AD984" s="12">
        <f t="shared" si="477"/>
        <v>9</v>
      </c>
      <c r="AE984" s="12">
        <f t="shared" si="484"/>
        <v>6303.6</v>
      </c>
      <c r="AF984" s="12">
        <f t="shared" si="446"/>
        <v>5067.6000000000004</v>
      </c>
      <c r="AG984" s="12">
        <f t="shared" si="447"/>
        <v>0</v>
      </c>
      <c r="AH984" s="12">
        <f t="shared" si="448"/>
        <v>0</v>
      </c>
      <c r="AI984" s="12">
        <f t="shared" si="431"/>
        <v>0</v>
      </c>
      <c r="AJ984" s="12">
        <v>1</v>
      </c>
      <c r="AK984" s="12">
        <f t="shared" si="478"/>
        <v>0</v>
      </c>
      <c r="AL984" s="12">
        <f t="shared" si="449"/>
        <v>-300</v>
      </c>
      <c r="AM984" s="12">
        <f t="shared" si="433"/>
        <v>4600</v>
      </c>
      <c r="AN984" s="12">
        <f t="shared" si="434"/>
        <v>0</v>
      </c>
      <c r="AO984" s="12">
        <f t="shared" si="435"/>
        <v>0</v>
      </c>
      <c r="AP984" s="12">
        <f t="shared" si="479"/>
        <v>0</v>
      </c>
      <c r="AQ984" s="3" t="str">
        <f t="shared" si="480"/>
        <v>SR807</v>
      </c>
      <c r="AR984" s="3" t="str">
        <f t="shared" si="438"/>
        <v>SR80711</v>
      </c>
      <c r="AS984" s="6" t="str">
        <f t="shared" si="481"/>
        <v>9999</v>
      </c>
      <c r="AT984" s="6" t="str">
        <f t="shared" si="482"/>
        <v>CNY</v>
      </c>
      <c r="AU984" s="6" t="str">
        <f t="shared" si="483"/>
        <v>50010001</v>
      </c>
      <c r="AV984" s="142">
        <f>'day2'!M980+'day2'!N980</f>
        <v>2</v>
      </c>
      <c r="AW984" s="142">
        <f t="shared" si="450"/>
        <v>128000</v>
      </c>
    </row>
    <row r="985" spans="1:49" s="6" customFormat="1" x14ac:dyDescent="0.25">
      <c r="A985" s="6" t="str">
        <f t="shared" si="442"/>
        <v>comment</v>
      </c>
      <c r="B985" s="140" t="str">
        <f>'day2'!B981</f>
        <v>2018032710000073</v>
      </c>
      <c r="C985" s="140" t="str">
        <f>'day2'!C981</f>
        <v>6001</v>
      </c>
      <c r="D985" s="140" t="str">
        <f>'day2'!D981</f>
        <v>B00101</v>
      </c>
      <c r="E985" s="140" t="str">
        <f>'day2'!E981</f>
        <v>6001</v>
      </c>
      <c r="F985" s="140">
        <f t="shared" si="466"/>
        <v>20180328</v>
      </c>
      <c r="G985" s="140">
        <f>'day2'!G981</f>
        <v>20180327</v>
      </c>
      <c r="H985" s="140" t="str">
        <f>'day2'!H981</f>
        <v>CZCE</v>
      </c>
      <c r="I985" s="140" t="str">
        <f>'day2'!I981</f>
        <v>SR807</v>
      </c>
      <c r="J985" s="268">
        <f>'day2'!J981</f>
        <v>1</v>
      </c>
      <c r="K985" s="268">
        <f>'day2'!K981</f>
        <v>3</v>
      </c>
      <c r="L985" s="268">
        <f>'day2'!L981</f>
        <v>3</v>
      </c>
      <c r="M985" s="268">
        <f t="shared" si="467"/>
        <v>0</v>
      </c>
      <c r="N985" s="268">
        <f t="shared" si="522"/>
        <v>0</v>
      </c>
      <c r="O985" s="6">
        <f t="shared" si="443"/>
        <v>0</v>
      </c>
      <c r="P985" s="12">
        <f t="shared" si="444"/>
        <v>0</v>
      </c>
      <c r="Q985" s="12">
        <f t="shared" si="468"/>
        <v>5.2999999999999999E-2</v>
      </c>
      <c r="R985" s="12">
        <f t="shared" si="469"/>
        <v>5.3</v>
      </c>
      <c r="S985" s="12">
        <f t="shared" si="470"/>
        <v>4.2999999999999997E-2</v>
      </c>
      <c r="T985" s="12">
        <f t="shared" si="471"/>
        <v>4.3</v>
      </c>
      <c r="U985" s="12">
        <f t="shared" si="472"/>
        <v>10</v>
      </c>
      <c r="V985" s="12">
        <f t="shared" si="473"/>
        <v>0</v>
      </c>
      <c r="W985" s="12">
        <f t="shared" si="474"/>
        <v>6170</v>
      </c>
      <c r="X985" s="12">
        <f t="shared" si="475"/>
        <v>0</v>
      </c>
      <c r="Y985" s="250">
        <f>'day2'!Y981</f>
        <v>6400</v>
      </c>
      <c r="Z985" s="12">
        <f t="shared" si="476"/>
        <v>6155</v>
      </c>
      <c r="AA985" s="12">
        <f t="shared" si="485"/>
        <v>0.5</v>
      </c>
      <c r="AB985" s="12">
        <f t="shared" si="485"/>
        <v>0.5</v>
      </c>
      <c r="AC985" s="12">
        <f t="shared" si="445"/>
        <v>0</v>
      </c>
      <c r="AD985" s="12">
        <f t="shared" si="477"/>
        <v>9</v>
      </c>
      <c r="AE985" s="12">
        <f t="shared" si="484"/>
        <v>0</v>
      </c>
      <c r="AF985" s="12">
        <f t="shared" si="446"/>
        <v>0</v>
      </c>
      <c r="AG985" s="12">
        <f t="shared" si="447"/>
        <v>0</v>
      </c>
      <c r="AH985" s="12">
        <f t="shared" si="448"/>
        <v>0</v>
      </c>
      <c r="AI985" s="12">
        <f t="shared" si="431"/>
        <v>0</v>
      </c>
      <c r="AJ985" s="12">
        <v>1</v>
      </c>
      <c r="AK985" s="12">
        <f t="shared" si="478"/>
        <v>0</v>
      </c>
      <c r="AL985" s="12">
        <f t="shared" si="449"/>
        <v>0</v>
      </c>
      <c r="AM985" s="12">
        <f t="shared" si="433"/>
        <v>0</v>
      </c>
      <c r="AN985" s="12">
        <f t="shared" si="434"/>
        <v>0</v>
      </c>
      <c r="AO985" s="12">
        <f t="shared" si="435"/>
        <v>0</v>
      </c>
      <c r="AP985" s="12">
        <f t="shared" si="479"/>
        <v>0</v>
      </c>
      <c r="AQ985" s="3" t="str">
        <f t="shared" si="480"/>
        <v>SR807</v>
      </c>
      <c r="AR985" s="3" t="str">
        <f t="shared" si="438"/>
        <v>SR80731</v>
      </c>
      <c r="AS985" s="6" t="str">
        <f t="shared" si="481"/>
        <v>9999</v>
      </c>
      <c r="AT985" s="6" t="str">
        <f t="shared" si="482"/>
        <v>CNY</v>
      </c>
      <c r="AU985" s="6" t="str">
        <f t="shared" si="483"/>
        <v>50010001</v>
      </c>
      <c r="AV985" s="142">
        <f>'day2'!M981+'day2'!N981</f>
        <v>0</v>
      </c>
      <c r="AW985" s="142">
        <f t="shared" si="450"/>
        <v>0</v>
      </c>
    </row>
    <row r="986" spans="1:49" s="6" customFormat="1" x14ac:dyDescent="0.25">
      <c r="A986" s="6" t="str">
        <f t="shared" si="442"/>
        <v/>
      </c>
      <c r="B986" s="140" t="str">
        <f>'day2'!B982</f>
        <v>2018032710000074</v>
      </c>
      <c r="C986" s="140" t="str">
        <f>'day2'!C982</f>
        <v>6001</v>
      </c>
      <c r="D986" s="140" t="str">
        <f>'day2'!D982</f>
        <v>B00101</v>
      </c>
      <c r="E986" s="140" t="str">
        <f>'day2'!E982</f>
        <v>6001</v>
      </c>
      <c r="F986" s="140">
        <f t="shared" si="466"/>
        <v>20180328</v>
      </c>
      <c r="G986" s="140">
        <f>'day2'!G982</f>
        <v>20180327</v>
      </c>
      <c r="H986" s="140" t="str">
        <f>'day2'!H982</f>
        <v>CZCE</v>
      </c>
      <c r="I986" s="140" t="str">
        <f>'day2'!I982</f>
        <v>SR807</v>
      </c>
      <c r="J986" s="268">
        <f>'day2'!J982</f>
        <v>0</v>
      </c>
      <c r="K986" s="268">
        <f>'day2'!K982</f>
        <v>2</v>
      </c>
      <c r="L986" s="268">
        <f>'day2'!L982</f>
        <v>1</v>
      </c>
      <c r="M986" s="268">
        <f t="shared" si="467"/>
        <v>15</v>
      </c>
      <c r="N986" s="268">
        <f t="shared" si="522"/>
        <v>0</v>
      </c>
      <c r="O986" s="6">
        <f t="shared" si="443"/>
        <v>0</v>
      </c>
      <c r="P986" s="12">
        <f t="shared" si="444"/>
        <v>0</v>
      </c>
      <c r="Q986" s="12">
        <f t="shared" si="468"/>
        <v>0.05</v>
      </c>
      <c r="R986" s="12">
        <f t="shared" si="469"/>
        <v>5</v>
      </c>
      <c r="S986" s="12">
        <f t="shared" si="470"/>
        <v>0.04</v>
      </c>
      <c r="T986" s="12">
        <f t="shared" si="471"/>
        <v>4</v>
      </c>
      <c r="U986" s="12">
        <f t="shared" si="472"/>
        <v>10</v>
      </c>
      <c r="V986" s="12">
        <f t="shared" si="473"/>
        <v>0</v>
      </c>
      <c r="W986" s="266">
        <f t="shared" si="474"/>
        <v>6170</v>
      </c>
      <c r="X986" s="266">
        <f t="shared" si="475"/>
        <v>0</v>
      </c>
      <c r="Y986" s="266">
        <f>'day2'!Y982</f>
        <v>6500</v>
      </c>
      <c r="Z986" s="266">
        <f t="shared" si="476"/>
        <v>6155</v>
      </c>
      <c r="AA986" s="12">
        <f t="shared" si="485"/>
        <v>0.5</v>
      </c>
      <c r="AB986" s="12">
        <f t="shared" si="485"/>
        <v>0.5</v>
      </c>
      <c r="AC986" s="12">
        <f t="shared" si="445"/>
        <v>0</v>
      </c>
      <c r="AD986" s="12">
        <f t="shared" si="477"/>
        <v>9</v>
      </c>
      <c r="AE986" s="12">
        <f t="shared" si="484"/>
        <v>46350</v>
      </c>
      <c r="AF986" s="12">
        <f t="shared" si="446"/>
        <v>37080</v>
      </c>
      <c r="AG986" s="12">
        <f t="shared" si="447"/>
        <v>0</v>
      </c>
      <c r="AH986" s="12">
        <f t="shared" si="448"/>
        <v>0</v>
      </c>
      <c r="AI986" s="12">
        <f t="shared" si="431"/>
        <v>0</v>
      </c>
      <c r="AJ986" s="12">
        <v>1</v>
      </c>
      <c r="AK986" s="12">
        <f t="shared" si="478"/>
        <v>0</v>
      </c>
      <c r="AL986" s="12">
        <f t="shared" si="449"/>
        <v>2250</v>
      </c>
      <c r="AM986" s="12">
        <f t="shared" si="433"/>
        <v>-49500</v>
      </c>
      <c r="AN986" s="12">
        <f t="shared" si="434"/>
        <v>0</v>
      </c>
      <c r="AO986" s="12">
        <f t="shared" si="435"/>
        <v>0</v>
      </c>
      <c r="AP986" s="12">
        <f t="shared" si="479"/>
        <v>0</v>
      </c>
      <c r="AQ986" s="3" t="str">
        <f t="shared" si="480"/>
        <v>SR807</v>
      </c>
      <c r="AR986" s="3" t="str">
        <f t="shared" si="438"/>
        <v>SR80710</v>
      </c>
      <c r="AS986" s="6" t="str">
        <f t="shared" si="481"/>
        <v>9999</v>
      </c>
      <c r="AT986" s="6" t="str">
        <f t="shared" si="482"/>
        <v>CNY</v>
      </c>
      <c r="AU986" s="6" t="str">
        <f t="shared" si="483"/>
        <v>50010001</v>
      </c>
      <c r="AV986" s="142">
        <f>'day2'!M982+'day2'!N982</f>
        <v>15</v>
      </c>
      <c r="AW986" s="142">
        <f t="shared" si="450"/>
        <v>975000</v>
      </c>
    </row>
    <row r="987" spans="1:49" s="6" customFormat="1" x14ac:dyDescent="0.25">
      <c r="A987" s="6" t="str">
        <f t="shared" si="442"/>
        <v>comment</v>
      </c>
      <c r="B987" s="140" t="str">
        <f>'day2'!B983</f>
        <v>2018032710000075</v>
      </c>
      <c r="C987" s="140" t="str">
        <f>'day2'!C983</f>
        <v>6001</v>
      </c>
      <c r="D987" s="140" t="str">
        <f>'day2'!D983</f>
        <v>B00101</v>
      </c>
      <c r="E987" s="140" t="str">
        <f>'day2'!E983</f>
        <v>6001</v>
      </c>
      <c r="F987" s="140">
        <f t="shared" si="466"/>
        <v>20180328</v>
      </c>
      <c r="G987" s="140">
        <f>'day2'!G983</f>
        <v>20180327</v>
      </c>
      <c r="H987" s="140" t="str">
        <f>'day2'!H983</f>
        <v>CZCE</v>
      </c>
      <c r="I987" s="140" t="str">
        <f>'day2'!I983</f>
        <v>SR807</v>
      </c>
      <c r="J987" s="268">
        <f>'day2'!J983</f>
        <v>0</v>
      </c>
      <c r="K987" s="268">
        <f>'day2'!K983</f>
        <v>2</v>
      </c>
      <c r="L987" s="268">
        <f>'day2'!L983</f>
        <v>3</v>
      </c>
      <c r="M987" s="268">
        <f t="shared" si="467"/>
        <v>0</v>
      </c>
      <c r="N987" s="268">
        <f t="shared" si="522"/>
        <v>0</v>
      </c>
      <c r="O987" s="6">
        <f t="shared" si="443"/>
        <v>0</v>
      </c>
      <c r="P987" s="12">
        <f t="shared" si="444"/>
        <v>0</v>
      </c>
      <c r="Q987" s="12">
        <f t="shared" si="468"/>
        <v>5.1999999999999998E-2</v>
      </c>
      <c r="R987" s="12">
        <f t="shared" si="469"/>
        <v>5.2</v>
      </c>
      <c r="S987" s="12">
        <f t="shared" si="470"/>
        <v>4.2000000000000003E-2</v>
      </c>
      <c r="T987" s="12">
        <f t="shared" si="471"/>
        <v>4.2</v>
      </c>
      <c r="U987" s="12">
        <f t="shared" si="472"/>
        <v>10</v>
      </c>
      <c r="V987" s="12">
        <f t="shared" si="473"/>
        <v>0</v>
      </c>
      <c r="W987" s="12">
        <f t="shared" si="474"/>
        <v>6170</v>
      </c>
      <c r="X987" s="12">
        <f t="shared" si="475"/>
        <v>0</v>
      </c>
      <c r="Y987" s="250">
        <f>'day2'!Y983</f>
        <v>6500</v>
      </c>
      <c r="Z987" s="12">
        <f t="shared" si="476"/>
        <v>6155</v>
      </c>
      <c r="AA987" s="12">
        <f t="shared" si="485"/>
        <v>0.5</v>
      </c>
      <c r="AB987" s="12">
        <f t="shared" si="485"/>
        <v>0.5</v>
      </c>
      <c r="AC987" s="12">
        <f t="shared" si="445"/>
        <v>0</v>
      </c>
      <c r="AD987" s="12">
        <f t="shared" si="477"/>
        <v>9</v>
      </c>
      <c r="AE987" s="12">
        <f t="shared" si="484"/>
        <v>0</v>
      </c>
      <c r="AF987" s="12">
        <f t="shared" si="446"/>
        <v>0</v>
      </c>
      <c r="AG987" s="12">
        <f t="shared" si="447"/>
        <v>0</v>
      </c>
      <c r="AH987" s="12">
        <f t="shared" si="448"/>
        <v>0</v>
      </c>
      <c r="AI987" s="12">
        <f t="shared" si="431"/>
        <v>0</v>
      </c>
      <c r="AJ987" s="12">
        <v>1</v>
      </c>
      <c r="AK987" s="12">
        <f t="shared" si="478"/>
        <v>0</v>
      </c>
      <c r="AL987" s="12">
        <f t="shared" si="449"/>
        <v>0</v>
      </c>
      <c r="AM987" s="12">
        <f t="shared" si="433"/>
        <v>0</v>
      </c>
      <c r="AN987" s="12">
        <f t="shared" si="434"/>
        <v>0</v>
      </c>
      <c r="AO987" s="12">
        <f t="shared" si="435"/>
        <v>0</v>
      </c>
      <c r="AP987" s="12">
        <f t="shared" si="479"/>
        <v>0</v>
      </c>
      <c r="AQ987" s="3" t="str">
        <f t="shared" si="480"/>
        <v>SR807</v>
      </c>
      <c r="AR987" s="3" t="str">
        <f t="shared" si="438"/>
        <v>SR80730</v>
      </c>
      <c r="AS987" s="6" t="str">
        <f t="shared" si="481"/>
        <v>9999</v>
      </c>
      <c r="AT987" s="6" t="str">
        <f t="shared" si="482"/>
        <v>CNY</v>
      </c>
      <c r="AU987" s="6" t="str">
        <f t="shared" si="483"/>
        <v>50010001</v>
      </c>
      <c r="AV987" s="142">
        <f>'day2'!M983+'day2'!N983</f>
        <v>0</v>
      </c>
      <c r="AW987" s="142">
        <f t="shared" si="450"/>
        <v>0</v>
      </c>
    </row>
    <row r="988" spans="1:49" s="6" customFormat="1" x14ac:dyDescent="0.25">
      <c r="A988" s="6" t="str">
        <f>IF( AND(M988=0,N988=0),"comment","")</f>
        <v>comment</v>
      </c>
      <c r="B988" s="140" t="str">
        <f>'day2'!B984</f>
        <v>2018032710000076</v>
      </c>
      <c r="C988" s="140" t="str">
        <f>'day2'!C984</f>
        <v>6001</v>
      </c>
      <c r="D988" s="140" t="str">
        <f>'day2'!D984</f>
        <v>B00101</v>
      </c>
      <c r="E988" s="140" t="str">
        <f>'day2'!E984</f>
        <v>6001</v>
      </c>
      <c r="F988" s="140">
        <f t="shared" si="466"/>
        <v>20180328</v>
      </c>
      <c r="G988" s="140">
        <f>'day2'!G984</f>
        <v>20180327</v>
      </c>
      <c r="H988" s="140" t="str">
        <f>'day2'!H984</f>
        <v>CZCE</v>
      </c>
      <c r="I988" s="140" t="str">
        <f>'day2'!I984</f>
        <v>SR807</v>
      </c>
      <c r="J988" s="268">
        <f>'day2'!J984</f>
        <v>1</v>
      </c>
      <c r="K988" s="268">
        <f>'day2'!K984</f>
        <v>3</v>
      </c>
      <c r="L988" s="268">
        <f>'day2'!L984</f>
        <v>1</v>
      </c>
      <c r="M988" s="268">
        <f t="shared" si="467"/>
        <v>0</v>
      </c>
      <c r="N988" s="268">
        <f t="shared" si="522"/>
        <v>0</v>
      </c>
      <c r="O988" s="6">
        <f t="shared" si="443"/>
        <v>0</v>
      </c>
      <c r="P988" s="12">
        <f t="shared" si="444"/>
        <v>0</v>
      </c>
      <c r="Q988" s="12">
        <f t="shared" si="468"/>
        <v>5.0999999999999997E-2</v>
      </c>
      <c r="R988" s="12">
        <f t="shared" si="469"/>
        <v>5.0999999999999996</v>
      </c>
      <c r="S988" s="12">
        <f t="shared" si="470"/>
        <v>4.1000000000000002E-2</v>
      </c>
      <c r="T988" s="12">
        <f t="shared" si="471"/>
        <v>4.0999999999999996</v>
      </c>
      <c r="U988" s="12">
        <f t="shared" si="472"/>
        <v>10</v>
      </c>
      <c r="V988" s="12">
        <f t="shared" si="473"/>
        <v>0</v>
      </c>
      <c r="W988" s="12">
        <f t="shared" si="474"/>
        <v>6170</v>
      </c>
      <c r="X988" s="12">
        <f t="shared" si="475"/>
        <v>0</v>
      </c>
      <c r="Y988" s="250">
        <f>'day2'!Y984</f>
        <v>6500</v>
      </c>
      <c r="Z988" s="12">
        <f t="shared" si="476"/>
        <v>6155</v>
      </c>
      <c r="AA988" s="12">
        <f t="shared" ref="AA988:AB1006" si="544">$F$190</f>
        <v>0.5</v>
      </c>
      <c r="AB988" s="12">
        <f t="shared" si="544"/>
        <v>0.5</v>
      </c>
      <c r="AC988" s="12">
        <f t="shared" si="445"/>
        <v>0</v>
      </c>
      <c r="AD988" s="12">
        <f t="shared" si="477"/>
        <v>9</v>
      </c>
      <c r="AE988" s="12">
        <f t="shared" si="484"/>
        <v>0</v>
      </c>
      <c r="AF988" s="12">
        <f t="shared" si="446"/>
        <v>0</v>
      </c>
      <c r="AG988" s="12">
        <f t="shared" si="447"/>
        <v>0</v>
      </c>
      <c r="AH988" s="12">
        <f t="shared" si="448"/>
        <v>0</v>
      </c>
      <c r="AI988" s="12">
        <f t="shared" si="431"/>
        <v>0</v>
      </c>
      <c r="AJ988" s="12">
        <v>1</v>
      </c>
      <c r="AK988" s="12">
        <f t="shared" si="478"/>
        <v>0</v>
      </c>
      <c r="AL988" s="12">
        <f t="shared" si="449"/>
        <v>0</v>
      </c>
      <c r="AM988" s="12">
        <f t="shared" si="433"/>
        <v>0</v>
      </c>
      <c r="AN988" s="12">
        <f t="shared" si="434"/>
        <v>0</v>
      </c>
      <c r="AO988" s="12">
        <f t="shared" si="435"/>
        <v>0</v>
      </c>
      <c r="AP988" s="12">
        <f t="shared" si="479"/>
        <v>0</v>
      </c>
      <c r="AQ988" s="3" t="str">
        <f t="shared" si="480"/>
        <v>SR807</v>
      </c>
      <c r="AR988" s="3" t="str">
        <f t="shared" si="438"/>
        <v>SR80711</v>
      </c>
      <c r="AS988" s="6" t="str">
        <f t="shared" si="481"/>
        <v>9999</v>
      </c>
      <c r="AT988" s="6" t="str">
        <f t="shared" si="482"/>
        <v>CNY</v>
      </c>
      <c r="AU988" s="6" t="str">
        <f t="shared" si="483"/>
        <v>50010001</v>
      </c>
      <c r="AV988" s="142">
        <f>'day2'!M984+'day2'!N984</f>
        <v>0</v>
      </c>
      <c r="AW988" s="142">
        <f t="shared" si="450"/>
        <v>0</v>
      </c>
    </row>
    <row r="989" spans="1:49" s="6" customFormat="1" x14ac:dyDescent="0.25">
      <c r="A989" s="6" t="str">
        <f t="shared" ref="A989:A1006" si="545">IF( AND(M989=0,N989=0),"comment","")</f>
        <v/>
      </c>
      <c r="B989" s="140" t="str">
        <f>'day2'!B985</f>
        <v>2018032710000077</v>
      </c>
      <c r="C989" s="140" t="str">
        <f>'day2'!C985</f>
        <v>6001</v>
      </c>
      <c r="D989" s="140" t="str">
        <f>'day2'!D985</f>
        <v>B00101</v>
      </c>
      <c r="E989" s="140" t="str">
        <f>'day2'!E985</f>
        <v>6001</v>
      </c>
      <c r="F989" s="140">
        <f t="shared" si="466"/>
        <v>20180328</v>
      </c>
      <c r="G989" s="140">
        <f>'day2'!G985</f>
        <v>20180327</v>
      </c>
      <c r="H989" s="140" t="str">
        <f>'day2'!H985</f>
        <v>CZCE</v>
      </c>
      <c r="I989" s="140" t="str">
        <f>'day2'!I985</f>
        <v>SR807</v>
      </c>
      <c r="J989" s="268">
        <f>'day2'!J985</f>
        <v>1</v>
      </c>
      <c r="K989" s="268">
        <f>'day2'!K985</f>
        <v>3</v>
      </c>
      <c r="L989" s="268">
        <f>'day2'!L985</f>
        <v>3</v>
      </c>
      <c r="M989" s="268">
        <f t="shared" si="467"/>
        <v>10</v>
      </c>
      <c r="N989" s="268">
        <f t="shared" si="522"/>
        <v>0</v>
      </c>
      <c r="O989" s="6">
        <f t="shared" si="443"/>
        <v>0</v>
      </c>
      <c r="P989" s="12">
        <f t="shared" si="444"/>
        <v>0</v>
      </c>
      <c r="Q989" s="12">
        <f t="shared" si="468"/>
        <v>5.2999999999999999E-2</v>
      </c>
      <c r="R989" s="12">
        <f t="shared" si="469"/>
        <v>5.3</v>
      </c>
      <c r="S989" s="12">
        <f t="shared" si="470"/>
        <v>4.2999999999999997E-2</v>
      </c>
      <c r="T989" s="12">
        <f t="shared" si="471"/>
        <v>4.3</v>
      </c>
      <c r="U989" s="12">
        <f t="shared" si="472"/>
        <v>10</v>
      </c>
      <c r="V989" s="12">
        <f t="shared" si="473"/>
        <v>0</v>
      </c>
      <c r="W989" s="266">
        <f t="shared" si="474"/>
        <v>6170</v>
      </c>
      <c r="X989" s="266">
        <f t="shared" si="475"/>
        <v>0</v>
      </c>
      <c r="Y989" s="266">
        <f>'day2'!Y985</f>
        <v>6500</v>
      </c>
      <c r="Z989" s="266">
        <f t="shared" si="476"/>
        <v>6155</v>
      </c>
      <c r="AA989" s="12">
        <f t="shared" si="544"/>
        <v>0.5</v>
      </c>
      <c r="AB989" s="12">
        <f t="shared" si="544"/>
        <v>0.5</v>
      </c>
      <c r="AC989" s="12">
        <f t="shared" si="445"/>
        <v>0</v>
      </c>
      <c r="AD989" s="12">
        <f t="shared" si="477"/>
        <v>9</v>
      </c>
      <c r="AE989" s="12">
        <f t="shared" si="484"/>
        <v>32754</v>
      </c>
      <c r="AF989" s="12">
        <f t="shared" si="446"/>
        <v>26574</v>
      </c>
      <c r="AG989" s="12">
        <f t="shared" si="447"/>
        <v>0</v>
      </c>
      <c r="AH989" s="12">
        <f t="shared" si="448"/>
        <v>0</v>
      </c>
      <c r="AI989" s="12">
        <f t="shared" si="431"/>
        <v>0</v>
      </c>
      <c r="AJ989" s="12">
        <v>1</v>
      </c>
      <c r="AK989" s="12">
        <f t="shared" si="478"/>
        <v>0</v>
      </c>
      <c r="AL989" s="12">
        <f t="shared" si="449"/>
        <v>-1500</v>
      </c>
      <c r="AM989" s="12">
        <f t="shared" si="433"/>
        <v>33000</v>
      </c>
      <c r="AN989" s="12">
        <f t="shared" si="434"/>
        <v>0</v>
      </c>
      <c r="AO989" s="12">
        <f t="shared" si="435"/>
        <v>0</v>
      </c>
      <c r="AP989" s="12">
        <f t="shared" si="479"/>
        <v>0</v>
      </c>
      <c r="AQ989" s="3" t="str">
        <f t="shared" si="480"/>
        <v>SR807</v>
      </c>
      <c r="AR989" s="3" t="str">
        <f t="shared" si="438"/>
        <v>SR80731</v>
      </c>
      <c r="AS989" s="6" t="str">
        <f t="shared" si="481"/>
        <v>9999</v>
      </c>
      <c r="AT989" s="6" t="str">
        <f t="shared" si="482"/>
        <v>CNY</v>
      </c>
      <c r="AU989" s="6" t="str">
        <f t="shared" si="483"/>
        <v>50010001</v>
      </c>
      <c r="AV989" s="142">
        <f>'day2'!M985+'day2'!N985</f>
        <v>10</v>
      </c>
      <c r="AW989" s="142">
        <f t="shared" si="450"/>
        <v>650000</v>
      </c>
    </row>
    <row r="990" spans="1:49" s="6" customFormat="1" x14ac:dyDescent="0.25">
      <c r="A990" s="6" t="str">
        <f t="shared" si="545"/>
        <v>comment</v>
      </c>
      <c r="B990" s="140" t="str">
        <f>'day2'!B986</f>
        <v>2018032710000170</v>
      </c>
      <c r="C990" s="140" t="str">
        <f>'day2'!C986</f>
        <v>6001</v>
      </c>
      <c r="D990" s="140" t="str">
        <f>'day2'!D986</f>
        <v>B00102</v>
      </c>
      <c r="E990" s="140" t="str">
        <f>'day2'!E986</f>
        <v>6001</v>
      </c>
      <c r="F990" s="140">
        <f t="shared" si="466"/>
        <v>20180328</v>
      </c>
      <c r="G990" s="140">
        <f>'day2'!G986</f>
        <v>20180327</v>
      </c>
      <c r="H990" s="140" t="str">
        <f>'day2'!H986</f>
        <v>CZCE</v>
      </c>
      <c r="I990" s="140" t="str">
        <f>'day2'!I986</f>
        <v>PTA807</v>
      </c>
      <c r="J990" s="268">
        <f>'day2'!J986</f>
        <v>0</v>
      </c>
      <c r="K990" s="268">
        <f>'day2'!K986</f>
        <v>2</v>
      </c>
      <c r="L990" s="268">
        <f>'day2'!L986</f>
        <v>1</v>
      </c>
      <c r="M990" s="268">
        <f t="shared" ref="M990:M1006" si="546">SUMPRODUCT(($C$662:$C$709=B990)*($E$662:$E$709=C990)*($F$662:$F$709=D990)*($G$662:$G$709=E990)*($L$662:$L$709=I990)*($O$662:$O$709=J990)*($P$662:$P$709=L990)*($N$662:$N$709=0)*($Q$662:$Q$709))-SUMPRODUCT(($D$662:$D$709=B990)*($E$662:$E$709=C990)*($F$662:$F$709=D990)*($G$662:$G$709=E990)*($L$662:$L$709=I990)*($O$662:$O$709&lt;&gt;J990)*($P$662:$P$709=L990)*($N$662:$N$709&lt;&gt;0)*($Q$662:$Q$709))+AV990-SUMPRODUCT(($B$857:$B$873=B990)*($C$857:$C$873=C990)*($D$857:$D$873=D990)*($O$857:$O$873&lt;&gt;2)*($N$857:$N$873))-N990</f>
        <v>0</v>
      </c>
      <c r="N990" s="268">
        <f t="shared" si="522"/>
        <v>0</v>
      </c>
      <c r="O990" s="6">
        <f t="shared" si="443"/>
        <v>0</v>
      </c>
      <c r="P990" s="12">
        <f t="shared" ref="P990:P1000" si="547">IF(AK990=0,0,(M990+N990)*U990*W990)</f>
        <v>0</v>
      </c>
      <c r="Q990" s="12">
        <f t="shared" si="468"/>
        <v>0.05</v>
      </c>
      <c r="R990" s="12">
        <f t="shared" si="469"/>
        <v>5</v>
      </c>
      <c r="S990" s="12">
        <f t="shared" si="470"/>
        <v>0.04</v>
      </c>
      <c r="T990" s="12">
        <f t="shared" si="471"/>
        <v>4</v>
      </c>
      <c r="U990" s="12">
        <f t="shared" si="472"/>
        <v>5</v>
      </c>
      <c r="V990" s="12">
        <f t="shared" ref="V990:V1006" si="548" xml:space="preserve"> VLOOKUP(I990,$C$230:$F$242,4,FALSE)</f>
        <v>0</v>
      </c>
      <c r="W990" s="266">
        <f t="shared" ref="W990:W1006" si="549" xml:space="preserve"> VLOOKUP(I990,$C$230:$F$242,3,FALSE)</f>
        <v>6165</v>
      </c>
      <c r="X990" s="266">
        <f t="shared" ref="X990:X1006" si="550" xml:space="preserve"> VLOOKUP(I990,$C$230:$G$242,5,FALSE)</f>
        <v>0</v>
      </c>
      <c r="Y990" s="266">
        <f>'day2'!Y986</f>
        <v>6500</v>
      </c>
      <c r="Z990" s="266">
        <f t="shared" ref="Z990:Z1006" si="551" xml:space="preserve"> VLOOKUP(I990,$C$230:$F$242,2,FALSE)</f>
        <v>6160</v>
      </c>
      <c r="AA990" s="12">
        <f t="shared" si="544"/>
        <v>0.5</v>
      </c>
      <c r="AB990" s="12">
        <f t="shared" si="544"/>
        <v>0.5</v>
      </c>
      <c r="AC990" s="12">
        <f t="shared" ref="AC990:AC1000" si="552">IF(AD990=0,MAX((V990-X990)*U990,0),MAX((X990-V990)*U990,0))</f>
        <v>0</v>
      </c>
      <c r="AD990" s="12">
        <f t="shared" si="477"/>
        <v>9</v>
      </c>
      <c r="AE990" s="12">
        <f t="shared" ref="AE990:AE1000" si="553">ROUND(IF(AK990=0,Q990*U990*W990*M990+R990*M990,IF(J990=0,0,MAX(AI990+(Q990*U990*X990+R990)*AJ990-AC990*AA990,AI990+(Q990*U990*X990+R990)*AB990)*M990)),2)</f>
        <v>0</v>
      </c>
      <c r="AF990" s="12">
        <f t="shared" ref="AF990:AF1000" si="554">ROUND(IF(AK990=0,S990*U990*W990*M990+T990*M990,IF(J990=0,0,MAX(AI990+(S990*U990*X990+T990)*AJ990-AC990*AA990,AI990+(S990*U990*X990+T990)*AB990)*M990)),2)</f>
        <v>0</v>
      </c>
      <c r="AG990" s="12">
        <f t="shared" ref="AG990:AG1000" si="555">ROUND(IF(AK990=0,Q990*U990*W990*N990+R990*N990,IF(J990=0,0,MAX(AI990+(Q990*U990*X990+R990)*AJ990-AC990*AA990,AI990+(Q990*U990*X990+R990)*AB990)*N990)),2)</f>
        <v>0</v>
      </c>
      <c r="AH990" s="12">
        <f t="shared" ref="AH990:AH1000" si="556">ROUND(IF(AK990=0,S990*U990*W990*N990+T990*N990,IF(J990=0,0,MAX(AI990+(S990*U990*X990+T990)*AJ990-AC990*AA990,AI990+(S990*U990*X990+T990)*AB990)*N990)),2)</f>
        <v>0</v>
      </c>
      <c r="AI990" s="12">
        <f t="shared" ref="AI990:AI1000" si="557">IF(AK990=1,1*U990*W990,0)</f>
        <v>0</v>
      </c>
      <c r="AJ990" s="12">
        <v>1</v>
      </c>
      <c r="AK990" s="12">
        <f t="shared" si="478"/>
        <v>0</v>
      </c>
      <c r="AL990" s="12">
        <f t="shared" ref="AL990:AL1000" si="558">IF(AK990=0,IF(F990=G990,IF(J990=0,(W990-Y990)*U990*M990,-(W990-Y990)*U990*M990),IF(J990=0,(W990-Z990)*U990*M990,-(W990-Z990)*U990*M990)),0)</f>
        <v>0</v>
      </c>
      <c r="AM990" s="12">
        <f t="shared" ref="AM990:AM1000" si="559">IF(AK990=0,IF(J990=0,(W990-Y990)*U990*M990,-(W990-Y990)*U990*M990),0)</f>
        <v>0</v>
      </c>
      <c r="AN990" s="12">
        <f t="shared" ref="AN990:AN1000" si="560">IF(AK990=0,IF(F990=G990,IF(J990=0,(W990-Y990)*U990*N990,-(W990-Y990)*U990*N990),IF(J990=0,(W990-Z990)*U990*N990,-(W990-Z990)*U990*N990)),0)</f>
        <v>0</v>
      </c>
      <c r="AO990" s="12">
        <f t="shared" ref="AO990:AO1000" si="561">IF(AK990=0,IF(J990=0,(W990-Y990)*U990*N990,-(W990-Y990)*U990*N990),0)</f>
        <v>0</v>
      </c>
      <c r="AP990" s="12">
        <f t="shared" si="479"/>
        <v>1</v>
      </c>
      <c r="AQ990" s="3" t="str">
        <f t="shared" si="480"/>
        <v>PTA807</v>
      </c>
      <c r="AR990" s="3" t="str">
        <f t="shared" ref="AR990:AR1000" si="562">IF(AK990=0,AQ990&amp;L990&amp;J990,IF(AD990=0,AQ990&amp;L990&amp;1,AQ990&amp;L990&amp;0))</f>
        <v>PTA80710</v>
      </c>
      <c r="AS990" s="6" t="str">
        <f t="shared" si="481"/>
        <v>9999</v>
      </c>
      <c r="AT990" s="6" t="str">
        <f t="shared" si="482"/>
        <v>CNY</v>
      </c>
      <c r="AU990" s="6" t="str">
        <f t="shared" si="483"/>
        <v>50010002</v>
      </c>
      <c r="AV990" s="142">
        <f>'day2'!M986+'day2'!N986</f>
        <v>0</v>
      </c>
      <c r="AW990" s="142">
        <f t="shared" si="450"/>
        <v>0</v>
      </c>
    </row>
    <row r="991" spans="1:49" s="6" customFormat="1" x14ac:dyDescent="0.25">
      <c r="A991" s="6" t="str">
        <f t="shared" si="545"/>
        <v>comment</v>
      </c>
      <c r="B991" s="140" t="str">
        <f>'day2'!B987</f>
        <v>2018032710000171</v>
      </c>
      <c r="C991" s="140" t="str">
        <f>'day2'!C987</f>
        <v>6001</v>
      </c>
      <c r="D991" s="140" t="str">
        <f>'day2'!D987</f>
        <v>B00102</v>
      </c>
      <c r="E991" s="140" t="str">
        <f>'day2'!E987</f>
        <v>6001</v>
      </c>
      <c r="F991" s="140">
        <f t="shared" si="466"/>
        <v>20180328</v>
      </c>
      <c r="G991" s="140">
        <f>'day2'!G987</f>
        <v>20180327</v>
      </c>
      <c r="H991" s="140" t="str">
        <f>'day2'!H987</f>
        <v>CZCE</v>
      </c>
      <c r="I991" s="140" t="str">
        <f>'day2'!I987</f>
        <v>PTA807</v>
      </c>
      <c r="J991" s="268">
        <f>'day2'!J987</f>
        <v>0</v>
      </c>
      <c r="K991" s="268">
        <f>'day2'!K987</f>
        <v>2</v>
      </c>
      <c r="L991" s="268">
        <f>'day2'!L987</f>
        <v>3</v>
      </c>
      <c r="M991" s="268">
        <f t="shared" si="546"/>
        <v>0</v>
      </c>
      <c r="N991" s="268">
        <f t="shared" si="522"/>
        <v>0</v>
      </c>
      <c r="O991" s="6">
        <f t="shared" si="443"/>
        <v>0</v>
      </c>
      <c r="P991" s="12">
        <f t="shared" si="547"/>
        <v>0</v>
      </c>
      <c r="Q991" s="12">
        <f t="shared" si="468"/>
        <v>5.1999999999999998E-2</v>
      </c>
      <c r="R991" s="12">
        <f t="shared" si="469"/>
        <v>5.2</v>
      </c>
      <c r="S991" s="12">
        <f t="shared" si="470"/>
        <v>4.2000000000000003E-2</v>
      </c>
      <c r="T991" s="12">
        <f t="shared" si="471"/>
        <v>4.2</v>
      </c>
      <c r="U991" s="12">
        <f t="shared" si="472"/>
        <v>5</v>
      </c>
      <c r="V991" s="12">
        <f t="shared" si="548"/>
        <v>0</v>
      </c>
      <c r="W991" s="266">
        <f t="shared" si="549"/>
        <v>6165</v>
      </c>
      <c r="X991" s="266">
        <f t="shared" si="550"/>
        <v>0</v>
      </c>
      <c r="Y991" s="266">
        <f>'day2'!Y987</f>
        <v>6500</v>
      </c>
      <c r="Z991" s="266">
        <f t="shared" si="551"/>
        <v>6160</v>
      </c>
      <c r="AA991" s="12">
        <f t="shared" si="544"/>
        <v>0.5</v>
      </c>
      <c r="AB991" s="12">
        <f t="shared" si="544"/>
        <v>0.5</v>
      </c>
      <c r="AC991" s="12">
        <f t="shared" si="552"/>
        <v>0</v>
      </c>
      <c r="AD991" s="12">
        <f t="shared" si="477"/>
        <v>9</v>
      </c>
      <c r="AE991" s="12">
        <f t="shared" si="553"/>
        <v>0</v>
      </c>
      <c r="AF991" s="12">
        <f t="shared" si="554"/>
        <v>0</v>
      </c>
      <c r="AG991" s="12">
        <f t="shared" si="555"/>
        <v>0</v>
      </c>
      <c r="AH991" s="12">
        <f t="shared" si="556"/>
        <v>0</v>
      </c>
      <c r="AI991" s="12">
        <f t="shared" si="557"/>
        <v>0</v>
      </c>
      <c r="AJ991" s="12">
        <v>1</v>
      </c>
      <c r="AK991" s="12">
        <f t="shared" si="478"/>
        <v>0</v>
      </c>
      <c r="AL991" s="12">
        <f t="shared" si="558"/>
        <v>0</v>
      </c>
      <c r="AM991" s="12">
        <f t="shared" si="559"/>
        <v>0</v>
      </c>
      <c r="AN991" s="12">
        <f t="shared" si="560"/>
        <v>0</v>
      </c>
      <c r="AO991" s="12">
        <f t="shared" si="561"/>
        <v>0</v>
      </c>
      <c r="AP991" s="12">
        <f t="shared" si="479"/>
        <v>1</v>
      </c>
      <c r="AQ991" s="3" t="str">
        <f t="shared" si="480"/>
        <v>PTA807</v>
      </c>
      <c r="AR991" s="3" t="str">
        <f t="shared" si="562"/>
        <v>PTA80730</v>
      </c>
      <c r="AS991" s="6" t="str">
        <f t="shared" si="481"/>
        <v>9999</v>
      </c>
      <c r="AT991" s="6" t="str">
        <f t="shared" si="482"/>
        <v>CNY</v>
      </c>
      <c r="AU991" s="6" t="str">
        <f t="shared" si="483"/>
        <v>50010002</v>
      </c>
      <c r="AV991" s="142">
        <f>'day2'!M987+'day2'!N987</f>
        <v>0</v>
      </c>
      <c r="AW991" s="142">
        <f t="shared" si="450"/>
        <v>0</v>
      </c>
    </row>
    <row r="992" spans="1:49" s="6" customFormat="1" x14ac:dyDescent="0.25">
      <c r="A992" s="6" t="str">
        <f t="shared" si="545"/>
        <v>comment</v>
      </c>
      <c r="B992" s="140" t="str">
        <f>'day2'!B988</f>
        <v>2018032710000172</v>
      </c>
      <c r="C992" s="140" t="str">
        <f>'day2'!C988</f>
        <v>6001</v>
      </c>
      <c r="D992" s="140" t="str">
        <f>'day2'!D988</f>
        <v>B00102</v>
      </c>
      <c r="E992" s="140" t="str">
        <f>'day2'!E988</f>
        <v>6001</v>
      </c>
      <c r="F992" s="140">
        <f t="shared" ref="F992:F1006" si="563">$B$2</f>
        <v>20180328</v>
      </c>
      <c r="G992" s="140">
        <f>'day2'!G988</f>
        <v>20180327</v>
      </c>
      <c r="H992" s="140" t="str">
        <f>'day2'!H988</f>
        <v>CZCE</v>
      </c>
      <c r="I992" s="140" t="str">
        <f>'day2'!I988</f>
        <v>PTA807</v>
      </c>
      <c r="J992" s="268">
        <f>'day2'!J988</f>
        <v>1</v>
      </c>
      <c r="K992" s="268">
        <f>'day2'!K988</f>
        <v>3</v>
      </c>
      <c r="L992" s="268">
        <f>'day2'!L988</f>
        <v>1</v>
      </c>
      <c r="M992" s="268">
        <f t="shared" si="546"/>
        <v>0</v>
      </c>
      <c r="N992" s="268">
        <f t="shared" si="522"/>
        <v>0</v>
      </c>
      <c r="O992" s="6">
        <f t="shared" si="443"/>
        <v>0</v>
      </c>
      <c r="P992" s="12">
        <f t="shared" si="547"/>
        <v>0</v>
      </c>
      <c r="Q992" s="12">
        <f t="shared" ref="Q992:Q1006" si="564">IF(AK992=0, VLOOKUP(AR992,$F$53:$L$72,4,FALSE),VLOOKUP(AR992,$F$53:$L$72,4,FALSE)+VLOOKUP(AR992,$F$53:$L$72,6,FALSE) )</f>
        <v>5.0999999999999997E-2</v>
      </c>
      <c r="R992" s="12">
        <f t="shared" ref="R992:R1006" si="565">IF(AK992=0, VLOOKUP(AR992,$F$53:$L$72,5,FALSE),VLOOKUP(AR992,$F$53:$L$72,5,FALSE)+VLOOKUP(AR992,$F$53:$L$72,7,FALSE) )</f>
        <v>5.0999999999999996</v>
      </c>
      <c r="S992" s="12">
        <f t="shared" ref="S992:S1006" si="566">VLOOKUP(AR992,$F$53:$L$72,2,FALSE)</f>
        <v>4.1000000000000002E-2</v>
      </c>
      <c r="T992" s="12">
        <f t="shared" ref="T992:T1006" si="567">VLOOKUP(AR992,$F$53:$L$72,3,FALSE)</f>
        <v>4.0999999999999996</v>
      </c>
      <c r="U992" s="12">
        <f t="shared" ref="U992:U1006" si="568" xml:space="preserve"> VLOOKUP(I992,$C$19:$L$31,3,FALSE)</f>
        <v>5</v>
      </c>
      <c r="V992" s="12">
        <f t="shared" si="548"/>
        <v>0</v>
      </c>
      <c r="W992" s="266">
        <f t="shared" si="549"/>
        <v>6165</v>
      </c>
      <c r="X992" s="266">
        <f t="shared" si="550"/>
        <v>0</v>
      </c>
      <c r="Y992" s="266">
        <f>'day2'!Y988</f>
        <v>6500</v>
      </c>
      <c r="Z992" s="266">
        <f t="shared" si="551"/>
        <v>6160</v>
      </c>
      <c r="AA992" s="12">
        <f t="shared" si="544"/>
        <v>0.5</v>
      </c>
      <c r="AB992" s="12">
        <f t="shared" si="544"/>
        <v>0.5</v>
      </c>
      <c r="AC992" s="12">
        <f t="shared" si="552"/>
        <v>0</v>
      </c>
      <c r="AD992" s="12">
        <f t="shared" ref="AD992:AD1006" si="569" xml:space="preserve"> VLOOKUP(I992,$C$19:$L$31,6,FALSE)</f>
        <v>9</v>
      </c>
      <c r="AE992" s="12">
        <f t="shared" si="553"/>
        <v>0</v>
      </c>
      <c r="AF992" s="12">
        <f t="shared" si="554"/>
        <v>0</v>
      </c>
      <c r="AG992" s="12">
        <f t="shared" si="555"/>
        <v>0</v>
      </c>
      <c r="AH992" s="12">
        <f t="shared" si="556"/>
        <v>0</v>
      </c>
      <c r="AI992" s="12">
        <f t="shared" si="557"/>
        <v>0</v>
      </c>
      <c r="AJ992" s="12">
        <v>1</v>
      </c>
      <c r="AK992" s="12">
        <f t="shared" ref="AK992:AK1006" si="570" xml:space="preserve"> VLOOKUP(I992,$C$19:$L$31,10,FALSE)</f>
        <v>0</v>
      </c>
      <c r="AL992" s="12">
        <f t="shared" si="558"/>
        <v>0</v>
      </c>
      <c r="AM992" s="12">
        <f t="shared" si="559"/>
        <v>0</v>
      </c>
      <c r="AN992" s="12">
        <f t="shared" si="560"/>
        <v>0</v>
      </c>
      <c r="AO992" s="12">
        <f t="shared" si="561"/>
        <v>0</v>
      </c>
      <c r="AP992" s="12">
        <f t="shared" ref="AP992:AP1006" si="571" xml:space="preserve"> VLOOKUP(I992,$C$19:$L$31,9,FALSE)</f>
        <v>1</v>
      </c>
      <c r="AQ992" s="3" t="str">
        <f t="shared" ref="AQ992:AQ1006" si="572" xml:space="preserve"> VLOOKUP(I992,$C$19:$L$31,7,FALSE)</f>
        <v>PTA807</v>
      </c>
      <c r="AR992" s="3" t="str">
        <f t="shared" si="562"/>
        <v>PTA80711</v>
      </c>
      <c r="AS992" s="6" t="str">
        <f t="shared" ref="AS992:AS1006" si="573">$F$5</f>
        <v>9999</v>
      </c>
      <c r="AT992" s="6" t="str">
        <f t="shared" ref="AT992:AT1006" si="574">$D$9</f>
        <v>CNY</v>
      </c>
      <c r="AU992" s="6" t="str">
        <f t="shared" ref="AU992:AU1006" si="575">VLOOKUP(D992,$C$5:$G$6,5,FALSE)</f>
        <v>50010002</v>
      </c>
      <c r="AV992" s="142">
        <f>'day2'!M988+'day2'!N988</f>
        <v>0</v>
      </c>
      <c r="AW992" s="142">
        <f t="shared" si="450"/>
        <v>0</v>
      </c>
    </row>
    <row r="993" spans="1:49" s="6" customFormat="1" x14ac:dyDescent="0.25">
      <c r="A993" s="6" t="str">
        <f t="shared" si="545"/>
        <v>comment</v>
      </c>
      <c r="B993" s="140" t="str">
        <f>'day2'!B989</f>
        <v>2018032710000173</v>
      </c>
      <c r="C993" s="140" t="str">
        <f>'day2'!C989</f>
        <v>6001</v>
      </c>
      <c r="D993" s="140" t="str">
        <f>'day2'!D989</f>
        <v>B00102</v>
      </c>
      <c r="E993" s="140" t="str">
        <f>'day2'!E989</f>
        <v>6001</v>
      </c>
      <c r="F993" s="140">
        <f t="shared" si="563"/>
        <v>20180328</v>
      </c>
      <c r="G993" s="140">
        <f>'day2'!G989</f>
        <v>20180327</v>
      </c>
      <c r="H993" s="140" t="str">
        <f>'day2'!H989</f>
        <v>CZCE</v>
      </c>
      <c r="I993" s="140" t="str">
        <f>'day2'!I989</f>
        <v>PTA807</v>
      </c>
      <c r="J993" s="268">
        <f>'day2'!J989</f>
        <v>1</v>
      </c>
      <c r="K993" s="268">
        <f>'day2'!K989</f>
        <v>3</v>
      </c>
      <c r="L993" s="268">
        <f>'day2'!L989</f>
        <v>3</v>
      </c>
      <c r="M993" s="268">
        <f t="shared" si="546"/>
        <v>0</v>
      </c>
      <c r="N993" s="268">
        <f t="shared" si="522"/>
        <v>0</v>
      </c>
      <c r="O993" s="6">
        <f t="shared" si="443"/>
        <v>0</v>
      </c>
      <c r="P993" s="12">
        <f t="shared" si="547"/>
        <v>0</v>
      </c>
      <c r="Q993" s="12">
        <f t="shared" si="564"/>
        <v>5.2999999999999999E-2</v>
      </c>
      <c r="R993" s="12">
        <f t="shared" si="565"/>
        <v>5.3</v>
      </c>
      <c r="S993" s="12">
        <f t="shared" si="566"/>
        <v>4.2999999999999997E-2</v>
      </c>
      <c r="T993" s="12">
        <f t="shared" si="567"/>
        <v>4.3</v>
      </c>
      <c r="U993" s="12">
        <f t="shared" si="568"/>
        <v>5</v>
      </c>
      <c r="V993" s="12">
        <f t="shared" si="548"/>
        <v>0</v>
      </c>
      <c r="W993" s="266">
        <f t="shared" si="549"/>
        <v>6165</v>
      </c>
      <c r="X993" s="266">
        <f t="shared" si="550"/>
        <v>0</v>
      </c>
      <c r="Y993" s="266">
        <f>'day2'!Y989</f>
        <v>6500</v>
      </c>
      <c r="Z993" s="266">
        <f t="shared" si="551"/>
        <v>6160</v>
      </c>
      <c r="AA993" s="12">
        <f t="shared" si="544"/>
        <v>0.5</v>
      </c>
      <c r="AB993" s="12">
        <f t="shared" si="544"/>
        <v>0.5</v>
      </c>
      <c r="AC993" s="12">
        <f t="shared" si="552"/>
        <v>0</v>
      </c>
      <c r="AD993" s="12">
        <f t="shared" si="569"/>
        <v>9</v>
      </c>
      <c r="AE993" s="12">
        <f t="shared" si="553"/>
        <v>0</v>
      </c>
      <c r="AF993" s="12">
        <f t="shared" si="554"/>
        <v>0</v>
      </c>
      <c r="AG993" s="12">
        <f t="shared" si="555"/>
        <v>0</v>
      </c>
      <c r="AH993" s="12">
        <f t="shared" si="556"/>
        <v>0</v>
      </c>
      <c r="AI993" s="12">
        <f t="shared" si="557"/>
        <v>0</v>
      </c>
      <c r="AJ993" s="12">
        <v>1</v>
      </c>
      <c r="AK993" s="12">
        <f t="shared" si="570"/>
        <v>0</v>
      </c>
      <c r="AL993" s="12">
        <f t="shared" si="558"/>
        <v>0</v>
      </c>
      <c r="AM993" s="12">
        <f t="shared" si="559"/>
        <v>0</v>
      </c>
      <c r="AN993" s="12">
        <f t="shared" si="560"/>
        <v>0</v>
      </c>
      <c r="AO993" s="12">
        <f t="shared" si="561"/>
        <v>0</v>
      </c>
      <c r="AP993" s="12">
        <f t="shared" si="571"/>
        <v>1</v>
      </c>
      <c r="AQ993" s="3" t="str">
        <f t="shared" si="572"/>
        <v>PTA807</v>
      </c>
      <c r="AR993" s="3" t="str">
        <f t="shared" si="562"/>
        <v>PTA80731</v>
      </c>
      <c r="AS993" s="6" t="str">
        <f t="shared" si="573"/>
        <v>9999</v>
      </c>
      <c r="AT993" s="6" t="str">
        <f t="shared" si="574"/>
        <v>CNY</v>
      </c>
      <c r="AU993" s="6" t="str">
        <f t="shared" si="575"/>
        <v>50010002</v>
      </c>
      <c r="AV993" s="142">
        <f>'day2'!M989+'day2'!N989</f>
        <v>0</v>
      </c>
      <c r="AW993" s="142">
        <f t="shared" ref="AW993:AW1006" si="576">(M993+N993)*U993*Y993</f>
        <v>0</v>
      </c>
    </row>
    <row r="994" spans="1:49" s="6" customFormat="1" x14ac:dyDescent="0.25">
      <c r="A994" s="6" t="str">
        <f t="shared" si="545"/>
        <v/>
      </c>
      <c r="B994" s="140" t="str">
        <f>'day2'!B990</f>
        <v>2018032710000174</v>
      </c>
      <c r="C994" s="140" t="str">
        <f>'day2'!C990</f>
        <v>6001</v>
      </c>
      <c r="D994" s="140" t="str">
        <f>'day2'!D990</f>
        <v>B00102</v>
      </c>
      <c r="E994" s="140" t="str">
        <f>'day2'!E990</f>
        <v>6001</v>
      </c>
      <c r="F994" s="140">
        <f t="shared" si="563"/>
        <v>20180328</v>
      </c>
      <c r="G994" s="140">
        <f>'day2'!G990</f>
        <v>20180327</v>
      </c>
      <c r="H994" s="140" t="str">
        <f>'day2'!H990</f>
        <v>CZCE</v>
      </c>
      <c r="I994" s="140" t="str">
        <f>'day2'!I990</f>
        <v>PTA807</v>
      </c>
      <c r="J994" s="268">
        <f>'day2'!J990</f>
        <v>0</v>
      </c>
      <c r="K994" s="268">
        <f>'day2'!K990</f>
        <v>2</v>
      </c>
      <c r="L994" s="268">
        <f>'day2'!L990</f>
        <v>1</v>
      </c>
      <c r="M994" s="268">
        <f t="shared" si="546"/>
        <v>3</v>
      </c>
      <c r="N994" s="268">
        <f t="shared" si="522"/>
        <v>0</v>
      </c>
      <c r="O994" s="6">
        <f t="shared" si="443"/>
        <v>0</v>
      </c>
      <c r="P994" s="12">
        <f t="shared" si="547"/>
        <v>0</v>
      </c>
      <c r="Q994" s="12">
        <f t="shared" si="564"/>
        <v>0.05</v>
      </c>
      <c r="R994" s="12">
        <f t="shared" si="565"/>
        <v>5</v>
      </c>
      <c r="S994" s="12">
        <f t="shared" si="566"/>
        <v>0.04</v>
      </c>
      <c r="T994" s="12">
        <f t="shared" si="567"/>
        <v>4</v>
      </c>
      <c r="U994" s="12">
        <f t="shared" si="568"/>
        <v>5</v>
      </c>
      <c r="V994" s="12">
        <f t="shared" si="548"/>
        <v>0</v>
      </c>
      <c r="W994" s="266">
        <f t="shared" si="549"/>
        <v>6165</v>
      </c>
      <c r="X994" s="266">
        <f t="shared" si="550"/>
        <v>0</v>
      </c>
      <c r="Y994" s="266">
        <f>'day2'!Y990</f>
        <v>6200</v>
      </c>
      <c r="Z994" s="266">
        <f t="shared" si="551"/>
        <v>6160</v>
      </c>
      <c r="AA994" s="12">
        <f t="shared" si="544"/>
        <v>0.5</v>
      </c>
      <c r="AB994" s="12">
        <f t="shared" si="544"/>
        <v>0.5</v>
      </c>
      <c r="AC994" s="12">
        <f t="shared" si="552"/>
        <v>0</v>
      </c>
      <c r="AD994" s="12">
        <f t="shared" si="569"/>
        <v>9</v>
      </c>
      <c r="AE994" s="12">
        <f t="shared" si="553"/>
        <v>4638.75</v>
      </c>
      <c r="AF994" s="12">
        <f t="shared" si="554"/>
        <v>3711</v>
      </c>
      <c r="AG994" s="12">
        <f t="shared" si="555"/>
        <v>0</v>
      </c>
      <c r="AH994" s="12">
        <f t="shared" si="556"/>
        <v>0</v>
      </c>
      <c r="AI994" s="12">
        <f t="shared" si="557"/>
        <v>0</v>
      </c>
      <c r="AJ994" s="12">
        <v>1</v>
      </c>
      <c r="AK994" s="12">
        <f t="shared" si="570"/>
        <v>0</v>
      </c>
      <c r="AL994" s="12">
        <f t="shared" si="558"/>
        <v>75</v>
      </c>
      <c r="AM994" s="12">
        <f t="shared" si="559"/>
        <v>-525</v>
      </c>
      <c r="AN994" s="12">
        <f t="shared" si="560"/>
        <v>0</v>
      </c>
      <c r="AO994" s="12">
        <f t="shared" si="561"/>
        <v>0</v>
      </c>
      <c r="AP994" s="12">
        <f t="shared" si="571"/>
        <v>1</v>
      </c>
      <c r="AQ994" s="3" t="str">
        <f t="shared" si="572"/>
        <v>PTA807</v>
      </c>
      <c r="AR994" s="3" t="str">
        <f t="shared" si="562"/>
        <v>PTA80710</v>
      </c>
      <c r="AS994" s="6" t="str">
        <f t="shared" si="573"/>
        <v>9999</v>
      </c>
      <c r="AT994" s="6" t="str">
        <f t="shared" si="574"/>
        <v>CNY</v>
      </c>
      <c r="AU994" s="6" t="str">
        <f t="shared" si="575"/>
        <v>50010002</v>
      </c>
      <c r="AV994" s="142">
        <f>'day2'!M990+'day2'!N990</f>
        <v>3</v>
      </c>
      <c r="AW994" s="142">
        <f t="shared" si="576"/>
        <v>93000</v>
      </c>
    </row>
    <row r="995" spans="1:49" s="6" customFormat="1" x14ac:dyDescent="0.25">
      <c r="A995" s="6" t="str">
        <f t="shared" si="545"/>
        <v>comment</v>
      </c>
      <c r="B995" s="140" t="str">
        <f>'day2'!B991</f>
        <v>2018032710000175</v>
      </c>
      <c r="C995" s="140" t="str">
        <f>'day2'!C991</f>
        <v>6001</v>
      </c>
      <c r="D995" s="140" t="str">
        <f>'day2'!D991</f>
        <v>B00102</v>
      </c>
      <c r="E995" s="140" t="str">
        <f>'day2'!E991</f>
        <v>6001</v>
      </c>
      <c r="F995" s="140">
        <f t="shared" si="563"/>
        <v>20180328</v>
      </c>
      <c r="G995" s="140">
        <f>'day2'!G991</f>
        <v>20180327</v>
      </c>
      <c r="H995" s="140" t="str">
        <f>'day2'!H991</f>
        <v>CZCE</v>
      </c>
      <c r="I995" s="140" t="str">
        <f>'day2'!I991</f>
        <v>PTA807</v>
      </c>
      <c r="J995" s="268">
        <f>'day2'!J991</f>
        <v>0</v>
      </c>
      <c r="K995" s="268">
        <f>'day2'!K991</f>
        <v>2</v>
      </c>
      <c r="L995" s="268">
        <f>'day2'!L991</f>
        <v>3</v>
      </c>
      <c r="M995" s="268">
        <f t="shared" si="546"/>
        <v>0</v>
      </c>
      <c r="N995" s="268">
        <f t="shared" si="522"/>
        <v>0</v>
      </c>
      <c r="O995" s="6">
        <f t="shared" si="443"/>
        <v>0</v>
      </c>
      <c r="P995" s="12">
        <f t="shared" si="547"/>
        <v>0</v>
      </c>
      <c r="Q995" s="12">
        <f t="shared" si="564"/>
        <v>5.1999999999999998E-2</v>
      </c>
      <c r="R995" s="12">
        <f t="shared" si="565"/>
        <v>5.2</v>
      </c>
      <c r="S995" s="12">
        <f t="shared" si="566"/>
        <v>4.2000000000000003E-2</v>
      </c>
      <c r="T995" s="12">
        <f t="shared" si="567"/>
        <v>4.2</v>
      </c>
      <c r="U995" s="12">
        <f t="shared" si="568"/>
        <v>5</v>
      </c>
      <c r="V995" s="12">
        <f t="shared" si="548"/>
        <v>0</v>
      </c>
      <c r="W995" s="266">
        <f t="shared" si="549"/>
        <v>6165</v>
      </c>
      <c r="X995" s="266">
        <f t="shared" si="550"/>
        <v>0</v>
      </c>
      <c r="Y995" s="266">
        <f>'day2'!Y991</f>
        <v>6200</v>
      </c>
      <c r="Z995" s="266">
        <f t="shared" si="551"/>
        <v>6160</v>
      </c>
      <c r="AA995" s="12">
        <f t="shared" si="544"/>
        <v>0.5</v>
      </c>
      <c r="AB995" s="12">
        <f t="shared" si="544"/>
        <v>0.5</v>
      </c>
      <c r="AC995" s="12">
        <f t="shared" si="552"/>
        <v>0</v>
      </c>
      <c r="AD995" s="12">
        <f t="shared" si="569"/>
        <v>9</v>
      </c>
      <c r="AE995" s="12">
        <f t="shared" si="553"/>
        <v>0</v>
      </c>
      <c r="AF995" s="12">
        <f t="shared" si="554"/>
        <v>0</v>
      </c>
      <c r="AG995" s="12">
        <f t="shared" si="555"/>
        <v>0</v>
      </c>
      <c r="AH995" s="12">
        <f t="shared" si="556"/>
        <v>0</v>
      </c>
      <c r="AI995" s="12">
        <f t="shared" si="557"/>
        <v>0</v>
      </c>
      <c r="AJ995" s="12">
        <v>1</v>
      </c>
      <c r="AK995" s="12">
        <f t="shared" si="570"/>
        <v>0</v>
      </c>
      <c r="AL995" s="12">
        <f t="shared" si="558"/>
        <v>0</v>
      </c>
      <c r="AM995" s="12">
        <f t="shared" si="559"/>
        <v>0</v>
      </c>
      <c r="AN995" s="12">
        <f t="shared" si="560"/>
        <v>0</v>
      </c>
      <c r="AO995" s="12">
        <f t="shared" si="561"/>
        <v>0</v>
      </c>
      <c r="AP995" s="12">
        <f t="shared" si="571"/>
        <v>1</v>
      </c>
      <c r="AQ995" s="3" t="str">
        <f t="shared" si="572"/>
        <v>PTA807</v>
      </c>
      <c r="AR995" s="3" t="str">
        <f t="shared" si="562"/>
        <v>PTA80730</v>
      </c>
      <c r="AS995" s="6" t="str">
        <f t="shared" si="573"/>
        <v>9999</v>
      </c>
      <c r="AT995" s="6" t="str">
        <f t="shared" si="574"/>
        <v>CNY</v>
      </c>
      <c r="AU995" s="6" t="str">
        <f t="shared" si="575"/>
        <v>50010002</v>
      </c>
      <c r="AV995" s="142">
        <f>'day2'!M991+'day2'!N991</f>
        <v>0</v>
      </c>
      <c r="AW995" s="142">
        <f t="shared" si="576"/>
        <v>0</v>
      </c>
    </row>
    <row r="996" spans="1:49" s="6" customFormat="1" x14ac:dyDescent="0.25">
      <c r="A996" s="6" t="str">
        <f t="shared" si="545"/>
        <v/>
      </c>
      <c r="B996" s="140" t="str">
        <f>'day2'!B992</f>
        <v>2018032710000176</v>
      </c>
      <c r="C996" s="140" t="str">
        <f>'day2'!C992</f>
        <v>6001</v>
      </c>
      <c r="D996" s="140" t="str">
        <f>'day2'!D992</f>
        <v>B00102</v>
      </c>
      <c r="E996" s="140" t="str">
        <f>'day2'!E992</f>
        <v>6001</v>
      </c>
      <c r="F996" s="140">
        <f t="shared" si="563"/>
        <v>20180328</v>
      </c>
      <c r="G996" s="140">
        <f>'day2'!G992</f>
        <v>20180327</v>
      </c>
      <c r="H996" s="140" t="str">
        <f>'day2'!H992</f>
        <v>CZCE</v>
      </c>
      <c r="I996" s="140" t="str">
        <f>'day2'!I992</f>
        <v>PTA807</v>
      </c>
      <c r="J996" s="268">
        <f>'day2'!J992</f>
        <v>1</v>
      </c>
      <c r="K996" s="268">
        <f>'day2'!K992</f>
        <v>3</v>
      </c>
      <c r="L996" s="268">
        <f>'day2'!L992</f>
        <v>1</v>
      </c>
      <c r="M996" s="268">
        <f t="shared" si="546"/>
        <v>1</v>
      </c>
      <c r="N996" s="268">
        <f t="shared" si="522"/>
        <v>0</v>
      </c>
      <c r="O996" s="6">
        <f t="shared" si="443"/>
        <v>0</v>
      </c>
      <c r="P996" s="12">
        <f t="shared" si="547"/>
        <v>0</v>
      </c>
      <c r="Q996" s="12">
        <f t="shared" si="564"/>
        <v>5.0999999999999997E-2</v>
      </c>
      <c r="R996" s="12">
        <f t="shared" si="565"/>
        <v>5.0999999999999996</v>
      </c>
      <c r="S996" s="12">
        <f t="shared" si="566"/>
        <v>4.1000000000000002E-2</v>
      </c>
      <c r="T996" s="12">
        <f t="shared" si="567"/>
        <v>4.0999999999999996</v>
      </c>
      <c r="U996" s="12">
        <f t="shared" si="568"/>
        <v>5</v>
      </c>
      <c r="V996" s="12">
        <f t="shared" si="548"/>
        <v>0</v>
      </c>
      <c r="W996" s="266">
        <f t="shared" si="549"/>
        <v>6165</v>
      </c>
      <c r="X996" s="266">
        <f t="shared" si="550"/>
        <v>0</v>
      </c>
      <c r="Y996" s="266">
        <f>'day2'!Y992</f>
        <v>6200</v>
      </c>
      <c r="Z996" s="266">
        <f t="shared" si="551"/>
        <v>6160</v>
      </c>
      <c r="AA996" s="12">
        <f t="shared" si="544"/>
        <v>0.5</v>
      </c>
      <c r="AB996" s="12">
        <f t="shared" si="544"/>
        <v>0.5</v>
      </c>
      <c r="AC996" s="12">
        <f t="shared" si="552"/>
        <v>0</v>
      </c>
      <c r="AD996" s="12">
        <f t="shared" si="569"/>
        <v>9</v>
      </c>
      <c r="AE996" s="12">
        <f t="shared" si="553"/>
        <v>1577.18</v>
      </c>
      <c r="AF996" s="12">
        <f t="shared" si="554"/>
        <v>1267.93</v>
      </c>
      <c r="AG996" s="12">
        <f t="shared" si="555"/>
        <v>0</v>
      </c>
      <c r="AH996" s="12">
        <f t="shared" si="556"/>
        <v>0</v>
      </c>
      <c r="AI996" s="12">
        <f t="shared" si="557"/>
        <v>0</v>
      </c>
      <c r="AJ996" s="12">
        <v>1</v>
      </c>
      <c r="AK996" s="12">
        <f t="shared" si="570"/>
        <v>0</v>
      </c>
      <c r="AL996" s="12">
        <f t="shared" si="558"/>
        <v>-25</v>
      </c>
      <c r="AM996" s="12">
        <f t="shared" si="559"/>
        <v>175</v>
      </c>
      <c r="AN996" s="12">
        <f t="shared" si="560"/>
        <v>0</v>
      </c>
      <c r="AO996" s="12">
        <f t="shared" si="561"/>
        <v>0</v>
      </c>
      <c r="AP996" s="12">
        <f t="shared" si="571"/>
        <v>1</v>
      </c>
      <c r="AQ996" s="3" t="str">
        <f t="shared" si="572"/>
        <v>PTA807</v>
      </c>
      <c r="AR996" s="3" t="str">
        <f t="shared" si="562"/>
        <v>PTA80711</v>
      </c>
      <c r="AS996" s="6" t="str">
        <f t="shared" si="573"/>
        <v>9999</v>
      </c>
      <c r="AT996" s="6" t="str">
        <f t="shared" si="574"/>
        <v>CNY</v>
      </c>
      <c r="AU996" s="6" t="str">
        <f t="shared" si="575"/>
        <v>50010002</v>
      </c>
      <c r="AV996" s="142">
        <f>'day2'!M992+'day2'!N992</f>
        <v>1</v>
      </c>
      <c r="AW996" s="142">
        <f t="shared" si="576"/>
        <v>31000</v>
      </c>
    </row>
    <row r="997" spans="1:49" s="6" customFormat="1" x14ac:dyDescent="0.25">
      <c r="A997" s="6" t="str">
        <f t="shared" si="545"/>
        <v>comment</v>
      </c>
      <c r="B997" s="140" t="str">
        <f>'day2'!B993</f>
        <v>2018032710000177</v>
      </c>
      <c r="C997" s="140" t="str">
        <f>'day2'!C993</f>
        <v>6001</v>
      </c>
      <c r="D997" s="140" t="str">
        <f>'day2'!D993</f>
        <v>B00102</v>
      </c>
      <c r="E997" s="140" t="str">
        <f>'day2'!E993</f>
        <v>6001</v>
      </c>
      <c r="F997" s="140">
        <f t="shared" si="563"/>
        <v>20180328</v>
      </c>
      <c r="G997" s="140">
        <f>'day2'!G993</f>
        <v>20180327</v>
      </c>
      <c r="H997" s="140" t="str">
        <f>'day2'!H993</f>
        <v>CZCE</v>
      </c>
      <c r="I997" s="140" t="str">
        <f>'day2'!I993</f>
        <v>PTA807</v>
      </c>
      <c r="J997" s="268">
        <f>'day2'!J993</f>
        <v>1</v>
      </c>
      <c r="K997" s="268">
        <f>'day2'!K993</f>
        <v>3</v>
      </c>
      <c r="L997" s="268">
        <f>'day2'!L993</f>
        <v>3</v>
      </c>
      <c r="M997" s="268">
        <f t="shared" si="546"/>
        <v>0</v>
      </c>
      <c r="N997" s="268">
        <f t="shared" si="522"/>
        <v>0</v>
      </c>
      <c r="O997" s="6">
        <f t="shared" si="443"/>
        <v>0</v>
      </c>
      <c r="P997" s="12">
        <f t="shared" si="547"/>
        <v>0</v>
      </c>
      <c r="Q997" s="12">
        <f t="shared" si="564"/>
        <v>5.2999999999999999E-2</v>
      </c>
      <c r="R997" s="12">
        <f t="shared" si="565"/>
        <v>5.3</v>
      </c>
      <c r="S997" s="12">
        <f t="shared" si="566"/>
        <v>4.2999999999999997E-2</v>
      </c>
      <c r="T997" s="12">
        <f t="shared" si="567"/>
        <v>4.3</v>
      </c>
      <c r="U997" s="12">
        <f t="shared" si="568"/>
        <v>5</v>
      </c>
      <c r="V997" s="12">
        <f t="shared" si="548"/>
        <v>0</v>
      </c>
      <c r="W997" s="266">
        <f t="shared" si="549"/>
        <v>6165</v>
      </c>
      <c r="X997" s="266">
        <f t="shared" si="550"/>
        <v>0</v>
      </c>
      <c r="Y997" s="266">
        <f>'day2'!Y993</f>
        <v>6200</v>
      </c>
      <c r="Z997" s="266">
        <f t="shared" si="551"/>
        <v>6160</v>
      </c>
      <c r="AA997" s="12">
        <f t="shared" si="544"/>
        <v>0.5</v>
      </c>
      <c r="AB997" s="12">
        <f t="shared" si="544"/>
        <v>0.5</v>
      </c>
      <c r="AC997" s="12">
        <f t="shared" si="552"/>
        <v>0</v>
      </c>
      <c r="AD997" s="12">
        <f t="shared" si="569"/>
        <v>9</v>
      </c>
      <c r="AE997" s="12">
        <f t="shared" si="553"/>
        <v>0</v>
      </c>
      <c r="AF997" s="12">
        <f t="shared" si="554"/>
        <v>0</v>
      </c>
      <c r="AG997" s="12">
        <f t="shared" si="555"/>
        <v>0</v>
      </c>
      <c r="AH997" s="12">
        <f t="shared" si="556"/>
        <v>0</v>
      </c>
      <c r="AI997" s="12">
        <f t="shared" si="557"/>
        <v>0</v>
      </c>
      <c r="AJ997" s="12">
        <v>1</v>
      </c>
      <c r="AK997" s="12">
        <f t="shared" si="570"/>
        <v>0</v>
      </c>
      <c r="AL997" s="12">
        <f t="shared" si="558"/>
        <v>0</v>
      </c>
      <c r="AM997" s="12">
        <f t="shared" si="559"/>
        <v>0</v>
      </c>
      <c r="AN997" s="12">
        <f t="shared" si="560"/>
        <v>0</v>
      </c>
      <c r="AO997" s="12">
        <f t="shared" si="561"/>
        <v>0</v>
      </c>
      <c r="AP997" s="12">
        <f t="shared" si="571"/>
        <v>1</v>
      </c>
      <c r="AQ997" s="3" t="str">
        <f t="shared" si="572"/>
        <v>PTA807</v>
      </c>
      <c r="AR997" s="3" t="str">
        <f t="shared" si="562"/>
        <v>PTA80731</v>
      </c>
      <c r="AS997" s="6" t="str">
        <f t="shared" si="573"/>
        <v>9999</v>
      </c>
      <c r="AT997" s="6" t="str">
        <f t="shared" si="574"/>
        <v>CNY</v>
      </c>
      <c r="AU997" s="6" t="str">
        <f t="shared" si="575"/>
        <v>50010002</v>
      </c>
      <c r="AV997" s="142">
        <f>'day2'!M993+'day2'!N993</f>
        <v>0</v>
      </c>
      <c r="AW997" s="142">
        <f t="shared" si="576"/>
        <v>0</v>
      </c>
    </row>
    <row r="998" spans="1:49" s="6" customFormat="1" x14ac:dyDescent="0.25">
      <c r="A998" s="6" t="str">
        <f t="shared" si="545"/>
        <v/>
      </c>
      <c r="B998" s="140" t="str">
        <f>'day2'!B994</f>
        <v>2018032710000178</v>
      </c>
      <c r="C998" s="140" t="str">
        <f>'day2'!C994</f>
        <v>6001</v>
      </c>
      <c r="D998" s="140" t="str">
        <f>'day2'!D994</f>
        <v>B00101</v>
      </c>
      <c r="E998" s="140" t="str">
        <f>'day2'!E994</f>
        <v>6001</v>
      </c>
      <c r="F998" s="140">
        <f t="shared" si="563"/>
        <v>20180328</v>
      </c>
      <c r="G998" s="140">
        <f>'day2'!G994</f>
        <v>20180327</v>
      </c>
      <c r="H998" s="140" t="str">
        <f>'day2'!H994</f>
        <v>CZCE</v>
      </c>
      <c r="I998" s="140" t="str">
        <f>'day2'!I994</f>
        <v>SR809</v>
      </c>
      <c r="J998" s="268">
        <f>'day2'!J994</f>
        <v>1</v>
      </c>
      <c r="K998" s="268">
        <f>'day2'!K994</f>
        <v>3</v>
      </c>
      <c r="L998" s="268">
        <f>'day2'!L994</f>
        <v>1</v>
      </c>
      <c r="M998" s="268">
        <f t="shared" si="546"/>
        <v>2</v>
      </c>
      <c r="N998" s="268">
        <f t="shared" ref="N998" si="577">SUMPRODUCT(($E$880:$E$919=B998)*($F$880:$F$919=C998)*($G$880:$G$919=D998)*($I$880:$I$919=I998)*($J$880:$J$919=L998)*($L$880:$L$919=J998)*($N$880:$N$919))</f>
        <v>0</v>
      </c>
      <c r="O998" s="6">
        <f t="shared" si="443"/>
        <v>0</v>
      </c>
      <c r="P998" s="12">
        <f t="shared" ref="P998" si="578">IF(AK998=0,0,(M998+N998)*U998*W998)</f>
        <v>0</v>
      </c>
      <c r="Q998" s="12">
        <f t="shared" ref="Q998" si="579">IF(AK998=0, VLOOKUP(AR998,$F$53:$L$72,4,FALSE),VLOOKUP(AR998,$F$53:$L$72,4,FALSE)+VLOOKUP(AR998,$F$53:$L$72,6,FALSE) )</f>
        <v>5.0999999999999997E-2</v>
      </c>
      <c r="R998" s="12">
        <f t="shared" ref="R998" si="580">IF(AK998=0, VLOOKUP(AR998,$F$53:$L$72,5,FALSE),VLOOKUP(AR998,$F$53:$L$72,5,FALSE)+VLOOKUP(AR998,$F$53:$L$72,7,FALSE) )</f>
        <v>5.0999999999999996</v>
      </c>
      <c r="S998" s="12">
        <f t="shared" ref="S998" si="581">VLOOKUP(AR998,$F$53:$L$72,2,FALSE)</f>
        <v>4.1000000000000002E-2</v>
      </c>
      <c r="T998" s="12">
        <f t="shared" ref="T998" si="582">VLOOKUP(AR998,$F$53:$L$72,3,FALSE)</f>
        <v>4.0999999999999996</v>
      </c>
      <c r="U998" s="12">
        <f t="shared" ref="U998" si="583" xml:space="preserve"> VLOOKUP(I998,$C$19:$L$31,3,FALSE)</f>
        <v>10</v>
      </c>
      <c r="V998" s="12">
        <f t="shared" si="548"/>
        <v>0</v>
      </c>
      <c r="W998" s="266">
        <f t="shared" si="549"/>
        <v>6160</v>
      </c>
      <c r="X998" s="266">
        <f t="shared" si="550"/>
        <v>0</v>
      </c>
      <c r="Y998" s="266">
        <f>'day2'!Y994</f>
        <v>6600</v>
      </c>
      <c r="Z998" s="266">
        <f t="shared" si="551"/>
        <v>6156</v>
      </c>
      <c r="AA998" s="12">
        <f t="shared" si="544"/>
        <v>0.5</v>
      </c>
      <c r="AB998" s="12">
        <f t="shared" si="544"/>
        <v>0.5</v>
      </c>
      <c r="AC998" s="12">
        <f t="shared" ref="AC998" si="584">IF(AD998=0,MAX((V998-X998)*U998,0),MAX((X998-V998)*U998,0))</f>
        <v>0</v>
      </c>
      <c r="AD998" s="12">
        <f t="shared" ref="AD998" si="585" xml:space="preserve"> VLOOKUP(I998,$C$19:$L$31,6,FALSE)</f>
        <v>9</v>
      </c>
      <c r="AE998" s="12">
        <f t="shared" ref="AE998" si="586">ROUND(IF(AK998=0,Q998*U998*W998*M998+R998*M998,IF(J998=0,0,MAX(AI998+(Q998*U998*X998+R998)*AJ998-AC998*AA998,AI998+(Q998*U998*X998+R998)*AB998)*M998)),2)</f>
        <v>6293.4</v>
      </c>
      <c r="AF998" s="12">
        <f t="shared" ref="AF998" si="587">ROUND(IF(AK998=0,S998*U998*W998*M998+T998*M998,IF(J998=0,0,MAX(AI998+(S998*U998*X998+T998)*AJ998-AC998*AA998,AI998+(S998*U998*X998+T998)*AB998)*M998)),2)</f>
        <v>5059.3999999999996</v>
      </c>
      <c r="AG998" s="12">
        <f t="shared" ref="AG998" si="588">ROUND(IF(AK998=0,Q998*U998*W998*N998+R998*N998,IF(J998=0,0,MAX(AI998+(Q998*U998*X998+R998)*AJ998-AC998*AA998,AI998+(Q998*U998*X998+R998)*AB998)*N998)),2)</f>
        <v>0</v>
      </c>
      <c r="AH998" s="12">
        <f t="shared" ref="AH998" si="589">ROUND(IF(AK998=0,S998*U998*W998*N998+T998*N998,IF(J998=0,0,MAX(AI998+(S998*U998*X998+T998)*AJ998-AC998*AA998,AI998+(S998*U998*X998+T998)*AB998)*N998)),2)</f>
        <v>0</v>
      </c>
      <c r="AI998" s="12">
        <f t="shared" ref="AI998" si="590">IF(AK998=1,1*U998*W998,0)</f>
        <v>0</v>
      </c>
      <c r="AJ998" s="12">
        <v>1</v>
      </c>
      <c r="AK998" s="12">
        <f t="shared" ref="AK998" si="591" xml:space="preserve"> VLOOKUP(I998,$C$19:$L$31,10,FALSE)</f>
        <v>0</v>
      </c>
      <c r="AL998" s="12">
        <f t="shared" ref="AL998" si="592">IF(AK998=0,IF(F998=G998,IF(J998=0,(W998-Y998)*U998*M998,-(W998-Y998)*U998*M998),IF(J998=0,(W998-Z998)*U998*M998,-(W998-Z998)*U998*M998)),0)</f>
        <v>-80</v>
      </c>
      <c r="AM998" s="12">
        <f t="shared" ref="AM998" si="593">IF(AK998=0,IF(J998=0,(W998-Y998)*U998*M998,-(W998-Y998)*U998*M998),0)</f>
        <v>8800</v>
      </c>
      <c r="AN998" s="12">
        <f t="shared" ref="AN998" si="594">IF(AK998=0,IF(F998=G998,IF(J998=0,(W998-Y998)*U998*N998,-(W998-Y998)*U998*N998),IF(J998=0,(W998-Z998)*U998*N998,-(W998-Z998)*U998*N998)),0)</f>
        <v>0</v>
      </c>
      <c r="AO998" s="12">
        <f t="shared" ref="AO998" si="595">IF(AK998=0,IF(J998=0,(W998-Y998)*U998*N998,-(W998-Y998)*U998*N998),0)</f>
        <v>0</v>
      </c>
      <c r="AP998" s="12">
        <f t="shared" ref="AP998" si="596" xml:space="preserve"> VLOOKUP(I998,$C$19:$L$31,9,FALSE)</f>
        <v>0</v>
      </c>
      <c r="AQ998" s="3" t="str">
        <f t="shared" ref="AQ998" si="597" xml:space="preserve"> VLOOKUP(I998,$C$19:$L$31,7,FALSE)</f>
        <v>SR809</v>
      </c>
      <c r="AR998" s="3" t="str">
        <f t="shared" ref="AR998" si="598">IF(AK998=0,AQ998&amp;L998&amp;J998,IF(AD998=0,AQ998&amp;L998&amp;1,AQ998&amp;L998&amp;0))</f>
        <v>SR80911</v>
      </c>
      <c r="AS998" s="6" t="str">
        <f t="shared" si="573"/>
        <v>9999</v>
      </c>
      <c r="AT998" s="6" t="str">
        <f t="shared" si="574"/>
        <v>CNY</v>
      </c>
      <c r="AU998" s="6" t="str">
        <f t="shared" ref="AU998" si="599">VLOOKUP(D998,$C$5:$G$6,5,FALSE)</f>
        <v>50010001</v>
      </c>
      <c r="AV998" s="229">
        <f>'day2'!M994+'day2'!N994</f>
        <v>2</v>
      </c>
      <c r="AW998" s="229">
        <f t="shared" ref="AW998" si="600">(M998+N998)*U998*Y998</f>
        <v>132000</v>
      </c>
    </row>
    <row r="999" spans="1:49" s="6" customFormat="1" x14ac:dyDescent="0.25">
      <c r="A999" s="6" t="str">
        <f t="shared" si="545"/>
        <v>comment</v>
      </c>
      <c r="B999" s="140" t="str">
        <f>'day2'!B995</f>
        <v>2018032710000182</v>
      </c>
      <c r="C999" s="140" t="str">
        <f>'day2'!C995</f>
        <v>6001</v>
      </c>
      <c r="D999" s="140" t="str">
        <f>'day2'!D995</f>
        <v>B00102</v>
      </c>
      <c r="E999" s="140" t="str">
        <f>'day2'!E995</f>
        <v>6001</v>
      </c>
      <c r="F999" s="140">
        <f t="shared" si="563"/>
        <v>20180328</v>
      </c>
      <c r="G999" s="140">
        <f>'day2'!G995</f>
        <v>20180327</v>
      </c>
      <c r="H999" s="140" t="str">
        <f>'day2'!H995</f>
        <v>CZCE</v>
      </c>
      <c r="I999" s="140" t="str">
        <f>'day2'!I995</f>
        <v>PTA807C6500</v>
      </c>
      <c r="J999" s="268">
        <f>'day2'!J995</f>
        <v>0</v>
      </c>
      <c r="K999" s="268">
        <f>'day2'!K995</f>
        <v>2</v>
      </c>
      <c r="L999" s="268">
        <f>'day2'!L995</f>
        <v>1</v>
      </c>
      <c r="M999" s="268">
        <f t="shared" si="546"/>
        <v>0</v>
      </c>
      <c r="N999" s="268">
        <f t="shared" si="522"/>
        <v>0</v>
      </c>
      <c r="O999" s="6">
        <f t="shared" si="443"/>
        <v>0</v>
      </c>
      <c r="P999" s="12">
        <f t="shared" si="547"/>
        <v>0</v>
      </c>
      <c r="Q999" s="12">
        <f t="shared" si="564"/>
        <v>6.2E-2</v>
      </c>
      <c r="R999" s="12">
        <f t="shared" si="565"/>
        <v>6.21</v>
      </c>
      <c r="S999" s="12">
        <f t="shared" si="566"/>
        <v>4.1000000000000002E-2</v>
      </c>
      <c r="T999" s="12">
        <f t="shared" si="567"/>
        <v>4.0999999999999996</v>
      </c>
      <c r="U999" s="12">
        <f t="shared" si="568"/>
        <v>5</v>
      </c>
      <c r="V999" s="12">
        <f t="shared" si="548"/>
        <v>6165</v>
      </c>
      <c r="W999" s="266">
        <f t="shared" si="549"/>
        <v>580</v>
      </c>
      <c r="X999" s="266">
        <f t="shared" si="550"/>
        <v>0</v>
      </c>
      <c r="Y999" s="266">
        <f>'day2'!Y995</f>
        <v>602</v>
      </c>
      <c r="Z999" s="266">
        <f t="shared" si="551"/>
        <v>580</v>
      </c>
      <c r="AA999" s="12">
        <f t="shared" si="544"/>
        <v>0.5</v>
      </c>
      <c r="AB999" s="12">
        <f t="shared" si="544"/>
        <v>0.5</v>
      </c>
      <c r="AC999" s="12">
        <f t="shared" si="552"/>
        <v>30825</v>
      </c>
      <c r="AD999" s="12">
        <f t="shared" si="569"/>
        <v>0</v>
      </c>
      <c r="AE999" s="12">
        <f t="shared" si="553"/>
        <v>0</v>
      </c>
      <c r="AF999" s="12">
        <f t="shared" si="554"/>
        <v>0</v>
      </c>
      <c r="AG999" s="12">
        <f t="shared" si="555"/>
        <v>0</v>
      </c>
      <c r="AH999" s="12">
        <f t="shared" si="556"/>
        <v>0</v>
      </c>
      <c r="AI999" s="12">
        <f t="shared" si="557"/>
        <v>2900</v>
      </c>
      <c r="AJ999" s="12">
        <v>1</v>
      </c>
      <c r="AK999" s="12">
        <f t="shared" si="570"/>
        <v>1</v>
      </c>
      <c r="AL999" s="12">
        <f t="shared" si="558"/>
        <v>0</v>
      </c>
      <c r="AM999" s="12">
        <f t="shared" si="559"/>
        <v>0</v>
      </c>
      <c r="AN999" s="12">
        <f t="shared" si="560"/>
        <v>0</v>
      </c>
      <c r="AO999" s="12">
        <f t="shared" si="561"/>
        <v>0</v>
      </c>
      <c r="AP999" s="12">
        <f t="shared" si="571"/>
        <v>0</v>
      </c>
      <c r="AQ999" s="3" t="str">
        <f t="shared" si="572"/>
        <v>PTA807</v>
      </c>
      <c r="AR999" s="3" t="str">
        <f t="shared" si="562"/>
        <v>PTA80711</v>
      </c>
      <c r="AS999" s="6" t="str">
        <f t="shared" si="573"/>
        <v>9999</v>
      </c>
      <c r="AT999" s="6" t="str">
        <f t="shared" si="574"/>
        <v>CNY</v>
      </c>
      <c r="AU999" s="6" t="str">
        <f t="shared" si="575"/>
        <v>50010002</v>
      </c>
      <c r="AV999" s="142">
        <f>'day2'!M995+'day2'!N995</f>
        <v>0</v>
      </c>
      <c r="AW999" s="142">
        <f t="shared" si="576"/>
        <v>0</v>
      </c>
    </row>
    <row r="1000" spans="1:49" s="6" customFormat="1" x14ac:dyDescent="0.25">
      <c r="A1000" s="6" t="str">
        <f t="shared" si="545"/>
        <v>comment</v>
      </c>
      <c r="B1000" s="140" t="str">
        <f>'day2'!B996</f>
        <v>2018032710000183</v>
      </c>
      <c r="C1000" s="140" t="str">
        <f>'day2'!C996</f>
        <v>6001</v>
      </c>
      <c r="D1000" s="140" t="str">
        <f>'day2'!D996</f>
        <v>B00102</v>
      </c>
      <c r="E1000" s="140" t="str">
        <f>'day2'!E996</f>
        <v>6001</v>
      </c>
      <c r="F1000" s="140">
        <f t="shared" si="563"/>
        <v>20180328</v>
      </c>
      <c r="G1000" s="140">
        <f>'day2'!G996</f>
        <v>20180327</v>
      </c>
      <c r="H1000" s="140" t="str">
        <f>'day2'!H996</f>
        <v>CZCE</v>
      </c>
      <c r="I1000" s="140" t="str">
        <f>'day2'!I996</f>
        <v>PTA807C6500</v>
      </c>
      <c r="J1000" s="268">
        <f>'day2'!J996</f>
        <v>0</v>
      </c>
      <c r="K1000" s="268">
        <f>'day2'!K996</f>
        <v>2</v>
      </c>
      <c r="L1000" s="268">
        <f>'day2'!L996</f>
        <v>3</v>
      </c>
      <c r="M1000" s="268">
        <f t="shared" si="546"/>
        <v>0</v>
      </c>
      <c r="N1000" s="268">
        <f t="shared" si="522"/>
        <v>0</v>
      </c>
      <c r="O1000" s="6">
        <f t="shared" si="443"/>
        <v>0</v>
      </c>
      <c r="P1000" s="12">
        <f t="shared" si="547"/>
        <v>0</v>
      </c>
      <c r="Q1000" s="12">
        <f t="shared" si="564"/>
        <v>6.6000000000000003E-2</v>
      </c>
      <c r="R1000" s="12">
        <f t="shared" si="565"/>
        <v>6.43</v>
      </c>
      <c r="S1000" s="12">
        <f t="shared" si="566"/>
        <v>4.2999999999999997E-2</v>
      </c>
      <c r="T1000" s="12">
        <f t="shared" si="567"/>
        <v>4.3</v>
      </c>
      <c r="U1000" s="12">
        <f t="shared" si="568"/>
        <v>5</v>
      </c>
      <c r="V1000" s="12">
        <f t="shared" si="548"/>
        <v>6165</v>
      </c>
      <c r="W1000" s="266">
        <f t="shared" si="549"/>
        <v>580</v>
      </c>
      <c r="X1000" s="266">
        <f t="shared" si="550"/>
        <v>0</v>
      </c>
      <c r="Y1000" s="266">
        <f>'day2'!Y996</f>
        <v>603</v>
      </c>
      <c r="Z1000" s="266">
        <f t="shared" si="551"/>
        <v>580</v>
      </c>
      <c r="AA1000" s="12">
        <f t="shared" si="544"/>
        <v>0.5</v>
      </c>
      <c r="AB1000" s="12">
        <f t="shared" si="544"/>
        <v>0.5</v>
      </c>
      <c r="AC1000" s="12">
        <f t="shared" si="552"/>
        <v>30825</v>
      </c>
      <c r="AD1000" s="12">
        <f t="shared" si="569"/>
        <v>0</v>
      </c>
      <c r="AE1000" s="12">
        <f t="shared" si="553"/>
        <v>0</v>
      </c>
      <c r="AF1000" s="12">
        <f t="shared" si="554"/>
        <v>0</v>
      </c>
      <c r="AG1000" s="12">
        <f t="shared" si="555"/>
        <v>0</v>
      </c>
      <c r="AH1000" s="12">
        <f t="shared" si="556"/>
        <v>0</v>
      </c>
      <c r="AI1000" s="12">
        <f t="shared" si="557"/>
        <v>2900</v>
      </c>
      <c r="AJ1000" s="12">
        <v>1</v>
      </c>
      <c r="AK1000" s="12">
        <f t="shared" si="570"/>
        <v>1</v>
      </c>
      <c r="AL1000" s="12">
        <f t="shared" si="558"/>
        <v>0</v>
      </c>
      <c r="AM1000" s="12">
        <f t="shared" si="559"/>
        <v>0</v>
      </c>
      <c r="AN1000" s="12">
        <f t="shared" si="560"/>
        <v>0</v>
      </c>
      <c r="AO1000" s="12">
        <f t="shared" si="561"/>
        <v>0</v>
      </c>
      <c r="AP1000" s="12">
        <f t="shared" si="571"/>
        <v>0</v>
      </c>
      <c r="AQ1000" s="3" t="str">
        <f t="shared" si="572"/>
        <v>PTA807</v>
      </c>
      <c r="AR1000" s="3" t="str">
        <f t="shared" si="562"/>
        <v>PTA80731</v>
      </c>
      <c r="AS1000" s="6" t="str">
        <f t="shared" si="573"/>
        <v>9999</v>
      </c>
      <c r="AT1000" s="6" t="str">
        <f t="shared" si="574"/>
        <v>CNY</v>
      </c>
      <c r="AU1000" s="6" t="str">
        <f t="shared" si="575"/>
        <v>50010002</v>
      </c>
      <c r="AV1000" s="142">
        <f>'day2'!M996+'day2'!N996</f>
        <v>0</v>
      </c>
      <c r="AW1000" s="142">
        <f t="shared" si="576"/>
        <v>0</v>
      </c>
    </row>
    <row r="1001" spans="1:49" s="6" customFormat="1" x14ac:dyDescent="0.25">
      <c r="A1001" s="6" t="str">
        <f>IF( AND(M1001=0,N1001=0),"comment","")</f>
        <v>comment</v>
      </c>
      <c r="B1001" s="140" t="str">
        <f>'day2'!B997</f>
        <v>2018032710000083</v>
      </c>
      <c r="C1001" s="140" t="str">
        <f>'day2'!C997</f>
        <v>6001</v>
      </c>
      <c r="D1001" s="140" t="str">
        <f>'day2'!D997</f>
        <v>B00101</v>
      </c>
      <c r="E1001" s="140" t="str">
        <f>'day2'!E997</f>
        <v>6001</v>
      </c>
      <c r="F1001" s="140">
        <f t="shared" si="563"/>
        <v>20180328</v>
      </c>
      <c r="G1001" s="140">
        <f>'day2'!G997</f>
        <v>20180327</v>
      </c>
      <c r="H1001" s="140" t="str">
        <f>'day2'!H997</f>
        <v>CZCE</v>
      </c>
      <c r="I1001" s="140" t="str">
        <f>'day2'!I997</f>
        <v>SR807C6500</v>
      </c>
      <c r="J1001" s="268">
        <f>'day2'!J997</f>
        <v>1</v>
      </c>
      <c r="K1001" s="268">
        <f>'day2'!K997</f>
        <v>3</v>
      </c>
      <c r="L1001" s="268">
        <f>'day2'!L997</f>
        <v>1</v>
      </c>
      <c r="M1001" s="268">
        <f t="shared" si="546"/>
        <v>0</v>
      </c>
      <c r="N1001" s="268">
        <f t="shared" si="522"/>
        <v>0</v>
      </c>
      <c r="O1001" s="6">
        <f t="shared" si="443"/>
        <v>0</v>
      </c>
      <c r="P1001" s="12">
        <f t="shared" si="444"/>
        <v>0</v>
      </c>
      <c r="Q1001" s="12">
        <f t="shared" si="564"/>
        <v>6.2E-2</v>
      </c>
      <c r="R1001" s="12">
        <f t="shared" si="565"/>
        <v>6.21</v>
      </c>
      <c r="S1001" s="12">
        <f t="shared" si="566"/>
        <v>4.1000000000000002E-2</v>
      </c>
      <c r="T1001" s="12">
        <f t="shared" si="567"/>
        <v>4.0999999999999996</v>
      </c>
      <c r="U1001" s="12">
        <f t="shared" si="568"/>
        <v>10</v>
      </c>
      <c r="V1001" s="12">
        <f t="shared" si="548"/>
        <v>6500</v>
      </c>
      <c r="W1001" s="12">
        <f t="shared" si="549"/>
        <v>610</v>
      </c>
      <c r="X1001" s="12">
        <f t="shared" si="550"/>
        <v>6170</v>
      </c>
      <c r="Y1001" s="250">
        <f>'day2'!Y997</f>
        <v>603</v>
      </c>
      <c r="Z1001" s="12">
        <f t="shared" si="551"/>
        <v>610</v>
      </c>
      <c r="AA1001" s="12">
        <f t="shared" si="544"/>
        <v>0.5</v>
      </c>
      <c r="AB1001" s="12">
        <f t="shared" si="544"/>
        <v>0.5</v>
      </c>
      <c r="AC1001" s="12">
        <f t="shared" si="445"/>
        <v>3300</v>
      </c>
      <c r="AD1001" s="12">
        <f t="shared" si="569"/>
        <v>0</v>
      </c>
      <c r="AE1001" s="12">
        <f t="shared" si="484"/>
        <v>0</v>
      </c>
      <c r="AF1001" s="12">
        <f t="shared" si="446"/>
        <v>0</v>
      </c>
      <c r="AG1001" s="12">
        <f t="shared" si="447"/>
        <v>0</v>
      </c>
      <c r="AH1001" s="12">
        <f t="shared" si="448"/>
        <v>0</v>
      </c>
      <c r="AI1001" s="12">
        <f t="shared" si="431"/>
        <v>6100</v>
      </c>
      <c r="AJ1001" s="12">
        <v>1</v>
      </c>
      <c r="AK1001" s="12">
        <f t="shared" si="570"/>
        <v>1</v>
      </c>
      <c r="AL1001" s="12">
        <f t="shared" si="449"/>
        <v>0</v>
      </c>
      <c r="AM1001" s="12">
        <f t="shared" si="433"/>
        <v>0</v>
      </c>
      <c r="AN1001" s="12">
        <f t="shared" si="434"/>
        <v>0</v>
      </c>
      <c r="AO1001" s="12">
        <f t="shared" si="435"/>
        <v>0</v>
      </c>
      <c r="AP1001" s="12">
        <f t="shared" si="571"/>
        <v>0</v>
      </c>
      <c r="AQ1001" s="3" t="str">
        <f t="shared" si="572"/>
        <v>SR807</v>
      </c>
      <c r="AR1001" s="3" t="str">
        <f t="shared" si="438"/>
        <v>SR80711</v>
      </c>
      <c r="AS1001" s="6" t="str">
        <f t="shared" si="573"/>
        <v>9999</v>
      </c>
      <c r="AT1001" s="6" t="str">
        <f t="shared" si="574"/>
        <v>CNY</v>
      </c>
      <c r="AU1001" s="6" t="str">
        <f t="shared" si="575"/>
        <v>50010001</v>
      </c>
      <c r="AV1001" s="142">
        <f>'day2'!M997+'day2'!N997</f>
        <v>0</v>
      </c>
      <c r="AW1001" s="142">
        <f t="shared" si="576"/>
        <v>0</v>
      </c>
    </row>
    <row r="1002" spans="1:49" s="6" customFormat="1" x14ac:dyDescent="0.25">
      <c r="A1002" s="6" t="str">
        <f t="shared" si="545"/>
        <v>comment</v>
      </c>
      <c r="B1002" s="140" t="str">
        <f>'day2'!B998</f>
        <v>2018032710000084</v>
      </c>
      <c r="C1002" s="140" t="str">
        <f>'day2'!C998</f>
        <v>6001</v>
      </c>
      <c r="D1002" s="140" t="str">
        <f>'day2'!D998</f>
        <v>B00101</v>
      </c>
      <c r="E1002" s="140" t="str">
        <f>'day2'!E998</f>
        <v>6001</v>
      </c>
      <c r="F1002" s="140">
        <f t="shared" si="563"/>
        <v>20180328</v>
      </c>
      <c r="G1002" s="140">
        <f>'day2'!G998</f>
        <v>20180327</v>
      </c>
      <c r="H1002" s="140" t="str">
        <f>'day2'!H998</f>
        <v>CZCE</v>
      </c>
      <c r="I1002" s="140" t="str">
        <f>'day2'!I998</f>
        <v>SR807C6500</v>
      </c>
      <c r="J1002" s="268">
        <f>'day2'!J998</f>
        <v>1</v>
      </c>
      <c r="K1002" s="268">
        <f>'day2'!K998</f>
        <v>3</v>
      </c>
      <c r="L1002" s="268">
        <f>'day2'!L998</f>
        <v>3</v>
      </c>
      <c r="M1002" s="268">
        <f t="shared" si="546"/>
        <v>0</v>
      </c>
      <c r="N1002" s="268">
        <f t="shared" si="522"/>
        <v>0</v>
      </c>
      <c r="O1002" s="6">
        <f t="shared" ref="O1002:O1006" si="601">IF(AK1002=0,0,M1002*U1002*W1002)</f>
        <v>0</v>
      </c>
      <c r="P1002" s="12">
        <f t="shared" si="444"/>
        <v>0</v>
      </c>
      <c r="Q1002" s="12">
        <f t="shared" si="564"/>
        <v>6.6000000000000003E-2</v>
      </c>
      <c r="R1002" s="12">
        <f t="shared" si="565"/>
        <v>6.43</v>
      </c>
      <c r="S1002" s="12">
        <f t="shared" si="566"/>
        <v>4.2999999999999997E-2</v>
      </c>
      <c r="T1002" s="12">
        <f t="shared" si="567"/>
        <v>4.3</v>
      </c>
      <c r="U1002" s="12">
        <f t="shared" si="568"/>
        <v>10</v>
      </c>
      <c r="V1002" s="12">
        <f t="shared" si="548"/>
        <v>6500</v>
      </c>
      <c r="W1002" s="12">
        <f t="shared" si="549"/>
        <v>610</v>
      </c>
      <c r="X1002" s="12">
        <f t="shared" si="550"/>
        <v>6170</v>
      </c>
      <c r="Y1002" s="250">
        <f>'day2'!Y998</f>
        <v>604</v>
      </c>
      <c r="Z1002" s="12">
        <f t="shared" si="551"/>
        <v>610</v>
      </c>
      <c r="AA1002" s="12">
        <f t="shared" si="544"/>
        <v>0.5</v>
      </c>
      <c r="AB1002" s="12">
        <f t="shared" si="544"/>
        <v>0.5</v>
      </c>
      <c r="AC1002" s="12">
        <f t="shared" si="445"/>
        <v>3300</v>
      </c>
      <c r="AD1002" s="12">
        <f t="shared" si="569"/>
        <v>0</v>
      </c>
      <c r="AE1002" s="12">
        <f t="shared" si="484"/>
        <v>0</v>
      </c>
      <c r="AF1002" s="12">
        <f t="shared" si="446"/>
        <v>0</v>
      </c>
      <c r="AG1002" s="12">
        <f t="shared" si="447"/>
        <v>0</v>
      </c>
      <c r="AH1002" s="12">
        <f t="shared" si="448"/>
        <v>0</v>
      </c>
      <c r="AI1002" s="12">
        <f t="shared" si="431"/>
        <v>6100</v>
      </c>
      <c r="AJ1002" s="12">
        <v>1</v>
      </c>
      <c r="AK1002" s="12">
        <f t="shared" si="570"/>
        <v>1</v>
      </c>
      <c r="AL1002" s="12">
        <f t="shared" si="449"/>
        <v>0</v>
      </c>
      <c r="AM1002" s="12">
        <f t="shared" si="433"/>
        <v>0</v>
      </c>
      <c r="AN1002" s="12">
        <f t="shared" si="434"/>
        <v>0</v>
      </c>
      <c r="AO1002" s="12">
        <f t="shared" si="435"/>
        <v>0</v>
      </c>
      <c r="AP1002" s="12">
        <f t="shared" si="571"/>
        <v>0</v>
      </c>
      <c r="AQ1002" s="3" t="str">
        <f t="shared" si="572"/>
        <v>SR807</v>
      </c>
      <c r="AR1002" s="3" t="str">
        <f t="shared" si="438"/>
        <v>SR80731</v>
      </c>
      <c r="AS1002" s="6" t="str">
        <f t="shared" si="573"/>
        <v>9999</v>
      </c>
      <c r="AT1002" s="6" t="str">
        <f t="shared" si="574"/>
        <v>CNY</v>
      </c>
      <c r="AU1002" s="6" t="str">
        <f t="shared" si="575"/>
        <v>50010001</v>
      </c>
      <c r="AV1002" s="142">
        <f>'day2'!M998+'day2'!N998</f>
        <v>0</v>
      </c>
      <c r="AW1002" s="142">
        <f t="shared" si="576"/>
        <v>0</v>
      </c>
    </row>
    <row r="1003" spans="1:49" s="6" customFormat="1" x14ac:dyDescent="0.25">
      <c r="A1003" s="6" t="str">
        <f t="shared" si="545"/>
        <v/>
      </c>
      <c r="B1003" s="140" t="str">
        <f>C662</f>
        <v>2018032810000010</v>
      </c>
      <c r="C1003" s="140" t="str">
        <f>VLOOKUP(B1003,  $C$661:$AN$709, 3,FALSE)</f>
        <v>6001</v>
      </c>
      <c r="D1003" s="140" t="str">
        <f>VLOOKUP(B1003,  $C$661:$AN$709, 4,FALSE)</f>
        <v>B00101</v>
      </c>
      <c r="E1003" s="140" t="str">
        <f>VLOOKUP(B1003,  $C$661:$AN$709, 5,FALSE)</f>
        <v>6001</v>
      </c>
      <c r="F1003" s="140">
        <f t="shared" si="563"/>
        <v>20180328</v>
      </c>
      <c r="G1003" s="140">
        <f>$B$2</f>
        <v>20180328</v>
      </c>
      <c r="H1003" s="140" t="str">
        <f>$B$19</f>
        <v>CZCE</v>
      </c>
      <c r="I1003" s="6" t="str">
        <f>VLOOKUP(B1003, $C$661:$AN$709, 10,FALSE)</f>
        <v>SR807</v>
      </c>
      <c r="J1003" s="268">
        <f>VLOOKUP(B1003,$C$661:$AN$709, 13,FALSE)</f>
        <v>0</v>
      </c>
      <c r="K1003" s="268">
        <f>IF(J1003=0,2,3)</f>
        <v>2</v>
      </c>
      <c r="L1003" s="268">
        <f>VLOOKUP(B1003,$C$661:$AN$709, 14,FALSE)</f>
        <v>1</v>
      </c>
      <c r="M1003" s="268">
        <f t="shared" si="546"/>
        <v>1</v>
      </c>
      <c r="N1003" s="268">
        <f t="shared" si="522"/>
        <v>0</v>
      </c>
      <c r="O1003" s="6">
        <f t="shared" si="601"/>
        <v>0</v>
      </c>
      <c r="P1003" s="12">
        <f t="shared" ref="P1003:P1004" si="602">IF(AK1003=0,0,(M1003+N1003)*U1003*W1003)</f>
        <v>0</v>
      </c>
      <c r="Q1003" s="12">
        <f t="shared" si="564"/>
        <v>0.05</v>
      </c>
      <c r="R1003" s="12">
        <f t="shared" si="565"/>
        <v>5</v>
      </c>
      <c r="S1003" s="12">
        <f t="shared" si="566"/>
        <v>0.04</v>
      </c>
      <c r="T1003" s="12">
        <f t="shared" si="567"/>
        <v>4</v>
      </c>
      <c r="U1003" s="12">
        <f t="shared" si="568"/>
        <v>10</v>
      </c>
      <c r="V1003" s="12">
        <f t="shared" si="548"/>
        <v>0</v>
      </c>
      <c r="W1003" s="266">
        <f t="shared" si="549"/>
        <v>6170</v>
      </c>
      <c r="X1003" s="266">
        <f t="shared" si="550"/>
        <v>0</v>
      </c>
      <c r="Y1003" s="266">
        <f>VLOOKUP(B1003,$C$662:$AN$709, 17,FALSE)</f>
        <v>6110</v>
      </c>
      <c r="Z1003" s="266">
        <f t="shared" si="551"/>
        <v>6155</v>
      </c>
      <c r="AA1003" s="12">
        <f t="shared" si="544"/>
        <v>0.5</v>
      </c>
      <c r="AB1003" s="12">
        <f t="shared" si="544"/>
        <v>0.5</v>
      </c>
      <c r="AC1003" s="12">
        <f t="shared" ref="AC1003:AC1004" si="603">IF(AD1003=0,MAX((V1003-X1003)*U1003,0),MAX((X1003-V1003)*U1003,0))</f>
        <v>0</v>
      </c>
      <c r="AD1003" s="12">
        <f t="shared" si="569"/>
        <v>9</v>
      </c>
      <c r="AE1003" s="12">
        <f t="shared" ref="AE1003:AE1004" si="604">ROUND(IF(AK1003=0,Q1003*U1003*W1003*M1003+R1003*M1003,IF(J1003=0,0,MAX(AI1003+(Q1003*U1003*X1003+R1003)*AJ1003-AC1003*AA1003,AI1003+(Q1003*U1003*X1003+R1003)*AB1003)*M1003)),2)</f>
        <v>3090</v>
      </c>
      <c r="AF1003" s="12">
        <f t="shared" ref="AF1003:AF1004" si="605">ROUND(IF(AK1003=0,S1003*U1003*W1003*M1003+T1003*M1003,IF(J1003=0,0,MAX(AI1003+(S1003*U1003*X1003+T1003)*AJ1003-AC1003*AA1003,AI1003+(S1003*U1003*X1003+T1003)*AB1003)*M1003)),2)</f>
        <v>2472</v>
      </c>
      <c r="AG1003" s="12">
        <f t="shared" ref="AG1003:AG1004" si="606">ROUND(IF(AK1003=0,Q1003*U1003*W1003*N1003+R1003*N1003,IF(J1003=0,0,MAX(AI1003+(Q1003*U1003*X1003+R1003)*AJ1003-AC1003*AA1003,AI1003+(Q1003*U1003*X1003+R1003)*AB1003)*N1003)),2)</f>
        <v>0</v>
      </c>
      <c r="AH1003" s="12">
        <f t="shared" ref="AH1003:AH1004" si="607">ROUND(IF(AK1003=0,S1003*U1003*W1003*N1003+T1003*N1003,IF(J1003=0,0,MAX(AI1003+(S1003*U1003*X1003+T1003)*AJ1003-AC1003*AA1003,AI1003+(S1003*U1003*X1003+T1003)*AB1003)*N1003)),2)</f>
        <v>0</v>
      </c>
      <c r="AI1003" s="12">
        <f t="shared" ref="AI1003:AI1004" si="608">IF(AK1003=1,1*U1003*W1003,0)</f>
        <v>0</v>
      </c>
      <c r="AJ1003" s="12">
        <v>1</v>
      </c>
      <c r="AK1003" s="12">
        <f t="shared" si="570"/>
        <v>0</v>
      </c>
      <c r="AL1003" s="12">
        <f t="shared" ref="AL1003:AL1004" si="609">IF(AK1003=0,IF(F1003=G1003,IF(J1003=0,(W1003-Y1003)*U1003*M1003,-(W1003-Y1003)*U1003*M1003),IF(J1003=0,(W1003-Z1003)*U1003*M1003,-(W1003-Z1003)*U1003*M1003)),0)</f>
        <v>600</v>
      </c>
      <c r="AM1003" s="12">
        <f t="shared" ref="AM1003:AM1004" si="610">IF(AK1003=0,IF(J1003=0,(W1003-Y1003)*U1003*M1003,-(W1003-Y1003)*U1003*M1003),0)</f>
        <v>600</v>
      </c>
      <c r="AN1003" s="12">
        <f t="shared" ref="AN1003:AN1004" si="611">IF(AK1003=0,IF(F1003=G1003,IF(J1003=0,(W1003-Y1003)*U1003*N1003,-(W1003-Y1003)*U1003*N1003),IF(J1003=0,(W1003-Z1003)*U1003*N1003,-(W1003-Z1003)*U1003*N1003)),0)</f>
        <v>0</v>
      </c>
      <c r="AO1003" s="12">
        <f t="shared" ref="AO1003:AO1004" si="612">IF(AK1003=0,IF(J1003=0,(W1003-Y1003)*U1003*N1003,-(W1003-Y1003)*U1003*N1003),0)</f>
        <v>0</v>
      </c>
      <c r="AP1003" s="12">
        <f t="shared" si="571"/>
        <v>0</v>
      </c>
      <c r="AQ1003" s="3" t="str">
        <f t="shared" si="572"/>
        <v>SR807</v>
      </c>
      <c r="AR1003" s="3" t="str">
        <f t="shared" ref="AR1003:AR1004" si="613">IF(AK1003=0,AQ1003&amp;L1003&amp;J1003,IF(AD1003=0,AQ1003&amp;L1003&amp;1,AQ1003&amp;L1003&amp;0))</f>
        <v>SR80710</v>
      </c>
      <c r="AS1003" s="6" t="str">
        <f t="shared" si="573"/>
        <v>9999</v>
      </c>
      <c r="AT1003" s="6" t="str">
        <f t="shared" si="574"/>
        <v>CNY</v>
      </c>
      <c r="AU1003" s="6" t="str">
        <f t="shared" si="575"/>
        <v>50010001</v>
      </c>
      <c r="AV1003" s="142">
        <v>0</v>
      </c>
      <c r="AW1003" s="142">
        <f t="shared" si="576"/>
        <v>61100</v>
      </c>
    </row>
    <row r="1004" spans="1:49" s="6" customFormat="1" x14ac:dyDescent="0.25">
      <c r="A1004" s="6" t="str">
        <f t="shared" si="545"/>
        <v/>
      </c>
      <c r="B1004" s="140" t="str">
        <f>C663</f>
        <v>2018032810000011</v>
      </c>
      <c r="C1004" s="140" t="str">
        <f>VLOOKUP(B1004,  $C$661:$AN$709, 3,FALSE)</f>
        <v>6001</v>
      </c>
      <c r="D1004" s="140" t="str">
        <f>VLOOKUP(B1004,  $C$661:$AN$709, 4,FALSE)</f>
        <v>B00101</v>
      </c>
      <c r="E1004" s="140" t="str">
        <f>VLOOKUP(B1004,  $C$661:$AN$709, 5,FALSE)</f>
        <v>6001</v>
      </c>
      <c r="F1004" s="140">
        <f t="shared" si="563"/>
        <v>20180328</v>
      </c>
      <c r="G1004" s="140">
        <f>$B$2</f>
        <v>20180328</v>
      </c>
      <c r="H1004" s="140" t="str">
        <f>$B$19</f>
        <v>CZCE</v>
      </c>
      <c r="I1004" s="6" t="str">
        <f>VLOOKUP(B1004, $C$661:$AN$709, 10,FALSE)</f>
        <v>SR807</v>
      </c>
      <c r="J1004" s="268">
        <f>VLOOKUP(B1004,$C$661:$AN$709, 13,FALSE)</f>
        <v>1</v>
      </c>
      <c r="K1004" s="268">
        <f>IF(J1004=0,2,3)</f>
        <v>3</v>
      </c>
      <c r="L1004" s="268">
        <f>VLOOKUP(B1004,$C$661:$AN$709, 14,FALSE)</f>
        <v>1</v>
      </c>
      <c r="M1004" s="268">
        <f t="shared" si="546"/>
        <v>1</v>
      </c>
      <c r="N1004" s="268">
        <f t="shared" si="522"/>
        <v>0</v>
      </c>
      <c r="O1004" s="6">
        <f t="shared" si="601"/>
        <v>0</v>
      </c>
      <c r="P1004" s="12">
        <f t="shared" si="602"/>
        <v>0</v>
      </c>
      <c r="Q1004" s="12">
        <f t="shared" si="564"/>
        <v>5.0999999999999997E-2</v>
      </c>
      <c r="R1004" s="12">
        <f t="shared" si="565"/>
        <v>5.0999999999999996</v>
      </c>
      <c r="S1004" s="12">
        <f t="shared" si="566"/>
        <v>4.1000000000000002E-2</v>
      </c>
      <c r="T1004" s="12">
        <f t="shared" si="567"/>
        <v>4.0999999999999996</v>
      </c>
      <c r="U1004" s="12">
        <f t="shared" si="568"/>
        <v>10</v>
      </c>
      <c r="V1004" s="12">
        <f t="shared" si="548"/>
        <v>0</v>
      </c>
      <c r="W1004" s="266">
        <f t="shared" si="549"/>
        <v>6170</v>
      </c>
      <c r="X1004" s="266">
        <f t="shared" si="550"/>
        <v>0</v>
      </c>
      <c r="Y1004" s="266">
        <f t="shared" ref="Y1004" si="614">VLOOKUP(B1004,$C$662:$AN$709, 17,FALSE)</f>
        <v>6111</v>
      </c>
      <c r="Z1004" s="266">
        <f t="shared" si="551"/>
        <v>6155</v>
      </c>
      <c r="AA1004" s="12">
        <f t="shared" si="544"/>
        <v>0.5</v>
      </c>
      <c r="AB1004" s="12">
        <f t="shared" si="544"/>
        <v>0.5</v>
      </c>
      <c r="AC1004" s="12">
        <f t="shared" si="603"/>
        <v>0</v>
      </c>
      <c r="AD1004" s="12">
        <f t="shared" si="569"/>
        <v>9</v>
      </c>
      <c r="AE1004" s="12">
        <f t="shared" si="604"/>
        <v>3151.8</v>
      </c>
      <c r="AF1004" s="12">
        <f t="shared" si="605"/>
        <v>2533.8000000000002</v>
      </c>
      <c r="AG1004" s="12">
        <f t="shared" si="606"/>
        <v>0</v>
      </c>
      <c r="AH1004" s="12">
        <f t="shared" si="607"/>
        <v>0</v>
      </c>
      <c r="AI1004" s="12">
        <f t="shared" si="608"/>
        <v>0</v>
      </c>
      <c r="AJ1004" s="12">
        <v>1</v>
      </c>
      <c r="AK1004" s="12">
        <f t="shared" si="570"/>
        <v>0</v>
      </c>
      <c r="AL1004" s="12">
        <f t="shared" si="609"/>
        <v>-590</v>
      </c>
      <c r="AM1004" s="12">
        <f t="shared" si="610"/>
        <v>-590</v>
      </c>
      <c r="AN1004" s="12">
        <f t="shared" si="611"/>
        <v>0</v>
      </c>
      <c r="AO1004" s="12">
        <f t="shared" si="612"/>
        <v>0</v>
      </c>
      <c r="AP1004" s="12">
        <f t="shared" si="571"/>
        <v>0</v>
      </c>
      <c r="AQ1004" s="3" t="str">
        <f t="shared" si="572"/>
        <v>SR807</v>
      </c>
      <c r="AR1004" s="3" t="str">
        <f t="shared" si="613"/>
        <v>SR80711</v>
      </c>
      <c r="AS1004" s="6" t="str">
        <f t="shared" si="573"/>
        <v>9999</v>
      </c>
      <c r="AT1004" s="6" t="str">
        <f t="shared" si="574"/>
        <v>CNY</v>
      </c>
      <c r="AU1004" s="6" t="str">
        <f t="shared" si="575"/>
        <v>50010001</v>
      </c>
      <c r="AV1004" s="142">
        <v>0</v>
      </c>
      <c r="AW1004" s="142">
        <f t="shared" si="576"/>
        <v>61110</v>
      </c>
    </row>
    <row r="1005" spans="1:49" s="6" customFormat="1" x14ac:dyDescent="0.25">
      <c r="A1005" s="6" t="str">
        <f t="shared" si="545"/>
        <v/>
      </c>
      <c r="B1005" s="140" t="str">
        <f>C664</f>
        <v>2018032810000012</v>
      </c>
      <c r="C1005" s="140" t="str">
        <f t="shared" ref="C1005:C1006" si="615">VLOOKUP(B1005,  $C$661:$AN$709, 3,FALSE)</f>
        <v>6001</v>
      </c>
      <c r="D1005" s="140" t="str">
        <f>VLOOKUP(B1005,  $C$661:$AN$709, 4,FALSE)</f>
        <v>B00102</v>
      </c>
      <c r="E1005" s="140" t="str">
        <f t="shared" ref="E1005:E1006" si="616">VLOOKUP(B1005,  $C$661:$AN$709, 5,FALSE)</f>
        <v>6001</v>
      </c>
      <c r="F1005" s="140">
        <f t="shared" si="563"/>
        <v>20180328</v>
      </c>
      <c r="G1005" s="140">
        <f>$B$2</f>
        <v>20180328</v>
      </c>
      <c r="H1005" s="140" t="str">
        <f>$B$19</f>
        <v>CZCE</v>
      </c>
      <c r="I1005" s="6" t="str">
        <f t="shared" ref="I1005:I1006" si="617">VLOOKUP(B1005, $C$661:$AN$709, 10,FALSE)</f>
        <v>PTA807</v>
      </c>
      <c r="J1005" s="268">
        <f t="shared" ref="J1005:J1006" si="618">VLOOKUP(B1005,$C$661:$AN$709, 13,FALSE)</f>
        <v>0</v>
      </c>
      <c r="K1005" s="268">
        <f t="shared" ref="K1005:K1006" si="619">IF(J1005=0,2,3)</f>
        <v>2</v>
      </c>
      <c r="L1005" s="268">
        <f t="shared" ref="L1005:L1006" si="620">VLOOKUP(B1005,$C$661:$AN$709, 14,FALSE)</f>
        <v>1</v>
      </c>
      <c r="M1005" s="268">
        <f t="shared" si="546"/>
        <v>1</v>
      </c>
      <c r="N1005" s="268">
        <f t="shared" si="522"/>
        <v>0</v>
      </c>
      <c r="O1005" s="6">
        <f t="shared" si="601"/>
        <v>0</v>
      </c>
      <c r="P1005" s="12">
        <f t="shared" ref="P1005:P1006" si="621">IF(AK1005=0,0,(M1005+N1005)*U1005*W1005)</f>
        <v>0</v>
      </c>
      <c r="Q1005" s="12">
        <f t="shared" si="564"/>
        <v>0.05</v>
      </c>
      <c r="R1005" s="12">
        <f t="shared" si="565"/>
        <v>5</v>
      </c>
      <c r="S1005" s="12">
        <f t="shared" si="566"/>
        <v>0.04</v>
      </c>
      <c r="T1005" s="12">
        <f t="shared" si="567"/>
        <v>4</v>
      </c>
      <c r="U1005" s="12">
        <f t="shared" si="568"/>
        <v>5</v>
      </c>
      <c r="V1005" s="12">
        <f t="shared" si="548"/>
        <v>0</v>
      </c>
      <c r="W1005" s="266">
        <f t="shared" si="549"/>
        <v>6165</v>
      </c>
      <c r="X1005" s="266">
        <f t="shared" si="550"/>
        <v>0</v>
      </c>
      <c r="Y1005" s="266">
        <f t="shared" ref="Y1005:Y1006" si="622">VLOOKUP(B1005,$C$662:$AN$709, 17,FALSE)</f>
        <v>6112</v>
      </c>
      <c r="Z1005" s="266">
        <f t="shared" si="551"/>
        <v>6160</v>
      </c>
      <c r="AA1005" s="12">
        <f t="shared" si="544"/>
        <v>0.5</v>
      </c>
      <c r="AB1005" s="12">
        <f t="shared" si="544"/>
        <v>0.5</v>
      </c>
      <c r="AC1005" s="12">
        <f t="shared" ref="AC1005:AC1006" si="623">IF(AD1005=0,MAX((V1005-X1005)*U1005,0),MAX((X1005-V1005)*U1005,0))</f>
        <v>0</v>
      </c>
      <c r="AD1005" s="12">
        <f t="shared" si="569"/>
        <v>9</v>
      </c>
      <c r="AE1005" s="12">
        <f t="shared" ref="AE1005:AE1006" si="624">ROUND(IF(AK1005=0,Q1005*U1005*W1005*M1005+R1005*M1005,IF(J1005=0,0,MAX(AI1005+(Q1005*U1005*X1005+R1005)*AJ1005-AC1005*AA1005,AI1005+(Q1005*U1005*X1005+R1005)*AB1005)*M1005)),2)</f>
        <v>1546.25</v>
      </c>
      <c r="AF1005" s="12">
        <f t="shared" ref="AF1005:AF1006" si="625">ROUND(IF(AK1005=0,S1005*U1005*W1005*M1005+T1005*M1005,IF(J1005=0,0,MAX(AI1005+(S1005*U1005*X1005+T1005)*AJ1005-AC1005*AA1005,AI1005+(S1005*U1005*X1005+T1005)*AB1005)*M1005)),2)</f>
        <v>1237</v>
      </c>
      <c r="AG1005" s="12">
        <f t="shared" ref="AG1005:AG1006" si="626">ROUND(IF(AK1005=0,Q1005*U1005*W1005*N1005+R1005*N1005,IF(J1005=0,0,MAX(AI1005+(Q1005*U1005*X1005+R1005)*AJ1005-AC1005*AA1005,AI1005+(Q1005*U1005*X1005+R1005)*AB1005)*N1005)),2)</f>
        <v>0</v>
      </c>
      <c r="AH1005" s="12">
        <f t="shared" ref="AH1005:AH1006" si="627">ROUND(IF(AK1005=0,S1005*U1005*W1005*N1005+T1005*N1005,IF(J1005=0,0,MAX(AI1005+(S1005*U1005*X1005+T1005)*AJ1005-AC1005*AA1005,AI1005+(S1005*U1005*X1005+T1005)*AB1005)*N1005)),2)</f>
        <v>0</v>
      </c>
      <c r="AI1005" s="12">
        <f t="shared" ref="AI1005:AI1006" si="628">IF(AK1005=1,1*U1005*W1005,0)</f>
        <v>0</v>
      </c>
      <c r="AJ1005" s="12">
        <v>1</v>
      </c>
      <c r="AK1005" s="12">
        <f t="shared" si="570"/>
        <v>0</v>
      </c>
      <c r="AL1005" s="12">
        <f t="shared" ref="AL1005:AL1006" si="629">IF(AK1005=0,IF(F1005=G1005,IF(J1005=0,(W1005-Y1005)*U1005*M1005,-(W1005-Y1005)*U1005*M1005),IF(J1005=0,(W1005-Z1005)*U1005*M1005,-(W1005-Z1005)*U1005*M1005)),0)</f>
        <v>265</v>
      </c>
      <c r="AM1005" s="12">
        <f t="shared" ref="AM1005:AM1006" si="630">IF(AK1005=0,IF(J1005=0,(W1005-Y1005)*U1005*M1005,-(W1005-Y1005)*U1005*M1005),0)</f>
        <v>265</v>
      </c>
      <c r="AN1005" s="12">
        <f t="shared" ref="AN1005:AN1006" si="631">IF(AK1005=0,IF(F1005=G1005,IF(J1005=0,(W1005-Y1005)*U1005*N1005,-(W1005-Y1005)*U1005*N1005),IF(J1005=0,(W1005-Z1005)*U1005*N1005,-(W1005-Z1005)*U1005*N1005)),0)</f>
        <v>0</v>
      </c>
      <c r="AO1005" s="12">
        <f t="shared" ref="AO1005:AO1006" si="632">IF(AK1005=0,IF(J1005=0,(W1005-Y1005)*U1005*N1005,-(W1005-Y1005)*U1005*N1005),0)</f>
        <v>0</v>
      </c>
      <c r="AP1005" s="12">
        <f t="shared" si="571"/>
        <v>1</v>
      </c>
      <c r="AQ1005" s="3" t="str">
        <f t="shared" si="572"/>
        <v>PTA807</v>
      </c>
      <c r="AR1005" s="3" t="str">
        <f t="shared" ref="AR1005:AR1006" si="633">IF(AK1005=0,AQ1005&amp;L1005&amp;J1005,IF(AD1005=0,AQ1005&amp;L1005&amp;1,AQ1005&amp;L1005&amp;0))</f>
        <v>PTA80710</v>
      </c>
      <c r="AS1005" s="6" t="str">
        <f t="shared" si="573"/>
        <v>9999</v>
      </c>
      <c r="AT1005" s="6" t="str">
        <f t="shared" si="574"/>
        <v>CNY</v>
      </c>
      <c r="AU1005" s="6" t="str">
        <f t="shared" si="575"/>
        <v>50010002</v>
      </c>
      <c r="AV1005" s="142">
        <v>0</v>
      </c>
      <c r="AW1005" s="142">
        <f t="shared" si="576"/>
        <v>30560</v>
      </c>
    </row>
    <row r="1006" spans="1:49" s="6" customFormat="1" x14ac:dyDescent="0.25">
      <c r="A1006" s="6" t="str">
        <f t="shared" si="545"/>
        <v/>
      </c>
      <c r="B1006" s="140" t="str">
        <f>C665</f>
        <v>2018032810000013</v>
      </c>
      <c r="C1006" s="140" t="str">
        <f t="shared" si="615"/>
        <v>6001</v>
      </c>
      <c r="D1006" s="140" t="str">
        <f>VLOOKUP(B1006,  $C$661:$AN$709, 4,FALSE)</f>
        <v>B00102</v>
      </c>
      <c r="E1006" s="140" t="str">
        <f t="shared" si="616"/>
        <v>6001</v>
      </c>
      <c r="F1006" s="140">
        <f t="shared" si="563"/>
        <v>20180328</v>
      </c>
      <c r="G1006" s="140">
        <f>$B$2</f>
        <v>20180328</v>
      </c>
      <c r="H1006" s="140" t="str">
        <f>$B$19</f>
        <v>CZCE</v>
      </c>
      <c r="I1006" s="6" t="str">
        <f t="shared" si="617"/>
        <v>PTA807</v>
      </c>
      <c r="J1006" s="268">
        <f t="shared" si="618"/>
        <v>1</v>
      </c>
      <c r="K1006" s="268">
        <f t="shared" si="619"/>
        <v>3</v>
      </c>
      <c r="L1006" s="268">
        <f t="shared" si="620"/>
        <v>1</v>
      </c>
      <c r="M1006" s="268">
        <f t="shared" si="546"/>
        <v>1</v>
      </c>
      <c r="N1006" s="268">
        <f t="shared" si="522"/>
        <v>0</v>
      </c>
      <c r="O1006" s="6">
        <f t="shared" si="601"/>
        <v>0</v>
      </c>
      <c r="P1006" s="12">
        <f t="shared" si="621"/>
        <v>0</v>
      </c>
      <c r="Q1006" s="12">
        <f t="shared" si="564"/>
        <v>5.0999999999999997E-2</v>
      </c>
      <c r="R1006" s="12">
        <f t="shared" si="565"/>
        <v>5.0999999999999996</v>
      </c>
      <c r="S1006" s="12">
        <f t="shared" si="566"/>
        <v>4.1000000000000002E-2</v>
      </c>
      <c r="T1006" s="12">
        <f t="shared" si="567"/>
        <v>4.0999999999999996</v>
      </c>
      <c r="U1006" s="12">
        <f t="shared" si="568"/>
        <v>5</v>
      </c>
      <c r="V1006" s="12">
        <f t="shared" si="548"/>
        <v>0</v>
      </c>
      <c r="W1006" s="266">
        <f t="shared" si="549"/>
        <v>6165</v>
      </c>
      <c r="X1006" s="266">
        <f t="shared" si="550"/>
        <v>0</v>
      </c>
      <c r="Y1006" s="266">
        <f t="shared" si="622"/>
        <v>6113</v>
      </c>
      <c r="Z1006" s="266">
        <f t="shared" si="551"/>
        <v>6160</v>
      </c>
      <c r="AA1006" s="12">
        <f t="shared" si="544"/>
        <v>0.5</v>
      </c>
      <c r="AB1006" s="12">
        <f t="shared" si="544"/>
        <v>0.5</v>
      </c>
      <c r="AC1006" s="12">
        <f t="shared" si="623"/>
        <v>0</v>
      </c>
      <c r="AD1006" s="12">
        <f t="shared" si="569"/>
        <v>9</v>
      </c>
      <c r="AE1006" s="12">
        <f t="shared" si="624"/>
        <v>1577.18</v>
      </c>
      <c r="AF1006" s="12">
        <f t="shared" si="625"/>
        <v>1267.93</v>
      </c>
      <c r="AG1006" s="12">
        <f t="shared" si="626"/>
        <v>0</v>
      </c>
      <c r="AH1006" s="12">
        <f t="shared" si="627"/>
        <v>0</v>
      </c>
      <c r="AI1006" s="12">
        <f t="shared" si="628"/>
        <v>0</v>
      </c>
      <c r="AJ1006" s="12">
        <v>1</v>
      </c>
      <c r="AK1006" s="12">
        <f t="shared" si="570"/>
        <v>0</v>
      </c>
      <c r="AL1006" s="12">
        <f t="shared" si="629"/>
        <v>-260</v>
      </c>
      <c r="AM1006" s="12">
        <f t="shared" si="630"/>
        <v>-260</v>
      </c>
      <c r="AN1006" s="12">
        <f t="shared" si="631"/>
        <v>0</v>
      </c>
      <c r="AO1006" s="12">
        <f t="shared" si="632"/>
        <v>0</v>
      </c>
      <c r="AP1006" s="12">
        <f t="shared" si="571"/>
        <v>1</v>
      </c>
      <c r="AQ1006" s="3" t="str">
        <f t="shared" si="572"/>
        <v>PTA807</v>
      </c>
      <c r="AR1006" s="3" t="str">
        <f t="shared" si="633"/>
        <v>PTA80711</v>
      </c>
      <c r="AS1006" s="6" t="str">
        <f t="shared" si="573"/>
        <v>9999</v>
      </c>
      <c r="AT1006" s="6" t="str">
        <f t="shared" si="574"/>
        <v>CNY</v>
      </c>
      <c r="AU1006" s="6" t="str">
        <f t="shared" si="575"/>
        <v>50010002</v>
      </c>
      <c r="AV1006" s="142">
        <v>0</v>
      </c>
      <c r="AW1006" s="142">
        <f t="shared" si="576"/>
        <v>30565</v>
      </c>
    </row>
    <row r="1007" spans="1:49" s="6" customFormat="1" x14ac:dyDescent="0.25">
      <c r="A1007" s="6" t="s">
        <v>359</v>
      </c>
      <c r="B1007" s="6" t="s">
        <v>1052</v>
      </c>
      <c r="AC1007" s="19"/>
      <c r="AF1007" s="257"/>
    </row>
    <row r="1008" spans="1:49" x14ac:dyDescent="0.25">
      <c r="A1008" t="s">
        <v>359</v>
      </c>
      <c r="B1008" s="7" t="s">
        <v>286</v>
      </c>
      <c r="C1008" s="7" t="s">
        <v>287</v>
      </c>
      <c r="D1008" s="7" t="s">
        <v>120</v>
      </c>
      <c r="E1008" s="7" t="s">
        <v>5</v>
      </c>
      <c r="F1008" s="7" t="s">
        <v>52</v>
      </c>
      <c r="G1008" s="7" t="s">
        <v>7</v>
      </c>
      <c r="H1008" s="7" t="s">
        <v>294</v>
      </c>
      <c r="I1008" s="7" t="s">
        <v>9</v>
      </c>
      <c r="J1008" s="7" t="s">
        <v>20</v>
      </c>
      <c r="K1008" s="7"/>
      <c r="L1008" s="7" t="s">
        <v>58</v>
      </c>
      <c r="M1008" s="7"/>
      <c r="N1008" s="7" t="s">
        <v>13</v>
      </c>
      <c r="O1008" s="7" t="s">
        <v>592</v>
      </c>
      <c r="P1008" s="7" t="s">
        <v>73</v>
      </c>
      <c r="Q1008" s="7" t="s">
        <v>72</v>
      </c>
      <c r="R1008" s="7" t="s">
        <v>64</v>
      </c>
      <c r="S1008" s="7" t="s">
        <v>65</v>
      </c>
      <c r="T1008" s="7" t="s">
        <v>66</v>
      </c>
      <c r="U1008" s="7" t="s">
        <v>67</v>
      </c>
      <c r="V1008" s="7" t="s">
        <v>75</v>
      </c>
      <c r="W1008" s="7" t="s">
        <v>74</v>
      </c>
      <c r="X1008" s="7" t="s">
        <v>76</v>
      </c>
      <c r="Y1008" s="123" t="s">
        <v>483</v>
      </c>
      <c r="AC1008" s="19"/>
      <c r="AD1008" s="6"/>
      <c r="AE1008" s="6"/>
      <c r="AF1008" s="6"/>
      <c r="AG1008" s="6"/>
      <c r="AH1008" s="6"/>
      <c r="AI1008" s="6"/>
      <c r="AJ1008" s="6"/>
      <c r="AK1008" s="6"/>
      <c r="AL1008" s="6"/>
      <c r="AM1008" s="6"/>
      <c r="AN1008" s="6"/>
      <c r="AO1008" s="6"/>
      <c r="AP1008" s="6"/>
      <c r="AQ1008" s="6"/>
      <c r="AR1008" s="6"/>
      <c r="AS1008" s="6"/>
      <c r="AT1008" s="6"/>
    </row>
    <row r="1009" spans="1:75" x14ac:dyDescent="0.25">
      <c r="A1009" t="s">
        <v>173</v>
      </c>
      <c r="B1009" s="12" t="str">
        <f>$B$5</f>
        <v>6001</v>
      </c>
      <c r="C1009" s="12" t="str">
        <f>$C$5</f>
        <v>B00101</v>
      </c>
      <c r="D1009" s="12" t="str">
        <f>$D$5</f>
        <v>6001</v>
      </c>
      <c r="E1009" s="12" t="str">
        <f>$B$19</f>
        <v>CZCE</v>
      </c>
      <c r="F1009" s="12" t="str">
        <f xml:space="preserve"> $C$19</f>
        <v>SR807</v>
      </c>
      <c r="G1009" s="12">
        <f xml:space="preserve"> VLOOKUP(F1009,$C$19:$L$31,3,FALSE)</f>
        <v>10</v>
      </c>
      <c r="H1009" s="12">
        <v>1</v>
      </c>
      <c r="I1009" s="12">
        <v>1</v>
      </c>
      <c r="J1009" s="24">
        <f>VLOOKUP(Y1009,$F$53:$L$72,4,FALSE)</f>
        <v>5.0999999999999997E-2</v>
      </c>
      <c r="K1009" s="24">
        <f>VLOOKUP(Y1009,$F$53:$L$72,5,FALSE)</f>
        <v>5.0999999999999996</v>
      </c>
      <c r="L1009" s="24">
        <f>VLOOKUP(Y1009,$F$53:$L$72,2,FALSE)</f>
        <v>4.1000000000000002E-2</v>
      </c>
      <c r="M1009" s="24">
        <f>VLOOKUP(Y1009,$F$53:$L$72,3,FALSE)</f>
        <v>4.0999999999999996</v>
      </c>
      <c r="N1009" s="24">
        <f xml:space="preserve"> VLOOKUP(F1009,$C$230:$F$242,3,FALSE)</f>
        <v>6170</v>
      </c>
      <c r="O1009" s="27">
        <v>0</v>
      </c>
      <c r="P1009" s="27">
        <f>J1009*N1009*O1009*G1009+K1009*O1009</f>
        <v>0</v>
      </c>
      <c r="Q1009" s="27">
        <f>L1009*N1009*O1009*G1009+O1009*M1009</f>
        <v>0</v>
      </c>
      <c r="R1009" s="27">
        <f>SUMPRODUCT(($D$926:$D$1002=C1009)*($E$926:$E$1002=D1009)*(($L$926:$L$1002=I1009)*($J$926:$J$1002=0)*($I$926:$I$1002=F1009)*($AE$926:$AE$1002)))</f>
        <v>46350</v>
      </c>
      <c r="S1009" s="27">
        <f>SUMPRODUCT(($D$926:$D$1002=C1009)*($E$926:$E$1002=D1009)*(($L$926:$L$1002=I1009)*($J$926:$J$1002=1)*($I$926:$I$1002=F1009)*($AE$926:$AE$1002)))</f>
        <v>40973.399999999994</v>
      </c>
      <c r="T1009" s="27">
        <f>SUMPRODUCT(($D$926:$D$1002=C1009)*($E$926:$E$1002=D1009)*(($L$926:$L$1002=I1009)*($J$926:$J$1002=0)*($I$926:$I$1002=F1009)*($AF$926:$AF$1002)))</f>
        <v>37080</v>
      </c>
      <c r="U1009" s="27">
        <f>SUMPRODUCT(($D$926:$D$1002=C1009)*($E$926:$E$1002=D1009)*(($L$926:$L$1002=I1009)*($J$926:$J$1002=1)*($I$926:$I$1002=F1009)*($AF$926:$AF$1002)))</f>
        <v>32939.399999999994</v>
      </c>
      <c r="V1009" s="28">
        <f>IF((S1009+S1010)&lt;=(R1009+R1010),0,MIN(MAX(0,S1009-R1009),P1009))</f>
        <v>0</v>
      </c>
      <c r="W1009" s="28">
        <v>0</v>
      </c>
      <c r="X1009" s="27">
        <f>IF(S1009&lt;=R1009,0,MIN(S1009-R1009,P1009))</f>
        <v>0</v>
      </c>
      <c r="Y1009" s="142" t="str">
        <f>F1009&amp;I1009&amp;H1009</f>
        <v>SR80711</v>
      </c>
      <c r="AC1009" s="19"/>
      <c r="AD1009" s="6"/>
      <c r="AE1009" s="6"/>
      <c r="AF1009" s="6"/>
      <c r="AG1009" s="6"/>
      <c r="AH1009" s="6"/>
      <c r="AI1009" s="6"/>
      <c r="AJ1009" s="6"/>
      <c r="AK1009" s="6"/>
      <c r="AL1009" s="6"/>
      <c r="AM1009" s="6"/>
      <c r="AN1009" s="6"/>
      <c r="AO1009" s="6"/>
      <c r="AP1009" s="6"/>
      <c r="AQ1009" s="6"/>
      <c r="AR1009" s="6"/>
      <c r="AS1009" s="6"/>
      <c r="AT1009" s="6"/>
    </row>
    <row r="1010" spans="1:75" x14ac:dyDescent="0.25">
      <c r="A1010" t="s">
        <v>173</v>
      </c>
      <c r="B1010" s="24" t="str">
        <f>B1009</f>
        <v>6001</v>
      </c>
      <c r="C1010" s="12" t="str">
        <f>$C$5</f>
        <v>B00101</v>
      </c>
      <c r="D1010" s="12" t="str">
        <f>$D$5</f>
        <v>6001</v>
      </c>
      <c r="E1010" s="12" t="str">
        <f>$B$19</f>
        <v>CZCE</v>
      </c>
      <c r="F1010" s="24" t="str">
        <f>F1009</f>
        <v>SR807</v>
      </c>
      <c r="G1010" s="12">
        <f xml:space="preserve"> VLOOKUP(F1010,$C$19:$L$31,3,FALSE)</f>
        <v>10</v>
      </c>
      <c r="H1010" s="24">
        <v>1</v>
      </c>
      <c r="I1010" s="24">
        <v>3</v>
      </c>
      <c r="J1010" s="24">
        <f>VLOOKUP(Y1010,$F$53:$L$72,4,FALSE)</f>
        <v>5.2999999999999999E-2</v>
      </c>
      <c r="K1010" s="24">
        <f>VLOOKUP(Y1010,$F$53:$L$72,5,FALSE)</f>
        <v>5.3</v>
      </c>
      <c r="L1010" s="24">
        <f>VLOOKUP(Y1010,$F$53:$L$72,2,FALSE)</f>
        <v>4.2999999999999997E-2</v>
      </c>
      <c r="M1010" s="24">
        <f>VLOOKUP(Y1010,$F$53:$L$72,3,FALSE)</f>
        <v>4.3</v>
      </c>
      <c r="N1010" s="24">
        <f xml:space="preserve"> VLOOKUP(F1010,$C$230:$F$242,3,FALSE)</f>
        <v>6170</v>
      </c>
      <c r="O1010" s="24">
        <v>0</v>
      </c>
      <c r="P1010" s="27">
        <f>J1010*N1010*O1010*G1010+K1010*O1010</f>
        <v>0</v>
      </c>
      <c r="Q1010" s="27">
        <f>L1010*N1010*O1010*G1010+O1010*M1010</f>
        <v>0</v>
      </c>
      <c r="R1010" s="27">
        <f>SUMPRODUCT(($D$926:$D$1002=C1010)*($E$926:$E$1002=D1010)*(($L$926:$L$1002=I1010)*($J$926:$J$1002=0)*($I$926:$I$1002=F1010)*($AE$926:$AE$1002)))</f>
        <v>16068</v>
      </c>
      <c r="S1010" s="27">
        <f>SUMPRODUCT(($D$926:$D$1002=C1010)*($E$926:$E$1002=D1010)*(($L$926:$L$1002=I1010)*($J$926:$J$1002=1)*($I$926:$I$1002=F1010)*($AE$926:$AE$1002)))</f>
        <v>68783.399999999994</v>
      </c>
      <c r="T1010" s="27">
        <f>SUMPRODUCT(($D$926:$D$1002=C1010)*($E$926:$E$1002=D1010)*(($L$926:$L$1002=I1010)*($J$926:$J$1002=0)*($I$926:$I$1002=F1010)*($AF$926:$AF$1002)))</f>
        <v>12978</v>
      </c>
      <c r="U1010" s="27">
        <f>SUMPRODUCT(($D$926:$D$1002=C1010)*($E$926:$E$1002=D1010)*(($L$926:$L$1002=I1010)*($J$926:$J$1002=1)*($I$926:$I$1002=F1010)*($AF$926:$AF$1002)))</f>
        <v>55805.399999999994</v>
      </c>
      <c r="V1010" s="28">
        <f>IF((S1009+S1010)&lt;=(R1009+R1010),0,MIN(MAX(0,S1010-R1010),P1010))</f>
        <v>0</v>
      </c>
      <c r="W1010" s="28">
        <f>IF((U1010+U1009)&lt;=(T1010+T1009),0,MIN(U1010-T1010,Q1010))</f>
        <v>0</v>
      </c>
      <c r="X1010" s="27">
        <f>IF(S1010&lt;=R1010,0,MIN(S1010-R1010,P1010))</f>
        <v>0</v>
      </c>
      <c r="Y1010" s="142" t="str">
        <f>F1010&amp;I1010&amp;H1010</f>
        <v>SR80731</v>
      </c>
      <c r="Z1010" s="2"/>
      <c r="AA1010" s="2"/>
      <c r="AB1010" s="2"/>
      <c r="AC1010" s="18"/>
      <c r="AD1010" s="6"/>
      <c r="AE1010" s="6"/>
      <c r="AF1010" s="6"/>
      <c r="AG1010" s="6"/>
      <c r="AH1010" s="6"/>
      <c r="AI1010" s="6"/>
      <c r="AJ1010" s="6"/>
      <c r="AK1010" s="6"/>
      <c r="AL1010" s="6"/>
      <c r="AM1010" s="6"/>
      <c r="AN1010" s="6"/>
      <c r="AO1010" s="6"/>
      <c r="AP1010" s="7"/>
      <c r="AQ1010" s="7"/>
      <c r="AR1010" s="7"/>
      <c r="AS1010" s="7"/>
      <c r="AT1010" s="7"/>
      <c r="AU1010" s="2"/>
      <c r="AV1010" s="2"/>
    </row>
    <row r="1011" spans="1:75" x14ac:dyDescent="0.25">
      <c r="A1011" t="s">
        <v>173</v>
      </c>
      <c r="B1011" s="122"/>
      <c r="C1011" s="3"/>
      <c r="D1011" s="3"/>
      <c r="E1011" s="3"/>
      <c r="F1011" s="39"/>
      <c r="G1011" s="3"/>
      <c r="H1011" s="39"/>
      <c r="I1011" s="39"/>
      <c r="J1011" s="39"/>
      <c r="K1011" s="39"/>
      <c r="L1011" s="39"/>
      <c r="M1011" s="39"/>
      <c r="N1011" s="39"/>
      <c r="O1011" s="39"/>
      <c r="P1011" s="40"/>
      <c r="Q1011" s="40"/>
      <c r="R1011" s="40"/>
      <c r="S1011" s="40"/>
      <c r="T1011" s="40"/>
      <c r="U1011" s="40"/>
      <c r="V1011" s="143"/>
      <c r="W1011" s="143"/>
      <c r="X1011" s="40"/>
      <c r="Y1011" s="142"/>
      <c r="Z1011" s="2"/>
      <c r="AA1011" s="2"/>
      <c r="AB1011" s="2"/>
      <c r="AC1011" s="23"/>
      <c r="AD1011" s="23"/>
      <c r="AE1011" s="23"/>
      <c r="AF1011" s="23"/>
      <c r="AG1011" s="23"/>
      <c r="AH1011" s="23"/>
      <c r="AI1011" s="23"/>
      <c r="AJ1011" s="23"/>
      <c r="AK1011" s="23"/>
      <c r="AL1011" s="23"/>
      <c r="AM1011" s="23"/>
      <c r="AN1011" s="23"/>
      <c r="AO1011" s="23"/>
      <c r="AP1011" s="23"/>
      <c r="AQ1011" s="23"/>
      <c r="AR1011" s="23"/>
      <c r="AS1011" s="23"/>
      <c r="AT1011" s="23"/>
      <c r="AU1011" s="2"/>
      <c r="AV1011" s="2"/>
    </row>
    <row r="1012" spans="1:75" x14ac:dyDescent="0.25">
      <c r="A1012" t="s">
        <v>173</v>
      </c>
      <c r="B1012" s="57" t="s">
        <v>124</v>
      </c>
      <c r="C1012" s="9" t="s">
        <v>980</v>
      </c>
      <c r="D1012" s="3"/>
      <c r="E1012" s="3"/>
      <c r="F1012" s="3"/>
      <c r="G1012" s="39"/>
      <c r="H1012" s="3"/>
      <c r="I1012" s="39"/>
      <c r="J1012" s="39"/>
      <c r="K1012" s="39"/>
      <c r="L1012" s="39"/>
      <c r="M1012" s="39"/>
      <c r="N1012" s="39"/>
      <c r="O1012" s="39"/>
      <c r="P1012" s="39"/>
      <c r="Q1012" s="40"/>
      <c r="R1012" s="40"/>
      <c r="S1012" s="40"/>
      <c r="T1012" s="40"/>
      <c r="U1012" s="40"/>
      <c r="V1012" s="40"/>
      <c r="W1012" s="143"/>
      <c r="X1012" s="143"/>
      <c r="Y1012" s="40"/>
      <c r="Z1012" s="142"/>
      <c r="AA1012" s="2"/>
      <c r="AB1012" s="2"/>
      <c r="AC1012" s="2"/>
      <c r="AD1012" s="23"/>
      <c r="AE1012" s="23"/>
      <c r="AF1012" s="23"/>
      <c r="AG1012" s="23"/>
      <c r="AH1012" s="23"/>
      <c r="AI1012" s="23"/>
      <c r="AJ1012" s="23"/>
      <c r="AK1012" s="23"/>
      <c r="AL1012" s="23"/>
      <c r="AM1012" s="23"/>
      <c r="AN1012" s="23"/>
      <c r="AO1012" s="23"/>
      <c r="AP1012" s="23"/>
      <c r="AQ1012" s="23"/>
      <c r="AR1012" s="23"/>
      <c r="AS1012" s="23"/>
      <c r="AT1012" s="23"/>
      <c r="AU1012" s="23"/>
      <c r="AV1012" s="2"/>
      <c r="AW1012" s="2"/>
    </row>
    <row r="1013" spans="1:75" x14ac:dyDescent="0.25">
      <c r="A1013" t="s">
        <v>173</v>
      </c>
      <c r="B1013" s="57" t="s">
        <v>306</v>
      </c>
      <c r="C1013" s="684" t="s">
        <v>572</v>
      </c>
      <c r="D1013" s="721"/>
      <c r="E1013" s="721"/>
      <c r="F1013" s="721"/>
      <c r="G1013" s="721"/>
      <c r="H1013" s="721"/>
      <c r="I1013" s="721"/>
      <c r="J1013" s="721"/>
      <c r="K1013" s="721"/>
      <c r="L1013" s="721"/>
      <c r="M1013" s="721"/>
      <c r="N1013" s="39"/>
      <c r="O1013" s="39"/>
      <c r="P1013" s="39"/>
      <c r="Q1013" s="40"/>
      <c r="R1013" s="40"/>
      <c r="S1013" s="40"/>
      <c r="T1013" s="40"/>
      <c r="U1013" s="40"/>
      <c r="V1013" s="40"/>
      <c r="W1013" s="143"/>
      <c r="X1013" s="143"/>
      <c r="Y1013" s="40"/>
      <c r="Z1013" s="142"/>
      <c r="AA1013" s="2"/>
      <c r="AB1013" s="2"/>
      <c r="AC1013" s="2"/>
      <c r="AD1013" s="23"/>
      <c r="AE1013" s="23"/>
      <c r="AF1013" s="23"/>
      <c r="AG1013" s="23"/>
      <c r="AH1013" s="23"/>
      <c r="AI1013" s="23"/>
      <c r="AJ1013" s="23"/>
      <c r="AK1013" s="23"/>
      <c r="AL1013" s="23"/>
      <c r="AM1013" s="23"/>
      <c r="AN1013" s="23"/>
      <c r="AO1013" s="23"/>
      <c r="AP1013" s="23"/>
      <c r="AQ1013" s="23"/>
      <c r="AR1013" s="23"/>
      <c r="AS1013" s="23"/>
      <c r="AT1013" s="23"/>
      <c r="AU1013" s="23"/>
      <c r="AV1013" s="2"/>
      <c r="AW1013" s="2"/>
    </row>
    <row r="1014" spans="1:75" x14ac:dyDescent="0.25">
      <c r="A1014" t="s">
        <v>173</v>
      </c>
      <c r="B1014" t="s">
        <v>173</v>
      </c>
      <c r="C1014" s="144" t="s">
        <v>365</v>
      </c>
      <c r="D1014" s="7" t="s">
        <v>191</v>
      </c>
      <c r="E1014" s="7" t="s">
        <v>5</v>
      </c>
      <c r="F1014" s="7" t="s">
        <v>286</v>
      </c>
      <c r="G1014" s="7" t="s">
        <v>287</v>
      </c>
      <c r="H1014" s="7" t="s">
        <v>120</v>
      </c>
      <c r="I1014" s="144" t="s">
        <v>591</v>
      </c>
      <c r="J1014" s="144" t="s">
        <v>52</v>
      </c>
      <c r="K1014" s="144" t="s">
        <v>294</v>
      </c>
      <c r="L1014" s="144" t="s">
        <v>9</v>
      </c>
      <c r="M1014" s="144" t="s">
        <v>592</v>
      </c>
      <c r="N1014" s="39"/>
      <c r="O1014" s="39"/>
      <c r="P1014" s="39"/>
      <c r="Q1014" s="40"/>
      <c r="R1014" s="40"/>
      <c r="S1014" s="40"/>
      <c r="T1014" s="40"/>
      <c r="U1014" s="40"/>
      <c r="V1014" s="40"/>
      <c r="W1014" s="143"/>
      <c r="X1014" s="143"/>
      <c r="Y1014" s="40"/>
      <c r="Z1014" s="142"/>
      <c r="AA1014" s="2"/>
      <c r="AB1014" s="2"/>
      <c r="AC1014" s="2"/>
      <c r="AD1014" s="23"/>
      <c r="AE1014" s="23"/>
      <c r="AF1014" s="23"/>
      <c r="AG1014" s="23"/>
      <c r="AH1014" s="23"/>
      <c r="AI1014" s="23"/>
      <c r="AJ1014" s="23"/>
      <c r="AK1014" s="23"/>
      <c r="AL1014" s="23"/>
      <c r="AM1014" s="23"/>
      <c r="AN1014" s="23"/>
      <c r="AO1014" s="23"/>
      <c r="AP1014" s="23"/>
      <c r="AQ1014" s="23"/>
      <c r="AR1014" s="23"/>
      <c r="AS1014" s="23"/>
      <c r="AT1014" s="23"/>
      <c r="AU1014" s="23"/>
      <c r="AV1014" s="2"/>
      <c r="AW1014" s="2"/>
    </row>
    <row r="1015" spans="1:75" ht="24" x14ac:dyDescent="0.25">
      <c r="A1015" t="s">
        <v>173</v>
      </c>
      <c r="C1015" s="144" t="s">
        <v>325</v>
      </c>
      <c r="D1015" s="7" t="s">
        <v>346</v>
      </c>
      <c r="E1015" s="7" t="s">
        <v>327</v>
      </c>
      <c r="F1015" s="7" t="s">
        <v>321</v>
      </c>
      <c r="G1015" s="144" t="s">
        <v>322</v>
      </c>
      <c r="H1015" s="7" t="s">
        <v>323</v>
      </c>
      <c r="I1015" s="37" t="s">
        <v>1010</v>
      </c>
      <c r="J1015" s="144" t="s">
        <v>328</v>
      </c>
      <c r="K1015" s="144" t="s">
        <v>331</v>
      </c>
      <c r="L1015" s="144" t="s">
        <v>332</v>
      </c>
      <c r="M1015" s="144" t="s">
        <v>333</v>
      </c>
      <c r="N1015" s="39"/>
      <c r="O1015" s="39"/>
      <c r="P1015" s="39"/>
      <c r="Q1015" s="40"/>
      <c r="R1015" s="40"/>
      <c r="S1015" s="40"/>
      <c r="T1015" s="40"/>
      <c r="U1015" s="40"/>
      <c r="V1015" s="40"/>
      <c r="W1015" s="143"/>
      <c r="X1015" s="143"/>
      <c r="Y1015" s="40"/>
      <c r="Z1015" s="142"/>
      <c r="AA1015" s="2"/>
      <c r="AB1015" s="2"/>
      <c r="AC1015" s="2"/>
      <c r="AD1015" s="23"/>
      <c r="AE1015" s="23"/>
      <c r="AF1015" s="23"/>
      <c r="AG1015" s="23"/>
      <c r="AH1015" s="23"/>
      <c r="AI1015" s="23"/>
      <c r="AJ1015" s="23"/>
      <c r="AK1015" s="23"/>
      <c r="AL1015" s="23"/>
      <c r="AM1015" s="23"/>
      <c r="AN1015" s="23"/>
      <c r="AO1015" s="23"/>
      <c r="AP1015" s="23"/>
      <c r="AQ1015" s="23"/>
      <c r="AR1015" s="23"/>
      <c r="AS1015" s="23"/>
      <c r="AT1015" s="23"/>
      <c r="AU1015" s="23"/>
      <c r="AV1015" s="2"/>
      <c r="AW1015" s="2"/>
    </row>
    <row r="1016" spans="1:75" x14ac:dyDescent="0.25">
      <c r="A1016" t="s">
        <v>173</v>
      </c>
      <c r="C1016" s="145">
        <f>$B$2</f>
        <v>20180328</v>
      </c>
      <c r="D1016" s="12" t="str">
        <f>$F$5</f>
        <v>9999</v>
      </c>
      <c r="E1016" s="12" t="str">
        <f>$B$19</f>
        <v>CZCE</v>
      </c>
      <c r="F1016" s="12" t="str">
        <f t="shared" ref="F1016:H1017" si="634">B1009</f>
        <v>6001</v>
      </c>
      <c r="G1016" s="12" t="str">
        <f t="shared" si="634"/>
        <v>B00101</v>
      </c>
      <c r="H1016" s="12" t="str">
        <f t="shared" si="634"/>
        <v>6001</v>
      </c>
      <c r="I1016" s="12" t="s">
        <v>228</v>
      </c>
      <c r="J1016" s="125" t="str">
        <f>F1009</f>
        <v>SR807</v>
      </c>
      <c r="K1016" s="125">
        <f>IF(H1009=0,2,3)</f>
        <v>3</v>
      </c>
      <c r="L1016" s="125">
        <f>I1009</f>
        <v>1</v>
      </c>
      <c r="M1016" s="125">
        <f>O1009</f>
        <v>0</v>
      </c>
      <c r="N1016" s="39"/>
      <c r="O1016" s="39"/>
      <c r="P1016" s="39"/>
      <c r="Q1016" s="40"/>
      <c r="R1016" s="40"/>
      <c r="S1016" s="40"/>
      <c r="T1016" s="40"/>
      <c r="U1016" s="40"/>
      <c r="V1016" s="40"/>
      <c r="W1016" s="143"/>
      <c r="X1016" s="143"/>
      <c r="Y1016" s="40"/>
      <c r="Z1016" s="142"/>
      <c r="AA1016" s="2"/>
      <c r="AB1016" s="2"/>
      <c r="AC1016" s="2"/>
      <c r="AD1016" s="23"/>
      <c r="AE1016" s="23"/>
      <c r="AF1016" s="23"/>
      <c r="AG1016" s="23"/>
      <c r="AH1016" s="23"/>
      <c r="AI1016" s="23"/>
      <c r="AJ1016" s="23"/>
      <c r="AK1016" s="23"/>
      <c r="AL1016" s="23"/>
      <c r="AM1016" s="23"/>
      <c r="AN1016" s="23"/>
      <c r="AO1016" s="23"/>
      <c r="AP1016" s="23"/>
      <c r="AQ1016" s="23"/>
      <c r="AR1016" s="23"/>
      <c r="AS1016" s="23"/>
      <c r="AT1016" s="23"/>
      <c r="AU1016" s="23"/>
      <c r="AV1016" s="2"/>
      <c r="AW1016" s="2"/>
    </row>
    <row r="1017" spans="1:75" x14ac:dyDescent="0.25">
      <c r="A1017" t="s">
        <v>173</v>
      </c>
      <c r="C1017" s="145">
        <f>$B$2</f>
        <v>20180328</v>
      </c>
      <c r="D1017" s="12" t="str">
        <f>$F$5</f>
        <v>9999</v>
      </c>
      <c r="E1017" s="12" t="str">
        <f>$B$19</f>
        <v>CZCE</v>
      </c>
      <c r="F1017" s="12" t="str">
        <f t="shared" si="634"/>
        <v>6001</v>
      </c>
      <c r="G1017" s="12" t="str">
        <f t="shared" si="634"/>
        <v>B00101</v>
      </c>
      <c r="H1017" s="12" t="str">
        <f t="shared" si="634"/>
        <v>6001</v>
      </c>
      <c r="I1017" s="12" t="s">
        <v>228</v>
      </c>
      <c r="J1017" s="125" t="str">
        <f>F1010</f>
        <v>SR807</v>
      </c>
      <c r="K1017" s="125">
        <f>IF(H1010=0,2,3)</f>
        <v>3</v>
      </c>
      <c r="L1017" s="125">
        <f>I1010</f>
        <v>3</v>
      </c>
      <c r="M1017" s="125">
        <f>O1010</f>
        <v>0</v>
      </c>
      <c r="N1017" s="39"/>
      <c r="O1017" s="39"/>
      <c r="P1017" s="39"/>
      <c r="Q1017" s="40"/>
      <c r="R1017" s="40"/>
      <c r="S1017" s="40"/>
      <c r="T1017" s="40"/>
      <c r="U1017" s="40"/>
      <c r="V1017" s="40"/>
      <c r="W1017" s="143"/>
      <c r="X1017" s="143"/>
      <c r="Y1017" s="40"/>
      <c r="Z1017" s="142"/>
      <c r="AA1017" s="2"/>
      <c r="AB1017" s="2"/>
      <c r="AC1017" s="2"/>
      <c r="AD1017" s="23"/>
      <c r="AE1017" s="23"/>
      <c r="AF1017" s="23"/>
      <c r="AG1017" s="23"/>
      <c r="AH1017" s="23"/>
      <c r="AI1017" s="23"/>
      <c r="AJ1017" s="23"/>
      <c r="AK1017" s="23"/>
      <c r="AL1017" s="23"/>
      <c r="AM1017" s="23"/>
      <c r="AN1017" s="23"/>
      <c r="AO1017" s="23"/>
      <c r="AP1017" s="23"/>
      <c r="AQ1017" s="23"/>
      <c r="AR1017" s="23"/>
      <c r="AS1017" s="23"/>
      <c r="AT1017" s="23"/>
      <c r="AU1017" s="23"/>
      <c r="AV1017" s="2"/>
      <c r="AW1017" s="2"/>
    </row>
    <row r="1018" spans="1:75" x14ac:dyDescent="0.25">
      <c r="A1018" t="s">
        <v>173</v>
      </c>
      <c r="B1018" t="s">
        <v>539</v>
      </c>
    </row>
    <row r="1019" spans="1:75" x14ac:dyDescent="0.25">
      <c r="A1019" s="57" t="s">
        <v>124</v>
      </c>
      <c r="B1019" s="57" t="s">
        <v>980</v>
      </c>
      <c r="C1019" s="9"/>
      <c r="L1019" s="142"/>
      <c r="O1019" s="142"/>
      <c r="BM1019">
        <f>BM1023+BO1023</f>
        <v>0</v>
      </c>
    </row>
    <row r="1020" spans="1:75" x14ac:dyDescent="0.25">
      <c r="A1020" t="s">
        <v>306</v>
      </c>
      <c r="B1020" s="754" t="s">
        <v>979</v>
      </c>
      <c r="C1020" s="755"/>
      <c r="D1020" s="755"/>
      <c r="E1020" s="755"/>
      <c r="F1020" s="755"/>
      <c r="G1020" s="755"/>
      <c r="H1020" s="755"/>
      <c r="I1020" s="755"/>
      <c r="J1020" s="755"/>
      <c r="K1020" s="755"/>
      <c r="L1020" s="755"/>
      <c r="M1020" s="755"/>
      <c r="N1020" s="755"/>
      <c r="O1020" s="755"/>
      <c r="P1020" s="755"/>
      <c r="Q1020" s="755"/>
      <c r="R1020" s="755"/>
      <c r="S1020" s="755"/>
      <c r="T1020" s="755"/>
      <c r="U1020" s="755"/>
      <c r="V1020" s="755"/>
      <c r="W1020" s="755"/>
      <c r="X1020" s="755"/>
      <c r="Y1020" s="755"/>
      <c r="Z1020" s="755"/>
      <c r="AA1020" s="755"/>
      <c r="AB1020" s="755"/>
      <c r="AC1020" s="755"/>
      <c r="AD1020" s="755"/>
      <c r="AE1020" s="755"/>
      <c r="AF1020" s="755"/>
      <c r="AG1020" s="755"/>
      <c r="AH1020" s="755"/>
      <c r="AI1020" s="755"/>
      <c r="AJ1020" s="755"/>
      <c r="AK1020" s="755"/>
      <c r="AL1020" s="755"/>
      <c r="AM1020" s="755"/>
      <c r="AN1020" s="755"/>
      <c r="AO1020" s="755"/>
      <c r="AP1020" s="755"/>
      <c r="AQ1020" s="755"/>
      <c r="AR1020" s="755"/>
      <c r="AS1020" s="755"/>
      <c r="AT1020" s="755"/>
      <c r="AU1020" s="755"/>
      <c r="AV1020" s="755"/>
      <c r="AW1020" s="755"/>
      <c r="AX1020" s="755"/>
      <c r="AY1020" s="755"/>
      <c r="AZ1020" s="755"/>
      <c r="BA1020" s="755"/>
      <c r="BB1020" s="755"/>
      <c r="BC1020" s="755"/>
      <c r="BD1020" s="755"/>
      <c r="BE1020" s="755"/>
      <c r="BF1020" s="755"/>
      <c r="BG1020" s="755"/>
      <c r="BH1020" s="755"/>
      <c r="BI1020" s="755"/>
      <c r="BJ1020" s="755"/>
      <c r="BK1020" s="755"/>
      <c r="BL1020" s="755"/>
      <c r="BM1020" s="755"/>
      <c r="BN1020" s="755"/>
      <c r="BO1020" s="755"/>
      <c r="BP1020" s="755"/>
      <c r="BQ1020" s="755"/>
      <c r="BR1020" s="755"/>
      <c r="BS1020" s="755"/>
      <c r="BT1020" s="755"/>
      <c r="BU1020" s="755"/>
      <c r="BV1020" s="755"/>
      <c r="BW1020" s="755"/>
    </row>
    <row r="1021" spans="1:75" x14ac:dyDescent="0.25">
      <c r="A1021" t="s">
        <v>1476</v>
      </c>
      <c r="B1021" s="7" t="s">
        <v>286</v>
      </c>
      <c r="C1021" s="7" t="s">
        <v>287</v>
      </c>
      <c r="D1021" s="7" t="s">
        <v>120</v>
      </c>
      <c r="E1021" s="7" t="s">
        <v>226</v>
      </c>
      <c r="F1021" s="7" t="s">
        <v>515</v>
      </c>
      <c r="G1021" s="7" t="s">
        <v>541</v>
      </c>
      <c r="H1021" s="7" t="s">
        <v>542</v>
      </c>
      <c r="I1021" s="7" t="s">
        <v>543</v>
      </c>
      <c r="J1021" s="7" t="s">
        <v>544</v>
      </c>
      <c r="K1021" s="7" t="s">
        <v>545</v>
      </c>
      <c r="L1021" s="7" t="s">
        <v>546</v>
      </c>
      <c r="M1021" s="7" t="s">
        <v>547</v>
      </c>
      <c r="N1021" s="7" t="s">
        <v>548</v>
      </c>
      <c r="O1021" s="7" t="s">
        <v>549</v>
      </c>
      <c r="P1021" s="7" t="s">
        <v>711</v>
      </c>
      <c r="Q1021" s="7" t="s">
        <v>712</v>
      </c>
      <c r="R1021" s="7" t="s">
        <v>13</v>
      </c>
      <c r="S1021" s="7" t="s">
        <v>635</v>
      </c>
      <c r="T1021" s="7" t="s">
        <v>636</v>
      </c>
      <c r="U1021" s="7" t="s">
        <v>550</v>
      </c>
      <c r="V1021" s="7" t="s">
        <v>551</v>
      </c>
      <c r="W1021" s="7" t="s">
        <v>351</v>
      </c>
      <c r="X1021" s="7" t="s">
        <v>352</v>
      </c>
      <c r="Y1021" s="29" t="s">
        <v>571</v>
      </c>
      <c r="Z1021" s="29" t="s">
        <v>414</v>
      </c>
      <c r="AA1021" s="29" t="s">
        <v>570</v>
      </c>
      <c r="AB1021" s="29" t="s">
        <v>633</v>
      </c>
      <c r="AC1021" s="29" t="s">
        <v>630</v>
      </c>
      <c r="AD1021" s="100" t="s">
        <v>632</v>
      </c>
      <c r="AE1021" s="100" t="s">
        <v>298</v>
      </c>
      <c r="AF1021" s="100" t="s">
        <v>103</v>
      </c>
      <c r="AG1021" s="100" t="s">
        <v>414</v>
      </c>
      <c r="AH1021" s="100" t="s">
        <v>104</v>
      </c>
      <c r="AI1021" s="100" t="s">
        <v>55</v>
      </c>
      <c r="AJ1021" s="100" t="s">
        <v>665</v>
      </c>
      <c r="AK1021" s="100" t="s">
        <v>597</v>
      </c>
      <c r="AL1021" s="100" t="s">
        <v>598</v>
      </c>
      <c r="AM1021" s="100" t="s">
        <v>599</v>
      </c>
      <c r="AN1021" s="100" t="s">
        <v>600</v>
      </c>
      <c r="AO1021" s="100" t="s">
        <v>671</v>
      </c>
      <c r="AP1021" s="100" t="s">
        <v>672</v>
      </c>
      <c r="AQ1021" s="100" t="s">
        <v>673</v>
      </c>
      <c r="AR1021" s="100" t="s">
        <v>674</v>
      </c>
      <c r="AS1021" s="7" t="s">
        <v>553</v>
      </c>
      <c r="AT1021" s="7" t="s">
        <v>554</v>
      </c>
      <c r="AU1021" s="7" t="s">
        <v>555</v>
      </c>
      <c r="AV1021" s="7" t="s">
        <v>556</v>
      </c>
      <c r="AW1021" s="7" t="s">
        <v>557</v>
      </c>
      <c r="AX1021" s="7" t="s">
        <v>558</v>
      </c>
      <c r="AY1021" s="7" t="s">
        <v>559</v>
      </c>
      <c r="AZ1021" s="7" t="s">
        <v>560</v>
      </c>
      <c r="BA1021" s="7" t="s">
        <v>561</v>
      </c>
      <c r="BB1021" s="7" t="s">
        <v>562</v>
      </c>
      <c r="BC1021" s="7" t="s">
        <v>563</v>
      </c>
      <c r="BD1021" s="7" t="s">
        <v>564</v>
      </c>
      <c r="BE1021" s="7" t="s">
        <v>565</v>
      </c>
      <c r="BF1021" s="7" t="s">
        <v>566</v>
      </c>
      <c r="BG1021" s="7" t="s">
        <v>567</v>
      </c>
      <c r="BH1021" s="7" t="s">
        <v>568</v>
      </c>
      <c r="BI1021" s="7" t="s">
        <v>365</v>
      </c>
      <c r="BJ1021" s="7" t="s">
        <v>191</v>
      </c>
      <c r="BK1021" s="7" t="s">
        <v>643</v>
      </c>
      <c r="BL1021" s="7" t="s">
        <v>644</v>
      </c>
      <c r="BM1021" s="123" t="s">
        <v>655</v>
      </c>
      <c r="BN1021" s="123" t="s">
        <v>656</v>
      </c>
      <c r="BO1021" s="123" t="s">
        <v>660</v>
      </c>
      <c r="BP1021" s="123" t="s">
        <v>661</v>
      </c>
      <c r="BQ1021" s="123" t="s">
        <v>658</v>
      </c>
      <c r="BR1021" s="123" t="s">
        <v>657</v>
      </c>
      <c r="BS1021" s="123" t="s">
        <v>663</v>
      </c>
      <c r="BT1021" s="123" t="s">
        <v>662</v>
      </c>
      <c r="BU1021" s="7" t="s">
        <v>530</v>
      </c>
      <c r="BV1021" s="7" t="s">
        <v>697</v>
      </c>
      <c r="BW1021" s="123" t="s">
        <v>1473</v>
      </c>
    </row>
    <row r="1022" spans="1:75" x14ac:dyDescent="0.3">
      <c r="B1022" s="7" t="s">
        <v>321</v>
      </c>
      <c r="C1022" s="144" t="s">
        <v>322</v>
      </c>
      <c r="D1022" s="7" t="s">
        <v>323</v>
      </c>
      <c r="E1022" s="7" t="s">
        <v>1011</v>
      </c>
      <c r="F1022" s="7" t="s">
        <v>652</v>
      </c>
      <c r="G1022" s="7" t="s">
        <v>651</v>
      </c>
      <c r="H1022" s="7" t="s">
        <v>650</v>
      </c>
      <c r="I1022" s="7" t="s">
        <v>649</v>
      </c>
      <c r="J1022" s="7" t="s">
        <v>647</v>
      </c>
      <c r="K1022" s="7" t="s">
        <v>648</v>
      </c>
      <c r="L1022" s="7" t="s">
        <v>1048</v>
      </c>
      <c r="M1022" s="7" t="s">
        <v>727</v>
      </c>
      <c r="N1022" s="7" t="s">
        <v>1049</v>
      </c>
      <c r="O1022" s="7" t="s">
        <v>734</v>
      </c>
      <c r="P1022" s="7" t="s">
        <v>711</v>
      </c>
      <c r="Q1022" s="7" t="s">
        <v>712</v>
      </c>
      <c r="R1022" s="146" t="s">
        <v>637</v>
      </c>
      <c r="S1022" s="146" t="s">
        <v>1801</v>
      </c>
      <c r="T1022" s="146" t="s">
        <v>634</v>
      </c>
      <c r="U1022" s="146" t="s">
        <v>645</v>
      </c>
      <c r="V1022" s="146" t="s">
        <v>646</v>
      </c>
      <c r="W1022" s="146" t="s">
        <v>639</v>
      </c>
      <c r="X1022" s="146" t="s">
        <v>640</v>
      </c>
      <c r="Y1022" s="146" t="s">
        <v>621</v>
      </c>
      <c r="Z1022" s="146" t="s">
        <v>1497</v>
      </c>
      <c r="AA1022" s="146" t="s">
        <v>1498</v>
      </c>
      <c r="AB1022" s="146" t="s">
        <v>622</v>
      </c>
      <c r="AC1022" s="146" t="s">
        <v>623</v>
      </c>
      <c r="AD1022" s="146" t="s">
        <v>624</v>
      </c>
      <c r="AE1022" s="146" t="s">
        <v>31</v>
      </c>
      <c r="AF1022" s="146" t="s">
        <v>625</v>
      </c>
      <c r="AG1022" s="146" t="s">
        <v>626</v>
      </c>
      <c r="AH1022" s="146" t="s">
        <v>627</v>
      </c>
      <c r="AI1022" s="146" t="s">
        <v>628</v>
      </c>
      <c r="AJ1022" s="146" t="s">
        <v>629</v>
      </c>
      <c r="AK1022" s="146" t="s">
        <v>617</v>
      </c>
      <c r="AL1022" s="146" t="s">
        <v>618</v>
      </c>
      <c r="AM1022" s="146" t="s">
        <v>619</v>
      </c>
      <c r="AN1022" s="146" t="s">
        <v>620</v>
      </c>
      <c r="AO1022" s="56" t="s">
        <v>667</v>
      </c>
      <c r="AP1022" s="56" t="s">
        <v>668</v>
      </c>
      <c r="AQ1022" s="56" t="s">
        <v>669</v>
      </c>
      <c r="AR1022" s="56" t="s">
        <v>670</v>
      </c>
      <c r="AS1022" s="146" t="s">
        <v>601</v>
      </c>
      <c r="AT1022" s="146" t="s">
        <v>602</v>
      </c>
      <c r="AU1022" s="146" t="s">
        <v>603</v>
      </c>
      <c r="AV1022" s="146" t="s">
        <v>604</v>
      </c>
      <c r="AW1022" s="146" t="s">
        <v>605</v>
      </c>
      <c r="AX1022" s="146" t="s">
        <v>606</v>
      </c>
      <c r="AY1022" s="146" t="s">
        <v>607</v>
      </c>
      <c r="AZ1022" s="146" t="s">
        <v>608</v>
      </c>
      <c r="BA1022" s="146" t="s">
        <v>609</v>
      </c>
      <c r="BB1022" s="146" t="s">
        <v>610</v>
      </c>
      <c r="BC1022" s="146" t="s">
        <v>611</v>
      </c>
      <c r="BD1022" s="146" t="s">
        <v>612</v>
      </c>
      <c r="BE1022" s="146" t="s">
        <v>613</v>
      </c>
      <c r="BF1022" s="146" t="s">
        <v>614</v>
      </c>
      <c r="BG1022" s="146" t="s">
        <v>615</v>
      </c>
      <c r="BH1022" s="146" t="s">
        <v>616</v>
      </c>
      <c r="BI1022" s="56" t="s">
        <v>22</v>
      </c>
      <c r="BJ1022" s="56" t="s">
        <v>23</v>
      </c>
      <c r="BK1022" s="7" t="s">
        <v>643</v>
      </c>
      <c r="BL1022" s="7" t="s">
        <v>644</v>
      </c>
      <c r="BM1022" s="123" t="s">
        <v>655</v>
      </c>
      <c r="BN1022" s="123" t="s">
        <v>656</v>
      </c>
      <c r="BO1022" s="123" t="s">
        <v>660</v>
      </c>
      <c r="BP1022" s="123" t="s">
        <v>661</v>
      </c>
      <c r="BQ1022" s="123" t="s">
        <v>658</v>
      </c>
      <c r="BR1022" s="123" t="s">
        <v>657</v>
      </c>
      <c r="BS1022" s="123" t="s">
        <v>663</v>
      </c>
      <c r="BT1022" s="123" t="s">
        <v>662</v>
      </c>
      <c r="BU1022" s="7" t="s">
        <v>1599</v>
      </c>
      <c r="BV1022" s="7" t="s">
        <v>697</v>
      </c>
      <c r="BW1022" s="123" t="s">
        <v>1473</v>
      </c>
    </row>
    <row r="1023" spans="1:75" x14ac:dyDescent="0.25">
      <c r="B1023" s="12" t="str">
        <f t="shared" ref="B1023:B1039" si="635">$B$5</f>
        <v>6001</v>
      </c>
      <c r="C1023" s="12" t="str">
        <f t="shared" ref="C1023:C1028" si="636">$C$5</f>
        <v>B00101</v>
      </c>
      <c r="D1023" s="12" t="str">
        <f t="shared" ref="D1023:D1039" si="637">$D$5</f>
        <v>6001</v>
      </c>
      <c r="E1023" s="12" t="s">
        <v>228</v>
      </c>
      <c r="F1023" s="50" t="str">
        <f t="shared" ref="F1023:F1039" si="638">$B$19</f>
        <v>CZCE</v>
      </c>
      <c r="G1023" s="50" t="str">
        <f>C230</f>
        <v>SR807</v>
      </c>
      <c r="H1023" s="92">
        <v>1</v>
      </c>
      <c r="I1023" s="50">
        <f t="shared" ref="I1023:I1039" si="639" xml:space="preserve"> VLOOKUP(G1023,$C$19:$L$31,3,FALSE)</f>
        <v>10</v>
      </c>
      <c r="J1023" s="50">
        <f t="shared" ref="J1023:J1039" si="640">IF(BI1023=BW1023,0,SUMPRODUCT(($D$926:$D$1002=C1023)*($E$926:$E$1002=D1023)*($L$926:$L$1002=H1023)*($J$926:$J$1002=0)*($I$926:$I$1002=G1023)*($N$926:$N$1002))+SUMPRODUCT(($D$926:$D$1002=C1023)*($E$926:$E$1002=D1023)*($L$926:$L$1002=H1023)*($J$926:$J$1002=0)*($I$926:$I$1002=G1023)*($M$926:$M$1002)))</f>
        <v>0</v>
      </c>
      <c r="K1023" s="50">
        <f t="shared" ref="K1023:K1039" si="641">IF(BI1023=BW1023,0,SUMPRODUCT(($D$926:$D$1002=C1023)*($E$926:$E$1002=D1023)*($L$926:$L$1002=H1023)*($J$926:$J$1002=1)*($I$926:$I$1002=G1023)*($M$926:$M$1002))+SUMPRODUCT(($D$926:$D$1002=C1023)*($E$926:$E$1002=D1023)*($L$926:$L$1002=H1023)*($J$926:$J$1002=1)*($I$926:$I$1002=G1023)*($N$926:$N$1002)))</f>
        <v>0</v>
      </c>
      <c r="L1023" s="50">
        <f t="shared" ref="L1023:L1039" si="642">IF($G$190=0,BM1023,
                         IF(SUMPRODUCT(($C$1023:$C$1039=C1023)*($D$1023:$D$1039=D1023)*($G$1023:$G$1039=G1023)*($BM$1023:$BM$1039))&gt;=SUMPRODUCT(($C$1023:$C$1039=C1023)*($D$1023:$D$1039=D1023)*($G$1023:$G$1039=G1023)*($BN$1023:$BN$1039)),BM1023,0))+BO1023</f>
        <v>0</v>
      </c>
      <c r="M1023" s="223">
        <f t="shared" ref="M1023:M1039" si="643">IF($G$190=0,BN1023,
IF(SUMPRODUCT(($C$1023:$C$1039=C1023)*($D$1023:$D$1039=D1023)*($G$1023:$G$1039=G1023)*($BM$1023:$BM$1039))&lt;SUMPRODUCT(($C$1023:$C$1039=C1023)*($D$1023:$D$1039=D1023)*($G$1023:$G$1039=G1023)*($BN$1023:$BN$1039)),BN1023,0))+BP1023-BK1023</f>
        <v>0</v>
      </c>
      <c r="N1023" s="12">
        <f>IF(SUMPRODUCT(($C$1023:$C$1039=C1023)*($D$1023:$D$1039=D1023)*($G$1023:$G$1039=G1023)*($BQ$1023:$BQ$1039))&gt;=SUMPRODUCT(($C$1023:$C$1039=C1023)*($D$1023:$D$1039=D1023)*($G$1023:$G$1039=G1023)*($BR$1023:$BR$1039)),BQ1023,0)+BS1023</f>
        <v>0</v>
      </c>
      <c r="O1023" s="12">
        <f>IF(SUMPRODUCT(($C$1023:$C$1039=C1023)*($D$1023:$D$1039=D1023)*($G$1023:$G$1039=G1023)*($BQ$1023:$BQ$1039))&lt;SUMPRODUCT(($C$1023:$C$1039=C1023)*($D$1023:$D$1039=D1023)*($G$1023:$G$1039=G1023)*($BR$1023:$BR$1039)),BR1023,0)+BT1023-BL1023</f>
        <v>0</v>
      </c>
      <c r="P1023" s="50">
        <f t="shared" ref="P1023:P1039" si="644">SUMPRODUCT(($F$824:$F$836=C1023)*($G$824:$G$836=D1023)*($K$824:$K$836=G1023)*($N$824:$N$836=H1023)*($Y$824:$Y$836))</f>
        <v>0</v>
      </c>
      <c r="Q1023" s="50">
        <f t="shared" ref="Q1023:Q1039" si="645">SUMPRODUCT(($F$824:$F$836=C1023)*($G$824:$G$836=D1023)*($K$824:$K$836=G1023)*($N$824:$N$836=H1023)*($Z$824:$Z$836))</f>
        <v>0</v>
      </c>
      <c r="R1023" s="50">
        <f t="shared" ref="R1023:R1039" si="646" xml:space="preserve"> VLOOKUP(G1023,$C$230:$F$242,3,FALSE)</f>
        <v>6170</v>
      </c>
      <c r="S1023" s="50">
        <f t="shared" ref="S1023:S1039" si="647">IF(BI1023=BW1023,0,SUMPRODUCT(($D$926:$D$1002=C1023)*($E$926:$E$1002=D1023)*($L$926:$L$1002=H1023)*($J$926:$J$1002=0)*($I$926:$I$1002=G1023)*($AW$926:$AW$1002)))</f>
        <v>0</v>
      </c>
      <c r="T1023" s="50">
        <f t="shared" ref="T1023:T1039" si="648">IF(BI1023=BW1023,0,SUMPRODUCT(($D$926:$D$1002=C1023)*($E$926:$E$1002=D1023)*($L$926:$L$1002=H1023)*($J$926:$J$1002=1)*($I$926:$I$1002=G1023)*($AW$926:$AW$1002)))</f>
        <v>0</v>
      </c>
      <c r="U1023" s="92">
        <f t="shared" ref="U1023:U1039" si="649" xml:space="preserve"> IF(BU1023=1,I1023*J1023*R1023,0)</f>
        <v>0</v>
      </c>
      <c r="V1023" s="92">
        <f t="shared" ref="V1023:V1039" si="650" xml:space="preserve"> IF(BU1023=1,I1023*K1023*R1023,0)</f>
        <v>0</v>
      </c>
      <c r="W1023" s="25">
        <f t="shared" ref="W1023:W1039" si="651">SUMPRODUCT(($F$662:$F$709=C1023)*($G$662:$G$709=D1023)*(($L$662:$L$709=G1023)*($P$662:$P$709=H1023)*($AJ$662:$AJ$709)))</f>
        <v>0</v>
      </c>
      <c r="X1023" s="25">
        <f t="shared" ref="X1023:X1039" si="652">SUMPRODUCT(($F$662:$F$709=C1023)*($G$662:$G$709=D1023)*(($L$662:$L$709=G1023)*($P$662:$P$709=H1023)*($AK$662:$AK$709)))</f>
        <v>0</v>
      </c>
      <c r="Y1023" s="92">
        <f t="shared" ref="Y1023:Y1039" si="653">ROUND(SUMPRODUCT(($F$662:$F$709=C1023)*($G$662:$G$709=D1023)*($L$662:$L$709=G1023)*($P$662:$P$709=H1023)*($AA$662:$AA$709)),2)</f>
        <v>71.11</v>
      </c>
      <c r="Z1023" s="92">
        <f t="shared" ref="Z1023:Z1039" si="654">SUMPRODUCT(($E$792:$E$818=C1023)*($F$792:$F$818=D1023)*($I$792:$I$818=G1023)*($L$792:$L$818=H1023)*($O$792:$O$818=2)*($AC$792:$AC$818=1)*($U$792:$U$818))</f>
        <v>645.29999999999995</v>
      </c>
      <c r="AA1023" s="92">
        <f t="shared" ref="AA1023:AA1039" si="655">ROUND(SUMPRODUCT(($F$662:$F$709=C1023)*($G$662:$G$709=D1023)*($L$662:$L$709=G1023)*($P$662:$P$709=H1023)*($AQ$662:$AQ$709)),2)</f>
        <v>28.44</v>
      </c>
      <c r="AB1023" s="92">
        <v>0</v>
      </c>
      <c r="AC1023" s="92">
        <f t="shared" ref="AC1023:AC1039" si="656">SUMPRODUCT(($D$857:$D$873=C1023)*($E$857:$E$873=D1023)*($H$857:$H$873=G1023)*($L$857:$L$873=H1023)*($U$857:$U$873))</f>
        <v>0</v>
      </c>
      <c r="AD1023" s="92">
        <v>0</v>
      </c>
      <c r="AE1023" s="92">
        <f t="shared" ref="AE1023:AE1038" si="657">ROUND(SUMPRODUCT(($F$662:$F$709=C1023)*($G$662:$G$709=D1023)*($L$662:$L$709=G1023)*($P$662:$P$709=H1023)*($AB$662:$AB$709)),2)</f>
        <v>56.88</v>
      </c>
      <c r="AF1023" s="92">
        <v>0</v>
      </c>
      <c r="AG1023" s="92">
        <f t="shared" ref="AG1023:AG1039" si="658">SUMPRODUCT(($E$792:$E$818=C1023)*($F$792:$F$818=D1023)*($I$792:$I$818=G1023)*($L$792:$L$818=H1023)*($O$792:$O$818=1)*($AC$792:$AC$818=1)*($U$792:$U$818))</f>
        <v>430.2</v>
      </c>
      <c r="AH1023" s="92">
        <v>0</v>
      </c>
      <c r="AI1023" s="92">
        <f t="shared" ref="AI1023:AI1039" si="659">SUMPRODUCT(($D$857:$D$873=C1023)*($E$857:$E$873=D1023)*($H$857:$H$873=G1023)*($L$857:$L$873=H1023)*($V$857:$V$873))</f>
        <v>0</v>
      </c>
      <c r="AJ1023" s="92">
        <v>0</v>
      </c>
      <c r="AK1023" s="92">
        <f t="shared" ref="AK1023:AK1039" si="660">ROUND(SUMPRODUCT(($F$662:$F$709=C1023)*($G$662:$G$709=D1023)*($L$662:$L$709=G1023)*($P$662:$P$709=H1023)*($O$662:$O$709=0)*($AC$662:$AC$709)),2)</f>
        <v>0</v>
      </c>
      <c r="AL1023" s="92">
        <f t="shared" ref="AL1023:AL1039" si="661">ROUND(SUMPRODUCT(($F$662:$F$709=C1023)*($G$662:$G$709=D1023)*($L$662:$L$709=G1023)*($P$662:$P$709=H1023)*($O$662:$O$709=1)*($AC$662:$AC$709)),2)</f>
        <v>0</v>
      </c>
      <c r="AM1023" s="92">
        <f t="shared" ref="AM1023:AM1039" si="662">ROUND(SUMPRODUCT(($F$662:$F$709=C1023)*($G$662:$G$709=D1023)*($L$662:$L$709=G1023)*($P$662:$P$709=H1023)*($O$662:$O$709=0)*($AD$662:$AD$709)),2)+IF(BI1023=BW1023,SUMPRODUCT(($D$926:$D$1006=C1023)*($E$926:$E$1006=D1023)*($L$926:$L$1006=H1023)*($J$926:$J$1006=0)*($I$926:$I$1006=G1023)*($AM$926:$AM$1006))+SUMPRODUCT(($D$926:$D$1006=C1023)*($E$926:$E$1006=D1023)*($L$926:$L$1006=H1023)*($J$926:$J$1006=0)*($I$926:$I$1006=G1023)*($AO$926:$AO$1006)),0)</f>
        <v>-48900</v>
      </c>
      <c r="AN1023" s="147">
        <f t="shared" ref="AN1023:AN1039" si="663">ROUND(SUMPRODUCT(($F$662:$F$709=C1023)*($G$662:$G$709=D1023)*($L$662:$L$709=G1023)*($P$662:$P$709=H1023)*($O$662:$O$709=1)*($AD$662:$AD$709)),2)+IF(BI1023=BW1023,SUMPRODUCT(($D$926:$D$1006=C1023)*($E$926:$E$1006=D1023)*($L$926:$L$1006=H1023)*($J$926:$J$1006=1)*($I$926:$I$1006=G1023)*($AM$926:$AM$1006))+SUMPRODUCT(($D$926:$D$1006=C1023)*($E$926:$E$1006=D1023)*($L$926:$L$1006=H1023)*($J$926:$J$1006=0)*($I$926:$I$1006=G1023)*($AO$926:$AO$1006)),0)</f>
        <v>8540</v>
      </c>
      <c r="AO1023" s="147">
        <f t="shared" ref="AO1023:AO1039" si="664">SUMPRODUCT(($D$926:$D$1006=C1023)*($E$926:$E$1006=D1023)*($L$926:$L$1006=H1023)*($J$926:$J$1006=0)*($I$926:$I$1006=G1023)*($AL$926:$AL$1006))+SUMPRODUCT(($D$926:$D$1006=C1023)*($E$926:$E$1006=D1023)*($L$926:$L$1006=H1023)*($J$926:$J$1006=0)*($I$926:$I$1006=G1023)*($AN$926:$AN$1006))</f>
        <v>2850</v>
      </c>
      <c r="AP1023" s="147">
        <f t="shared" ref="AP1023:AP1039" si="665">SUMPRODUCT(($D$926:$D$1006=C1023)*($E$926:$E$1006=D1023)*($L$926:$L$1006=H1023)*($J$926:$J$1006=1)*($I$926:$I$1006=G1023)*($AL$926:$AL$1006))+SUMPRODUCT(($D$926:$D$1006=C1023)*($E$926:$E$1006=D1023)*($L$926:$L$1006=H1023)*($J$926:$J$1006=0)*($I$926:$I$1006=G1023)*($AN$926:$AN$1006))</f>
        <v>-2540</v>
      </c>
      <c r="AQ1023" s="147">
        <f t="shared" ref="AQ1023:AQ1039" si="666">IF(BI1023=BW1023,0,SUMPRODUCT(($D$926:$D$1006=C1023)*($E$926:$E$1006=D1023)*($L$926:$L$1006=H1023)*($J$926:$J$1006=0)*($I$926:$I$1006=G1023)*($AM$926:$AM$1006))+SUMPRODUCT(($D$926:$D$1006=C1023)*($E$926:$E$1006=D1023)*($L$926:$L$1006=H1023)*($J$926:$J$1006=0)*($I$926:$I$1006=G1023)*($AO$926:$AO$1006)))</f>
        <v>0</v>
      </c>
      <c r="AR1023" s="147">
        <f t="shared" ref="AR1023:AR1039" si="667">IF(BI1023=BW1023,0,SUMPRODUCT(($D$926:$D$1006=C1023)*($E$926:$E$1006=D1023)*($L$926:$L$1006=H1023)*($J$926:$J$1006=1)*($I$926:$I$1006=G1023)*($AM$926:$AM$1006))+SUMPRODUCT(($D$926:$D$1006=C1023)*($E$926:$E$1006=D1023)*($L$926:$L$1006=H1023)*($J$926:$J$1006=1)*($I$926:$I$1006=G1023)*($AO$926:$AO$1006)))</f>
        <v>0</v>
      </c>
      <c r="AS1023" s="92">
        <f t="shared" ref="AS1023:AS1039" si="668">SUMPRODUCT(($F$662:$F$709=C1023)*($G$662:$G$709=D1023)*($L$662:$L$709=G1023)*($P$662:$P$709=H1023)*($O$662:$O$709=0)*($Q$662:$Q$709))+SUMPRODUCT(($D$857:$D$873=C1023)*($E$857:$E$873=D1023)*($H$857:$H$873=G1023)*($L$857:$L$873=H1023)*($K$857:$K$873=0)*($O$857:$O$873=0)*($N$857:$N$873))</f>
        <v>1</v>
      </c>
      <c r="AT1023" s="92">
        <f t="shared" ref="AT1023:AT1039" si="669">SUMPRODUCT(($F$662:$F$709=C1023)*($G$662:$G$709=D1023)*($L$662:$L$709=G1023)*($P$662:$P$709=H1023)*($O$662:$O$709=0)*($AE$662:$AE$709))+SUMPRODUCT(($D$857:$D$873=C1023)*($E$857:$E$873=D1023)*($H$857:$H$873=G1023)*($L$857:$L$873=H1023)*($K$857:$K$873=1)*($O$857:$O$873=0)*($W$857:$W$873))</f>
        <v>61100</v>
      </c>
      <c r="AU1023" s="92">
        <f t="shared" ref="AU1023:AU1039" si="670">SUMPRODUCT(($F$662:$F$709=C1023)*($G$662:$G$709=D1023)*($L$662:$L$709=G1023)*($P$662:$P$709=H1023)*($O$662:$O$709=0)*($N$662:$N$709=0)*($Q$662:$Q$709))</f>
        <v>1</v>
      </c>
      <c r="AV1023" s="92">
        <f t="shared" ref="AV1023:AV1039" si="671">SUMPRODUCT(($F$662:$F$709=C1023)*($G$662:$G$709=D1023)*($L$662:$L$709=G1023)*($P$662:$P$709=H1023)*($O$662:$O$709=0)*($N$662:$N$709=0)*($AE$662:$AE$709))</f>
        <v>61100</v>
      </c>
      <c r="AW1023" s="92">
        <f t="shared" ref="AW1023:AW1039" si="672">SUMPRODUCT(($F$662:$F$709=C1023)*($G$662:$G$709=D1023)*($L$662:$L$709=G1023)*($P$662:$P$709=H1023)*($O$662:$O$709=0)*($N$662:$N$709=1)*($Q$662:$Q$709))</f>
        <v>0</v>
      </c>
      <c r="AX1023" s="92">
        <f t="shared" ref="AX1023:AX1039" si="673">SUMPRODUCT(($F$662:$F$709=C1023)*($G$662:$G$709=D1023)*($L$662:$L$709=G1023)*($P$662:$P$709=H1023)*($O$662:$O$709=0)*($N$662:$N$709=1)*($AE$662:$AE$709))</f>
        <v>0</v>
      </c>
      <c r="AY1023" s="92">
        <f t="shared" ref="AY1023:AY1039" si="674">SUMPRODUCT(($F$662:$F$709=C1023)*($G$662:$G$709=D1023)*($L$662:$L$709=G1023)*($P$662:$P$709=H1023)*($O$662:$O$709=0)*($N$662:$N$709=3)*($Q$662:$Q$709))</f>
        <v>0</v>
      </c>
      <c r="AZ1023" s="92">
        <f t="shared" ref="AZ1023:AZ1039" si="675">SUMPRODUCT(($F$662:$F$709=C1023)*($G$662:$G$709=D1023)*($L$662:$L$709=G1023)*($P$662:$P$709=H1023)*($O$662:$O$709=0)*($N$662:$N$709=3)*($AE$662:$AE$709))</f>
        <v>0</v>
      </c>
      <c r="BA1023" s="115">
        <f t="shared" ref="BA1023:BA1039" si="676">SUMPRODUCT(($F$662:$F$709=C1023)*($G$662:$G$709=D1023)*($L$662:$L$709=G1023)*($P$662:$P$709=H1023)*($O$662:$O$709=1)*($Q$662:$Q$709))+SUMPRODUCT(($D$857:$D$873=C1023)*($E$857:$E$873=D1023)*($H$857:$H$873=G1023)*($L$857:$L$873=H1023)*($K$857:$K$873=1)*($O$857:$O$873=0)*($N$857:$N$873))</f>
        <v>1</v>
      </c>
      <c r="BB1023" s="92">
        <f t="shared" ref="BB1023:BB1039" si="677">SUMPRODUCT(($F$662:$F$709=C1023)*($G$662:$G$709=D1023)*($L$662:$L$709=G1023)*($P$662:$P$709=H1023)*($O$662:$O$709=1)*($AE$662:$AE$709))+SUMPRODUCT(($D$857:$D$873=C1023)*($E$857:$E$873=D1023)*($H$857:$H$873=G1023)*($L$857:$L$873=H1023)*($K$857:$K$873=1)*($O$857:$O$873=1)*($W$857:$W$873))</f>
        <v>61110</v>
      </c>
      <c r="BC1023" s="92">
        <f t="shared" ref="BC1023:BC1039" si="678">SUMPRODUCT(($F$662:$F$709=C1023)*($G$662:$G$709=D1023)*($L$662:$L$709=G1023)*($P$662:$P$709=H1023)*($O$662:$O$709=1)*($N$662:$N$709=0)*($N$662:$N$709=0)*($Q$662:$Q$709))</f>
        <v>1</v>
      </c>
      <c r="BD1023" s="92">
        <f t="shared" ref="BD1023:BD1039" si="679">SUMPRODUCT(($F$662:$F$709=C1023)*($G$662:$G$709=D1023)*($L$662:$L$709=G1023)*($P$662:$P$709=H1023)*($O$662:$O$709=1)*($N$662:$N$709=0)*($AE$662:$AE$709))</f>
        <v>61110</v>
      </c>
      <c r="BE1023" s="92">
        <f t="shared" ref="BE1023:BE1039" si="680">SUMPRODUCT(($F$662:$F$709=C1023)*($G$662:$G$709=D1023)*($L$662:$L$709=G1023)*($P$662:$P$709=H1023)*($O$662:$O$709=1)*($N$662:$N$709=1)*($Q$662:$Q$709))</f>
        <v>0</v>
      </c>
      <c r="BF1023" s="92">
        <f t="shared" ref="BF1023:BF1039" si="681">SUMPRODUCT(($F$662:$F$709=C1023)*($G$662:$G$709=D1023)*($L$662:$L$709=G1023)*($P$662:$P$709=H1023)*($O$662:$O$709=1)*($N$662:$N$709=1)*($AE$662:$AE$709))</f>
        <v>0</v>
      </c>
      <c r="BG1023" s="92">
        <f t="shared" ref="BG1023:BG1039" si="682">SUMPRODUCT(($F$662:$F$709=C1023)*($G$662:$G$709=D1023)*($L$662:$L$709=G1023)*($P$662:$P$709=H1023)*($O$662:$O$709=1)*($N$662:$N$709=3)*($Q$662:$Q$709))</f>
        <v>0</v>
      </c>
      <c r="BH1023" s="92">
        <f t="shared" ref="BH1023:BH1039" si="683">SUMPRODUCT(($F$662:$F$709=C1023)*($G$662:$G$709=D1023)*($L$662:$L$709=G1023)*($P$662:$P$709=H1023)*($O$662:$O$709=1)*($N$662:$N$709=3)*($AE$662:$AE$709))</f>
        <v>0</v>
      </c>
      <c r="BI1023" s="145">
        <f t="shared" ref="BI1023:BI1039" si="684">$B$2</f>
        <v>20180328</v>
      </c>
      <c r="BJ1023" s="12" t="str">
        <f t="shared" ref="BJ1023:BJ1039" si="685">$F$5</f>
        <v>9999</v>
      </c>
      <c r="BK1023" s="25">
        <f>IF(G190=1,V1009,X1009)</f>
        <v>0</v>
      </c>
      <c r="BL1023" s="25">
        <f>W1009</f>
        <v>0</v>
      </c>
      <c r="BM1023">
        <f t="shared" ref="BM1023:BM1039" si="686">IF(BW1023=BI1023,0,SUMPRODUCT(($D$926:$D$1002=C1023)*($E$926:$E$1002=D1023)*($L$926:$L$1002=H1023)*($J$926:$J$1002=0)*($I$926:$I$1002=G1023)*($AE$926:$AE$1002)))</f>
        <v>0</v>
      </c>
      <c r="BN1023">
        <f t="shared" ref="BN1023:BN1039" si="687">IF(BW1023=BI1023,0,SUMPRODUCT(($D$926:$D$1002=C1023)*($E$926:$E$1002=D1023)*($L$926:$L$1002=H1023)*($J$926:$J$1002=1)*($I$926:$I$1002=G1023)*($AE$926:$AE$1002)))</f>
        <v>0</v>
      </c>
      <c r="BO1023">
        <f t="shared" ref="BO1023:BO1039" si="688">IF(BW1023=BI1023,0,SUMPRODUCT(($G$880:$G$919=C1023)*($H$880:$H$919=D1023)*($I$880:$I$919=G1023)*($J$880:$J$919=H1023)*($L$880:$L$919=0)*($AF$880:$AF$919)))</f>
        <v>0</v>
      </c>
      <c r="BP1023">
        <f>SUMPRODUCT(($G$880:$G$919=C1023)*($H$880:$H$919=D1023)*($I$880:$I$919=G1023)*($J$880:$J$919=H1023)*($L$880:$L$919=1)*($AF$880:$AF$919))</f>
        <v>0</v>
      </c>
      <c r="BQ1023">
        <f t="shared" ref="BQ1023:BQ1039" si="689">IF(BW1023=BI1023,0,SUMPRODUCT(($D$926:$D$1002=C1023)*($E$926:$E$1002=D1023)*($L$926:$L$1002=H1023)*($J$926:$J$1002=0)*($I$926:$I$1002=G1023)*($AF$926:$AF$1002)))</f>
        <v>0</v>
      </c>
      <c r="BR1023">
        <f t="shared" ref="BR1023:BR1039" si="690">IF(BW1023=BI1023,0,SUMPRODUCT(($D$926:$D$1002=C1023)*($E$926:$E$1002=D1023)*($L$926:$L$1002=H1023)*($J$926:$J$1002=1)*($I$926:$I$1002=G1023)*($AF$926:$AF$1002)))</f>
        <v>0</v>
      </c>
      <c r="BS1023">
        <f t="shared" ref="BS1023:BS1039" si="691">SUMPRODUCT(($G$880:$G$919=C1023)*($H$880:$H$919=D1023)*($I$880:$I$919=G1023)*($J$880:$J$919=H1023)*($L$880:$L$919=0)*($AG$880:$AG$919))</f>
        <v>0</v>
      </c>
      <c r="BT1023">
        <f t="shared" ref="BT1023:BT1039" si="692">SUMPRODUCT(($G$880:$G$919=C1023)*($H$880:$H$919=D1023)*($I$880:$I$919=G1023)*($J$880:$J$919=H1023)*($L$880:$L$919=1)*($AG$880:$AG$919))</f>
        <v>0</v>
      </c>
      <c r="BU1023">
        <f t="shared" ref="BU1023:BU1039" si="693" xml:space="preserve"> VLOOKUP(G1023,$C$19:$L$31,10,FALSE)</f>
        <v>0</v>
      </c>
      <c r="BV1023">
        <f t="shared" ref="BV1023:BV1039" si="694" xml:space="preserve"> VLOOKUP(G1023,$C$19:$L$31,9,FALSE)</f>
        <v>0</v>
      </c>
      <c r="BW1023" s="443">
        <f>VLOOKUP(G1023,$C$19:$F$31,4,FALSE)</f>
        <v>20180328</v>
      </c>
    </row>
    <row r="1024" spans="1:75" x14ac:dyDescent="0.25">
      <c r="B1024" s="12" t="str">
        <f t="shared" si="635"/>
        <v>6001</v>
      </c>
      <c r="C1024" s="12" t="str">
        <f t="shared" si="636"/>
        <v>B00101</v>
      </c>
      <c r="D1024" s="12" t="str">
        <f t="shared" si="637"/>
        <v>6001</v>
      </c>
      <c r="E1024" s="12" t="s">
        <v>228</v>
      </c>
      <c r="F1024" s="50" t="str">
        <f t="shared" si="638"/>
        <v>CZCE</v>
      </c>
      <c r="G1024" s="110" t="str">
        <f>G1023</f>
        <v>SR807</v>
      </c>
      <c r="H1024" s="92">
        <v>3</v>
      </c>
      <c r="I1024" s="50">
        <f t="shared" si="639"/>
        <v>10</v>
      </c>
      <c r="J1024" s="50">
        <f t="shared" si="640"/>
        <v>0</v>
      </c>
      <c r="K1024" s="50">
        <f t="shared" si="641"/>
        <v>0</v>
      </c>
      <c r="L1024" s="50">
        <f t="shared" si="642"/>
        <v>0</v>
      </c>
      <c r="M1024" s="223">
        <f t="shared" si="643"/>
        <v>0</v>
      </c>
      <c r="N1024" s="12">
        <f t="shared" ref="N1024:N1039" si="695">IF(SUMPRODUCT(($C$1023:$C$1039=C1024)*($D$1023:$D$1039=D1024)*($G$1023:$G$1039=G1024)*($BQ$1023:$BQ$1039))&gt;=SUMPRODUCT(($C$1023:$C$1039=C1024)*($D$1023:$D$1039=D1024)*($G$1023:$G$1039=G1024)*($BR$1023:$BR$1039)),BQ1024,0)+BS1024</f>
        <v>0</v>
      </c>
      <c r="O1024" s="12">
        <f t="shared" ref="O1024:O1039" si="696">IF(SUMPRODUCT(($C$1023:$C$1039=C1024)*($D$1023:$D$1039=D1024)*($G$1023:$G$1039=G1024)*($BQ$1023:$BQ$1039))&lt;SUMPRODUCT(($C$1023:$C$1039=C1024)*($D$1023:$D$1039=D1024)*($G$1023:$G$1039=G1024)*($BR$1023:$BR$1039)),BR1024,0)+BT1024-BL1024</f>
        <v>0</v>
      </c>
      <c r="P1024" s="50">
        <f t="shared" si="644"/>
        <v>16068</v>
      </c>
      <c r="Q1024" s="50">
        <f t="shared" si="645"/>
        <v>12978</v>
      </c>
      <c r="R1024" s="50">
        <f t="shared" si="646"/>
        <v>6170</v>
      </c>
      <c r="S1024" s="50">
        <f t="shared" si="647"/>
        <v>0</v>
      </c>
      <c r="T1024" s="50">
        <f t="shared" si="648"/>
        <v>0</v>
      </c>
      <c r="U1024" s="92">
        <f t="shared" si="649"/>
        <v>0</v>
      </c>
      <c r="V1024" s="92">
        <f t="shared" si="650"/>
        <v>0</v>
      </c>
      <c r="W1024" s="25">
        <f t="shared" si="651"/>
        <v>0</v>
      </c>
      <c r="X1024" s="25">
        <f t="shared" si="652"/>
        <v>0</v>
      </c>
      <c r="Y1024" s="92">
        <f t="shared" si="653"/>
        <v>0</v>
      </c>
      <c r="Z1024" s="92">
        <f t="shared" si="654"/>
        <v>559.26</v>
      </c>
      <c r="AA1024" s="92">
        <f t="shared" si="655"/>
        <v>0</v>
      </c>
      <c r="AB1024" s="92">
        <v>0</v>
      </c>
      <c r="AC1024" s="92">
        <f t="shared" si="656"/>
        <v>0</v>
      </c>
      <c r="AD1024" s="92">
        <v>0</v>
      </c>
      <c r="AE1024" s="92">
        <f t="shared" si="657"/>
        <v>0</v>
      </c>
      <c r="AF1024" s="92">
        <v>0</v>
      </c>
      <c r="AG1024" s="92">
        <f t="shared" si="658"/>
        <v>559.26</v>
      </c>
      <c r="AH1024" s="92">
        <v>0</v>
      </c>
      <c r="AI1024" s="92">
        <f t="shared" si="659"/>
        <v>0</v>
      </c>
      <c r="AJ1024" s="92">
        <v>0</v>
      </c>
      <c r="AK1024" s="92">
        <f t="shared" si="660"/>
        <v>0</v>
      </c>
      <c r="AL1024" s="92">
        <f t="shared" si="661"/>
        <v>0</v>
      </c>
      <c r="AM1024" s="92">
        <f t="shared" si="662"/>
        <v>-980</v>
      </c>
      <c r="AN1024" s="147">
        <f t="shared" si="663"/>
        <v>33350</v>
      </c>
      <c r="AO1024" s="147">
        <f t="shared" si="664"/>
        <v>750</v>
      </c>
      <c r="AP1024" s="147">
        <f t="shared" si="665"/>
        <v>-3150</v>
      </c>
      <c r="AQ1024" s="147">
        <f t="shared" si="666"/>
        <v>0</v>
      </c>
      <c r="AR1024" s="147">
        <f t="shared" si="667"/>
        <v>0</v>
      </c>
      <c r="AS1024" s="92">
        <f t="shared" si="668"/>
        <v>0</v>
      </c>
      <c r="AT1024" s="92">
        <f t="shared" si="669"/>
        <v>0</v>
      </c>
      <c r="AU1024" s="92">
        <f t="shared" si="670"/>
        <v>0</v>
      </c>
      <c r="AV1024" s="92">
        <f t="shared" si="671"/>
        <v>0</v>
      </c>
      <c r="AW1024" s="92">
        <f t="shared" si="672"/>
        <v>0</v>
      </c>
      <c r="AX1024" s="92">
        <f t="shared" si="673"/>
        <v>0</v>
      </c>
      <c r="AY1024" s="92">
        <f t="shared" si="674"/>
        <v>0</v>
      </c>
      <c r="AZ1024" s="92">
        <f t="shared" si="675"/>
        <v>0</v>
      </c>
      <c r="BA1024" s="115">
        <f t="shared" si="676"/>
        <v>0</v>
      </c>
      <c r="BB1024" s="92">
        <f t="shared" si="677"/>
        <v>0</v>
      </c>
      <c r="BC1024" s="92">
        <f t="shared" si="678"/>
        <v>0</v>
      </c>
      <c r="BD1024" s="92">
        <f t="shared" si="679"/>
        <v>0</v>
      </c>
      <c r="BE1024" s="92">
        <f t="shared" si="680"/>
        <v>0</v>
      </c>
      <c r="BF1024" s="92">
        <f t="shared" si="681"/>
        <v>0</v>
      </c>
      <c r="BG1024" s="92">
        <f t="shared" si="682"/>
        <v>0</v>
      </c>
      <c r="BH1024" s="92">
        <f t="shared" si="683"/>
        <v>0</v>
      </c>
      <c r="BI1024" s="145">
        <f t="shared" si="684"/>
        <v>20180328</v>
      </c>
      <c r="BJ1024" s="12" t="str">
        <f t="shared" si="685"/>
        <v>9999</v>
      </c>
      <c r="BK1024" s="25">
        <f>IF(G190=1,V1010,X1010)</f>
        <v>0</v>
      </c>
      <c r="BL1024" s="25">
        <f>W1010</f>
        <v>0</v>
      </c>
      <c r="BM1024">
        <f t="shared" si="686"/>
        <v>0</v>
      </c>
      <c r="BN1024">
        <f t="shared" si="687"/>
        <v>0</v>
      </c>
      <c r="BO1024">
        <f t="shared" si="688"/>
        <v>0</v>
      </c>
      <c r="BP1024">
        <f t="shared" ref="BP1024:BP1039" si="697">SUMPRODUCT(($G$880:$G$919=C1024)*($H$880:$H$919=D1024)*($I$880:$I$919=G1024)*($J$880:$J$919=H1024)*($L$880:$L$919=1)*($AF$880:$AF$919))</f>
        <v>0</v>
      </c>
      <c r="BQ1024">
        <f t="shared" si="689"/>
        <v>0</v>
      </c>
      <c r="BR1024">
        <f t="shared" si="690"/>
        <v>0</v>
      </c>
      <c r="BS1024">
        <f t="shared" si="691"/>
        <v>0</v>
      </c>
      <c r="BT1024">
        <f t="shared" si="692"/>
        <v>0</v>
      </c>
      <c r="BU1024">
        <f t="shared" si="693"/>
        <v>0</v>
      </c>
      <c r="BV1024">
        <f t="shared" si="694"/>
        <v>0</v>
      </c>
      <c r="BW1024" s="443">
        <f t="shared" ref="BW1024:BW1039" si="698">VLOOKUP(G1024,$C$19:$F$31,4,FALSE)</f>
        <v>20180328</v>
      </c>
    </row>
    <row r="1025" spans="1:75" s="6" customFormat="1" x14ac:dyDescent="0.25">
      <c r="B1025" s="12" t="str">
        <f t="shared" si="635"/>
        <v>6001</v>
      </c>
      <c r="C1025" s="12" t="str">
        <f t="shared" si="636"/>
        <v>B00101</v>
      </c>
      <c r="D1025" s="12" t="str">
        <f t="shared" si="637"/>
        <v>6001</v>
      </c>
      <c r="E1025" s="12" t="s">
        <v>228</v>
      </c>
      <c r="F1025" s="12" t="str">
        <f t="shared" si="638"/>
        <v>CZCE</v>
      </c>
      <c r="G1025" s="113" t="str">
        <f>C231</f>
        <v>SR809</v>
      </c>
      <c r="H1025" s="111">
        <v>1</v>
      </c>
      <c r="I1025" s="12">
        <f t="shared" si="639"/>
        <v>10</v>
      </c>
      <c r="J1025" s="12">
        <f t="shared" si="640"/>
        <v>0</v>
      </c>
      <c r="K1025" s="12">
        <f t="shared" si="641"/>
        <v>4</v>
      </c>
      <c r="L1025" s="50">
        <f t="shared" si="642"/>
        <v>0</v>
      </c>
      <c r="M1025" s="223">
        <f t="shared" si="643"/>
        <v>12586.8</v>
      </c>
      <c r="N1025" s="12">
        <f t="shared" si="695"/>
        <v>0</v>
      </c>
      <c r="O1025" s="12">
        <f t="shared" si="696"/>
        <v>10118.799999999999</v>
      </c>
      <c r="P1025" s="12">
        <f t="shared" si="644"/>
        <v>0</v>
      </c>
      <c r="Q1025" s="12">
        <f t="shared" si="645"/>
        <v>0</v>
      </c>
      <c r="R1025" s="12">
        <f t="shared" si="646"/>
        <v>6160</v>
      </c>
      <c r="S1025" s="50">
        <f t="shared" si="647"/>
        <v>0</v>
      </c>
      <c r="T1025" s="50">
        <f t="shared" si="648"/>
        <v>254280</v>
      </c>
      <c r="U1025" s="111">
        <f t="shared" si="649"/>
        <v>0</v>
      </c>
      <c r="V1025" s="111">
        <f t="shared" si="650"/>
        <v>0</v>
      </c>
      <c r="W1025" s="24">
        <f t="shared" si="651"/>
        <v>0</v>
      </c>
      <c r="X1025" s="24">
        <f t="shared" si="652"/>
        <v>0</v>
      </c>
      <c r="Y1025" s="111">
        <f t="shared" si="653"/>
        <v>0</v>
      </c>
      <c r="Z1025" s="92">
        <f t="shared" si="654"/>
        <v>0</v>
      </c>
      <c r="AA1025" s="111">
        <f t="shared" si="655"/>
        <v>0</v>
      </c>
      <c r="AB1025" s="111">
        <v>0</v>
      </c>
      <c r="AC1025" s="111">
        <f t="shared" si="656"/>
        <v>0</v>
      </c>
      <c r="AD1025" s="111">
        <v>0</v>
      </c>
      <c r="AE1025" s="111">
        <f t="shared" si="657"/>
        <v>0</v>
      </c>
      <c r="AF1025" s="111">
        <v>0</v>
      </c>
      <c r="AG1025" s="92">
        <f t="shared" si="658"/>
        <v>0</v>
      </c>
      <c r="AH1025" s="111">
        <v>0</v>
      </c>
      <c r="AI1025" s="111">
        <f t="shared" si="659"/>
        <v>0</v>
      </c>
      <c r="AJ1025" s="111">
        <v>0</v>
      </c>
      <c r="AK1025" s="111">
        <f t="shared" si="660"/>
        <v>0</v>
      </c>
      <c r="AL1025" s="111">
        <f t="shared" si="661"/>
        <v>0</v>
      </c>
      <c r="AM1025" s="111">
        <f t="shared" si="662"/>
        <v>0</v>
      </c>
      <c r="AN1025" s="12">
        <f t="shared" si="663"/>
        <v>0</v>
      </c>
      <c r="AO1025" s="12">
        <f t="shared" si="664"/>
        <v>0</v>
      </c>
      <c r="AP1025" s="12">
        <f t="shared" si="665"/>
        <v>-160</v>
      </c>
      <c r="AQ1025" s="12">
        <f t="shared" si="666"/>
        <v>0</v>
      </c>
      <c r="AR1025" s="12">
        <f t="shared" si="667"/>
        <v>7880</v>
      </c>
      <c r="AS1025" s="111">
        <f t="shared" si="668"/>
        <v>0</v>
      </c>
      <c r="AT1025" s="111">
        <f t="shared" si="669"/>
        <v>0</v>
      </c>
      <c r="AU1025" s="111">
        <f t="shared" si="670"/>
        <v>0</v>
      </c>
      <c r="AV1025" s="111">
        <f t="shared" si="671"/>
        <v>0</v>
      </c>
      <c r="AW1025" s="111">
        <f t="shared" si="672"/>
        <v>0</v>
      </c>
      <c r="AX1025" s="111">
        <f t="shared" si="673"/>
        <v>0</v>
      </c>
      <c r="AY1025" s="111">
        <f t="shared" si="674"/>
        <v>0</v>
      </c>
      <c r="AZ1025" s="111">
        <f t="shared" si="675"/>
        <v>0</v>
      </c>
      <c r="BA1025" s="111">
        <f t="shared" si="676"/>
        <v>0</v>
      </c>
      <c r="BB1025" s="111">
        <f t="shared" si="677"/>
        <v>0</v>
      </c>
      <c r="BC1025" s="111">
        <f t="shared" si="678"/>
        <v>0</v>
      </c>
      <c r="BD1025" s="111">
        <f t="shared" si="679"/>
        <v>0</v>
      </c>
      <c r="BE1025" s="111">
        <f t="shared" si="680"/>
        <v>0</v>
      </c>
      <c r="BF1025" s="111">
        <f t="shared" si="681"/>
        <v>0</v>
      </c>
      <c r="BG1025" s="111">
        <f t="shared" si="682"/>
        <v>0</v>
      </c>
      <c r="BH1025" s="111">
        <f t="shared" si="683"/>
        <v>0</v>
      </c>
      <c r="BI1025" s="145">
        <f t="shared" si="684"/>
        <v>20180328</v>
      </c>
      <c r="BJ1025" s="12" t="str">
        <f t="shared" si="685"/>
        <v>9999</v>
      </c>
      <c r="BK1025" s="111">
        <v>0</v>
      </c>
      <c r="BL1025" s="111">
        <v>0</v>
      </c>
      <c r="BM1025" s="6">
        <f t="shared" si="686"/>
        <v>0</v>
      </c>
      <c r="BN1025" s="6">
        <f t="shared" si="687"/>
        <v>12586.8</v>
      </c>
      <c r="BO1025" s="6">
        <f t="shared" si="688"/>
        <v>0</v>
      </c>
      <c r="BP1025" s="6">
        <f t="shared" si="697"/>
        <v>0</v>
      </c>
      <c r="BQ1025" s="6">
        <f t="shared" si="689"/>
        <v>0</v>
      </c>
      <c r="BR1025" s="6">
        <f t="shared" si="690"/>
        <v>10118.799999999999</v>
      </c>
      <c r="BS1025" s="6">
        <f t="shared" si="691"/>
        <v>0</v>
      </c>
      <c r="BT1025" s="6">
        <f t="shared" si="692"/>
        <v>0</v>
      </c>
      <c r="BU1025" s="6">
        <f t="shared" si="693"/>
        <v>0</v>
      </c>
      <c r="BV1025" s="6">
        <f t="shared" si="694"/>
        <v>0</v>
      </c>
      <c r="BW1025" s="443">
        <f t="shared" si="698"/>
        <v>20180333</v>
      </c>
    </row>
    <row r="1026" spans="1:75" s="6" customFormat="1" x14ac:dyDescent="0.25">
      <c r="A1026" s="6" t="s">
        <v>2021</v>
      </c>
      <c r="B1026" s="12" t="str">
        <f t="shared" si="635"/>
        <v>6001</v>
      </c>
      <c r="C1026" s="12" t="str">
        <f t="shared" si="636"/>
        <v>B00101</v>
      </c>
      <c r="D1026" s="12" t="str">
        <f t="shared" si="637"/>
        <v>6001</v>
      </c>
      <c r="E1026" s="12" t="s">
        <v>228</v>
      </c>
      <c r="F1026" s="12" t="str">
        <f t="shared" si="638"/>
        <v>CZCE</v>
      </c>
      <c r="G1026" s="113" t="str">
        <f>G1025</f>
        <v>SR809</v>
      </c>
      <c r="H1026" s="111">
        <v>3</v>
      </c>
      <c r="I1026" s="12">
        <f t="shared" si="639"/>
        <v>10</v>
      </c>
      <c r="J1026" s="12">
        <f t="shared" si="640"/>
        <v>0</v>
      </c>
      <c r="K1026" s="12">
        <f t="shared" si="641"/>
        <v>0</v>
      </c>
      <c r="L1026" s="50">
        <f t="shared" si="642"/>
        <v>0</v>
      </c>
      <c r="M1026" s="223">
        <f t="shared" si="643"/>
        <v>0</v>
      </c>
      <c r="N1026" s="12">
        <f t="shared" si="695"/>
        <v>0</v>
      </c>
      <c r="O1026" s="12">
        <f t="shared" si="696"/>
        <v>0</v>
      </c>
      <c r="P1026" s="12">
        <f t="shared" si="644"/>
        <v>0</v>
      </c>
      <c r="Q1026" s="12">
        <f t="shared" si="645"/>
        <v>0</v>
      </c>
      <c r="R1026" s="12">
        <f t="shared" si="646"/>
        <v>6160</v>
      </c>
      <c r="S1026" s="50">
        <f t="shared" si="647"/>
        <v>0</v>
      </c>
      <c r="T1026" s="50">
        <f t="shared" si="648"/>
        <v>0</v>
      </c>
      <c r="U1026" s="111">
        <f t="shared" si="649"/>
        <v>0</v>
      </c>
      <c r="V1026" s="111">
        <f t="shared" si="650"/>
        <v>0</v>
      </c>
      <c r="W1026" s="24">
        <f t="shared" si="651"/>
        <v>0</v>
      </c>
      <c r="X1026" s="24">
        <f t="shared" si="652"/>
        <v>0</v>
      </c>
      <c r="Y1026" s="111">
        <f t="shared" si="653"/>
        <v>0</v>
      </c>
      <c r="Z1026" s="92">
        <f t="shared" si="654"/>
        <v>0</v>
      </c>
      <c r="AA1026" s="111">
        <f t="shared" si="655"/>
        <v>0</v>
      </c>
      <c r="AB1026" s="111">
        <v>0</v>
      </c>
      <c r="AC1026" s="111">
        <f t="shared" si="656"/>
        <v>0</v>
      </c>
      <c r="AD1026" s="111">
        <v>0</v>
      </c>
      <c r="AE1026" s="111">
        <f t="shared" si="657"/>
        <v>0</v>
      </c>
      <c r="AF1026" s="111">
        <v>0</v>
      </c>
      <c r="AG1026" s="92">
        <f t="shared" si="658"/>
        <v>0</v>
      </c>
      <c r="AH1026" s="111">
        <v>0</v>
      </c>
      <c r="AI1026" s="111">
        <f t="shared" si="659"/>
        <v>0</v>
      </c>
      <c r="AJ1026" s="111">
        <v>0</v>
      </c>
      <c r="AK1026" s="111">
        <f t="shared" si="660"/>
        <v>0</v>
      </c>
      <c r="AL1026" s="111">
        <f t="shared" si="661"/>
        <v>0</v>
      </c>
      <c r="AM1026" s="111">
        <f t="shared" si="662"/>
        <v>0</v>
      </c>
      <c r="AN1026" s="12">
        <f t="shared" si="663"/>
        <v>0</v>
      </c>
      <c r="AO1026" s="12">
        <f t="shared" si="664"/>
        <v>0</v>
      </c>
      <c r="AP1026" s="12">
        <f t="shared" si="665"/>
        <v>0</v>
      </c>
      <c r="AQ1026" s="12">
        <f t="shared" si="666"/>
        <v>0</v>
      </c>
      <c r="AR1026" s="12">
        <f t="shared" si="667"/>
        <v>0</v>
      </c>
      <c r="AS1026" s="111">
        <f t="shared" si="668"/>
        <v>0</v>
      </c>
      <c r="AT1026" s="111">
        <f t="shared" si="669"/>
        <v>0</v>
      </c>
      <c r="AU1026" s="111">
        <f t="shared" si="670"/>
        <v>0</v>
      </c>
      <c r="AV1026" s="111">
        <f t="shared" si="671"/>
        <v>0</v>
      </c>
      <c r="AW1026" s="111">
        <f t="shared" si="672"/>
        <v>0</v>
      </c>
      <c r="AX1026" s="111">
        <f t="shared" si="673"/>
        <v>0</v>
      </c>
      <c r="AY1026" s="111">
        <f t="shared" si="674"/>
        <v>0</v>
      </c>
      <c r="AZ1026" s="111">
        <f t="shared" si="675"/>
        <v>0</v>
      </c>
      <c r="BA1026" s="111">
        <f t="shared" si="676"/>
        <v>0</v>
      </c>
      <c r="BB1026" s="111">
        <f t="shared" si="677"/>
        <v>0</v>
      </c>
      <c r="BC1026" s="111">
        <f t="shared" si="678"/>
        <v>0</v>
      </c>
      <c r="BD1026" s="111">
        <f t="shared" si="679"/>
        <v>0</v>
      </c>
      <c r="BE1026" s="111">
        <f t="shared" si="680"/>
        <v>0</v>
      </c>
      <c r="BF1026" s="111">
        <f t="shared" si="681"/>
        <v>0</v>
      </c>
      <c r="BG1026" s="111">
        <f t="shared" si="682"/>
        <v>0</v>
      </c>
      <c r="BH1026" s="111">
        <f t="shared" si="683"/>
        <v>0</v>
      </c>
      <c r="BI1026" s="145">
        <f t="shared" si="684"/>
        <v>20180328</v>
      </c>
      <c r="BJ1026" s="12" t="str">
        <f t="shared" si="685"/>
        <v>9999</v>
      </c>
      <c r="BK1026" s="111">
        <v>0</v>
      </c>
      <c r="BL1026" s="111">
        <v>0</v>
      </c>
      <c r="BM1026" s="6">
        <f t="shared" si="686"/>
        <v>0</v>
      </c>
      <c r="BN1026" s="6">
        <f t="shared" si="687"/>
        <v>0</v>
      </c>
      <c r="BO1026" s="6">
        <f t="shared" si="688"/>
        <v>0</v>
      </c>
      <c r="BP1026" s="6">
        <f t="shared" si="697"/>
        <v>0</v>
      </c>
      <c r="BQ1026" s="6">
        <f t="shared" si="689"/>
        <v>0</v>
      </c>
      <c r="BR1026" s="6">
        <f t="shared" si="690"/>
        <v>0</v>
      </c>
      <c r="BS1026" s="6">
        <f t="shared" si="691"/>
        <v>0</v>
      </c>
      <c r="BT1026" s="6">
        <f t="shared" si="692"/>
        <v>0</v>
      </c>
      <c r="BU1026" s="6">
        <f t="shared" si="693"/>
        <v>0</v>
      </c>
      <c r="BV1026" s="6">
        <f t="shared" si="694"/>
        <v>0</v>
      </c>
      <c r="BW1026" s="443">
        <f t="shared" si="698"/>
        <v>20180333</v>
      </c>
    </row>
    <row r="1027" spans="1:75" s="6" customFormat="1" x14ac:dyDescent="0.25">
      <c r="B1027" s="12" t="str">
        <f t="shared" si="635"/>
        <v>6001</v>
      </c>
      <c r="C1027" s="12" t="str">
        <f t="shared" si="636"/>
        <v>B00101</v>
      </c>
      <c r="D1027" s="12" t="str">
        <f t="shared" si="637"/>
        <v>6001</v>
      </c>
      <c r="E1027" s="12" t="s">
        <v>228</v>
      </c>
      <c r="F1027" s="12" t="str">
        <f t="shared" si="638"/>
        <v>CZCE</v>
      </c>
      <c r="G1027" s="113" t="str">
        <f>C232</f>
        <v>OI811</v>
      </c>
      <c r="H1027" s="111">
        <v>1</v>
      </c>
      <c r="I1027" s="12">
        <f t="shared" si="639"/>
        <v>10</v>
      </c>
      <c r="J1027" s="12">
        <f t="shared" si="640"/>
        <v>2</v>
      </c>
      <c r="K1027" s="12">
        <f t="shared" si="641"/>
        <v>2</v>
      </c>
      <c r="L1027" s="50">
        <f t="shared" si="642"/>
        <v>0</v>
      </c>
      <c r="M1027" s="223">
        <f t="shared" si="643"/>
        <v>6303.6</v>
      </c>
      <c r="N1027" s="12">
        <f t="shared" si="695"/>
        <v>0</v>
      </c>
      <c r="O1027" s="12">
        <f t="shared" si="696"/>
        <v>5067.6000000000004</v>
      </c>
      <c r="P1027" s="12">
        <f t="shared" si="644"/>
        <v>0</v>
      </c>
      <c r="Q1027" s="12">
        <f t="shared" si="645"/>
        <v>0</v>
      </c>
      <c r="R1027" s="12">
        <f t="shared" si="646"/>
        <v>6170</v>
      </c>
      <c r="S1027" s="50">
        <f t="shared" si="647"/>
        <v>122340</v>
      </c>
      <c r="T1027" s="50">
        <f t="shared" si="648"/>
        <v>122320</v>
      </c>
      <c r="U1027" s="111">
        <f t="shared" si="649"/>
        <v>0</v>
      </c>
      <c r="V1027" s="111">
        <f t="shared" si="650"/>
        <v>0</v>
      </c>
      <c r="W1027" s="24">
        <f t="shared" si="651"/>
        <v>0</v>
      </c>
      <c r="X1027" s="24">
        <f t="shared" si="652"/>
        <v>0</v>
      </c>
      <c r="Y1027" s="111">
        <f t="shared" si="653"/>
        <v>0</v>
      </c>
      <c r="Z1027" s="92">
        <f t="shared" si="654"/>
        <v>0</v>
      </c>
      <c r="AA1027" s="111">
        <f t="shared" si="655"/>
        <v>0</v>
      </c>
      <c r="AB1027" s="111">
        <v>0</v>
      </c>
      <c r="AC1027" s="111">
        <f t="shared" si="656"/>
        <v>0</v>
      </c>
      <c r="AD1027" s="111">
        <v>0</v>
      </c>
      <c r="AE1027" s="111">
        <f t="shared" si="657"/>
        <v>0</v>
      </c>
      <c r="AF1027" s="111">
        <v>0</v>
      </c>
      <c r="AG1027" s="92">
        <f t="shared" si="658"/>
        <v>0</v>
      </c>
      <c r="AH1027" s="111">
        <v>0</v>
      </c>
      <c r="AI1027" s="111">
        <f t="shared" si="659"/>
        <v>0</v>
      </c>
      <c r="AJ1027" s="111">
        <v>0</v>
      </c>
      <c r="AK1027" s="111">
        <f t="shared" si="660"/>
        <v>0</v>
      </c>
      <c r="AL1027" s="111">
        <f t="shared" si="661"/>
        <v>0</v>
      </c>
      <c r="AM1027" s="111">
        <f t="shared" si="662"/>
        <v>0</v>
      </c>
      <c r="AN1027" s="12">
        <f t="shared" si="663"/>
        <v>0</v>
      </c>
      <c r="AO1027" s="12">
        <f t="shared" si="664"/>
        <v>100</v>
      </c>
      <c r="AP1027" s="12">
        <f t="shared" si="665"/>
        <v>-100</v>
      </c>
      <c r="AQ1027" s="12">
        <f t="shared" si="666"/>
        <v>1060</v>
      </c>
      <c r="AR1027" s="12">
        <f t="shared" si="667"/>
        <v>-1080</v>
      </c>
      <c r="AS1027" s="111">
        <f t="shared" si="668"/>
        <v>0</v>
      </c>
      <c r="AT1027" s="111">
        <f t="shared" si="669"/>
        <v>0</v>
      </c>
      <c r="AU1027" s="111">
        <f t="shared" si="670"/>
        <v>0</v>
      </c>
      <c r="AV1027" s="111">
        <f t="shared" si="671"/>
        <v>0</v>
      </c>
      <c r="AW1027" s="111">
        <f t="shared" si="672"/>
        <v>0</v>
      </c>
      <c r="AX1027" s="111">
        <f t="shared" si="673"/>
        <v>0</v>
      </c>
      <c r="AY1027" s="111">
        <f t="shared" si="674"/>
        <v>0</v>
      </c>
      <c r="AZ1027" s="111">
        <f t="shared" si="675"/>
        <v>0</v>
      </c>
      <c r="BA1027" s="111">
        <f t="shared" si="676"/>
        <v>0</v>
      </c>
      <c r="BB1027" s="111">
        <f t="shared" si="677"/>
        <v>0</v>
      </c>
      <c r="BC1027" s="111">
        <f t="shared" si="678"/>
        <v>0</v>
      </c>
      <c r="BD1027" s="111">
        <f t="shared" si="679"/>
        <v>0</v>
      </c>
      <c r="BE1027" s="111">
        <f t="shared" si="680"/>
        <v>0</v>
      </c>
      <c r="BF1027" s="111">
        <f t="shared" si="681"/>
        <v>0</v>
      </c>
      <c r="BG1027" s="111">
        <f t="shared" si="682"/>
        <v>0</v>
      </c>
      <c r="BH1027" s="111">
        <f t="shared" si="683"/>
        <v>0</v>
      </c>
      <c r="BI1027" s="145">
        <f t="shared" si="684"/>
        <v>20180328</v>
      </c>
      <c r="BJ1027" s="12" t="str">
        <f t="shared" si="685"/>
        <v>9999</v>
      </c>
      <c r="BK1027" s="111">
        <v>0</v>
      </c>
      <c r="BL1027" s="111">
        <v>0</v>
      </c>
      <c r="BM1027" s="6">
        <f t="shared" si="686"/>
        <v>6180</v>
      </c>
      <c r="BN1027" s="6">
        <f t="shared" si="687"/>
        <v>6303.6</v>
      </c>
      <c r="BO1027" s="6">
        <f t="shared" si="688"/>
        <v>0</v>
      </c>
      <c r="BP1027" s="6">
        <f t="shared" si="697"/>
        <v>0</v>
      </c>
      <c r="BQ1027" s="6">
        <f t="shared" si="689"/>
        <v>4944</v>
      </c>
      <c r="BR1027" s="6">
        <f t="shared" si="690"/>
        <v>5067.6000000000004</v>
      </c>
      <c r="BS1027" s="6">
        <f t="shared" si="691"/>
        <v>0</v>
      </c>
      <c r="BT1027" s="6">
        <f t="shared" si="692"/>
        <v>0</v>
      </c>
      <c r="BU1027" s="6">
        <f t="shared" si="693"/>
        <v>0</v>
      </c>
      <c r="BV1027" s="6">
        <f t="shared" si="694"/>
        <v>0</v>
      </c>
      <c r="BW1027" s="443">
        <f t="shared" si="698"/>
        <v>20180333</v>
      </c>
    </row>
    <row r="1028" spans="1:75" s="6" customFormat="1" x14ac:dyDescent="0.25">
      <c r="A1028" s="6" t="s">
        <v>2021</v>
      </c>
      <c r="B1028" s="12" t="str">
        <f t="shared" si="635"/>
        <v>6001</v>
      </c>
      <c r="C1028" s="12" t="str">
        <f t="shared" si="636"/>
        <v>B00101</v>
      </c>
      <c r="D1028" s="12" t="str">
        <f t="shared" si="637"/>
        <v>6001</v>
      </c>
      <c r="E1028" s="12" t="s">
        <v>228</v>
      </c>
      <c r="F1028" s="12" t="str">
        <f t="shared" si="638"/>
        <v>CZCE</v>
      </c>
      <c r="G1028" s="113" t="str">
        <f>G1027</f>
        <v>OI811</v>
      </c>
      <c r="H1028" s="111">
        <v>3</v>
      </c>
      <c r="I1028" s="12">
        <f t="shared" si="639"/>
        <v>10</v>
      </c>
      <c r="J1028" s="12">
        <f t="shared" si="640"/>
        <v>0</v>
      </c>
      <c r="K1028" s="12">
        <f t="shared" si="641"/>
        <v>0</v>
      </c>
      <c r="L1028" s="50">
        <f t="shared" si="642"/>
        <v>0</v>
      </c>
      <c r="M1028" s="223">
        <f t="shared" si="643"/>
        <v>0</v>
      </c>
      <c r="N1028" s="12">
        <f t="shared" si="695"/>
        <v>0</v>
      </c>
      <c r="O1028" s="12">
        <f t="shared" si="696"/>
        <v>0</v>
      </c>
      <c r="P1028" s="12">
        <f t="shared" si="644"/>
        <v>0</v>
      </c>
      <c r="Q1028" s="12">
        <f t="shared" si="645"/>
        <v>0</v>
      </c>
      <c r="R1028" s="12">
        <f t="shared" si="646"/>
        <v>6170</v>
      </c>
      <c r="S1028" s="50">
        <f t="shared" si="647"/>
        <v>0</v>
      </c>
      <c r="T1028" s="50">
        <f t="shared" si="648"/>
        <v>0</v>
      </c>
      <c r="U1028" s="111">
        <f t="shared" si="649"/>
        <v>0</v>
      </c>
      <c r="V1028" s="111">
        <f t="shared" si="650"/>
        <v>0</v>
      </c>
      <c r="W1028" s="24">
        <f t="shared" si="651"/>
        <v>0</v>
      </c>
      <c r="X1028" s="24">
        <f t="shared" si="652"/>
        <v>0</v>
      </c>
      <c r="Y1028" s="111">
        <f t="shared" si="653"/>
        <v>0</v>
      </c>
      <c r="Z1028" s="92">
        <f t="shared" si="654"/>
        <v>0</v>
      </c>
      <c r="AA1028" s="111">
        <f t="shared" si="655"/>
        <v>0</v>
      </c>
      <c r="AB1028" s="111">
        <v>0</v>
      </c>
      <c r="AC1028" s="111">
        <f t="shared" si="656"/>
        <v>0</v>
      </c>
      <c r="AD1028" s="111">
        <v>0</v>
      </c>
      <c r="AE1028" s="111">
        <f t="shared" si="657"/>
        <v>0</v>
      </c>
      <c r="AF1028" s="111">
        <v>0</v>
      </c>
      <c r="AG1028" s="92">
        <f t="shared" si="658"/>
        <v>0</v>
      </c>
      <c r="AH1028" s="111">
        <v>0</v>
      </c>
      <c r="AI1028" s="111">
        <f t="shared" si="659"/>
        <v>0</v>
      </c>
      <c r="AJ1028" s="111">
        <v>0</v>
      </c>
      <c r="AK1028" s="111">
        <f t="shared" si="660"/>
        <v>0</v>
      </c>
      <c r="AL1028" s="111">
        <f t="shared" si="661"/>
        <v>0</v>
      </c>
      <c r="AM1028" s="111">
        <f t="shared" si="662"/>
        <v>0</v>
      </c>
      <c r="AN1028" s="12">
        <f t="shared" si="663"/>
        <v>0</v>
      </c>
      <c r="AO1028" s="12">
        <f t="shared" si="664"/>
        <v>0</v>
      </c>
      <c r="AP1028" s="12">
        <f t="shared" si="665"/>
        <v>0</v>
      </c>
      <c r="AQ1028" s="12">
        <f t="shared" si="666"/>
        <v>0</v>
      </c>
      <c r="AR1028" s="12">
        <f t="shared" si="667"/>
        <v>0</v>
      </c>
      <c r="AS1028" s="111">
        <f t="shared" si="668"/>
        <v>0</v>
      </c>
      <c r="AT1028" s="111">
        <f t="shared" si="669"/>
        <v>0</v>
      </c>
      <c r="AU1028" s="111">
        <f t="shared" si="670"/>
        <v>0</v>
      </c>
      <c r="AV1028" s="111">
        <f t="shared" si="671"/>
        <v>0</v>
      </c>
      <c r="AW1028" s="111">
        <f t="shared" si="672"/>
        <v>0</v>
      </c>
      <c r="AX1028" s="111">
        <f t="shared" si="673"/>
        <v>0</v>
      </c>
      <c r="AY1028" s="111">
        <f t="shared" si="674"/>
        <v>0</v>
      </c>
      <c r="AZ1028" s="111">
        <f t="shared" si="675"/>
        <v>0</v>
      </c>
      <c r="BA1028" s="111">
        <f t="shared" si="676"/>
        <v>0</v>
      </c>
      <c r="BB1028" s="111">
        <f t="shared" si="677"/>
        <v>0</v>
      </c>
      <c r="BC1028" s="111">
        <f t="shared" si="678"/>
        <v>0</v>
      </c>
      <c r="BD1028" s="111">
        <f t="shared" si="679"/>
        <v>0</v>
      </c>
      <c r="BE1028" s="111">
        <f t="shared" si="680"/>
        <v>0</v>
      </c>
      <c r="BF1028" s="111">
        <f t="shared" si="681"/>
        <v>0</v>
      </c>
      <c r="BG1028" s="111">
        <f t="shared" si="682"/>
        <v>0</v>
      </c>
      <c r="BH1028" s="111">
        <f t="shared" si="683"/>
        <v>0</v>
      </c>
      <c r="BI1028" s="145">
        <f t="shared" si="684"/>
        <v>20180328</v>
      </c>
      <c r="BJ1028" s="12" t="str">
        <f t="shared" si="685"/>
        <v>9999</v>
      </c>
      <c r="BK1028" s="111">
        <v>0</v>
      </c>
      <c r="BL1028" s="111">
        <v>0</v>
      </c>
      <c r="BM1028" s="6">
        <f t="shared" si="686"/>
        <v>0</v>
      </c>
      <c r="BN1028" s="6">
        <f t="shared" si="687"/>
        <v>0</v>
      </c>
      <c r="BO1028" s="6">
        <f t="shared" si="688"/>
        <v>0</v>
      </c>
      <c r="BP1028" s="6">
        <f t="shared" si="697"/>
        <v>0</v>
      </c>
      <c r="BQ1028" s="6">
        <f t="shared" si="689"/>
        <v>0</v>
      </c>
      <c r="BR1028" s="6">
        <f t="shared" si="690"/>
        <v>0</v>
      </c>
      <c r="BS1028" s="6">
        <f t="shared" si="691"/>
        <v>0</v>
      </c>
      <c r="BT1028" s="6">
        <f t="shared" si="692"/>
        <v>0</v>
      </c>
      <c r="BU1028" s="6">
        <f t="shared" si="693"/>
        <v>0</v>
      </c>
      <c r="BV1028" s="6">
        <f t="shared" si="694"/>
        <v>0</v>
      </c>
      <c r="BW1028" s="443">
        <f t="shared" si="698"/>
        <v>20180333</v>
      </c>
    </row>
    <row r="1029" spans="1:75" s="6" customFormat="1" x14ac:dyDescent="0.25">
      <c r="B1029" s="12" t="str">
        <f t="shared" si="635"/>
        <v>6001</v>
      </c>
      <c r="C1029" s="12" t="str">
        <f>$C$6</f>
        <v>B00102</v>
      </c>
      <c r="D1029" s="12" t="str">
        <f t="shared" si="637"/>
        <v>6001</v>
      </c>
      <c r="E1029" s="12" t="s">
        <v>228</v>
      </c>
      <c r="F1029" s="12" t="str">
        <f t="shared" si="638"/>
        <v>CZCE</v>
      </c>
      <c r="G1029" s="111" t="str">
        <f>C233</f>
        <v>PTA807</v>
      </c>
      <c r="H1029" s="111">
        <v>1</v>
      </c>
      <c r="I1029" s="12">
        <f t="shared" si="639"/>
        <v>5</v>
      </c>
      <c r="J1029" s="12">
        <f t="shared" si="640"/>
        <v>0</v>
      </c>
      <c r="K1029" s="12">
        <f t="shared" si="641"/>
        <v>0</v>
      </c>
      <c r="L1029" s="50">
        <f t="shared" si="642"/>
        <v>0</v>
      </c>
      <c r="M1029" s="223">
        <f t="shared" si="643"/>
        <v>0</v>
      </c>
      <c r="N1029" s="12">
        <f t="shared" si="695"/>
        <v>0</v>
      </c>
      <c r="O1029" s="12">
        <f t="shared" si="696"/>
        <v>0</v>
      </c>
      <c r="P1029" s="12">
        <f t="shared" si="644"/>
        <v>23137.5</v>
      </c>
      <c r="Q1029" s="12">
        <f t="shared" si="645"/>
        <v>18510</v>
      </c>
      <c r="R1029" s="12">
        <f t="shared" si="646"/>
        <v>6165</v>
      </c>
      <c r="S1029" s="50">
        <f t="shared" si="647"/>
        <v>0</v>
      </c>
      <c r="T1029" s="50">
        <f t="shared" si="648"/>
        <v>0</v>
      </c>
      <c r="U1029" s="111">
        <f t="shared" si="649"/>
        <v>0</v>
      </c>
      <c r="V1029" s="111">
        <f t="shared" si="650"/>
        <v>0</v>
      </c>
      <c r="W1029" s="24">
        <f t="shared" si="651"/>
        <v>0</v>
      </c>
      <c r="X1029" s="24">
        <f t="shared" si="652"/>
        <v>0</v>
      </c>
      <c r="Y1029" s="111">
        <f t="shared" si="653"/>
        <v>40.56</v>
      </c>
      <c r="Z1029" s="92">
        <f t="shared" si="654"/>
        <v>171.47</v>
      </c>
      <c r="AA1029" s="111">
        <f t="shared" si="655"/>
        <v>16.22</v>
      </c>
      <c r="AB1029" s="111">
        <v>0</v>
      </c>
      <c r="AC1029" s="111">
        <f t="shared" si="656"/>
        <v>0</v>
      </c>
      <c r="AD1029" s="111">
        <v>0</v>
      </c>
      <c r="AE1029" s="111">
        <f t="shared" si="657"/>
        <v>32.450000000000003</v>
      </c>
      <c r="AF1029" s="111">
        <v>0</v>
      </c>
      <c r="AG1029" s="92">
        <f t="shared" si="658"/>
        <v>114.31</v>
      </c>
      <c r="AH1029" s="111">
        <v>0</v>
      </c>
      <c r="AI1029" s="111">
        <f t="shared" si="659"/>
        <v>0</v>
      </c>
      <c r="AJ1029" s="111">
        <v>0</v>
      </c>
      <c r="AK1029" s="111">
        <f t="shared" si="660"/>
        <v>0</v>
      </c>
      <c r="AL1029" s="111">
        <f t="shared" si="661"/>
        <v>0</v>
      </c>
      <c r="AM1029" s="111">
        <f t="shared" si="662"/>
        <v>-2710</v>
      </c>
      <c r="AN1029" s="12">
        <f t="shared" si="663"/>
        <v>-585</v>
      </c>
      <c r="AO1029" s="12">
        <f t="shared" si="664"/>
        <v>490</v>
      </c>
      <c r="AP1029" s="12">
        <f t="shared" si="665"/>
        <v>-335</v>
      </c>
      <c r="AQ1029" s="12">
        <f t="shared" si="666"/>
        <v>0</v>
      </c>
      <c r="AR1029" s="12">
        <f t="shared" si="667"/>
        <v>0</v>
      </c>
      <c r="AS1029" s="111">
        <f t="shared" si="668"/>
        <v>1</v>
      </c>
      <c r="AT1029" s="111">
        <f t="shared" si="669"/>
        <v>30560</v>
      </c>
      <c r="AU1029" s="111">
        <f t="shared" si="670"/>
        <v>1</v>
      </c>
      <c r="AV1029" s="111">
        <f t="shared" si="671"/>
        <v>30560</v>
      </c>
      <c r="AW1029" s="111">
        <f t="shared" si="672"/>
        <v>0</v>
      </c>
      <c r="AX1029" s="111">
        <f t="shared" si="673"/>
        <v>0</v>
      </c>
      <c r="AY1029" s="111">
        <f t="shared" si="674"/>
        <v>0</v>
      </c>
      <c r="AZ1029" s="111">
        <f t="shared" si="675"/>
        <v>0</v>
      </c>
      <c r="BA1029" s="111">
        <f t="shared" si="676"/>
        <v>1</v>
      </c>
      <c r="BB1029" s="111">
        <f t="shared" si="677"/>
        <v>30565</v>
      </c>
      <c r="BC1029" s="111">
        <f t="shared" si="678"/>
        <v>1</v>
      </c>
      <c r="BD1029" s="111">
        <f t="shared" si="679"/>
        <v>30565</v>
      </c>
      <c r="BE1029" s="111">
        <f t="shared" si="680"/>
        <v>0</v>
      </c>
      <c r="BF1029" s="111">
        <f t="shared" si="681"/>
        <v>0</v>
      </c>
      <c r="BG1029" s="111">
        <f t="shared" si="682"/>
        <v>0</v>
      </c>
      <c r="BH1029" s="111">
        <f t="shared" si="683"/>
        <v>0</v>
      </c>
      <c r="BI1029" s="145">
        <f t="shared" si="684"/>
        <v>20180328</v>
      </c>
      <c r="BJ1029" s="12" t="str">
        <f t="shared" si="685"/>
        <v>9999</v>
      </c>
      <c r="BK1029" s="111">
        <v>0</v>
      </c>
      <c r="BL1029" s="111">
        <v>0</v>
      </c>
      <c r="BM1029" s="6">
        <f t="shared" si="686"/>
        <v>0</v>
      </c>
      <c r="BN1029" s="6">
        <f t="shared" si="687"/>
        <v>0</v>
      </c>
      <c r="BO1029" s="6">
        <f t="shared" si="688"/>
        <v>0</v>
      </c>
      <c r="BP1029" s="6">
        <f t="shared" si="697"/>
        <v>0</v>
      </c>
      <c r="BQ1029" s="6">
        <f t="shared" si="689"/>
        <v>0</v>
      </c>
      <c r="BR1029" s="6">
        <f t="shared" si="690"/>
        <v>0</v>
      </c>
      <c r="BS1029" s="6">
        <f t="shared" si="691"/>
        <v>0</v>
      </c>
      <c r="BT1029" s="6">
        <f t="shared" si="692"/>
        <v>0</v>
      </c>
      <c r="BU1029" s="6">
        <f t="shared" si="693"/>
        <v>0</v>
      </c>
      <c r="BV1029" s="6">
        <f t="shared" si="694"/>
        <v>1</v>
      </c>
      <c r="BW1029" s="443">
        <f t="shared" si="698"/>
        <v>20180328</v>
      </c>
    </row>
    <row r="1030" spans="1:75" s="6" customFormat="1" x14ac:dyDescent="0.25">
      <c r="B1030" s="12" t="str">
        <f t="shared" si="635"/>
        <v>6001</v>
      </c>
      <c r="C1030" s="12" t="str">
        <f>$C$6</f>
        <v>B00102</v>
      </c>
      <c r="D1030" s="12" t="str">
        <f t="shared" si="637"/>
        <v>6001</v>
      </c>
      <c r="E1030" s="12" t="s">
        <v>228</v>
      </c>
      <c r="F1030" s="12" t="str">
        <f t="shared" si="638"/>
        <v>CZCE</v>
      </c>
      <c r="G1030" s="111" t="str">
        <f>G1029</f>
        <v>PTA807</v>
      </c>
      <c r="H1030" s="111">
        <v>3</v>
      </c>
      <c r="I1030" s="12">
        <f t="shared" si="639"/>
        <v>5</v>
      </c>
      <c r="J1030" s="12">
        <f t="shared" si="640"/>
        <v>0</v>
      </c>
      <c r="K1030" s="12">
        <f t="shared" si="641"/>
        <v>0</v>
      </c>
      <c r="L1030" s="50">
        <f t="shared" si="642"/>
        <v>0</v>
      </c>
      <c r="M1030" s="223">
        <f t="shared" si="643"/>
        <v>0</v>
      </c>
      <c r="N1030" s="12">
        <f t="shared" si="695"/>
        <v>0</v>
      </c>
      <c r="O1030" s="12">
        <f t="shared" si="696"/>
        <v>0</v>
      </c>
      <c r="P1030" s="12">
        <f t="shared" si="644"/>
        <v>12853.1</v>
      </c>
      <c r="Q1030" s="12">
        <f t="shared" si="645"/>
        <v>10381.35</v>
      </c>
      <c r="R1030" s="12">
        <f t="shared" si="646"/>
        <v>6165</v>
      </c>
      <c r="S1030" s="50">
        <f t="shared" si="647"/>
        <v>0</v>
      </c>
      <c r="T1030" s="50">
        <f t="shared" si="648"/>
        <v>0</v>
      </c>
      <c r="U1030" s="111">
        <f t="shared" si="649"/>
        <v>0</v>
      </c>
      <c r="V1030" s="111">
        <f t="shared" si="650"/>
        <v>0</v>
      </c>
      <c r="W1030" s="24">
        <f t="shared" si="651"/>
        <v>0</v>
      </c>
      <c r="X1030" s="24">
        <f t="shared" si="652"/>
        <v>0</v>
      </c>
      <c r="Y1030" s="111">
        <f t="shared" si="653"/>
        <v>0</v>
      </c>
      <c r="Z1030" s="92">
        <f t="shared" si="654"/>
        <v>171.46</v>
      </c>
      <c r="AA1030" s="111">
        <f t="shared" si="655"/>
        <v>0</v>
      </c>
      <c r="AB1030" s="111">
        <v>0</v>
      </c>
      <c r="AC1030" s="111">
        <f t="shared" si="656"/>
        <v>0</v>
      </c>
      <c r="AD1030" s="111">
        <v>0</v>
      </c>
      <c r="AE1030" s="111">
        <f t="shared" si="657"/>
        <v>0</v>
      </c>
      <c r="AF1030" s="111">
        <v>0</v>
      </c>
      <c r="AG1030" s="92">
        <f t="shared" si="658"/>
        <v>171.46</v>
      </c>
      <c r="AH1030" s="111">
        <v>0</v>
      </c>
      <c r="AI1030" s="111">
        <f t="shared" si="659"/>
        <v>0</v>
      </c>
      <c r="AJ1030" s="111">
        <v>0</v>
      </c>
      <c r="AK1030" s="111">
        <f t="shared" si="660"/>
        <v>0</v>
      </c>
      <c r="AL1030" s="111">
        <f t="shared" si="661"/>
        <v>0</v>
      </c>
      <c r="AM1030" s="111">
        <f t="shared" si="662"/>
        <v>-7905</v>
      </c>
      <c r="AN1030" s="12">
        <f t="shared" si="663"/>
        <v>-1625</v>
      </c>
      <c r="AO1030" s="12">
        <f t="shared" si="664"/>
        <v>175</v>
      </c>
      <c r="AP1030" s="12">
        <f t="shared" si="665"/>
        <v>-175</v>
      </c>
      <c r="AQ1030" s="12">
        <f t="shared" si="666"/>
        <v>0</v>
      </c>
      <c r="AR1030" s="12">
        <f t="shared" si="667"/>
        <v>0</v>
      </c>
      <c r="AS1030" s="111">
        <f t="shared" si="668"/>
        <v>0</v>
      </c>
      <c r="AT1030" s="111">
        <f t="shared" si="669"/>
        <v>0</v>
      </c>
      <c r="AU1030" s="111">
        <f t="shared" si="670"/>
        <v>0</v>
      </c>
      <c r="AV1030" s="111">
        <f t="shared" si="671"/>
        <v>0</v>
      </c>
      <c r="AW1030" s="111">
        <f t="shared" si="672"/>
        <v>0</v>
      </c>
      <c r="AX1030" s="111">
        <f t="shared" si="673"/>
        <v>0</v>
      </c>
      <c r="AY1030" s="111">
        <f t="shared" si="674"/>
        <v>0</v>
      </c>
      <c r="AZ1030" s="111">
        <f t="shared" si="675"/>
        <v>0</v>
      </c>
      <c r="BA1030" s="111">
        <f t="shared" si="676"/>
        <v>0</v>
      </c>
      <c r="BB1030" s="111">
        <f t="shared" si="677"/>
        <v>0</v>
      </c>
      <c r="BC1030" s="111">
        <f t="shared" si="678"/>
        <v>0</v>
      </c>
      <c r="BD1030" s="111">
        <f t="shared" si="679"/>
        <v>0</v>
      </c>
      <c r="BE1030" s="111">
        <f t="shared" si="680"/>
        <v>0</v>
      </c>
      <c r="BF1030" s="111">
        <f t="shared" si="681"/>
        <v>0</v>
      </c>
      <c r="BG1030" s="111">
        <f t="shared" si="682"/>
        <v>0</v>
      </c>
      <c r="BH1030" s="111">
        <f t="shared" si="683"/>
        <v>0</v>
      </c>
      <c r="BI1030" s="145">
        <f t="shared" si="684"/>
        <v>20180328</v>
      </c>
      <c r="BJ1030" s="12" t="str">
        <f t="shared" si="685"/>
        <v>9999</v>
      </c>
      <c r="BK1030" s="111">
        <v>0</v>
      </c>
      <c r="BL1030" s="111">
        <v>0</v>
      </c>
      <c r="BM1030" s="6">
        <f t="shared" si="686"/>
        <v>0</v>
      </c>
      <c r="BN1030" s="6">
        <f t="shared" si="687"/>
        <v>0</v>
      </c>
      <c r="BO1030" s="6">
        <f t="shared" si="688"/>
        <v>0</v>
      </c>
      <c r="BP1030" s="6">
        <f t="shared" si="697"/>
        <v>0</v>
      </c>
      <c r="BQ1030" s="6">
        <f t="shared" si="689"/>
        <v>0</v>
      </c>
      <c r="BR1030" s="6">
        <f t="shared" si="690"/>
        <v>0</v>
      </c>
      <c r="BS1030" s="6">
        <f t="shared" si="691"/>
        <v>0</v>
      </c>
      <c r="BT1030" s="6">
        <f t="shared" si="692"/>
        <v>0</v>
      </c>
      <c r="BU1030" s="6">
        <f t="shared" si="693"/>
        <v>0</v>
      </c>
      <c r="BV1030" s="6">
        <f t="shared" si="694"/>
        <v>1</v>
      </c>
      <c r="BW1030" s="443">
        <f t="shared" si="698"/>
        <v>20180328</v>
      </c>
    </row>
    <row r="1031" spans="1:75" s="6" customFormat="1" x14ac:dyDescent="0.25">
      <c r="B1031" s="12" t="str">
        <f t="shared" si="635"/>
        <v>6001</v>
      </c>
      <c r="C1031" s="12" t="str">
        <f>$C$6</f>
        <v>B00102</v>
      </c>
      <c r="D1031" s="12" t="str">
        <f t="shared" si="637"/>
        <v>6001</v>
      </c>
      <c r="E1031" s="12" t="s">
        <v>228</v>
      </c>
      <c r="F1031" s="12" t="str">
        <f t="shared" si="638"/>
        <v>CZCE</v>
      </c>
      <c r="G1031" s="113" t="str">
        <f>C234</f>
        <v>PTA809</v>
      </c>
      <c r="H1031" s="111">
        <v>1</v>
      </c>
      <c r="I1031" s="12">
        <f t="shared" si="639"/>
        <v>5</v>
      </c>
      <c r="J1031" s="12">
        <f t="shared" si="640"/>
        <v>2</v>
      </c>
      <c r="K1031" s="12">
        <f t="shared" si="641"/>
        <v>0</v>
      </c>
      <c r="L1031" s="50">
        <f t="shared" si="642"/>
        <v>3094</v>
      </c>
      <c r="M1031" s="223">
        <f t="shared" si="643"/>
        <v>0</v>
      </c>
      <c r="N1031" s="12">
        <f t="shared" si="695"/>
        <v>2475.1999999999998</v>
      </c>
      <c r="O1031" s="12">
        <f t="shared" si="696"/>
        <v>0</v>
      </c>
      <c r="P1031" s="12">
        <f t="shared" si="644"/>
        <v>0</v>
      </c>
      <c r="Q1031" s="12">
        <f t="shared" si="645"/>
        <v>0</v>
      </c>
      <c r="R1031" s="12">
        <f t="shared" si="646"/>
        <v>6168</v>
      </c>
      <c r="S1031" s="50">
        <f t="shared" si="647"/>
        <v>61240</v>
      </c>
      <c r="T1031" s="50">
        <f t="shared" si="648"/>
        <v>0</v>
      </c>
      <c r="U1031" s="111">
        <f t="shared" si="649"/>
        <v>0</v>
      </c>
      <c r="V1031" s="111">
        <f t="shared" si="650"/>
        <v>0</v>
      </c>
      <c r="W1031" s="24">
        <f t="shared" si="651"/>
        <v>0</v>
      </c>
      <c r="X1031" s="24">
        <f t="shared" si="652"/>
        <v>0</v>
      </c>
      <c r="Y1031" s="111">
        <f t="shared" si="653"/>
        <v>0</v>
      </c>
      <c r="Z1031" s="92">
        <f t="shared" si="654"/>
        <v>0</v>
      </c>
      <c r="AA1031" s="111">
        <f t="shared" si="655"/>
        <v>0</v>
      </c>
      <c r="AB1031" s="111">
        <v>0</v>
      </c>
      <c r="AC1031" s="111">
        <f t="shared" si="656"/>
        <v>0</v>
      </c>
      <c r="AD1031" s="111">
        <v>0</v>
      </c>
      <c r="AE1031" s="111">
        <f t="shared" si="657"/>
        <v>0</v>
      </c>
      <c r="AF1031" s="111">
        <v>0</v>
      </c>
      <c r="AG1031" s="92">
        <f t="shared" si="658"/>
        <v>0</v>
      </c>
      <c r="AH1031" s="111">
        <v>0</v>
      </c>
      <c r="AI1031" s="111">
        <f t="shared" si="659"/>
        <v>0</v>
      </c>
      <c r="AJ1031" s="111">
        <v>0</v>
      </c>
      <c r="AK1031" s="111">
        <f t="shared" si="660"/>
        <v>0</v>
      </c>
      <c r="AL1031" s="111">
        <f t="shared" si="661"/>
        <v>0</v>
      </c>
      <c r="AM1031" s="111">
        <f t="shared" si="662"/>
        <v>0</v>
      </c>
      <c r="AN1031" s="12">
        <f t="shared" si="663"/>
        <v>0</v>
      </c>
      <c r="AO1031" s="12">
        <f t="shared" si="664"/>
        <v>30</v>
      </c>
      <c r="AP1031" s="12">
        <f t="shared" si="665"/>
        <v>0</v>
      </c>
      <c r="AQ1031" s="12">
        <f t="shared" si="666"/>
        <v>440</v>
      </c>
      <c r="AR1031" s="12">
        <f t="shared" si="667"/>
        <v>0</v>
      </c>
      <c r="AS1031" s="111">
        <f t="shared" si="668"/>
        <v>0</v>
      </c>
      <c r="AT1031" s="111">
        <f t="shared" si="669"/>
        <v>0</v>
      </c>
      <c r="AU1031" s="111">
        <f t="shared" si="670"/>
        <v>0</v>
      </c>
      <c r="AV1031" s="111">
        <f t="shared" si="671"/>
        <v>0</v>
      </c>
      <c r="AW1031" s="111">
        <f t="shared" si="672"/>
        <v>0</v>
      </c>
      <c r="AX1031" s="111">
        <f t="shared" si="673"/>
        <v>0</v>
      </c>
      <c r="AY1031" s="111">
        <f t="shared" si="674"/>
        <v>0</v>
      </c>
      <c r="AZ1031" s="111">
        <f t="shared" si="675"/>
        <v>0</v>
      </c>
      <c r="BA1031" s="111">
        <f t="shared" si="676"/>
        <v>0</v>
      </c>
      <c r="BB1031" s="111">
        <f t="shared" si="677"/>
        <v>0</v>
      </c>
      <c r="BC1031" s="111">
        <f t="shared" si="678"/>
        <v>0</v>
      </c>
      <c r="BD1031" s="111">
        <f t="shared" si="679"/>
        <v>0</v>
      </c>
      <c r="BE1031" s="111">
        <f t="shared" si="680"/>
        <v>0</v>
      </c>
      <c r="BF1031" s="111">
        <f t="shared" si="681"/>
        <v>0</v>
      </c>
      <c r="BG1031" s="111">
        <f t="shared" si="682"/>
        <v>0</v>
      </c>
      <c r="BH1031" s="111">
        <f t="shared" si="683"/>
        <v>0</v>
      </c>
      <c r="BI1031" s="145">
        <f t="shared" si="684"/>
        <v>20180328</v>
      </c>
      <c r="BJ1031" s="12" t="str">
        <f t="shared" si="685"/>
        <v>9999</v>
      </c>
      <c r="BK1031" s="111">
        <v>0</v>
      </c>
      <c r="BL1031" s="111">
        <v>0</v>
      </c>
      <c r="BM1031" s="6">
        <f t="shared" si="686"/>
        <v>3094</v>
      </c>
      <c r="BN1031" s="6">
        <f t="shared" si="687"/>
        <v>0</v>
      </c>
      <c r="BO1031" s="6">
        <f t="shared" si="688"/>
        <v>0</v>
      </c>
      <c r="BP1031" s="6">
        <f t="shared" si="697"/>
        <v>0</v>
      </c>
      <c r="BQ1031" s="6">
        <f t="shared" si="689"/>
        <v>2475.1999999999998</v>
      </c>
      <c r="BR1031" s="6">
        <f t="shared" si="690"/>
        <v>0</v>
      </c>
      <c r="BS1031" s="6">
        <f t="shared" si="691"/>
        <v>0</v>
      </c>
      <c r="BT1031" s="6">
        <f t="shared" si="692"/>
        <v>0</v>
      </c>
      <c r="BU1031" s="6">
        <f t="shared" si="693"/>
        <v>0</v>
      </c>
      <c r="BV1031" s="6">
        <f t="shared" si="694"/>
        <v>1</v>
      </c>
      <c r="BW1031" s="443">
        <f t="shared" si="698"/>
        <v>20180333</v>
      </c>
    </row>
    <row r="1032" spans="1:75" s="6" customFormat="1" x14ac:dyDescent="0.25">
      <c r="A1032" s="6" t="s">
        <v>2020</v>
      </c>
      <c r="B1032" s="12" t="str">
        <f t="shared" si="635"/>
        <v>6001</v>
      </c>
      <c r="C1032" s="12" t="str">
        <f>$C$6</f>
        <v>B00102</v>
      </c>
      <c r="D1032" s="12" t="str">
        <f t="shared" si="637"/>
        <v>6001</v>
      </c>
      <c r="E1032" s="12" t="s">
        <v>228</v>
      </c>
      <c r="F1032" s="12" t="str">
        <f t="shared" si="638"/>
        <v>CZCE</v>
      </c>
      <c r="G1032" s="113" t="str">
        <f>G1031</f>
        <v>PTA809</v>
      </c>
      <c r="H1032" s="111">
        <v>3</v>
      </c>
      <c r="I1032" s="12">
        <f t="shared" si="639"/>
        <v>5</v>
      </c>
      <c r="J1032" s="12">
        <f t="shared" si="640"/>
        <v>0</v>
      </c>
      <c r="K1032" s="12">
        <f t="shared" si="641"/>
        <v>0</v>
      </c>
      <c r="L1032" s="50">
        <f t="shared" si="642"/>
        <v>0</v>
      </c>
      <c r="M1032" s="223">
        <f t="shared" si="643"/>
        <v>0</v>
      </c>
      <c r="N1032" s="12">
        <f t="shared" si="695"/>
        <v>0</v>
      </c>
      <c r="O1032" s="12">
        <f t="shared" si="696"/>
        <v>0</v>
      </c>
      <c r="P1032" s="12">
        <f t="shared" si="644"/>
        <v>0</v>
      </c>
      <c r="Q1032" s="12">
        <f t="shared" si="645"/>
        <v>0</v>
      </c>
      <c r="R1032" s="12">
        <f t="shared" si="646"/>
        <v>6168</v>
      </c>
      <c r="S1032" s="50">
        <f t="shared" si="647"/>
        <v>0</v>
      </c>
      <c r="T1032" s="50">
        <f t="shared" si="648"/>
        <v>0</v>
      </c>
      <c r="U1032" s="111">
        <f t="shared" si="649"/>
        <v>0</v>
      </c>
      <c r="V1032" s="111">
        <f t="shared" si="650"/>
        <v>0</v>
      </c>
      <c r="W1032" s="24">
        <f t="shared" si="651"/>
        <v>0</v>
      </c>
      <c r="X1032" s="24">
        <f t="shared" si="652"/>
        <v>0</v>
      </c>
      <c r="Y1032" s="111">
        <f t="shared" si="653"/>
        <v>0</v>
      </c>
      <c r="Z1032" s="92">
        <f t="shared" si="654"/>
        <v>0</v>
      </c>
      <c r="AA1032" s="111">
        <f t="shared" si="655"/>
        <v>0</v>
      </c>
      <c r="AB1032" s="111">
        <v>0</v>
      </c>
      <c r="AC1032" s="111">
        <f t="shared" si="656"/>
        <v>0</v>
      </c>
      <c r="AD1032" s="111">
        <v>0</v>
      </c>
      <c r="AE1032" s="111">
        <f t="shared" si="657"/>
        <v>0</v>
      </c>
      <c r="AF1032" s="111">
        <v>0</v>
      </c>
      <c r="AG1032" s="92">
        <f t="shared" si="658"/>
        <v>0</v>
      </c>
      <c r="AH1032" s="111">
        <v>0</v>
      </c>
      <c r="AI1032" s="111">
        <f t="shared" si="659"/>
        <v>0</v>
      </c>
      <c r="AJ1032" s="111">
        <v>0</v>
      </c>
      <c r="AK1032" s="111">
        <f t="shared" si="660"/>
        <v>0</v>
      </c>
      <c r="AL1032" s="111">
        <f t="shared" si="661"/>
        <v>0</v>
      </c>
      <c r="AM1032" s="111">
        <f t="shared" si="662"/>
        <v>0</v>
      </c>
      <c r="AN1032" s="12">
        <f t="shared" si="663"/>
        <v>0</v>
      </c>
      <c r="AO1032" s="12">
        <f t="shared" si="664"/>
        <v>0</v>
      </c>
      <c r="AP1032" s="12">
        <f t="shared" si="665"/>
        <v>0</v>
      </c>
      <c r="AQ1032" s="12">
        <f t="shared" si="666"/>
        <v>0</v>
      </c>
      <c r="AR1032" s="12">
        <f t="shared" si="667"/>
        <v>0</v>
      </c>
      <c r="AS1032" s="111">
        <f t="shared" si="668"/>
        <v>0</v>
      </c>
      <c r="AT1032" s="111">
        <f t="shared" si="669"/>
        <v>0</v>
      </c>
      <c r="AU1032" s="111">
        <f t="shared" si="670"/>
        <v>0</v>
      </c>
      <c r="AV1032" s="111">
        <f t="shared" si="671"/>
        <v>0</v>
      </c>
      <c r="AW1032" s="111">
        <f t="shared" si="672"/>
        <v>0</v>
      </c>
      <c r="AX1032" s="111">
        <f t="shared" si="673"/>
        <v>0</v>
      </c>
      <c r="AY1032" s="111">
        <f t="shared" si="674"/>
        <v>0</v>
      </c>
      <c r="AZ1032" s="111">
        <f t="shared" si="675"/>
        <v>0</v>
      </c>
      <c r="BA1032" s="111">
        <f t="shared" si="676"/>
        <v>0</v>
      </c>
      <c r="BB1032" s="111">
        <f t="shared" si="677"/>
        <v>0</v>
      </c>
      <c r="BC1032" s="111">
        <f t="shared" si="678"/>
        <v>0</v>
      </c>
      <c r="BD1032" s="111">
        <f t="shared" si="679"/>
        <v>0</v>
      </c>
      <c r="BE1032" s="111">
        <f t="shared" si="680"/>
        <v>0</v>
      </c>
      <c r="BF1032" s="111">
        <f t="shared" si="681"/>
        <v>0</v>
      </c>
      <c r="BG1032" s="111">
        <f t="shared" si="682"/>
        <v>0</v>
      </c>
      <c r="BH1032" s="111">
        <f t="shared" si="683"/>
        <v>0</v>
      </c>
      <c r="BI1032" s="145">
        <f t="shared" si="684"/>
        <v>20180328</v>
      </c>
      <c r="BJ1032" s="12" t="str">
        <f t="shared" si="685"/>
        <v>9999</v>
      </c>
      <c r="BK1032" s="111">
        <v>0</v>
      </c>
      <c r="BL1032" s="111">
        <v>0</v>
      </c>
      <c r="BM1032" s="6">
        <f t="shared" si="686"/>
        <v>0</v>
      </c>
      <c r="BN1032" s="6">
        <f t="shared" si="687"/>
        <v>0</v>
      </c>
      <c r="BO1032" s="6">
        <f t="shared" si="688"/>
        <v>0</v>
      </c>
      <c r="BP1032" s="6">
        <f t="shared" si="697"/>
        <v>0</v>
      </c>
      <c r="BQ1032" s="6">
        <f t="shared" si="689"/>
        <v>0</v>
      </c>
      <c r="BR1032" s="6">
        <f t="shared" si="690"/>
        <v>0</v>
      </c>
      <c r="BS1032" s="6">
        <f t="shared" si="691"/>
        <v>0</v>
      </c>
      <c r="BT1032" s="6">
        <f t="shared" si="692"/>
        <v>0</v>
      </c>
      <c r="BU1032" s="6">
        <f t="shared" si="693"/>
        <v>0</v>
      </c>
      <c r="BV1032" s="6">
        <f t="shared" si="694"/>
        <v>1</v>
      </c>
      <c r="BW1032" s="443">
        <f t="shared" si="698"/>
        <v>20180333</v>
      </c>
    </row>
    <row r="1033" spans="1:75" x14ac:dyDescent="0.25">
      <c r="A1033" t="s">
        <v>1501</v>
      </c>
      <c r="B1033" s="12" t="str">
        <f t="shared" si="635"/>
        <v>6001</v>
      </c>
      <c r="C1033" s="12" t="str">
        <f t="shared" ref="C1033:C1039" si="699">$C$5</f>
        <v>B00101</v>
      </c>
      <c r="D1033" s="12" t="str">
        <f t="shared" si="637"/>
        <v>6001</v>
      </c>
      <c r="E1033" s="12" t="s">
        <v>228</v>
      </c>
      <c r="F1033" s="50" t="str">
        <f t="shared" si="638"/>
        <v>CZCE</v>
      </c>
      <c r="G1033" s="109" t="str">
        <f>C238</f>
        <v>SR807C6500</v>
      </c>
      <c r="H1033" s="92">
        <v>1</v>
      </c>
      <c r="I1033" s="50">
        <f t="shared" si="639"/>
        <v>10</v>
      </c>
      <c r="J1033" s="50">
        <f t="shared" si="640"/>
        <v>0</v>
      </c>
      <c r="K1033" s="50">
        <f t="shared" si="641"/>
        <v>0</v>
      </c>
      <c r="L1033" s="50">
        <f t="shared" si="642"/>
        <v>0</v>
      </c>
      <c r="M1033" s="223">
        <f t="shared" si="643"/>
        <v>0</v>
      </c>
      <c r="N1033" s="12">
        <f t="shared" si="695"/>
        <v>0</v>
      </c>
      <c r="O1033" s="12">
        <f t="shared" si="696"/>
        <v>0</v>
      </c>
      <c r="P1033" s="50">
        <f t="shared" si="644"/>
        <v>0</v>
      </c>
      <c r="Q1033" s="50">
        <f t="shared" si="645"/>
        <v>0</v>
      </c>
      <c r="R1033" s="50">
        <f t="shared" si="646"/>
        <v>610</v>
      </c>
      <c r="S1033" s="50">
        <f t="shared" si="647"/>
        <v>0</v>
      </c>
      <c r="T1033" s="50">
        <f t="shared" si="648"/>
        <v>0</v>
      </c>
      <c r="U1033" s="92">
        <f t="shared" si="649"/>
        <v>0</v>
      </c>
      <c r="V1033" s="92">
        <f t="shared" si="650"/>
        <v>0</v>
      </c>
      <c r="W1033" s="25">
        <f t="shared" si="651"/>
        <v>0</v>
      </c>
      <c r="X1033" s="25">
        <f t="shared" si="652"/>
        <v>0</v>
      </c>
      <c r="Y1033" s="92">
        <f t="shared" si="653"/>
        <v>0</v>
      </c>
      <c r="Z1033" s="92">
        <f t="shared" si="654"/>
        <v>0</v>
      </c>
      <c r="AA1033" s="92">
        <f t="shared" si="655"/>
        <v>0</v>
      </c>
      <c r="AB1033" s="92">
        <v>0</v>
      </c>
      <c r="AC1033" s="92">
        <f t="shared" si="656"/>
        <v>0</v>
      </c>
      <c r="AD1033" s="92">
        <v>0</v>
      </c>
      <c r="AE1033" s="92">
        <f t="shared" si="657"/>
        <v>0</v>
      </c>
      <c r="AF1033" s="92">
        <v>0</v>
      </c>
      <c r="AG1033" s="92">
        <f t="shared" si="658"/>
        <v>0</v>
      </c>
      <c r="AH1033" s="92">
        <v>0</v>
      </c>
      <c r="AI1033" s="92">
        <f t="shared" si="659"/>
        <v>0</v>
      </c>
      <c r="AJ1033" s="92">
        <v>0</v>
      </c>
      <c r="AK1033" s="92">
        <f t="shared" si="660"/>
        <v>0</v>
      </c>
      <c r="AL1033" s="92">
        <f t="shared" si="661"/>
        <v>0</v>
      </c>
      <c r="AM1033" s="92">
        <f t="shared" si="662"/>
        <v>0</v>
      </c>
      <c r="AN1033" s="147">
        <f t="shared" si="663"/>
        <v>0</v>
      </c>
      <c r="AO1033" s="147">
        <f t="shared" si="664"/>
        <v>0</v>
      </c>
      <c r="AP1033" s="147">
        <f t="shared" si="665"/>
        <v>0</v>
      </c>
      <c r="AQ1033" s="147">
        <f t="shared" si="666"/>
        <v>0</v>
      </c>
      <c r="AR1033" s="147">
        <f t="shared" si="667"/>
        <v>0</v>
      </c>
      <c r="AS1033" s="92">
        <f t="shared" si="668"/>
        <v>0</v>
      </c>
      <c r="AT1033" s="92">
        <f t="shared" si="669"/>
        <v>0</v>
      </c>
      <c r="AU1033" s="92">
        <f t="shared" si="670"/>
        <v>0</v>
      </c>
      <c r="AV1033" s="92">
        <f t="shared" si="671"/>
        <v>0</v>
      </c>
      <c r="AW1033" s="92">
        <f t="shared" si="672"/>
        <v>0</v>
      </c>
      <c r="AX1033" s="92">
        <f t="shared" si="673"/>
        <v>0</v>
      </c>
      <c r="AY1033" s="92">
        <f t="shared" si="674"/>
        <v>0</v>
      </c>
      <c r="AZ1033" s="92">
        <f t="shared" si="675"/>
        <v>0</v>
      </c>
      <c r="BA1033" s="115">
        <f t="shared" si="676"/>
        <v>0</v>
      </c>
      <c r="BB1033" s="92">
        <f t="shared" si="677"/>
        <v>0</v>
      </c>
      <c r="BC1033" s="92">
        <f t="shared" si="678"/>
        <v>0</v>
      </c>
      <c r="BD1033" s="92">
        <f t="shared" si="679"/>
        <v>0</v>
      </c>
      <c r="BE1033" s="92">
        <f t="shared" si="680"/>
        <v>0</v>
      </c>
      <c r="BF1033" s="92">
        <f t="shared" si="681"/>
        <v>0</v>
      </c>
      <c r="BG1033" s="92">
        <f t="shared" si="682"/>
        <v>0</v>
      </c>
      <c r="BH1033" s="92">
        <f t="shared" si="683"/>
        <v>0</v>
      </c>
      <c r="BI1033" s="145">
        <f t="shared" si="684"/>
        <v>20180328</v>
      </c>
      <c r="BJ1033" s="12" t="str">
        <f t="shared" si="685"/>
        <v>9999</v>
      </c>
      <c r="BK1033" s="92">
        <v>0</v>
      </c>
      <c r="BL1033" s="92">
        <v>0</v>
      </c>
      <c r="BM1033">
        <f t="shared" si="686"/>
        <v>0</v>
      </c>
      <c r="BN1033">
        <f t="shared" si="687"/>
        <v>0</v>
      </c>
      <c r="BO1033">
        <f t="shared" si="688"/>
        <v>0</v>
      </c>
      <c r="BP1033">
        <f t="shared" si="697"/>
        <v>0</v>
      </c>
      <c r="BQ1033">
        <f t="shared" si="689"/>
        <v>0</v>
      </c>
      <c r="BR1033">
        <f t="shared" si="690"/>
        <v>0</v>
      </c>
      <c r="BS1033">
        <f t="shared" si="691"/>
        <v>0</v>
      </c>
      <c r="BT1033">
        <f t="shared" si="692"/>
        <v>0</v>
      </c>
      <c r="BU1033">
        <f t="shared" si="693"/>
        <v>1</v>
      </c>
      <c r="BV1033">
        <f t="shared" si="694"/>
        <v>0</v>
      </c>
      <c r="BW1033" s="443">
        <f t="shared" si="698"/>
        <v>20180327</v>
      </c>
    </row>
    <row r="1034" spans="1:75" x14ac:dyDescent="0.25">
      <c r="A1034" t="s">
        <v>1477</v>
      </c>
      <c r="B1034" s="12" t="str">
        <f t="shared" si="635"/>
        <v>6001</v>
      </c>
      <c r="C1034" s="12" t="str">
        <f t="shared" si="699"/>
        <v>B00101</v>
      </c>
      <c r="D1034" s="12" t="str">
        <f t="shared" si="637"/>
        <v>6001</v>
      </c>
      <c r="E1034" s="12" t="s">
        <v>228</v>
      </c>
      <c r="F1034" s="50" t="str">
        <f t="shared" si="638"/>
        <v>CZCE</v>
      </c>
      <c r="G1034" s="109" t="str">
        <f>C238</f>
        <v>SR807C6500</v>
      </c>
      <c r="H1034" s="92">
        <v>3</v>
      </c>
      <c r="I1034" s="50">
        <f t="shared" si="639"/>
        <v>10</v>
      </c>
      <c r="J1034" s="50">
        <f t="shared" si="640"/>
        <v>0</v>
      </c>
      <c r="K1034" s="50">
        <f t="shared" si="641"/>
        <v>0</v>
      </c>
      <c r="L1034" s="50">
        <f t="shared" si="642"/>
        <v>0</v>
      </c>
      <c r="M1034" s="223">
        <f t="shared" si="643"/>
        <v>0</v>
      </c>
      <c r="N1034" s="12">
        <f t="shared" si="695"/>
        <v>0</v>
      </c>
      <c r="O1034" s="12">
        <f t="shared" si="696"/>
        <v>0</v>
      </c>
      <c r="P1034" s="50">
        <f t="shared" si="644"/>
        <v>0</v>
      </c>
      <c r="Q1034" s="50">
        <f t="shared" si="645"/>
        <v>0</v>
      </c>
      <c r="R1034" s="50">
        <f t="shared" si="646"/>
        <v>610</v>
      </c>
      <c r="S1034" s="50">
        <f t="shared" si="647"/>
        <v>0</v>
      </c>
      <c r="T1034" s="50">
        <f t="shared" si="648"/>
        <v>0</v>
      </c>
      <c r="U1034" s="92">
        <f t="shared" si="649"/>
        <v>0</v>
      </c>
      <c r="V1034" s="92">
        <f t="shared" si="650"/>
        <v>0</v>
      </c>
      <c r="W1034" s="25">
        <f t="shared" si="651"/>
        <v>0</v>
      </c>
      <c r="X1034" s="25">
        <f t="shared" si="652"/>
        <v>0</v>
      </c>
      <c r="Y1034" s="92">
        <f t="shared" si="653"/>
        <v>0</v>
      </c>
      <c r="Z1034" s="92">
        <f t="shared" si="654"/>
        <v>0</v>
      </c>
      <c r="AA1034" s="92">
        <f t="shared" si="655"/>
        <v>0</v>
      </c>
      <c r="AB1034" s="92">
        <v>0</v>
      </c>
      <c r="AC1034" s="92">
        <f t="shared" si="656"/>
        <v>0</v>
      </c>
      <c r="AD1034" s="92">
        <v>0</v>
      </c>
      <c r="AE1034" s="92">
        <f t="shared" si="657"/>
        <v>0</v>
      </c>
      <c r="AF1034" s="92">
        <v>0</v>
      </c>
      <c r="AG1034" s="92">
        <f t="shared" si="658"/>
        <v>0</v>
      </c>
      <c r="AH1034" s="92">
        <v>0</v>
      </c>
      <c r="AI1034" s="92">
        <f t="shared" si="659"/>
        <v>0</v>
      </c>
      <c r="AJ1034" s="92">
        <v>0</v>
      </c>
      <c r="AK1034" s="92">
        <f t="shared" si="660"/>
        <v>0</v>
      </c>
      <c r="AL1034" s="92">
        <f t="shared" si="661"/>
        <v>0</v>
      </c>
      <c r="AM1034" s="92">
        <f t="shared" si="662"/>
        <v>0</v>
      </c>
      <c r="AN1034" s="147">
        <f t="shared" si="663"/>
        <v>0</v>
      </c>
      <c r="AO1034" s="147">
        <f t="shared" si="664"/>
        <v>0</v>
      </c>
      <c r="AP1034" s="147">
        <f t="shared" si="665"/>
        <v>0</v>
      </c>
      <c r="AQ1034" s="147">
        <f t="shared" si="666"/>
        <v>0</v>
      </c>
      <c r="AR1034" s="147">
        <f t="shared" si="667"/>
        <v>0</v>
      </c>
      <c r="AS1034" s="92">
        <f t="shared" si="668"/>
        <v>0</v>
      </c>
      <c r="AT1034" s="92">
        <f t="shared" si="669"/>
        <v>0</v>
      </c>
      <c r="AU1034" s="92">
        <f t="shared" si="670"/>
        <v>0</v>
      </c>
      <c r="AV1034" s="92">
        <f t="shared" si="671"/>
        <v>0</v>
      </c>
      <c r="AW1034" s="92">
        <f t="shared" si="672"/>
        <v>0</v>
      </c>
      <c r="AX1034" s="92">
        <f t="shared" si="673"/>
        <v>0</v>
      </c>
      <c r="AY1034" s="92">
        <f t="shared" si="674"/>
        <v>0</v>
      </c>
      <c r="AZ1034" s="92">
        <f t="shared" si="675"/>
        <v>0</v>
      </c>
      <c r="BA1034" s="115">
        <f t="shared" si="676"/>
        <v>0</v>
      </c>
      <c r="BB1034" s="92">
        <f t="shared" si="677"/>
        <v>0</v>
      </c>
      <c r="BC1034" s="92">
        <f t="shared" si="678"/>
        <v>0</v>
      </c>
      <c r="BD1034" s="92">
        <f t="shared" si="679"/>
        <v>0</v>
      </c>
      <c r="BE1034" s="92">
        <f t="shared" si="680"/>
        <v>0</v>
      </c>
      <c r="BF1034" s="92">
        <f t="shared" si="681"/>
        <v>0</v>
      </c>
      <c r="BG1034" s="92">
        <f t="shared" si="682"/>
        <v>0</v>
      </c>
      <c r="BH1034" s="92">
        <f t="shared" si="683"/>
        <v>0</v>
      </c>
      <c r="BI1034" s="145">
        <f t="shared" si="684"/>
        <v>20180328</v>
      </c>
      <c r="BJ1034" s="12" t="str">
        <f t="shared" si="685"/>
        <v>9999</v>
      </c>
      <c r="BK1034" s="92">
        <v>0</v>
      </c>
      <c r="BL1034" s="92">
        <v>0</v>
      </c>
      <c r="BM1034">
        <f t="shared" si="686"/>
        <v>0</v>
      </c>
      <c r="BN1034">
        <f t="shared" si="687"/>
        <v>0</v>
      </c>
      <c r="BO1034">
        <f t="shared" si="688"/>
        <v>0</v>
      </c>
      <c r="BP1034">
        <f t="shared" si="697"/>
        <v>0</v>
      </c>
      <c r="BQ1034">
        <f t="shared" si="689"/>
        <v>0</v>
      </c>
      <c r="BR1034">
        <f t="shared" si="690"/>
        <v>0</v>
      </c>
      <c r="BS1034">
        <f t="shared" si="691"/>
        <v>0</v>
      </c>
      <c r="BT1034">
        <f t="shared" si="692"/>
        <v>0</v>
      </c>
      <c r="BU1034">
        <f t="shared" si="693"/>
        <v>1</v>
      </c>
      <c r="BV1034">
        <f t="shared" si="694"/>
        <v>0</v>
      </c>
      <c r="BW1034" s="443">
        <f t="shared" si="698"/>
        <v>20180327</v>
      </c>
    </row>
    <row r="1035" spans="1:75" x14ac:dyDescent="0.25">
      <c r="A1035" t="s">
        <v>1477</v>
      </c>
      <c r="B1035" s="12" t="str">
        <f t="shared" si="635"/>
        <v>6001</v>
      </c>
      <c r="C1035" s="12" t="str">
        <f t="shared" si="699"/>
        <v>B00101</v>
      </c>
      <c r="D1035" s="12" t="str">
        <f t="shared" si="637"/>
        <v>6001</v>
      </c>
      <c r="E1035" s="12" t="s">
        <v>228</v>
      </c>
      <c r="F1035" s="50" t="str">
        <f t="shared" si="638"/>
        <v>CZCE</v>
      </c>
      <c r="G1035" s="109" t="str">
        <f>C239</f>
        <v>SR807P6500</v>
      </c>
      <c r="H1035" s="92">
        <v>1</v>
      </c>
      <c r="I1035" s="50">
        <f t="shared" si="639"/>
        <v>10</v>
      </c>
      <c r="J1035" s="50">
        <f t="shared" si="640"/>
        <v>0</v>
      </c>
      <c r="K1035" s="50">
        <f t="shared" si="641"/>
        <v>0</v>
      </c>
      <c r="L1035" s="50">
        <f t="shared" si="642"/>
        <v>0</v>
      </c>
      <c r="M1035" s="223">
        <f t="shared" si="643"/>
        <v>0</v>
      </c>
      <c r="N1035" s="12">
        <f t="shared" si="695"/>
        <v>0</v>
      </c>
      <c r="O1035" s="12">
        <f t="shared" si="696"/>
        <v>0</v>
      </c>
      <c r="P1035" s="50">
        <f t="shared" si="644"/>
        <v>0</v>
      </c>
      <c r="Q1035" s="50">
        <f t="shared" si="645"/>
        <v>0</v>
      </c>
      <c r="R1035" s="50">
        <f t="shared" si="646"/>
        <v>615</v>
      </c>
      <c r="S1035" s="50">
        <f t="shared" si="647"/>
        <v>0</v>
      </c>
      <c r="T1035" s="50">
        <f t="shared" si="648"/>
        <v>0</v>
      </c>
      <c r="U1035" s="92">
        <f t="shared" si="649"/>
        <v>0</v>
      </c>
      <c r="V1035" s="92">
        <f t="shared" si="650"/>
        <v>0</v>
      </c>
      <c r="W1035" s="25">
        <f t="shared" si="651"/>
        <v>0</v>
      </c>
      <c r="X1035" s="25">
        <f t="shared" si="652"/>
        <v>0</v>
      </c>
      <c r="Y1035" s="92">
        <f t="shared" si="653"/>
        <v>0</v>
      </c>
      <c r="Z1035" s="92">
        <f t="shared" si="654"/>
        <v>0</v>
      </c>
      <c r="AA1035" s="92">
        <f t="shared" si="655"/>
        <v>0</v>
      </c>
      <c r="AB1035" s="92">
        <v>0</v>
      </c>
      <c r="AC1035" s="92">
        <v>0</v>
      </c>
      <c r="AD1035" s="92">
        <v>0</v>
      </c>
      <c r="AE1035" s="92">
        <v>0</v>
      </c>
      <c r="AF1035" s="92">
        <v>0</v>
      </c>
      <c r="AG1035" s="92">
        <f t="shared" si="658"/>
        <v>0</v>
      </c>
      <c r="AH1035" s="92">
        <v>0</v>
      </c>
      <c r="AI1035" s="92">
        <f t="shared" si="659"/>
        <v>0</v>
      </c>
      <c r="AJ1035" s="92">
        <v>0</v>
      </c>
      <c r="AK1035" s="92">
        <f t="shared" si="660"/>
        <v>0</v>
      </c>
      <c r="AL1035" s="92">
        <f t="shared" si="661"/>
        <v>0</v>
      </c>
      <c r="AM1035" s="92">
        <f t="shared" si="662"/>
        <v>0</v>
      </c>
      <c r="AN1035" s="147">
        <f t="shared" si="663"/>
        <v>0</v>
      </c>
      <c r="AO1035" s="147">
        <f t="shared" si="664"/>
        <v>0</v>
      </c>
      <c r="AP1035" s="147">
        <f t="shared" si="665"/>
        <v>0</v>
      </c>
      <c r="AQ1035" s="147">
        <f t="shared" si="666"/>
        <v>0</v>
      </c>
      <c r="AR1035" s="147">
        <f t="shared" si="667"/>
        <v>0</v>
      </c>
      <c r="AS1035" s="92">
        <f t="shared" si="668"/>
        <v>0</v>
      </c>
      <c r="AT1035" s="92">
        <f t="shared" si="669"/>
        <v>0</v>
      </c>
      <c r="AU1035" s="92">
        <f t="shared" si="670"/>
        <v>0</v>
      </c>
      <c r="AV1035" s="92">
        <f t="shared" si="671"/>
        <v>0</v>
      </c>
      <c r="AW1035" s="92">
        <f t="shared" si="672"/>
        <v>0</v>
      </c>
      <c r="AX1035" s="92">
        <f t="shared" si="673"/>
        <v>0</v>
      </c>
      <c r="AY1035" s="92">
        <f t="shared" si="674"/>
        <v>0</v>
      </c>
      <c r="AZ1035" s="92">
        <f t="shared" si="675"/>
        <v>0</v>
      </c>
      <c r="BA1035" s="115">
        <f t="shared" si="676"/>
        <v>0</v>
      </c>
      <c r="BB1035" s="92">
        <f t="shared" si="677"/>
        <v>0</v>
      </c>
      <c r="BC1035" s="92">
        <f t="shared" si="678"/>
        <v>0</v>
      </c>
      <c r="BD1035" s="92">
        <f t="shared" si="679"/>
        <v>0</v>
      </c>
      <c r="BE1035" s="92">
        <f t="shared" si="680"/>
        <v>0</v>
      </c>
      <c r="BF1035" s="92">
        <f t="shared" si="681"/>
        <v>0</v>
      </c>
      <c r="BG1035" s="92">
        <f t="shared" si="682"/>
        <v>0</v>
      </c>
      <c r="BH1035" s="92">
        <f t="shared" si="683"/>
        <v>0</v>
      </c>
      <c r="BI1035" s="145">
        <f t="shared" si="684"/>
        <v>20180328</v>
      </c>
      <c r="BJ1035" s="12" t="str">
        <f t="shared" si="685"/>
        <v>9999</v>
      </c>
      <c r="BK1035" s="92">
        <v>0</v>
      </c>
      <c r="BL1035" s="92">
        <v>0</v>
      </c>
      <c r="BM1035">
        <f t="shared" si="686"/>
        <v>0</v>
      </c>
      <c r="BN1035">
        <f t="shared" si="687"/>
        <v>0</v>
      </c>
      <c r="BO1035">
        <f t="shared" si="688"/>
        <v>0</v>
      </c>
      <c r="BP1035">
        <f t="shared" si="697"/>
        <v>0</v>
      </c>
      <c r="BQ1035">
        <f t="shared" si="689"/>
        <v>0</v>
      </c>
      <c r="BR1035">
        <f t="shared" si="690"/>
        <v>0</v>
      </c>
      <c r="BS1035">
        <f t="shared" si="691"/>
        <v>0</v>
      </c>
      <c r="BT1035">
        <f t="shared" si="692"/>
        <v>0</v>
      </c>
      <c r="BU1035">
        <f t="shared" si="693"/>
        <v>1</v>
      </c>
      <c r="BV1035">
        <f t="shared" si="694"/>
        <v>0</v>
      </c>
      <c r="BW1035" s="443">
        <f t="shared" si="698"/>
        <v>20180327</v>
      </c>
    </row>
    <row r="1036" spans="1:75" x14ac:dyDescent="0.25">
      <c r="A1036" t="s">
        <v>1477</v>
      </c>
      <c r="B1036" s="12" t="str">
        <f t="shared" si="635"/>
        <v>6001</v>
      </c>
      <c r="C1036" s="12" t="str">
        <f t="shared" si="699"/>
        <v>B00101</v>
      </c>
      <c r="D1036" s="12" t="str">
        <f t="shared" si="637"/>
        <v>6001</v>
      </c>
      <c r="E1036" s="12" t="s">
        <v>228</v>
      </c>
      <c r="F1036" s="50" t="str">
        <f t="shared" si="638"/>
        <v>CZCE</v>
      </c>
      <c r="G1036" s="109" t="str">
        <f>C239</f>
        <v>SR807P6500</v>
      </c>
      <c r="H1036" s="92">
        <v>3</v>
      </c>
      <c r="I1036" s="50">
        <f t="shared" si="639"/>
        <v>10</v>
      </c>
      <c r="J1036" s="50">
        <f t="shared" si="640"/>
        <v>0</v>
      </c>
      <c r="K1036" s="50">
        <f t="shared" si="641"/>
        <v>0</v>
      </c>
      <c r="L1036" s="50">
        <f t="shared" si="642"/>
        <v>0</v>
      </c>
      <c r="M1036" s="223">
        <f t="shared" si="643"/>
        <v>0</v>
      </c>
      <c r="N1036" s="12">
        <f t="shared" si="695"/>
        <v>0</v>
      </c>
      <c r="O1036" s="12">
        <f t="shared" si="696"/>
        <v>0</v>
      </c>
      <c r="P1036" s="50">
        <f t="shared" si="644"/>
        <v>0</v>
      </c>
      <c r="Q1036" s="50">
        <f t="shared" si="645"/>
        <v>0</v>
      </c>
      <c r="R1036" s="50">
        <f t="shared" si="646"/>
        <v>615</v>
      </c>
      <c r="S1036" s="50">
        <f t="shared" si="647"/>
        <v>0</v>
      </c>
      <c r="T1036" s="50">
        <f t="shared" si="648"/>
        <v>0</v>
      </c>
      <c r="U1036" s="92">
        <f t="shared" si="649"/>
        <v>0</v>
      </c>
      <c r="V1036" s="92">
        <f t="shared" si="650"/>
        <v>0</v>
      </c>
      <c r="W1036" s="25">
        <f t="shared" si="651"/>
        <v>0</v>
      </c>
      <c r="X1036" s="25">
        <f t="shared" si="652"/>
        <v>0</v>
      </c>
      <c r="Y1036" s="92">
        <f t="shared" si="653"/>
        <v>0</v>
      </c>
      <c r="Z1036" s="92">
        <f t="shared" si="654"/>
        <v>0</v>
      </c>
      <c r="AA1036" s="92">
        <f t="shared" si="655"/>
        <v>0</v>
      </c>
      <c r="AB1036" s="92">
        <v>0</v>
      </c>
      <c r="AC1036" s="92">
        <f t="shared" si="656"/>
        <v>0</v>
      </c>
      <c r="AD1036" s="92">
        <v>0</v>
      </c>
      <c r="AE1036" s="92">
        <f t="shared" si="657"/>
        <v>0</v>
      </c>
      <c r="AF1036" s="92">
        <v>0</v>
      </c>
      <c r="AG1036" s="92">
        <f t="shared" si="658"/>
        <v>0</v>
      </c>
      <c r="AH1036" s="92">
        <v>0</v>
      </c>
      <c r="AI1036" s="92">
        <f t="shared" si="659"/>
        <v>0</v>
      </c>
      <c r="AJ1036" s="92">
        <v>0</v>
      </c>
      <c r="AK1036" s="92">
        <f t="shared" si="660"/>
        <v>0</v>
      </c>
      <c r="AL1036" s="92">
        <f t="shared" si="661"/>
        <v>0</v>
      </c>
      <c r="AM1036" s="92">
        <f t="shared" si="662"/>
        <v>0</v>
      </c>
      <c r="AN1036" s="147">
        <f t="shared" si="663"/>
        <v>0</v>
      </c>
      <c r="AO1036" s="147">
        <f t="shared" si="664"/>
        <v>0</v>
      </c>
      <c r="AP1036" s="147">
        <f t="shared" si="665"/>
        <v>0</v>
      </c>
      <c r="AQ1036" s="147">
        <f t="shared" si="666"/>
        <v>0</v>
      </c>
      <c r="AR1036" s="147">
        <f t="shared" si="667"/>
        <v>0</v>
      </c>
      <c r="AS1036" s="92">
        <f t="shared" si="668"/>
        <v>0</v>
      </c>
      <c r="AT1036" s="92">
        <f t="shared" si="669"/>
        <v>0</v>
      </c>
      <c r="AU1036" s="92">
        <f t="shared" si="670"/>
        <v>0</v>
      </c>
      <c r="AV1036" s="92">
        <f t="shared" si="671"/>
        <v>0</v>
      </c>
      <c r="AW1036" s="92">
        <f t="shared" si="672"/>
        <v>0</v>
      </c>
      <c r="AX1036" s="92">
        <f t="shared" si="673"/>
        <v>0</v>
      </c>
      <c r="AY1036" s="92">
        <f t="shared" si="674"/>
        <v>0</v>
      </c>
      <c r="AZ1036" s="92">
        <f t="shared" si="675"/>
        <v>0</v>
      </c>
      <c r="BA1036" s="115">
        <f t="shared" si="676"/>
        <v>0</v>
      </c>
      <c r="BB1036" s="92">
        <f t="shared" si="677"/>
        <v>0</v>
      </c>
      <c r="BC1036" s="92">
        <f t="shared" si="678"/>
        <v>0</v>
      </c>
      <c r="BD1036" s="92">
        <f t="shared" si="679"/>
        <v>0</v>
      </c>
      <c r="BE1036" s="92">
        <f t="shared" si="680"/>
        <v>0</v>
      </c>
      <c r="BF1036" s="92">
        <f t="shared" si="681"/>
        <v>0</v>
      </c>
      <c r="BG1036" s="92">
        <f t="shared" si="682"/>
        <v>0</v>
      </c>
      <c r="BH1036" s="92">
        <f t="shared" si="683"/>
        <v>0</v>
      </c>
      <c r="BI1036" s="145">
        <f t="shared" si="684"/>
        <v>20180328</v>
      </c>
      <c r="BJ1036" s="12" t="str">
        <f t="shared" si="685"/>
        <v>9999</v>
      </c>
      <c r="BK1036" s="92">
        <v>0</v>
      </c>
      <c r="BL1036" s="92">
        <v>0</v>
      </c>
      <c r="BM1036">
        <f t="shared" si="686"/>
        <v>0</v>
      </c>
      <c r="BN1036">
        <f t="shared" si="687"/>
        <v>0</v>
      </c>
      <c r="BO1036">
        <f t="shared" si="688"/>
        <v>0</v>
      </c>
      <c r="BP1036">
        <f t="shared" si="697"/>
        <v>0</v>
      </c>
      <c r="BQ1036">
        <f t="shared" si="689"/>
        <v>0</v>
      </c>
      <c r="BR1036">
        <f t="shared" si="690"/>
        <v>0</v>
      </c>
      <c r="BS1036">
        <f t="shared" si="691"/>
        <v>0</v>
      </c>
      <c r="BT1036">
        <f t="shared" si="692"/>
        <v>0</v>
      </c>
      <c r="BU1036">
        <f t="shared" si="693"/>
        <v>1</v>
      </c>
      <c r="BV1036">
        <f t="shared" si="694"/>
        <v>0</v>
      </c>
      <c r="BW1036" s="443">
        <f t="shared" si="698"/>
        <v>20180327</v>
      </c>
    </row>
    <row r="1037" spans="1:75" s="4" customFormat="1" x14ac:dyDescent="0.25">
      <c r="B1037" s="29" t="str">
        <f t="shared" si="635"/>
        <v>6001</v>
      </c>
      <c r="C1037" s="29" t="str">
        <f t="shared" si="699"/>
        <v>B00101</v>
      </c>
      <c r="D1037" s="29" t="str">
        <f t="shared" si="637"/>
        <v>6001</v>
      </c>
      <c r="E1037" s="29" t="s">
        <v>228</v>
      </c>
      <c r="F1037" s="29" t="str">
        <f t="shared" si="638"/>
        <v>CZCE</v>
      </c>
      <c r="G1037" s="118" t="str">
        <f>C30</f>
        <v>SR809C6600</v>
      </c>
      <c r="H1037" s="115">
        <v>1</v>
      </c>
      <c r="I1037" s="29">
        <f t="shared" ref="I1037" si="700" xml:space="preserve"> VLOOKUP(G1037,$C$19:$L$31,3,FALSE)</f>
        <v>10</v>
      </c>
      <c r="J1037" s="29">
        <f t="shared" si="640"/>
        <v>0</v>
      </c>
      <c r="K1037" s="29">
        <f t="shared" si="641"/>
        <v>2</v>
      </c>
      <c r="L1037" s="29">
        <f t="shared" si="642"/>
        <v>0</v>
      </c>
      <c r="M1037" s="223">
        <f t="shared" si="643"/>
        <v>16325.41</v>
      </c>
      <c r="N1037" s="12">
        <f t="shared" si="695"/>
        <v>0</v>
      </c>
      <c r="O1037" s="12">
        <f t="shared" si="696"/>
        <v>15029.7</v>
      </c>
      <c r="P1037" s="29">
        <f t="shared" si="644"/>
        <v>0</v>
      </c>
      <c r="Q1037" s="29">
        <f t="shared" si="645"/>
        <v>0</v>
      </c>
      <c r="R1037" s="29">
        <f t="shared" si="646"/>
        <v>625</v>
      </c>
      <c r="S1037" s="29">
        <f t="shared" si="647"/>
        <v>0</v>
      </c>
      <c r="T1037" s="29">
        <f t="shared" si="648"/>
        <v>12600</v>
      </c>
      <c r="U1037" s="115">
        <f t="shared" ref="U1037" si="701" xml:space="preserve"> IF(BU1037=1,I1037*J1037*R1037,0)</f>
        <v>0</v>
      </c>
      <c r="V1037" s="115">
        <f t="shared" ref="V1037" si="702" xml:space="preserve"> IF(BU1037=1,I1037*K1037*R1037,0)</f>
        <v>12500</v>
      </c>
      <c r="W1037" s="287">
        <f t="shared" ref="W1037" si="703">SUMPRODUCT(($F$662:$F$709=C1037)*($G$662:$G$709=D1037)*(($L$662:$L$709=G1037)*($P$662:$P$709=H1037)*($AJ$662:$AJ$709)))</f>
        <v>0</v>
      </c>
      <c r="X1037" s="287">
        <f t="shared" ref="X1037" si="704">SUMPRODUCT(($F$662:$F$709=C1037)*($G$662:$G$709=D1037)*(($L$662:$L$709=G1037)*($P$662:$P$709=H1037)*($AK$662:$AK$709)))</f>
        <v>0</v>
      </c>
      <c r="Y1037" s="115">
        <f t="shared" ref="Y1037" si="705">ROUND(SUMPRODUCT(($F$662:$F$709=C1037)*($G$662:$G$709=D1037)*($L$662:$L$709=G1037)*($P$662:$P$709=H1037)*($AA$662:$AA$709)),2)</f>
        <v>0</v>
      </c>
      <c r="Z1037" s="115">
        <f t="shared" si="654"/>
        <v>0</v>
      </c>
      <c r="AA1037" s="115">
        <f t="shared" ref="AA1037" si="706">ROUND(SUMPRODUCT(($F$662:$F$709=C1037)*($G$662:$G$709=D1037)*($L$662:$L$709=G1037)*($P$662:$P$709=H1037)*($AQ$662:$AQ$709)),2)</f>
        <v>0</v>
      </c>
      <c r="AB1037" s="115">
        <v>0</v>
      </c>
      <c r="AC1037" s="115">
        <f t="shared" ref="AC1037" si="707">SUMPRODUCT(($D$857:$D$873=C1037)*($E$857:$E$873=D1037)*($H$857:$H$873=G1037)*($L$857:$L$873=H1037)*($U$857:$U$873))</f>
        <v>0</v>
      </c>
      <c r="AD1037" s="115">
        <v>0</v>
      </c>
      <c r="AE1037" s="115">
        <v>0</v>
      </c>
      <c r="AF1037" s="115">
        <v>0</v>
      </c>
      <c r="AG1037" s="92">
        <f t="shared" si="658"/>
        <v>0</v>
      </c>
      <c r="AH1037" s="115">
        <v>0</v>
      </c>
      <c r="AI1037" s="115">
        <f t="shared" ref="AI1037" si="708">SUMPRODUCT(($D$857:$D$873=C1037)*($E$857:$E$873=D1037)*($H$857:$H$873=G1037)*($L$857:$L$873=H1037)*($V$857:$V$873))</f>
        <v>0</v>
      </c>
      <c r="AJ1037" s="115">
        <v>0</v>
      </c>
      <c r="AK1037" s="115">
        <f t="shared" ref="AK1037" si="709">ROUND(SUMPRODUCT(($F$662:$F$709=C1037)*($G$662:$G$709=D1037)*($L$662:$L$709=G1037)*($P$662:$P$709=H1037)*($O$662:$O$709=0)*($AC$662:$AC$709)),2)</f>
        <v>0</v>
      </c>
      <c r="AL1037" s="115">
        <f t="shared" ref="AL1037" si="710">ROUND(SUMPRODUCT(($F$662:$F$709=C1037)*($G$662:$G$709=D1037)*($L$662:$L$709=G1037)*($P$662:$P$709=H1037)*($O$662:$O$709=1)*($AC$662:$AC$709)),2)</f>
        <v>0</v>
      </c>
      <c r="AM1037" s="115">
        <f t="shared" si="662"/>
        <v>0</v>
      </c>
      <c r="AN1037" s="29">
        <f t="shared" si="663"/>
        <v>0</v>
      </c>
      <c r="AO1037" s="29">
        <f t="shared" si="664"/>
        <v>0</v>
      </c>
      <c r="AP1037" s="29">
        <f t="shared" si="665"/>
        <v>0</v>
      </c>
      <c r="AQ1037" s="29">
        <f t="shared" si="666"/>
        <v>0</v>
      </c>
      <c r="AR1037" s="29">
        <f t="shared" si="667"/>
        <v>0</v>
      </c>
      <c r="AS1037" s="115">
        <f t="shared" si="668"/>
        <v>0</v>
      </c>
      <c r="AT1037" s="115">
        <f t="shared" si="669"/>
        <v>0</v>
      </c>
      <c r="AU1037" s="115">
        <f t="shared" ref="AU1037" si="711">SUMPRODUCT(($F$662:$F$709=C1037)*($G$662:$G$709=D1037)*($L$662:$L$709=G1037)*($P$662:$P$709=H1037)*($O$662:$O$709=0)*($N$662:$N$709=0)*($Q$662:$Q$709))</f>
        <v>0</v>
      </c>
      <c r="AV1037" s="115">
        <f t="shared" ref="AV1037" si="712">SUMPRODUCT(($F$662:$F$709=C1037)*($G$662:$G$709=D1037)*($L$662:$L$709=G1037)*($P$662:$P$709=H1037)*($O$662:$O$709=0)*($N$662:$N$709=0)*($AE$662:$AE$709))</f>
        <v>0</v>
      </c>
      <c r="AW1037" s="115">
        <f t="shared" ref="AW1037" si="713">SUMPRODUCT(($F$662:$F$709=C1037)*($G$662:$G$709=D1037)*($L$662:$L$709=G1037)*($P$662:$P$709=H1037)*($O$662:$O$709=0)*($N$662:$N$709=1)*($Q$662:$Q$709))</f>
        <v>0</v>
      </c>
      <c r="AX1037" s="115">
        <f t="shared" ref="AX1037" si="714">SUMPRODUCT(($F$662:$F$709=C1037)*($G$662:$G$709=D1037)*($L$662:$L$709=G1037)*($P$662:$P$709=H1037)*($O$662:$O$709=0)*($N$662:$N$709=1)*($AE$662:$AE$709))</f>
        <v>0</v>
      </c>
      <c r="AY1037" s="115">
        <f t="shared" ref="AY1037" si="715">SUMPRODUCT(($F$662:$F$709=C1037)*($G$662:$G$709=D1037)*($L$662:$L$709=G1037)*($P$662:$P$709=H1037)*($O$662:$O$709=0)*($N$662:$N$709=3)*($Q$662:$Q$709))</f>
        <v>0</v>
      </c>
      <c r="AZ1037" s="115">
        <f t="shared" ref="AZ1037" si="716">SUMPRODUCT(($F$662:$F$709=C1037)*($G$662:$G$709=D1037)*($L$662:$L$709=G1037)*($P$662:$P$709=H1037)*($O$662:$O$709=0)*($N$662:$N$709=3)*($AE$662:$AE$709))</f>
        <v>0</v>
      </c>
      <c r="BA1037" s="115">
        <f t="shared" si="676"/>
        <v>0</v>
      </c>
      <c r="BB1037" s="115">
        <f t="shared" si="677"/>
        <v>0</v>
      </c>
      <c r="BC1037" s="115">
        <f t="shared" ref="BC1037" si="717">SUMPRODUCT(($F$662:$F$709=C1037)*($G$662:$G$709=D1037)*($L$662:$L$709=G1037)*($P$662:$P$709=H1037)*($O$662:$O$709=1)*($N$662:$N$709=0)*($N$662:$N$709=0)*($Q$662:$Q$709))</f>
        <v>0</v>
      </c>
      <c r="BD1037" s="115">
        <f t="shared" ref="BD1037" si="718">SUMPRODUCT(($F$662:$F$709=C1037)*($G$662:$G$709=D1037)*($L$662:$L$709=G1037)*($P$662:$P$709=H1037)*($O$662:$O$709=1)*($N$662:$N$709=0)*($AE$662:$AE$709))</f>
        <v>0</v>
      </c>
      <c r="BE1037" s="115">
        <f t="shared" ref="BE1037" si="719">SUMPRODUCT(($F$662:$F$709=C1037)*($G$662:$G$709=D1037)*($L$662:$L$709=G1037)*($P$662:$P$709=H1037)*($O$662:$O$709=1)*($N$662:$N$709=1)*($Q$662:$Q$709))</f>
        <v>0</v>
      </c>
      <c r="BF1037" s="115">
        <f t="shared" ref="BF1037" si="720">SUMPRODUCT(($F$662:$F$709=C1037)*($G$662:$G$709=D1037)*($L$662:$L$709=G1037)*($P$662:$P$709=H1037)*($O$662:$O$709=1)*($N$662:$N$709=1)*($AE$662:$AE$709))</f>
        <v>0</v>
      </c>
      <c r="BG1037" s="115">
        <f t="shared" ref="BG1037" si="721">SUMPRODUCT(($F$662:$F$709=C1037)*($G$662:$G$709=D1037)*($L$662:$L$709=G1037)*($P$662:$P$709=H1037)*($O$662:$O$709=1)*($N$662:$N$709=3)*($Q$662:$Q$709))</f>
        <v>0</v>
      </c>
      <c r="BH1037" s="115">
        <f t="shared" ref="BH1037" si="722">SUMPRODUCT(($F$662:$F$709=C1037)*($G$662:$G$709=D1037)*($L$662:$L$709=G1037)*($P$662:$P$709=H1037)*($O$662:$O$709=1)*($N$662:$N$709=3)*($AE$662:$AE$709))</f>
        <v>0</v>
      </c>
      <c r="BI1037" s="513">
        <f t="shared" si="684"/>
        <v>20180328</v>
      </c>
      <c r="BJ1037" s="29" t="str">
        <f t="shared" si="685"/>
        <v>9999</v>
      </c>
      <c r="BK1037" s="115">
        <v>0</v>
      </c>
      <c r="BL1037" s="115">
        <v>0</v>
      </c>
      <c r="BM1037" s="508">
        <f t="shared" si="686"/>
        <v>0</v>
      </c>
      <c r="BN1037" s="508">
        <f t="shared" si="687"/>
        <v>16325.41</v>
      </c>
      <c r="BO1037" s="508">
        <f t="shared" si="688"/>
        <v>0</v>
      </c>
      <c r="BP1037" s="4">
        <f t="shared" si="697"/>
        <v>0</v>
      </c>
      <c r="BQ1037" s="508">
        <f t="shared" si="689"/>
        <v>0</v>
      </c>
      <c r="BR1037" s="508">
        <f t="shared" si="690"/>
        <v>15029.7</v>
      </c>
      <c r="BS1037" s="4">
        <f t="shared" si="691"/>
        <v>0</v>
      </c>
      <c r="BT1037" s="508">
        <f t="shared" si="692"/>
        <v>0</v>
      </c>
      <c r="BU1037" s="4">
        <f t="shared" ref="BU1037" si="723" xml:space="preserve"> VLOOKUP(G1037,$C$19:$L$31,10,FALSE)</f>
        <v>1</v>
      </c>
      <c r="BV1037" s="4">
        <f t="shared" ref="BV1037" si="724" xml:space="preserve"> VLOOKUP(G1037,$C$19:$L$31,9,FALSE)</f>
        <v>0</v>
      </c>
      <c r="BW1037" s="443">
        <f t="shared" si="698"/>
        <v>20180332</v>
      </c>
    </row>
    <row r="1038" spans="1:75" x14ac:dyDescent="0.25">
      <c r="A1038" t="s">
        <v>1477</v>
      </c>
      <c r="B1038" s="12" t="str">
        <f t="shared" si="635"/>
        <v>6001</v>
      </c>
      <c r="C1038" s="12" t="str">
        <f t="shared" si="699"/>
        <v>B00101</v>
      </c>
      <c r="D1038" s="12" t="str">
        <f t="shared" si="637"/>
        <v>6001</v>
      </c>
      <c r="E1038" s="12" t="s">
        <v>228</v>
      </c>
      <c r="F1038" s="50" t="str">
        <f t="shared" si="638"/>
        <v>CZCE</v>
      </c>
      <c r="G1038" s="109" t="str">
        <f>C240</f>
        <v>SR807P6400</v>
      </c>
      <c r="H1038" s="92">
        <v>1</v>
      </c>
      <c r="I1038" s="50">
        <f t="shared" si="639"/>
        <v>10</v>
      </c>
      <c r="J1038" s="50">
        <f t="shared" si="640"/>
        <v>0</v>
      </c>
      <c r="K1038" s="50">
        <f t="shared" si="641"/>
        <v>0</v>
      </c>
      <c r="L1038" s="50">
        <f t="shared" si="642"/>
        <v>0</v>
      </c>
      <c r="M1038" s="223">
        <f t="shared" si="643"/>
        <v>0</v>
      </c>
      <c r="N1038" s="12">
        <f t="shared" si="695"/>
        <v>0</v>
      </c>
      <c r="O1038" s="12">
        <f t="shared" si="696"/>
        <v>0</v>
      </c>
      <c r="P1038" s="50">
        <f t="shared" si="644"/>
        <v>0</v>
      </c>
      <c r="Q1038" s="50">
        <f t="shared" si="645"/>
        <v>0</v>
      </c>
      <c r="R1038" s="50">
        <f t="shared" si="646"/>
        <v>620</v>
      </c>
      <c r="S1038" s="50">
        <f t="shared" si="647"/>
        <v>0</v>
      </c>
      <c r="T1038" s="50">
        <f t="shared" si="648"/>
        <v>0</v>
      </c>
      <c r="U1038" s="92">
        <f t="shared" si="649"/>
        <v>0</v>
      </c>
      <c r="V1038" s="92">
        <f t="shared" si="650"/>
        <v>0</v>
      </c>
      <c r="W1038" s="25">
        <f t="shared" si="651"/>
        <v>0</v>
      </c>
      <c r="X1038" s="25">
        <f t="shared" si="652"/>
        <v>0</v>
      </c>
      <c r="Y1038" s="92">
        <f t="shared" si="653"/>
        <v>0</v>
      </c>
      <c r="Z1038" s="92">
        <f t="shared" si="654"/>
        <v>0</v>
      </c>
      <c r="AA1038" s="92">
        <f t="shared" si="655"/>
        <v>0</v>
      </c>
      <c r="AB1038" s="92">
        <v>0</v>
      </c>
      <c r="AC1038" s="92">
        <f t="shared" si="656"/>
        <v>0</v>
      </c>
      <c r="AD1038" s="92">
        <v>0</v>
      </c>
      <c r="AE1038" s="92">
        <f t="shared" si="657"/>
        <v>0</v>
      </c>
      <c r="AF1038" s="92">
        <v>0</v>
      </c>
      <c r="AG1038" s="92">
        <f t="shared" si="658"/>
        <v>0</v>
      </c>
      <c r="AH1038" s="92">
        <v>0</v>
      </c>
      <c r="AI1038" s="92">
        <f t="shared" si="659"/>
        <v>0</v>
      </c>
      <c r="AJ1038" s="92">
        <v>0</v>
      </c>
      <c r="AK1038" s="92">
        <f t="shared" si="660"/>
        <v>0</v>
      </c>
      <c r="AL1038" s="92">
        <f t="shared" si="661"/>
        <v>0</v>
      </c>
      <c r="AM1038" s="92">
        <f t="shared" si="662"/>
        <v>0</v>
      </c>
      <c r="AN1038" s="147">
        <f t="shared" si="663"/>
        <v>0</v>
      </c>
      <c r="AO1038" s="147">
        <f t="shared" si="664"/>
        <v>0</v>
      </c>
      <c r="AP1038" s="147">
        <f t="shared" si="665"/>
        <v>0</v>
      </c>
      <c r="AQ1038" s="147">
        <f t="shared" si="666"/>
        <v>0</v>
      </c>
      <c r="AR1038" s="147">
        <f t="shared" si="667"/>
        <v>0</v>
      </c>
      <c r="AS1038" s="92">
        <f t="shared" si="668"/>
        <v>0</v>
      </c>
      <c r="AT1038" s="92">
        <f t="shared" si="669"/>
        <v>0</v>
      </c>
      <c r="AU1038" s="92">
        <f t="shared" si="670"/>
        <v>0</v>
      </c>
      <c r="AV1038" s="92">
        <f t="shared" si="671"/>
        <v>0</v>
      </c>
      <c r="AW1038" s="92">
        <f t="shared" si="672"/>
        <v>0</v>
      </c>
      <c r="AX1038" s="92">
        <f t="shared" si="673"/>
        <v>0</v>
      </c>
      <c r="AY1038" s="92">
        <f t="shared" si="674"/>
        <v>0</v>
      </c>
      <c r="AZ1038" s="92">
        <f t="shared" si="675"/>
        <v>0</v>
      </c>
      <c r="BA1038" s="115">
        <f t="shared" si="676"/>
        <v>0</v>
      </c>
      <c r="BB1038" s="92">
        <f t="shared" si="677"/>
        <v>0</v>
      </c>
      <c r="BC1038" s="92">
        <f t="shared" si="678"/>
        <v>0</v>
      </c>
      <c r="BD1038" s="92">
        <f t="shared" si="679"/>
        <v>0</v>
      </c>
      <c r="BE1038" s="92">
        <f t="shared" si="680"/>
        <v>0</v>
      </c>
      <c r="BF1038" s="92">
        <f t="shared" si="681"/>
        <v>0</v>
      </c>
      <c r="BG1038" s="92">
        <f t="shared" si="682"/>
        <v>0</v>
      </c>
      <c r="BH1038" s="92">
        <f t="shared" si="683"/>
        <v>0</v>
      </c>
      <c r="BI1038" s="145">
        <f t="shared" si="684"/>
        <v>20180328</v>
      </c>
      <c r="BJ1038" s="12" t="str">
        <f t="shared" si="685"/>
        <v>9999</v>
      </c>
      <c r="BK1038" s="92">
        <v>0</v>
      </c>
      <c r="BL1038" s="92">
        <v>0</v>
      </c>
      <c r="BM1038">
        <f t="shared" si="686"/>
        <v>0</v>
      </c>
      <c r="BN1038">
        <f t="shared" si="687"/>
        <v>0</v>
      </c>
      <c r="BO1038">
        <f t="shared" si="688"/>
        <v>0</v>
      </c>
      <c r="BP1038">
        <f t="shared" si="697"/>
        <v>0</v>
      </c>
      <c r="BQ1038">
        <f t="shared" si="689"/>
        <v>0</v>
      </c>
      <c r="BR1038">
        <f t="shared" si="690"/>
        <v>0</v>
      </c>
      <c r="BS1038">
        <f t="shared" si="691"/>
        <v>0</v>
      </c>
      <c r="BT1038">
        <f t="shared" si="692"/>
        <v>0</v>
      </c>
      <c r="BU1038">
        <f t="shared" si="693"/>
        <v>1</v>
      </c>
      <c r="BV1038">
        <f t="shared" si="694"/>
        <v>0</v>
      </c>
      <c r="BW1038" s="443">
        <f t="shared" si="698"/>
        <v>20180327</v>
      </c>
    </row>
    <row r="1039" spans="1:75" x14ac:dyDescent="0.25">
      <c r="A1039" t="s">
        <v>1477</v>
      </c>
      <c r="B1039" s="12" t="str">
        <f t="shared" si="635"/>
        <v>6001</v>
      </c>
      <c r="C1039" s="12" t="str">
        <f t="shared" si="699"/>
        <v>B00101</v>
      </c>
      <c r="D1039" s="12" t="str">
        <f t="shared" si="637"/>
        <v>6001</v>
      </c>
      <c r="E1039" s="12" t="s">
        <v>228</v>
      </c>
      <c r="F1039" s="50" t="str">
        <f t="shared" si="638"/>
        <v>CZCE</v>
      </c>
      <c r="G1039" s="109" t="str">
        <f>C240</f>
        <v>SR807P6400</v>
      </c>
      <c r="H1039" s="92">
        <v>3</v>
      </c>
      <c r="I1039" s="50">
        <f t="shared" si="639"/>
        <v>10</v>
      </c>
      <c r="J1039" s="50">
        <f t="shared" si="640"/>
        <v>0</v>
      </c>
      <c r="K1039" s="50">
        <f t="shared" si="641"/>
        <v>0</v>
      </c>
      <c r="L1039" s="50">
        <f t="shared" si="642"/>
        <v>0</v>
      </c>
      <c r="M1039" s="223">
        <f t="shared" si="643"/>
        <v>0</v>
      </c>
      <c r="N1039" s="12">
        <f t="shared" si="695"/>
        <v>0</v>
      </c>
      <c r="O1039" s="12">
        <f t="shared" si="696"/>
        <v>0</v>
      </c>
      <c r="P1039" s="50">
        <f t="shared" si="644"/>
        <v>0</v>
      </c>
      <c r="Q1039" s="50">
        <f t="shared" si="645"/>
        <v>0</v>
      </c>
      <c r="R1039" s="50">
        <f t="shared" si="646"/>
        <v>620</v>
      </c>
      <c r="S1039" s="50">
        <f t="shared" si="647"/>
        <v>0</v>
      </c>
      <c r="T1039" s="50">
        <f t="shared" si="648"/>
        <v>0</v>
      </c>
      <c r="U1039" s="92">
        <f t="shared" si="649"/>
        <v>0</v>
      </c>
      <c r="V1039" s="92">
        <f t="shared" si="650"/>
        <v>0</v>
      </c>
      <c r="W1039" s="25">
        <f t="shared" si="651"/>
        <v>0</v>
      </c>
      <c r="X1039" s="25">
        <f t="shared" si="652"/>
        <v>0</v>
      </c>
      <c r="Y1039" s="92">
        <f t="shared" si="653"/>
        <v>0</v>
      </c>
      <c r="Z1039" s="92">
        <f t="shared" si="654"/>
        <v>0</v>
      </c>
      <c r="AA1039" s="92">
        <f t="shared" si="655"/>
        <v>0</v>
      </c>
      <c r="AB1039" s="92">
        <v>0</v>
      </c>
      <c r="AC1039" s="92">
        <f t="shared" si="656"/>
        <v>0</v>
      </c>
      <c r="AD1039" s="92">
        <v>0</v>
      </c>
      <c r="AE1039" s="92">
        <f>ROUND(SUMPRODUCT(($F$662:$F$709=C1039)*($G$662:$G$709=D1039)*(($L$662:$L$709=G1039)*($P$662:$P$709=H1039)*($AB$662:$AB$709))),2)</f>
        <v>0</v>
      </c>
      <c r="AF1039" s="92">
        <v>0</v>
      </c>
      <c r="AG1039" s="92">
        <f t="shared" si="658"/>
        <v>0</v>
      </c>
      <c r="AH1039" s="92">
        <v>0</v>
      </c>
      <c r="AI1039" s="92">
        <f t="shared" si="659"/>
        <v>0</v>
      </c>
      <c r="AJ1039" s="92">
        <v>0</v>
      </c>
      <c r="AK1039" s="92">
        <f t="shared" si="660"/>
        <v>0</v>
      </c>
      <c r="AL1039" s="92">
        <f t="shared" si="661"/>
        <v>0</v>
      </c>
      <c r="AM1039" s="92">
        <f t="shared" si="662"/>
        <v>0</v>
      </c>
      <c r="AN1039" s="147">
        <f t="shared" si="663"/>
        <v>0</v>
      </c>
      <c r="AO1039" s="147">
        <f t="shared" si="664"/>
        <v>0</v>
      </c>
      <c r="AP1039" s="147">
        <f t="shared" si="665"/>
        <v>0</v>
      </c>
      <c r="AQ1039" s="147">
        <f t="shared" si="666"/>
        <v>0</v>
      </c>
      <c r="AR1039" s="147">
        <f t="shared" si="667"/>
        <v>0</v>
      </c>
      <c r="AS1039" s="92">
        <f t="shared" si="668"/>
        <v>0</v>
      </c>
      <c r="AT1039" s="92">
        <f t="shared" si="669"/>
        <v>0</v>
      </c>
      <c r="AU1039" s="92">
        <f t="shared" si="670"/>
        <v>0</v>
      </c>
      <c r="AV1039" s="92">
        <f t="shared" si="671"/>
        <v>0</v>
      </c>
      <c r="AW1039" s="92">
        <f t="shared" si="672"/>
        <v>0</v>
      </c>
      <c r="AX1039" s="92">
        <f t="shared" si="673"/>
        <v>0</v>
      </c>
      <c r="AY1039" s="92">
        <f t="shared" si="674"/>
        <v>0</v>
      </c>
      <c r="AZ1039" s="92">
        <f t="shared" si="675"/>
        <v>0</v>
      </c>
      <c r="BA1039" s="115">
        <f t="shared" si="676"/>
        <v>0</v>
      </c>
      <c r="BB1039" s="92">
        <f t="shared" si="677"/>
        <v>0</v>
      </c>
      <c r="BC1039" s="92">
        <f t="shared" si="678"/>
        <v>0</v>
      </c>
      <c r="BD1039" s="92">
        <f t="shared" si="679"/>
        <v>0</v>
      </c>
      <c r="BE1039" s="92">
        <f t="shared" si="680"/>
        <v>0</v>
      </c>
      <c r="BF1039" s="92">
        <f t="shared" si="681"/>
        <v>0</v>
      </c>
      <c r="BG1039" s="92">
        <f t="shared" si="682"/>
        <v>0</v>
      </c>
      <c r="BH1039" s="92">
        <f t="shared" si="683"/>
        <v>0</v>
      </c>
      <c r="BI1039" s="145">
        <f t="shared" si="684"/>
        <v>20180328</v>
      </c>
      <c r="BJ1039" s="12" t="str">
        <f t="shared" si="685"/>
        <v>9999</v>
      </c>
      <c r="BK1039" s="92">
        <v>0</v>
      </c>
      <c r="BL1039" s="92">
        <v>0</v>
      </c>
      <c r="BM1039">
        <f t="shared" si="686"/>
        <v>0</v>
      </c>
      <c r="BN1039">
        <f t="shared" si="687"/>
        <v>0</v>
      </c>
      <c r="BO1039">
        <f t="shared" si="688"/>
        <v>0</v>
      </c>
      <c r="BP1039">
        <f t="shared" si="697"/>
        <v>0</v>
      </c>
      <c r="BQ1039">
        <f t="shared" si="689"/>
        <v>0</v>
      </c>
      <c r="BR1039">
        <f t="shared" si="690"/>
        <v>0</v>
      </c>
      <c r="BS1039">
        <f t="shared" si="691"/>
        <v>0</v>
      </c>
      <c r="BT1039">
        <f t="shared" si="692"/>
        <v>0</v>
      </c>
      <c r="BU1039">
        <f t="shared" si="693"/>
        <v>1</v>
      </c>
      <c r="BV1039">
        <f t="shared" si="694"/>
        <v>0</v>
      </c>
      <c r="BW1039" s="443">
        <f t="shared" si="698"/>
        <v>20180327</v>
      </c>
    </row>
    <row r="1040" spans="1:75" x14ac:dyDescent="0.25">
      <c r="A1040" t="s">
        <v>173</v>
      </c>
      <c r="B1040" s="3" t="s">
        <v>992</v>
      </c>
      <c r="C1040" s="3"/>
      <c r="D1040" s="3"/>
      <c r="E1040" s="3"/>
      <c r="F1040" s="159"/>
      <c r="G1040" s="160"/>
      <c r="H1040" s="126"/>
      <c r="I1040" s="159"/>
      <c r="J1040" s="159"/>
      <c r="K1040" s="159"/>
      <c r="L1040" s="159"/>
      <c r="M1040" s="159"/>
      <c r="N1040" s="159"/>
      <c r="O1040" s="159"/>
      <c r="P1040" s="159"/>
      <c r="Q1040" s="159"/>
      <c r="R1040" s="159"/>
      <c r="S1040" s="159"/>
      <c r="T1040" s="159"/>
      <c r="U1040" s="126"/>
      <c r="V1040" s="126"/>
      <c r="W1040" s="38"/>
      <c r="X1040" s="38"/>
      <c r="Y1040" s="126"/>
      <c r="Z1040" s="260"/>
      <c r="AA1040" s="126"/>
      <c r="AB1040" s="126"/>
      <c r="AC1040" s="126"/>
      <c r="AD1040" s="126"/>
      <c r="AE1040" s="126"/>
      <c r="AF1040" s="126"/>
      <c r="AG1040" s="92"/>
      <c r="AH1040" s="126"/>
      <c r="AI1040" s="126"/>
      <c r="AJ1040" s="126"/>
      <c r="AK1040" s="126"/>
      <c r="AL1040" s="126"/>
      <c r="AM1040" s="126"/>
      <c r="AN1040" s="126"/>
      <c r="AO1040" s="141"/>
      <c r="AP1040" s="141"/>
      <c r="AQ1040" s="141"/>
      <c r="AR1040" s="141"/>
      <c r="AS1040" s="126"/>
      <c r="AT1040" s="126"/>
      <c r="AU1040" s="126"/>
      <c r="AV1040" s="126"/>
      <c r="AW1040" s="126"/>
      <c r="AX1040" s="126"/>
      <c r="AY1040" s="126"/>
      <c r="AZ1040" s="126"/>
      <c r="BA1040" s="126"/>
      <c r="BB1040" s="126"/>
      <c r="BC1040" s="126"/>
      <c r="BD1040" s="126"/>
      <c r="BE1040" s="126"/>
      <c r="BF1040" s="126"/>
      <c r="BG1040" s="126"/>
      <c r="BH1040" s="126"/>
      <c r="BI1040" s="161"/>
      <c r="BJ1040" s="3"/>
      <c r="BK1040" s="126"/>
      <c r="BL1040" s="126"/>
    </row>
    <row r="1041" spans="1:64" x14ac:dyDescent="0.25">
      <c r="A1041" s="57" t="s">
        <v>124</v>
      </c>
      <c r="B1041" s="57" t="s">
        <v>980</v>
      </c>
      <c r="C1041" s="3"/>
      <c r="D1041" s="3"/>
      <c r="E1041" s="3"/>
      <c r="F1041" s="159"/>
      <c r="G1041" s="160"/>
      <c r="H1041" s="126"/>
      <c r="I1041" s="159"/>
      <c r="J1041" s="159"/>
      <c r="K1041" s="159"/>
      <c r="L1041" s="159"/>
      <c r="M1041" s="159"/>
      <c r="N1041" s="159"/>
      <c r="O1041" s="159"/>
      <c r="P1041" s="159"/>
      <c r="Q1041" s="159"/>
      <c r="R1041" s="159"/>
      <c r="S1041" s="159"/>
      <c r="T1041" s="159"/>
      <c r="U1041" s="126"/>
      <c r="V1041" s="126"/>
      <c r="W1041" s="38"/>
      <c r="X1041" s="38"/>
      <c r="Y1041" s="126"/>
      <c r="Z1041" s="260"/>
      <c r="AA1041" s="126"/>
      <c r="AB1041" s="126"/>
      <c r="AC1041" s="126"/>
      <c r="AD1041" s="126"/>
      <c r="AE1041" s="126"/>
      <c r="AF1041" s="126"/>
      <c r="AG1041" s="126"/>
      <c r="AH1041" s="126"/>
      <c r="AI1041" s="126"/>
      <c r="AJ1041" s="126"/>
      <c r="AK1041" s="126"/>
      <c r="AL1041" s="126"/>
      <c r="AM1041" s="126"/>
      <c r="AN1041" s="126"/>
      <c r="AO1041" s="141"/>
      <c r="AP1041" s="141"/>
      <c r="AQ1041" s="141"/>
      <c r="AR1041" s="141"/>
      <c r="AS1041" s="126"/>
      <c r="AT1041" s="126"/>
      <c r="AU1041" s="126"/>
      <c r="AV1041" s="126"/>
      <c r="AW1041" s="126"/>
      <c r="AX1041" s="126"/>
      <c r="AY1041" s="126"/>
      <c r="AZ1041" s="126"/>
      <c r="BA1041" s="126"/>
      <c r="BB1041" s="126"/>
      <c r="BC1041" s="126"/>
      <c r="BD1041" s="126"/>
      <c r="BE1041" s="126"/>
      <c r="BF1041" s="126"/>
      <c r="BG1041" s="126"/>
      <c r="BH1041" s="126"/>
      <c r="BI1041" s="161"/>
      <c r="BJ1041" s="3"/>
      <c r="BK1041" s="126"/>
      <c r="BL1041" s="126"/>
    </row>
    <row r="1042" spans="1:64" x14ac:dyDescent="0.25">
      <c r="A1042" t="s">
        <v>306</v>
      </c>
      <c r="B1042" s="752" t="s">
        <v>1536</v>
      </c>
      <c r="C1042" s="762"/>
      <c r="D1042" s="762"/>
      <c r="E1042" s="762"/>
      <c r="F1042" s="762"/>
      <c r="G1042" s="762"/>
      <c r="H1042" s="762"/>
      <c r="I1042" s="762"/>
      <c r="J1042" s="762"/>
      <c r="K1042" s="762"/>
      <c r="L1042" s="762"/>
      <c r="M1042" s="762"/>
      <c r="N1042" s="762"/>
      <c r="O1042" s="762"/>
      <c r="P1042" s="762"/>
      <c r="Q1042" s="762"/>
      <c r="R1042" s="720"/>
      <c r="S1042" s="159"/>
      <c r="T1042" s="159"/>
      <c r="U1042" s="126"/>
      <c r="V1042" s="126"/>
      <c r="W1042" s="38"/>
      <c r="X1042" s="38"/>
      <c r="Y1042" s="126"/>
      <c r="Z1042" s="126"/>
      <c r="AA1042" s="126"/>
      <c r="AB1042" s="126"/>
      <c r="AC1042" s="126"/>
      <c r="AD1042" s="126"/>
      <c r="AE1042" s="126"/>
      <c r="AF1042" s="126"/>
      <c r="AG1042" s="126"/>
      <c r="AH1042" s="126"/>
      <c r="AI1042" s="126"/>
      <c r="AJ1042" s="126"/>
      <c r="AK1042" s="126"/>
      <c r="AL1042" s="126"/>
      <c r="AM1042" s="126"/>
      <c r="AN1042" s="126"/>
      <c r="AO1042" s="141"/>
      <c r="AP1042" s="141"/>
      <c r="AQ1042" s="141"/>
      <c r="AR1042" s="141"/>
      <c r="AS1042" s="126"/>
      <c r="AT1042" s="126"/>
      <c r="AU1042" s="126"/>
      <c r="AV1042" s="126"/>
      <c r="AW1042" s="126"/>
      <c r="AX1042" s="126"/>
      <c r="AY1042" s="126"/>
      <c r="AZ1042" s="126"/>
      <c r="BA1042" s="126"/>
      <c r="BB1042" s="126"/>
      <c r="BC1042" s="126"/>
      <c r="BD1042" s="126"/>
      <c r="BE1042" s="126"/>
      <c r="BF1042" s="126"/>
      <c r="BG1042" s="126"/>
      <c r="BH1042" s="126"/>
      <c r="BI1042" s="161"/>
      <c r="BJ1042" s="3"/>
      <c r="BK1042" s="126"/>
      <c r="BL1042" s="126"/>
    </row>
    <row r="1043" spans="1:64" x14ac:dyDescent="0.25">
      <c r="A1043" t="s">
        <v>173</v>
      </c>
      <c r="B1043" s="92" t="s">
        <v>112</v>
      </c>
      <c r="C1043" s="92" t="s">
        <v>998</v>
      </c>
      <c r="D1043" s="92" t="s">
        <v>999</v>
      </c>
      <c r="E1043" s="92" t="s">
        <v>1000</v>
      </c>
      <c r="F1043" s="92" t="s">
        <v>1001</v>
      </c>
      <c r="G1043" s="92" t="s">
        <v>1001</v>
      </c>
      <c r="H1043" s="92" t="s">
        <v>1002</v>
      </c>
      <c r="I1043" s="92" t="s">
        <v>1003</v>
      </c>
      <c r="J1043" s="92" t="s">
        <v>1004</v>
      </c>
      <c r="K1043" s="92" t="s">
        <v>1005</v>
      </c>
      <c r="L1043" s="92" t="s">
        <v>1006</v>
      </c>
      <c r="M1043" s="99" t="s">
        <v>1007</v>
      </c>
      <c r="N1043" s="92" t="s">
        <v>1008</v>
      </c>
      <c r="O1043" s="92" t="s">
        <v>1009</v>
      </c>
      <c r="P1043" s="98" t="s">
        <v>841</v>
      </c>
      <c r="Q1043" s="92" t="s">
        <v>842</v>
      </c>
      <c r="R1043" s="92" t="s">
        <v>840</v>
      </c>
      <c r="S1043" s="260" t="s">
        <v>1574</v>
      </c>
      <c r="T1043" s="126"/>
      <c r="U1043" s="38"/>
      <c r="V1043" s="38"/>
      <c r="W1043" s="126"/>
      <c r="X1043" s="126"/>
      <c r="Y1043" s="126"/>
      <c r="Z1043" s="126"/>
      <c r="AA1043" s="126"/>
      <c r="AB1043" s="126"/>
      <c r="AC1043" s="126"/>
      <c r="AD1043" s="126"/>
      <c r="AE1043" s="126"/>
      <c r="AF1043" s="126"/>
      <c r="AG1043" s="126"/>
      <c r="AH1043" s="126"/>
      <c r="AI1043" s="126"/>
      <c r="AJ1043" s="126"/>
      <c r="AK1043" s="126"/>
      <c r="AL1043" s="126"/>
      <c r="AM1043" s="141"/>
      <c r="AN1043" s="141"/>
      <c r="AO1043" s="141"/>
      <c r="AP1043" s="141"/>
      <c r="AQ1043" s="126"/>
      <c r="AR1043" s="126"/>
      <c r="AS1043" s="126"/>
      <c r="AT1043" s="126"/>
      <c r="AU1043" s="126"/>
      <c r="AV1043" s="126"/>
      <c r="AW1043" s="126"/>
      <c r="AX1043" s="126"/>
      <c r="AY1043" s="126"/>
      <c r="AZ1043" s="126"/>
      <c r="BA1043" s="126"/>
      <c r="BB1043" s="126"/>
      <c r="BC1043" s="126"/>
      <c r="BD1043" s="126"/>
      <c r="BE1043" s="126"/>
      <c r="BF1043" s="126"/>
      <c r="BG1043" s="161"/>
      <c r="BH1043" s="3"/>
      <c r="BI1043" s="126"/>
      <c r="BJ1043" s="126"/>
    </row>
    <row r="1044" spans="1:64" x14ac:dyDescent="0.25">
      <c r="B1044" s="92" t="s">
        <v>25</v>
      </c>
      <c r="C1044" s="92" t="s">
        <v>149</v>
      </c>
      <c r="D1044" s="92" t="s">
        <v>26</v>
      </c>
      <c r="E1044" s="92" t="s">
        <v>27</v>
      </c>
      <c r="F1044" s="92" t="s">
        <v>1810</v>
      </c>
      <c r="G1044" s="92" t="s">
        <v>994</v>
      </c>
      <c r="H1044" s="92" t="s">
        <v>28</v>
      </c>
      <c r="I1044" s="92" t="s">
        <v>995</v>
      </c>
      <c r="J1044" s="92" t="s">
        <v>996</v>
      </c>
      <c r="K1044" s="92" t="s">
        <v>997</v>
      </c>
      <c r="L1044" s="92" t="s">
        <v>691</v>
      </c>
      <c r="M1044" s="99" t="s">
        <v>375</v>
      </c>
      <c r="N1044" s="92" t="s">
        <v>690</v>
      </c>
      <c r="O1044" s="92" t="s">
        <v>32</v>
      </c>
      <c r="P1044" s="98" t="s">
        <v>22</v>
      </c>
      <c r="Q1044" s="92" t="s">
        <v>23</v>
      </c>
      <c r="R1044" s="92" t="s">
        <v>24</v>
      </c>
      <c r="S1044" s="260" t="s">
        <v>1574</v>
      </c>
      <c r="T1044" s="126"/>
      <c r="U1044" s="38"/>
      <c r="V1044" s="38"/>
      <c r="W1044" s="126"/>
      <c r="X1044" s="126"/>
      <c r="Y1044" s="126"/>
      <c r="Z1044" s="126"/>
      <c r="AA1044" s="126"/>
      <c r="AB1044" s="126"/>
      <c r="AC1044" s="126"/>
      <c r="AD1044" s="126"/>
      <c r="AE1044" s="126"/>
      <c r="AF1044" s="126"/>
      <c r="AG1044" s="126"/>
      <c r="AH1044" s="126"/>
      <c r="AI1044" s="126"/>
      <c r="AJ1044" s="126"/>
      <c r="AK1044" s="126"/>
      <c r="AL1044" s="126"/>
      <c r="AM1044" s="141"/>
      <c r="AN1044" s="141"/>
      <c r="AO1044" s="141"/>
      <c r="AP1044" s="141"/>
      <c r="AQ1044" s="126"/>
      <c r="AR1044" s="126"/>
      <c r="AS1044" s="126"/>
      <c r="AT1044" s="126"/>
      <c r="AU1044" s="126"/>
      <c r="AV1044" s="126"/>
      <c r="AW1044" s="126"/>
      <c r="AX1044" s="126"/>
      <c r="AY1044" s="126"/>
      <c r="AZ1044" s="126"/>
      <c r="BA1044" s="126"/>
      <c r="BB1044" s="126"/>
      <c r="BC1044" s="126"/>
      <c r="BD1044" s="126"/>
      <c r="BE1044" s="126"/>
      <c r="BF1044" s="126"/>
      <c r="BG1044" s="161"/>
      <c r="BH1044" s="3"/>
      <c r="BI1044" s="126"/>
      <c r="BJ1044" s="126"/>
    </row>
    <row r="1045" spans="1:64" x14ac:dyDescent="0.25">
      <c r="A1045" s="448" t="str">
        <f t="shared" ref="A1045:A1050" si="725">IF(P1045=S1045,"",IF(H1045=0,"comment",""))</f>
        <v/>
      </c>
      <c r="B1045" s="12" t="str">
        <f>$B$5</f>
        <v>6001</v>
      </c>
      <c r="C1045" s="12" t="str">
        <f>$C$5</f>
        <v>B00101</v>
      </c>
      <c r="D1045" s="109" t="str">
        <f>G1023</f>
        <v>SR807</v>
      </c>
      <c r="E1045" s="92">
        <v>1</v>
      </c>
      <c r="F1045" s="50">
        <v>0</v>
      </c>
      <c r="G1045" s="50">
        <f>IF(F1045=0,2,3)</f>
        <v>2</v>
      </c>
      <c r="H1045" s="50">
        <f t="shared" ref="H1045:H1076" si="726">IF(F1045=0,SUMPRODUCT(($C$1023:$C$1039=C1045)*($G$1023:$G$1039=D1045)*($H$1023:$H$1039=E1045)*($J$1023:$J$1039)),SUMPRODUCT(($C$1023:$C$1039=C1045)*($G$1023:$G$1039=D1045)*($H$1023:$H$1039=E1045)*($K$1023:$K$1039)))</f>
        <v>0</v>
      </c>
      <c r="I1045" s="50">
        <f t="shared" ref="I1045:I1076" si="727" xml:space="preserve"> VLOOKUP(D1045,$C$230:$F$242,2,FALSE)</f>
        <v>6155</v>
      </c>
      <c r="J1045" s="50">
        <f t="shared" ref="J1045:J1076" si="728" xml:space="preserve"> VLOOKUP(D1045,$C$230:$F$242,3,FALSE)</f>
        <v>6170</v>
      </c>
      <c r="K1045" s="50">
        <f t="shared" ref="K1045:K1076" si="729">IF(F1045=0,SUMPRODUCT(($C$1023:$C$1039=C1045)*($G$1023:$G$1039=D1045)*($H$1023:$H$1039=E1045)*($AO$1023:$AO$1039)),SUMPRODUCT(($C$1023:$C$1039=C1045)*($G$1023:$G$1039=D1045)*($H$1023:$H$1039=E1045)*($AP$1023:$AP$1039)))</f>
        <v>2850</v>
      </c>
      <c r="L1045" s="50">
        <f t="shared" ref="L1045:L1076" si="730">IF(F1045=0,SUMPRODUCT(($C$1023:$C$1039=C1045)*($G$1023:$G$1039=D1045)*($H$1023:$H$1039=E1045)*($AQ$1023:$AQ$1039)),SUMPRODUCT(($C$1023:$C$1039=C1045)*($G$1023:$G$1039=D1045)*($H$1023:$H$1039=E1045)*($AR$1023:$AR$1039)))</f>
        <v>0</v>
      </c>
      <c r="M1045" s="162">
        <f t="shared" ref="M1045:M1076" si="731">IF(F1045=0,SUMPRODUCT(($C$1023:$C$1039=C1045)*($G$1023:$G$1039=D1045)*($H$1023:$H$1039=E1045)*($L$1023:$L$1039)),SUMPRODUCT(($C$1023:$C$1039=C1045)*($G$1023:$G$1039=D1045)*($H$1023:$H$1039=E1045)*($M$1023:$M$1039)))</f>
        <v>0</v>
      </c>
      <c r="N1045" s="50">
        <f t="shared" ref="N1045:N1076" si="732">IF(F1045=0,SUMPRODUCT(($C$1023:$C$1039=C1045)*($G$1023:$G$1039=D1045)*($H$1023:$H$1039=E1045)*($N$1023:$N$1039)),SUMPRODUCT(($C$1023:$C$1039=C1045)*($G$1023:$G$1039=D1045)*($H$1023:$H$1039=E1045)*($O$1023:$O$1039)))</f>
        <v>0</v>
      </c>
      <c r="O1045" s="50">
        <f t="shared" ref="O1045:O1076" si="733" xml:space="preserve"> VLOOKUP(D1045,$C$19:$L$31,3,FALSE)</f>
        <v>10</v>
      </c>
      <c r="P1045" s="92">
        <f>$B$2</f>
        <v>20180328</v>
      </c>
      <c r="Q1045" s="92" t="str">
        <f>$F$5</f>
        <v>9999</v>
      </c>
      <c r="R1045" s="12" t="str">
        <f>$B$19</f>
        <v>CZCE</v>
      </c>
      <c r="S1045" s="126">
        <f t="shared" ref="S1045:S1076" si="734" xml:space="preserve"> VLOOKUP(D1045,$C$19:$L$31,4,FALSE)</f>
        <v>20180328</v>
      </c>
      <c r="T1045" s="126"/>
      <c r="U1045" s="38"/>
      <c r="V1045" s="38"/>
      <c r="W1045" s="126"/>
      <c r="X1045" s="126"/>
      <c r="Y1045" s="126"/>
      <c r="Z1045" s="126"/>
      <c r="AA1045" s="126"/>
      <c r="AB1045" s="126"/>
      <c r="AC1045" s="126"/>
      <c r="AD1045" s="126"/>
      <c r="AE1045" s="126"/>
      <c r="AF1045" s="126"/>
      <c r="AG1045" s="126"/>
      <c r="AH1045" s="126"/>
      <c r="AI1045" s="126"/>
      <c r="AJ1045" s="126"/>
      <c r="AK1045" s="126"/>
      <c r="AL1045" s="126"/>
      <c r="AM1045" s="141"/>
      <c r="AN1045" s="141"/>
      <c r="AO1045" s="141"/>
      <c r="AP1045" s="141"/>
      <c r="AQ1045" s="126"/>
      <c r="AR1045" s="126"/>
      <c r="AS1045" s="126"/>
      <c r="AT1045" s="126"/>
      <c r="AU1045" s="126"/>
      <c r="AV1045" s="126"/>
      <c r="AW1045" s="126"/>
      <c r="AX1045" s="126"/>
      <c r="AY1045" s="126"/>
      <c r="AZ1045" s="126"/>
      <c r="BA1045" s="126"/>
      <c r="BB1045" s="126"/>
      <c r="BC1045" s="126"/>
      <c r="BD1045" s="126"/>
      <c r="BE1045" s="126"/>
      <c r="BF1045" s="126"/>
      <c r="BG1045" s="161"/>
      <c r="BH1045" s="3"/>
      <c r="BI1045" s="126"/>
      <c r="BJ1045" s="126"/>
    </row>
    <row r="1046" spans="1:64" x14ac:dyDescent="0.25">
      <c r="A1046" s="448" t="str">
        <f t="shared" si="725"/>
        <v/>
      </c>
      <c r="B1046" s="12" t="str">
        <f t="shared" ref="B1046:B1076" si="735">$B$5</f>
        <v>6001</v>
      </c>
      <c r="C1046" s="12" t="str">
        <f t="shared" ref="C1046:C1076" si="736">$C$5</f>
        <v>B00101</v>
      </c>
      <c r="D1046" s="109" t="str">
        <f>D1045</f>
        <v>SR807</v>
      </c>
      <c r="E1046" s="92">
        <v>1</v>
      </c>
      <c r="F1046" s="50">
        <v>1</v>
      </c>
      <c r="G1046" s="50">
        <f t="shared" ref="G1046:G1076" si="737">IF(F1046=0,2,3)</f>
        <v>3</v>
      </c>
      <c r="H1046" s="50">
        <f t="shared" si="726"/>
        <v>0</v>
      </c>
      <c r="I1046" s="50">
        <f t="shared" si="727"/>
        <v>6155</v>
      </c>
      <c r="J1046" s="50">
        <f t="shared" si="728"/>
        <v>6170</v>
      </c>
      <c r="K1046" s="50">
        <f t="shared" si="729"/>
        <v>-2540</v>
      </c>
      <c r="L1046" s="50">
        <f t="shared" si="730"/>
        <v>0</v>
      </c>
      <c r="M1046" s="162">
        <f t="shared" si="731"/>
        <v>0</v>
      </c>
      <c r="N1046" s="50">
        <f t="shared" si="732"/>
        <v>0</v>
      </c>
      <c r="O1046" s="50">
        <f t="shared" si="733"/>
        <v>10</v>
      </c>
      <c r="P1046" s="92">
        <f t="shared" ref="P1046:P1076" si="738">$B$2</f>
        <v>20180328</v>
      </c>
      <c r="Q1046" s="92" t="str">
        <f t="shared" ref="Q1046:Q1076" si="739">$F$5</f>
        <v>9999</v>
      </c>
      <c r="R1046" s="12" t="str">
        <f t="shared" ref="R1046:R1076" si="740">$B$19</f>
        <v>CZCE</v>
      </c>
      <c r="S1046" s="126">
        <f t="shared" si="734"/>
        <v>20180328</v>
      </c>
      <c r="T1046" s="126"/>
      <c r="U1046" s="38"/>
      <c r="V1046" s="38"/>
      <c r="W1046" s="126"/>
      <c r="X1046" s="126"/>
      <c r="Y1046" s="126"/>
      <c r="Z1046" s="126"/>
      <c r="AA1046" s="126"/>
      <c r="AB1046" s="126"/>
      <c r="AC1046" s="126"/>
      <c r="AD1046" s="126"/>
      <c r="AE1046" s="126"/>
      <c r="AF1046" s="126"/>
      <c r="AG1046" s="126"/>
      <c r="AH1046" s="126"/>
      <c r="AI1046" s="126"/>
      <c r="AJ1046" s="126"/>
      <c r="AK1046" s="126"/>
      <c r="AL1046" s="126"/>
      <c r="AM1046" s="141"/>
      <c r="AN1046" s="141"/>
      <c r="AO1046" s="141"/>
      <c r="AP1046" s="141"/>
      <c r="AQ1046" s="126"/>
      <c r="AR1046" s="126"/>
      <c r="AS1046" s="126"/>
      <c r="AT1046" s="126"/>
      <c r="AU1046" s="126"/>
      <c r="AV1046" s="126"/>
      <c r="AW1046" s="126"/>
      <c r="AX1046" s="126"/>
      <c r="AY1046" s="126"/>
      <c r="AZ1046" s="126"/>
      <c r="BA1046" s="126"/>
      <c r="BB1046" s="126"/>
      <c r="BC1046" s="126"/>
      <c r="BD1046" s="126"/>
      <c r="BE1046" s="126"/>
      <c r="BF1046" s="126"/>
      <c r="BG1046" s="161"/>
      <c r="BH1046" s="3"/>
      <c r="BI1046" s="126"/>
      <c r="BJ1046" s="126"/>
    </row>
    <row r="1047" spans="1:64" x14ac:dyDescent="0.25">
      <c r="A1047" s="448" t="str">
        <f t="shared" si="725"/>
        <v/>
      </c>
      <c r="B1047" s="12" t="str">
        <f t="shared" si="735"/>
        <v>6001</v>
      </c>
      <c r="C1047" s="12" t="str">
        <f t="shared" si="736"/>
        <v>B00101</v>
      </c>
      <c r="D1047" s="109" t="str">
        <f>D1045</f>
        <v>SR807</v>
      </c>
      <c r="E1047" s="92">
        <v>3</v>
      </c>
      <c r="F1047" s="50">
        <v>0</v>
      </c>
      <c r="G1047" s="50">
        <f t="shared" si="737"/>
        <v>2</v>
      </c>
      <c r="H1047" s="50">
        <f t="shared" si="726"/>
        <v>0</v>
      </c>
      <c r="I1047" s="50">
        <f t="shared" si="727"/>
        <v>6155</v>
      </c>
      <c r="J1047" s="50">
        <f t="shared" si="728"/>
        <v>6170</v>
      </c>
      <c r="K1047" s="50">
        <f t="shared" si="729"/>
        <v>750</v>
      </c>
      <c r="L1047" s="50">
        <f t="shared" si="730"/>
        <v>0</v>
      </c>
      <c r="M1047" s="162">
        <f t="shared" si="731"/>
        <v>0</v>
      </c>
      <c r="N1047" s="50">
        <f t="shared" si="732"/>
        <v>0</v>
      </c>
      <c r="O1047" s="50">
        <f t="shared" si="733"/>
        <v>10</v>
      </c>
      <c r="P1047" s="92">
        <f t="shared" si="738"/>
        <v>20180328</v>
      </c>
      <c r="Q1047" s="92" t="str">
        <f t="shared" si="739"/>
        <v>9999</v>
      </c>
      <c r="R1047" s="12" t="str">
        <f t="shared" si="740"/>
        <v>CZCE</v>
      </c>
      <c r="S1047" s="126">
        <f t="shared" si="734"/>
        <v>20180328</v>
      </c>
      <c r="T1047" s="126"/>
      <c r="U1047" s="38"/>
      <c r="V1047" s="38"/>
      <c r="W1047" s="126"/>
      <c r="X1047" s="126"/>
      <c r="Y1047" s="126"/>
      <c r="Z1047" s="126"/>
      <c r="AA1047" s="126"/>
      <c r="AB1047" s="126"/>
      <c r="AC1047" s="126"/>
      <c r="AD1047" s="126"/>
      <c r="AE1047" s="126"/>
      <c r="AF1047" s="126"/>
      <c r="AG1047" s="126"/>
      <c r="AH1047" s="126"/>
      <c r="AI1047" s="126"/>
      <c r="AJ1047" s="126"/>
      <c r="AK1047" s="126"/>
      <c r="AL1047" s="126"/>
      <c r="AM1047" s="141"/>
      <c r="AN1047" s="141"/>
      <c r="AO1047" s="141"/>
      <c r="AP1047" s="141"/>
      <c r="AQ1047" s="126"/>
      <c r="AR1047" s="126"/>
      <c r="AS1047" s="126"/>
      <c r="AT1047" s="126"/>
      <c r="AU1047" s="126"/>
      <c r="AV1047" s="126"/>
      <c r="AW1047" s="126"/>
      <c r="AX1047" s="126"/>
      <c r="AY1047" s="126"/>
      <c r="AZ1047" s="126"/>
      <c r="BA1047" s="126"/>
      <c r="BB1047" s="126"/>
      <c r="BC1047" s="126"/>
      <c r="BD1047" s="126"/>
      <c r="BE1047" s="126"/>
      <c r="BF1047" s="126"/>
      <c r="BG1047" s="161"/>
      <c r="BH1047" s="3"/>
      <c r="BI1047" s="126"/>
      <c r="BJ1047" s="126"/>
    </row>
    <row r="1048" spans="1:64" x14ac:dyDescent="0.25">
      <c r="A1048" s="448" t="str">
        <f t="shared" si="725"/>
        <v/>
      </c>
      <c r="B1048" s="12" t="str">
        <f t="shared" si="735"/>
        <v>6001</v>
      </c>
      <c r="C1048" s="12" t="str">
        <f t="shared" si="736"/>
        <v>B00101</v>
      </c>
      <c r="D1048" s="109" t="str">
        <f>D1047</f>
        <v>SR807</v>
      </c>
      <c r="E1048" s="92">
        <v>3</v>
      </c>
      <c r="F1048" s="50">
        <v>1</v>
      </c>
      <c r="G1048" s="50">
        <f t="shared" si="737"/>
        <v>3</v>
      </c>
      <c r="H1048" s="50">
        <f t="shared" si="726"/>
        <v>0</v>
      </c>
      <c r="I1048" s="50">
        <f t="shared" si="727"/>
        <v>6155</v>
      </c>
      <c r="J1048" s="50">
        <f t="shared" si="728"/>
        <v>6170</v>
      </c>
      <c r="K1048" s="50">
        <f t="shared" si="729"/>
        <v>-3150</v>
      </c>
      <c r="L1048" s="50">
        <f t="shared" si="730"/>
        <v>0</v>
      </c>
      <c r="M1048" s="162">
        <f t="shared" si="731"/>
        <v>0</v>
      </c>
      <c r="N1048" s="50">
        <f t="shared" si="732"/>
        <v>0</v>
      </c>
      <c r="O1048" s="50">
        <f t="shared" si="733"/>
        <v>10</v>
      </c>
      <c r="P1048" s="92">
        <f t="shared" si="738"/>
        <v>20180328</v>
      </c>
      <c r="Q1048" s="92" t="str">
        <f t="shared" si="739"/>
        <v>9999</v>
      </c>
      <c r="R1048" s="12" t="str">
        <f t="shared" si="740"/>
        <v>CZCE</v>
      </c>
      <c r="S1048" s="126">
        <f t="shared" si="734"/>
        <v>20180328</v>
      </c>
      <c r="T1048" s="126"/>
      <c r="U1048" s="38"/>
      <c r="V1048" s="38"/>
      <c r="W1048" s="126"/>
      <c r="X1048" s="126"/>
      <c r="Y1048" s="126"/>
      <c r="Z1048" s="126"/>
      <c r="AA1048" s="126"/>
      <c r="AB1048" s="126"/>
      <c r="AC1048" s="126"/>
      <c r="AD1048" s="126"/>
      <c r="AE1048" s="126"/>
      <c r="AF1048" s="126"/>
      <c r="AG1048" s="126"/>
      <c r="AH1048" s="126"/>
      <c r="AI1048" s="126"/>
      <c r="AJ1048" s="126"/>
      <c r="AK1048" s="126"/>
      <c r="AL1048" s="126"/>
      <c r="AM1048" s="141"/>
      <c r="AN1048" s="141"/>
      <c r="AO1048" s="141"/>
      <c r="AP1048" s="141"/>
      <c r="AQ1048" s="126"/>
      <c r="AR1048" s="126"/>
      <c r="AS1048" s="126"/>
      <c r="AT1048" s="126"/>
      <c r="AU1048" s="126"/>
      <c r="AV1048" s="126"/>
      <c r="AW1048" s="126"/>
      <c r="AX1048" s="126"/>
      <c r="AY1048" s="126"/>
      <c r="AZ1048" s="126"/>
      <c r="BA1048" s="126"/>
      <c r="BB1048" s="126"/>
      <c r="BC1048" s="126"/>
      <c r="BD1048" s="126"/>
      <c r="BE1048" s="126"/>
      <c r="BF1048" s="126"/>
      <c r="BG1048" s="161"/>
      <c r="BH1048" s="3"/>
      <c r="BI1048" s="126"/>
      <c r="BJ1048" s="126"/>
    </row>
    <row r="1049" spans="1:64" x14ac:dyDescent="0.25">
      <c r="A1049" s="448" t="str">
        <f t="shared" si="725"/>
        <v>comment</v>
      </c>
      <c r="B1049" s="12" t="str">
        <f t="shared" si="735"/>
        <v>6001</v>
      </c>
      <c r="C1049" s="12" t="str">
        <f t="shared" si="736"/>
        <v>B00101</v>
      </c>
      <c r="D1049" s="109" t="str">
        <f>G1025</f>
        <v>SR809</v>
      </c>
      <c r="E1049" s="92">
        <v>1</v>
      </c>
      <c r="F1049" s="50">
        <v>0</v>
      </c>
      <c r="G1049" s="50">
        <f t="shared" si="737"/>
        <v>2</v>
      </c>
      <c r="H1049" s="50">
        <f t="shared" si="726"/>
        <v>0</v>
      </c>
      <c r="I1049" s="50">
        <f t="shared" si="727"/>
        <v>6156</v>
      </c>
      <c r="J1049" s="50">
        <f t="shared" si="728"/>
        <v>6160</v>
      </c>
      <c r="K1049" s="50">
        <f t="shared" si="729"/>
        <v>0</v>
      </c>
      <c r="L1049" s="50">
        <f t="shared" si="730"/>
        <v>0</v>
      </c>
      <c r="M1049" s="162">
        <f t="shared" si="731"/>
        <v>0</v>
      </c>
      <c r="N1049" s="50">
        <f t="shared" si="732"/>
        <v>0</v>
      </c>
      <c r="O1049" s="50">
        <f t="shared" si="733"/>
        <v>10</v>
      </c>
      <c r="P1049" s="92">
        <f t="shared" si="738"/>
        <v>20180328</v>
      </c>
      <c r="Q1049" s="92" t="str">
        <f t="shared" si="739"/>
        <v>9999</v>
      </c>
      <c r="R1049" s="12" t="str">
        <f t="shared" si="740"/>
        <v>CZCE</v>
      </c>
      <c r="S1049" s="126">
        <f t="shared" si="734"/>
        <v>20180333</v>
      </c>
      <c r="T1049" s="126"/>
      <c r="U1049" s="38"/>
      <c r="V1049" s="38"/>
      <c r="W1049" s="126"/>
      <c r="X1049" s="126"/>
      <c r="Y1049" s="126"/>
      <c r="Z1049" s="126"/>
      <c r="AA1049" s="126"/>
      <c r="AB1049" s="126"/>
      <c r="AC1049" s="126"/>
      <c r="AD1049" s="126"/>
      <c r="AE1049" s="126"/>
      <c r="AF1049" s="126"/>
      <c r="AG1049" s="126"/>
      <c r="AH1049" s="126"/>
      <c r="AI1049" s="126"/>
      <c r="AJ1049" s="126"/>
      <c r="AK1049" s="126"/>
      <c r="AL1049" s="126"/>
      <c r="AM1049" s="141"/>
      <c r="AN1049" s="141"/>
      <c r="AO1049" s="141"/>
      <c r="AP1049" s="141"/>
      <c r="AQ1049" s="126"/>
      <c r="AR1049" s="126"/>
      <c r="AS1049" s="126"/>
      <c r="AT1049" s="126"/>
      <c r="AU1049" s="126"/>
      <c r="AV1049" s="126"/>
      <c r="AW1049" s="126"/>
      <c r="AX1049" s="126"/>
      <c r="AY1049" s="126"/>
      <c r="AZ1049" s="126"/>
      <c r="BA1049" s="126"/>
      <c r="BB1049" s="126"/>
      <c r="BC1049" s="126"/>
      <c r="BD1049" s="126"/>
      <c r="BE1049" s="126"/>
      <c r="BF1049" s="126"/>
      <c r="BG1049" s="161"/>
      <c r="BH1049" s="3"/>
      <c r="BI1049" s="126"/>
      <c r="BJ1049" s="126"/>
    </row>
    <row r="1050" spans="1:64" x14ac:dyDescent="0.25">
      <c r="A1050" s="448" t="str">
        <f t="shared" si="725"/>
        <v/>
      </c>
      <c r="B1050" s="12" t="str">
        <f t="shared" si="735"/>
        <v>6001</v>
      </c>
      <c r="C1050" s="12" t="str">
        <f t="shared" si="736"/>
        <v>B00101</v>
      </c>
      <c r="D1050" s="109" t="str">
        <f>D1049</f>
        <v>SR809</v>
      </c>
      <c r="E1050" s="92">
        <v>1</v>
      </c>
      <c r="F1050" s="50">
        <v>1</v>
      </c>
      <c r="G1050" s="50">
        <f t="shared" si="737"/>
        <v>3</v>
      </c>
      <c r="H1050" s="50">
        <f t="shared" si="726"/>
        <v>4</v>
      </c>
      <c r="I1050" s="50">
        <f t="shared" si="727"/>
        <v>6156</v>
      </c>
      <c r="J1050" s="50">
        <f t="shared" si="728"/>
        <v>6160</v>
      </c>
      <c r="K1050" s="50">
        <f t="shared" si="729"/>
        <v>-160</v>
      </c>
      <c r="L1050" s="50">
        <f t="shared" si="730"/>
        <v>7880</v>
      </c>
      <c r="M1050" s="162">
        <f t="shared" si="731"/>
        <v>12586.8</v>
      </c>
      <c r="N1050" s="50">
        <f t="shared" si="732"/>
        <v>10118.799999999999</v>
      </c>
      <c r="O1050" s="50">
        <f t="shared" si="733"/>
        <v>10</v>
      </c>
      <c r="P1050" s="92">
        <f t="shared" si="738"/>
        <v>20180328</v>
      </c>
      <c r="Q1050" s="92" t="str">
        <f t="shared" si="739"/>
        <v>9999</v>
      </c>
      <c r="R1050" s="12" t="str">
        <f t="shared" si="740"/>
        <v>CZCE</v>
      </c>
      <c r="S1050" s="126">
        <f t="shared" si="734"/>
        <v>20180333</v>
      </c>
      <c r="T1050" s="126"/>
      <c r="U1050" s="38"/>
      <c r="V1050" s="38"/>
      <c r="W1050" s="126"/>
      <c r="X1050" s="126"/>
      <c r="Y1050" s="126"/>
      <c r="Z1050" s="126"/>
      <c r="AA1050" s="126"/>
      <c r="AB1050" s="126"/>
      <c r="AC1050" s="126"/>
      <c r="AD1050" s="126"/>
      <c r="AE1050" s="126"/>
      <c r="AF1050" s="126"/>
      <c r="AG1050" s="126"/>
      <c r="AH1050" s="126"/>
      <c r="AI1050" s="126"/>
      <c r="AJ1050" s="126"/>
      <c r="AK1050" s="126"/>
      <c r="AL1050" s="126"/>
      <c r="AM1050" s="141"/>
      <c r="AN1050" s="141"/>
      <c r="AO1050" s="141"/>
      <c r="AP1050" s="141"/>
      <c r="AQ1050" s="126"/>
      <c r="AR1050" s="126"/>
      <c r="AS1050" s="126"/>
      <c r="AT1050" s="126"/>
      <c r="AU1050" s="126"/>
      <c r="AV1050" s="126"/>
      <c r="AW1050" s="126"/>
      <c r="AX1050" s="126"/>
      <c r="AY1050" s="126"/>
      <c r="AZ1050" s="126"/>
      <c r="BA1050" s="126"/>
      <c r="BB1050" s="126"/>
      <c r="BC1050" s="126"/>
      <c r="BD1050" s="126"/>
      <c r="BE1050" s="126"/>
      <c r="BF1050" s="126"/>
      <c r="BG1050" s="161"/>
      <c r="BH1050" s="3"/>
      <c r="BI1050" s="126"/>
      <c r="BJ1050" s="126"/>
    </row>
    <row r="1051" spans="1:64" x14ac:dyDescent="0.25">
      <c r="A1051" t="str">
        <f t="shared" ref="A1051:A1076" si="741">IF(P1051=S1051,"",IF(H1051=0,"comment",""))</f>
        <v>comment</v>
      </c>
      <c r="B1051" s="12" t="str">
        <f t="shared" si="735"/>
        <v>6001</v>
      </c>
      <c r="C1051" s="12" t="str">
        <f t="shared" si="736"/>
        <v>B00101</v>
      </c>
      <c r="D1051" s="109" t="str">
        <f>D1049</f>
        <v>SR809</v>
      </c>
      <c r="E1051" s="92">
        <v>3</v>
      </c>
      <c r="F1051" s="50">
        <v>0</v>
      </c>
      <c r="G1051" s="50">
        <f t="shared" si="737"/>
        <v>2</v>
      </c>
      <c r="H1051" s="50">
        <f t="shared" si="726"/>
        <v>0</v>
      </c>
      <c r="I1051" s="50">
        <f t="shared" si="727"/>
        <v>6156</v>
      </c>
      <c r="J1051" s="50">
        <f t="shared" si="728"/>
        <v>6160</v>
      </c>
      <c r="K1051" s="50">
        <f t="shared" si="729"/>
        <v>0</v>
      </c>
      <c r="L1051" s="50">
        <f t="shared" si="730"/>
        <v>0</v>
      </c>
      <c r="M1051" s="162">
        <f t="shared" si="731"/>
        <v>0</v>
      </c>
      <c r="N1051" s="50">
        <f t="shared" si="732"/>
        <v>0</v>
      </c>
      <c r="O1051" s="50">
        <f t="shared" si="733"/>
        <v>10</v>
      </c>
      <c r="P1051" s="92">
        <f t="shared" si="738"/>
        <v>20180328</v>
      </c>
      <c r="Q1051" s="92" t="str">
        <f t="shared" si="739"/>
        <v>9999</v>
      </c>
      <c r="R1051" s="12" t="str">
        <f t="shared" si="740"/>
        <v>CZCE</v>
      </c>
      <c r="S1051" s="126">
        <f t="shared" si="734"/>
        <v>20180333</v>
      </c>
      <c r="T1051" s="126"/>
      <c r="U1051" s="38"/>
      <c r="V1051" s="38"/>
      <c r="W1051" s="126"/>
      <c r="X1051" s="126"/>
      <c r="Y1051" s="126"/>
      <c r="Z1051" s="126"/>
      <c r="AA1051" s="126"/>
      <c r="AB1051" s="126"/>
      <c r="AC1051" s="126"/>
      <c r="AD1051" s="126"/>
      <c r="AE1051" s="126"/>
      <c r="AF1051" s="126"/>
      <c r="AG1051" s="126"/>
      <c r="AH1051" s="126"/>
      <c r="AI1051" s="126"/>
      <c r="AJ1051" s="126"/>
      <c r="AK1051" s="126"/>
      <c r="AL1051" s="126"/>
      <c r="AM1051" s="141"/>
      <c r="AN1051" s="141"/>
      <c r="AO1051" s="141"/>
      <c r="AP1051" s="141"/>
      <c r="AQ1051" s="126"/>
      <c r="AR1051" s="126"/>
      <c r="AS1051" s="126"/>
      <c r="AT1051" s="126"/>
      <c r="AU1051" s="126"/>
      <c r="AV1051" s="126"/>
      <c r="AW1051" s="126"/>
      <c r="AX1051" s="126"/>
      <c r="AY1051" s="126"/>
      <c r="AZ1051" s="126"/>
      <c r="BA1051" s="126"/>
      <c r="BB1051" s="126"/>
      <c r="BC1051" s="126"/>
      <c r="BD1051" s="126"/>
      <c r="BE1051" s="126"/>
      <c r="BF1051" s="126"/>
      <c r="BG1051" s="161"/>
      <c r="BH1051" s="3"/>
      <c r="BI1051" s="126"/>
      <c r="BJ1051" s="126"/>
    </row>
    <row r="1052" spans="1:64" x14ac:dyDescent="0.25">
      <c r="A1052" s="448" t="str">
        <f t="shared" si="741"/>
        <v>comment</v>
      </c>
      <c r="B1052" s="12" t="str">
        <f t="shared" si="735"/>
        <v>6001</v>
      </c>
      <c r="C1052" s="12" t="str">
        <f t="shared" si="736"/>
        <v>B00101</v>
      </c>
      <c r="D1052" s="109" t="str">
        <f>D1049</f>
        <v>SR809</v>
      </c>
      <c r="E1052" s="92">
        <v>3</v>
      </c>
      <c r="F1052" s="50">
        <v>1</v>
      </c>
      <c r="G1052" s="50">
        <f t="shared" si="737"/>
        <v>3</v>
      </c>
      <c r="H1052" s="50">
        <f t="shared" si="726"/>
        <v>0</v>
      </c>
      <c r="I1052" s="50">
        <f t="shared" si="727"/>
        <v>6156</v>
      </c>
      <c r="J1052" s="50">
        <f t="shared" si="728"/>
        <v>6160</v>
      </c>
      <c r="K1052" s="50">
        <f t="shared" si="729"/>
        <v>0</v>
      </c>
      <c r="L1052" s="50">
        <f t="shared" si="730"/>
        <v>0</v>
      </c>
      <c r="M1052" s="162">
        <f t="shared" si="731"/>
        <v>0</v>
      </c>
      <c r="N1052" s="50">
        <f t="shared" si="732"/>
        <v>0</v>
      </c>
      <c r="O1052" s="50">
        <f t="shared" si="733"/>
        <v>10</v>
      </c>
      <c r="P1052" s="92">
        <f t="shared" si="738"/>
        <v>20180328</v>
      </c>
      <c r="Q1052" s="92" t="str">
        <f t="shared" si="739"/>
        <v>9999</v>
      </c>
      <c r="R1052" s="12" t="str">
        <f t="shared" si="740"/>
        <v>CZCE</v>
      </c>
      <c r="S1052" s="126">
        <f t="shared" si="734"/>
        <v>20180333</v>
      </c>
      <c r="T1052" s="126"/>
      <c r="U1052" s="38"/>
      <c r="V1052" s="38"/>
      <c r="W1052" s="126"/>
      <c r="X1052" s="126"/>
      <c r="Y1052" s="126"/>
      <c r="Z1052" s="126"/>
      <c r="AA1052" s="126"/>
      <c r="AB1052" s="126"/>
      <c r="AC1052" s="126"/>
      <c r="AD1052" s="126"/>
      <c r="AE1052" s="126"/>
      <c r="AF1052" s="126"/>
      <c r="AG1052" s="126"/>
      <c r="AH1052" s="126"/>
      <c r="AI1052" s="126"/>
      <c r="AJ1052" s="126"/>
      <c r="AK1052" s="126"/>
      <c r="AL1052" s="126"/>
      <c r="AM1052" s="141"/>
      <c r="AN1052" s="141"/>
      <c r="AO1052" s="141"/>
      <c r="AP1052" s="141"/>
      <c r="AQ1052" s="126"/>
      <c r="AR1052" s="126"/>
      <c r="AS1052" s="126"/>
      <c r="AT1052" s="126"/>
      <c r="AU1052" s="126"/>
      <c r="AV1052" s="126"/>
      <c r="AW1052" s="126"/>
      <c r="AX1052" s="126"/>
      <c r="AY1052" s="126"/>
      <c r="AZ1052" s="126"/>
      <c r="BA1052" s="126"/>
      <c r="BB1052" s="126"/>
      <c r="BC1052" s="126"/>
      <c r="BD1052" s="126"/>
      <c r="BE1052" s="126"/>
      <c r="BF1052" s="126"/>
      <c r="BG1052" s="161"/>
      <c r="BH1052" s="3"/>
      <c r="BI1052" s="126"/>
      <c r="BJ1052" s="126"/>
    </row>
    <row r="1053" spans="1:64" x14ac:dyDescent="0.25">
      <c r="A1053" s="448" t="str">
        <f t="shared" si="741"/>
        <v/>
      </c>
      <c r="B1053" s="12" t="str">
        <f t="shared" si="735"/>
        <v>6001</v>
      </c>
      <c r="C1053" s="12" t="str">
        <f t="shared" si="736"/>
        <v>B00101</v>
      </c>
      <c r="D1053" s="109" t="str">
        <f>G1027</f>
        <v>OI811</v>
      </c>
      <c r="E1053" s="92">
        <v>1</v>
      </c>
      <c r="F1053" s="50">
        <v>0</v>
      </c>
      <c r="G1053" s="50">
        <f t="shared" si="737"/>
        <v>2</v>
      </c>
      <c r="H1053" s="50">
        <f t="shared" si="726"/>
        <v>2</v>
      </c>
      <c r="I1053" s="50">
        <f t="shared" si="727"/>
        <v>6165</v>
      </c>
      <c r="J1053" s="50">
        <f t="shared" si="728"/>
        <v>6170</v>
      </c>
      <c r="K1053" s="50">
        <f t="shared" si="729"/>
        <v>100</v>
      </c>
      <c r="L1053" s="50">
        <f t="shared" si="730"/>
        <v>1060</v>
      </c>
      <c r="M1053" s="162">
        <f t="shared" si="731"/>
        <v>0</v>
      </c>
      <c r="N1053" s="50">
        <f t="shared" si="732"/>
        <v>0</v>
      </c>
      <c r="O1053" s="50">
        <f t="shared" si="733"/>
        <v>10</v>
      </c>
      <c r="P1053" s="92">
        <f t="shared" si="738"/>
        <v>20180328</v>
      </c>
      <c r="Q1053" s="92" t="str">
        <f t="shared" si="739"/>
        <v>9999</v>
      </c>
      <c r="R1053" s="12" t="str">
        <f t="shared" si="740"/>
        <v>CZCE</v>
      </c>
      <c r="S1053" s="126">
        <f t="shared" si="734"/>
        <v>20180333</v>
      </c>
      <c r="T1053" s="126"/>
      <c r="U1053" s="38"/>
      <c r="V1053" s="38"/>
      <c r="W1053" s="126"/>
      <c r="X1053" s="126"/>
      <c r="Y1053" s="126"/>
      <c r="Z1053" s="126"/>
      <c r="AA1053" s="126"/>
      <c r="AB1053" s="126"/>
      <c r="AC1053" s="126"/>
      <c r="AD1053" s="126"/>
      <c r="AE1053" s="126"/>
      <c r="AF1053" s="126"/>
      <c r="AG1053" s="126"/>
      <c r="AH1053" s="126"/>
      <c r="AI1053" s="126"/>
      <c r="AJ1053" s="126"/>
      <c r="AK1053" s="126"/>
      <c r="AL1053" s="126"/>
      <c r="AM1053" s="141"/>
      <c r="AN1053" s="141"/>
      <c r="AO1053" s="141"/>
      <c r="AP1053" s="141"/>
      <c r="AQ1053" s="126"/>
      <c r="AR1053" s="126"/>
      <c r="AS1053" s="126"/>
      <c r="AT1053" s="126"/>
      <c r="AU1053" s="126"/>
      <c r="AV1053" s="126"/>
      <c r="AW1053" s="126"/>
      <c r="AX1053" s="126"/>
      <c r="AY1053" s="126"/>
      <c r="AZ1053" s="126"/>
      <c r="BA1053" s="126"/>
      <c r="BB1053" s="126"/>
      <c r="BC1053" s="126"/>
      <c r="BD1053" s="126"/>
      <c r="BE1053" s="126"/>
      <c r="BF1053" s="126"/>
      <c r="BG1053" s="161"/>
      <c r="BH1053" s="3"/>
      <c r="BI1053" s="126"/>
      <c r="BJ1053" s="126"/>
    </row>
    <row r="1054" spans="1:64" x14ac:dyDescent="0.25">
      <c r="A1054" s="448" t="str">
        <f t="shared" si="741"/>
        <v/>
      </c>
      <c r="B1054" s="12" t="str">
        <f t="shared" si="735"/>
        <v>6001</v>
      </c>
      <c r="C1054" s="12" t="str">
        <f t="shared" si="736"/>
        <v>B00101</v>
      </c>
      <c r="D1054" s="109" t="str">
        <f>D1053</f>
        <v>OI811</v>
      </c>
      <c r="E1054" s="92">
        <v>1</v>
      </c>
      <c r="F1054" s="50">
        <v>1</v>
      </c>
      <c r="G1054" s="50">
        <f t="shared" si="737"/>
        <v>3</v>
      </c>
      <c r="H1054" s="50">
        <f t="shared" si="726"/>
        <v>2</v>
      </c>
      <c r="I1054" s="50">
        <f t="shared" si="727"/>
        <v>6165</v>
      </c>
      <c r="J1054" s="50">
        <f t="shared" si="728"/>
        <v>6170</v>
      </c>
      <c r="K1054" s="50">
        <f t="shared" si="729"/>
        <v>-100</v>
      </c>
      <c r="L1054" s="50">
        <f t="shared" si="730"/>
        <v>-1080</v>
      </c>
      <c r="M1054" s="162">
        <f t="shared" si="731"/>
        <v>6303.6</v>
      </c>
      <c r="N1054" s="50">
        <f t="shared" si="732"/>
        <v>5067.6000000000004</v>
      </c>
      <c r="O1054" s="50">
        <f t="shared" si="733"/>
        <v>10</v>
      </c>
      <c r="P1054" s="92">
        <f t="shared" si="738"/>
        <v>20180328</v>
      </c>
      <c r="Q1054" s="92" t="str">
        <f t="shared" si="739"/>
        <v>9999</v>
      </c>
      <c r="R1054" s="12" t="str">
        <f t="shared" si="740"/>
        <v>CZCE</v>
      </c>
      <c r="S1054" s="126">
        <f t="shared" si="734"/>
        <v>20180333</v>
      </c>
      <c r="T1054" s="126"/>
      <c r="U1054" s="38"/>
      <c r="V1054" s="38"/>
      <c r="W1054" s="126"/>
      <c r="X1054" s="126"/>
      <c r="Y1054" s="126"/>
      <c r="Z1054" s="126"/>
      <c r="AA1054" s="126"/>
      <c r="AB1054" s="126"/>
      <c r="AC1054" s="126"/>
      <c r="AD1054" s="126"/>
      <c r="AE1054" s="126"/>
      <c r="AF1054" s="126"/>
      <c r="AG1054" s="126"/>
      <c r="AH1054" s="126"/>
      <c r="AI1054" s="126"/>
      <c r="AJ1054" s="126"/>
      <c r="AK1054" s="126"/>
      <c r="AL1054" s="126"/>
      <c r="AM1054" s="141"/>
      <c r="AN1054" s="141"/>
      <c r="AO1054" s="141"/>
      <c r="AP1054" s="141"/>
      <c r="AQ1054" s="126"/>
      <c r="AR1054" s="126"/>
      <c r="AS1054" s="126"/>
      <c r="AT1054" s="126"/>
      <c r="AU1054" s="126"/>
      <c r="AV1054" s="126"/>
      <c r="AW1054" s="126"/>
      <c r="AX1054" s="126"/>
      <c r="AY1054" s="126"/>
      <c r="AZ1054" s="126"/>
      <c r="BA1054" s="126"/>
      <c r="BB1054" s="126"/>
      <c r="BC1054" s="126"/>
      <c r="BD1054" s="126"/>
      <c r="BE1054" s="126"/>
      <c r="BF1054" s="126"/>
      <c r="BG1054" s="161"/>
      <c r="BH1054" s="3"/>
      <c r="BI1054" s="126"/>
      <c r="BJ1054" s="126"/>
    </row>
    <row r="1055" spans="1:64" x14ac:dyDescent="0.25">
      <c r="A1055" s="448" t="str">
        <f t="shared" si="741"/>
        <v>comment</v>
      </c>
      <c r="B1055" s="12" t="str">
        <f t="shared" si="735"/>
        <v>6001</v>
      </c>
      <c r="C1055" s="12" t="str">
        <f t="shared" si="736"/>
        <v>B00101</v>
      </c>
      <c r="D1055" s="109" t="str">
        <f>D1053</f>
        <v>OI811</v>
      </c>
      <c r="E1055" s="92">
        <v>3</v>
      </c>
      <c r="F1055" s="50">
        <v>0</v>
      </c>
      <c r="G1055" s="50">
        <f t="shared" si="737"/>
        <v>2</v>
      </c>
      <c r="H1055" s="50">
        <f t="shared" si="726"/>
        <v>0</v>
      </c>
      <c r="I1055" s="50">
        <f t="shared" si="727"/>
        <v>6165</v>
      </c>
      <c r="J1055" s="50">
        <f t="shared" si="728"/>
        <v>6170</v>
      </c>
      <c r="K1055" s="50">
        <f t="shared" si="729"/>
        <v>0</v>
      </c>
      <c r="L1055" s="50">
        <f t="shared" si="730"/>
        <v>0</v>
      </c>
      <c r="M1055" s="162">
        <f t="shared" si="731"/>
        <v>0</v>
      </c>
      <c r="N1055" s="50">
        <f t="shared" si="732"/>
        <v>0</v>
      </c>
      <c r="O1055" s="50">
        <f t="shared" si="733"/>
        <v>10</v>
      </c>
      <c r="P1055" s="92">
        <f t="shared" si="738"/>
        <v>20180328</v>
      </c>
      <c r="Q1055" s="92" t="str">
        <f t="shared" si="739"/>
        <v>9999</v>
      </c>
      <c r="R1055" s="12" t="str">
        <f t="shared" si="740"/>
        <v>CZCE</v>
      </c>
      <c r="S1055" s="126">
        <f t="shared" si="734"/>
        <v>20180333</v>
      </c>
      <c r="T1055" s="126"/>
      <c r="U1055" s="38"/>
      <c r="V1055" s="38"/>
      <c r="W1055" s="126"/>
      <c r="X1055" s="126"/>
      <c r="Y1055" s="126"/>
      <c r="Z1055" s="126"/>
      <c r="AA1055" s="126"/>
      <c r="AB1055" s="126"/>
      <c r="AC1055" s="126"/>
      <c r="AD1055" s="126"/>
      <c r="AE1055" s="126"/>
      <c r="AF1055" s="126"/>
      <c r="AG1055" s="126"/>
      <c r="AH1055" s="126"/>
      <c r="AI1055" s="126"/>
      <c r="AJ1055" s="126"/>
      <c r="AK1055" s="126"/>
      <c r="AL1055" s="126"/>
      <c r="AM1055" s="141"/>
      <c r="AN1055" s="141"/>
      <c r="AO1055" s="141"/>
      <c r="AP1055" s="141"/>
      <c r="AQ1055" s="126"/>
      <c r="AR1055" s="126"/>
      <c r="AS1055" s="126"/>
      <c r="AT1055" s="126"/>
      <c r="AU1055" s="126"/>
      <c r="AV1055" s="126"/>
      <c r="AW1055" s="126"/>
      <c r="AX1055" s="126"/>
      <c r="AY1055" s="126"/>
      <c r="AZ1055" s="126"/>
      <c r="BA1055" s="126"/>
      <c r="BB1055" s="126"/>
      <c r="BC1055" s="126"/>
      <c r="BD1055" s="126"/>
      <c r="BE1055" s="126"/>
      <c r="BF1055" s="126"/>
      <c r="BG1055" s="161"/>
      <c r="BH1055" s="3"/>
      <c r="BI1055" s="126"/>
      <c r="BJ1055" s="126"/>
    </row>
    <row r="1056" spans="1:64" x14ac:dyDescent="0.25">
      <c r="A1056" s="448" t="str">
        <f t="shared" si="741"/>
        <v>comment</v>
      </c>
      <c r="B1056" s="12" t="str">
        <f t="shared" si="735"/>
        <v>6001</v>
      </c>
      <c r="C1056" s="12" t="str">
        <f t="shared" si="736"/>
        <v>B00101</v>
      </c>
      <c r="D1056" s="109" t="str">
        <f>D1053</f>
        <v>OI811</v>
      </c>
      <c r="E1056" s="92">
        <v>3</v>
      </c>
      <c r="F1056" s="50">
        <v>1</v>
      </c>
      <c r="G1056" s="50">
        <f t="shared" si="737"/>
        <v>3</v>
      </c>
      <c r="H1056" s="50">
        <f t="shared" si="726"/>
        <v>0</v>
      </c>
      <c r="I1056" s="50">
        <f t="shared" si="727"/>
        <v>6165</v>
      </c>
      <c r="J1056" s="50">
        <f t="shared" si="728"/>
        <v>6170</v>
      </c>
      <c r="K1056" s="50">
        <f t="shared" si="729"/>
        <v>0</v>
      </c>
      <c r="L1056" s="50">
        <f t="shared" si="730"/>
        <v>0</v>
      </c>
      <c r="M1056" s="162">
        <f t="shared" si="731"/>
        <v>0</v>
      </c>
      <c r="N1056" s="50">
        <f t="shared" si="732"/>
        <v>0</v>
      </c>
      <c r="O1056" s="50">
        <f t="shared" si="733"/>
        <v>10</v>
      </c>
      <c r="P1056" s="92">
        <f t="shared" si="738"/>
        <v>20180328</v>
      </c>
      <c r="Q1056" s="92" t="str">
        <f t="shared" si="739"/>
        <v>9999</v>
      </c>
      <c r="R1056" s="12" t="str">
        <f t="shared" si="740"/>
        <v>CZCE</v>
      </c>
      <c r="S1056" s="126">
        <f t="shared" si="734"/>
        <v>20180333</v>
      </c>
      <c r="T1056" s="126"/>
      <c r="U1056" s="38"/>
      <c r="V1056" s="38"/>
      <c r="W1056" s="126"/>
      <c r="X1056" s="126"/>
      <c r="Y1056" s="126"/>
      <c r="Z1056" s="126"/>
      <c r="AA1056" s="126"/>
      <c r="AB1056" s="126"/>
      <c r="AC1056" s="126"/>
      <c r="AD1056" s="126"/>
      <c r="AE1056" s="126"/>
      <c r="AF1056" s="126"/>
      <c r="AG1056" s="126"/>
      <c r="AH1056" s="126"/>
      <c r="AI1056" s="126"/>
      <c r="AJ1056" s="126"/>
      <c r="AK1056" s="126"/>
      <c r="AL1056" s="126"/>
      <c r="AM1056" s="141"/>
      <c r="AN1056" s="141"/>
      <c r="AO1056" s="141"/>
      <c r="AP1056" s="141"/>
      <c r="AQ1056" s="126"/>
      <c r="AR1056" s="126"/>
      <c r="AS1056" s="126"/>
      <c r="AT1056" s="126"/>
      <c r="AU1056" s="126"/>
      <c r="AV1056" s="126"/>
      <c r="AW1056" s="126"/>
      <c r="AX1056" s="126"/>
      <c r="AY1056" s="126"/>
      <c r="AZ1056" s="126"/>
      <c r="BA1056" s="126"/>
      <c r="BB1056" s="126"/>
      <c r="BC1056" s="126"/>
      <c r="BD1056" s="126"/>
      <c r="BE1056" s="126"/>
      <c r="BF1056" s="126"/>
      <c r="BG1056" s="161"/>
      <c r="BH1056" s="3"/>
      <c r="BI1056" s="126"/>
      <c r="BJ1056" s="126"/>
    </row>
    <row r="1057" spans="1:62" x14ac:dyDescent="0.25">
      <c r="A1057" s="448" t="str">
        <f t="shared" si="741"/>
        <v/>
      </c>
      <c r="B1057" s="12" t="str">
        <f t="shared" si="735"/>
        <v>6001</v>
      </c>
      <c r="C1057" s="12" t="str">
        <f>$C$6</f>
        <v>B00102</v>
      </c>
      <c r="D1057" s="109" t="str">
        <f>G1029</f>
        <v>PTA807</v>
      </c>
      <c r="E1057" s="92">
        <v>1</v>
      </c>
      <c r="F1057" s="50">
        <v>0</v>
      </c>
      <c r="G1057" s="50">
        <f t="shared" si="737"/>
        <v>2</v>
      </c>
      <c r="H1057" s="50">
        <f t="shared" si="726"/>
        <v>0</v>
      </c>
      <c r="I1057" s="50">
        <f t="shared" si="727"/>
        <v>6160</v>
      </c>
      <c r="J1057" s="50">
        <f t="shared" si="728"/>
        <v>6165</v>
      </c>
      <c r="K1057" s="50">
        <f t="shared" si="729"/>
        <v>490</v>
      </c>
      <c r="L1057" s="50">
        <f t="shared" si="730"/>
        <v>0</v>
      </c>
      <c r="M1057" s="162">
        <f t="shared" si="731"/>
        <v>0</v>
      </c>
      <c r="N1057" s="50">
        <f t="shared" si="732"/>
        <v>0</v>
      </c>
      <c r="O1057" s="50">
        <f t="shared" si="733"/>
        <v>5</v>
      </c>
      <c r="P1057" s="92">
        <f t="shared" si="738"/>
        <v>20180328</v>
      </c>
      <c r="Q1057" s="92" t="str">
        <f t="shared" si="739"/>
        <v>9999</v>
      </c>
      <c r="R1057" s="12" t="str">
        <f t="shared" si="740"/>
        <v>CZCE</v>
      </c>
      <c r="S1057" s="126">
        <f t="shared" si="734"/>
        <v>20180328</v>
      </c>
      <c r="T1057" s="126"/>
      <c r="U1057" s="38"/>
      <c r="V1057" s="38"/>
      <c r="W1057" s="126"/>
      <c r="X1057" s="126"/>
      <c r="Y1057" s="126"/>
      <c r="Z1057" s="126"/>
      <c r="AA1057" s="126"/>
      <c r="AB1057" s="126"/>
      <c r="AC1057" s="126"/>
      <c r="AD1057" s="126"/>
      <c r="AE1057" s="126"/>
      <c r="AF1057" s="126"/>
      <c r="AG1057" s="126"/>
      <c r="AH1057" s="126"/>
      <c r="AI1057" s="126"/>
      <c r="AJ1057" s="126"/>
      <c r="AK1057" s="126"/>
      <c r="AL1057" s="126"/>
      <c r="AM1057" s="141"/>
      <c r="AN1057" s="141"/>
      <c r="AO1057" s="141"/>
      <c r="AP1057" s="141"/>
      <c r="AQ1057" s="126"/>
      <c r="AR1057" s="126"/>
      <c r="AS1057" s="126"/>
      <c r="AT1057" s="126"/>
      <c r="AU1057" s="126"/>
      <c r="AV1057" s="126"/>
      <c r="AW1057" s="126"/>
      <c r="AX1057" s="126"/>
      <c r="AY1057" s="126"/>
      <c r="AZ1057" s="126"/>
      <c r="BA1057" s="126"/>
      <c r="BB1057" s="126"/>
      <c r="BC1057" s="126"/>
      <c r="BD1057" s="126"/>
      <c r="BE1057" s="126"/>
      <c r="BF1057" s="126"/>
      <c r="BG1057" s="161"/>
      <c r="BH1057" s="3"/>
      <c r="BI1057" s="126"/>
      <c r="BJ1057" s="126"/>
    </row>
    <row r="1058" spans="1:62" x14ac:dyDescent="0.25">
      <c r="A1058" s="448" t="str">
        <f t="shared" si="741"/>
        <v/>
      </c>
      <c r="B1058" s="12" t="str">
        <f t="shared" si="735"/>
        <v>6001</v>
      </c>
      <c r="C1058" s="12" t="str">
        <f t="shared" ref="C1058:C1064" si="742">$C$6</f>
        <v>B00102</v>
      </c>
      <c r="D1058" s="109" t="str">
        <f>D1057</f>
        <v>PTA807</v>
      </c>
      <c r="E1058" s="92">
        <v>1</v>
      </c>
      <c r="F1058" s="50">
        <v>1</v>
      </c>
      <c r="G1058" s="50">
        <f t="shared" si="737"/>
        <v>3</v>
      </c>
      <c r="H1058" s="50">
        <f t="shared" si="726"/>
        <v>0</v>
      </c>
      <c r="I1058" s="50">
        <f t="shared" si="727"/>
        <v>6160</v>
      </c>
      <c r="J1058" s="50">
        <f t="shared" si="728"/>
        <v>6165</v>
      </c>
      <c r="K1058" s="50">
        <f t="shared" si="729"/>
        <v>-335</v>
      </c>
      <c r="L1058" s="50">
        <f t="shared" si="730"/>
        <v>0</v>
      </c>
      <c r="M1058" s="162">
        <f t="shared" si="731"/>
        <v>0</v>
      </c>
      <c r="N1058" s="50">
        <f t="shared" si="732"/>
        <v>0</v>
      </c>
      <c r="O1058" s="50">
        <f t="shared" si="733"/>
        <v>5</v>
      </c>
      <c r="P1058" s="92">
        <f t="shared" si="738"/>
        <v>20180328</v>
      </c>
      <c r="Q1058" s="92" t="str">
        <f t="shared" si="739"/>
        <v>9999</v>
      </c>
      <c r="R1058" s="12" t="str">
        <f t="shared" si="740"/>
        <v>CZCE</v>
      </c>
      <c r="S1058" s="126">
        <f t="shared" si="734"/>
        <v>20180328</v>
      </c>
      <c r="T1058" s="126"/>
      <c r="U1058" s="38"/>
      <c r="V1058" s="38"/>
      <c r="W1058" s="126"/>
      <c r="X1058" s="126"/>
      <c r="Y1058" s="126"/>
      <c r="Z1058" s="126"/>
      <c r="AA1058" s="126"/>
      <c r="AB1058" s="126"/>
      <c r="AC1058" s="126"/>
      <c r="AD1058" s="126"/>
      <c r="AE1058" s="126"/>
      <c r="AF1058" s="126"/>
      <c r="AG1058" s="126"/>
      <c r="AH1058" s="126"/>
      <c r="AI1058" s="126"/>
      <c r="AJ1058" s="126"/>
      <c r="AK1058" s="126"/>
      <c r="AL1058" s="126"/>
      <c r="AM1058" s="141"/>
      <c r="AN1058" s="141"/>
      <c r="AO1058" s="141"/>
      <c r="AP1058" s="141"/>
      <c r="AQ1058" s="126"/>
      <c r="AR1058" s="126"/>
      <c r="AS1058" s="126"/>
      <c r="AT1058" s="126"/>
      <c r="AU1058" s="126"/>
      <c r="AV1058" s="126"/>
      <c r="AW1058" s="126"/>
      <c r="AX1058" s="126"/>
      <c r="AY1058" s="126"/>
      <c r="AZ1058" s="126"/>
      <c r="BA1058" s="126"/>
      <c r="BB1058" s="126"/>
      <c r="BC1058" s="126"/>
      <c r="BD1058" s="126"/>
      <c r="BE1058" s="126"/>
      <c r="BF1058" s="126"/>
      <c r="BG1058" s="161"/>
      <c r="BH1058" s="3"/>
      <c r="BI1058" s="126"/>
      <c r="BJ1058" s="126"/>
    </row>
    <row r="1059" spans="1:62" x14ac:dyDescent="0.25">
      <c r="A1059" s="448" t="str">
        <f t="shared" si="741"/>
        <v/>
      </c>
      <c r="B1059" s="12" t="str">
        <f t="shared" si="735"/>
        <v>6001</v>
      </c>
      <c r="C1059" s="12" t="str">
        <f t="shared" si="742"/>
        <v>B00102</v>
      </c>
      <c r="D1059" s="109" t="str">
        <f>D1057</f>
        <v>PTA807</v>
      </c>
      <c r="E1059" s="92">
        <v>3</v>
      </c>
      <c r="F1059" s="50">
        <v>0</v>
      </c>
      <c r="G1059" s="50">
        <f t="shared" si="737"/>
        <v>2</v>
      </c>
      <c r="H1059" s="50">
        <f t="shared" si="726"/>
        <v>0</v>
      </c>
      <c r="I1059" s="50">
        <f t="shared" si="727"/>
        <v>6160</v>
      </c>
      <c r="J1059" s="50">
        <f t="shared" si="728"/>
        <v>6165</v>
      </c>
      <c r="K1059" s="50">
        <f t="shared" si="729"/>
        <v>175</v>
      </c>
      <c r="L1059" s="50">
        <f t="shared" si="730"/>
        <v>0</v>
      </c>
      <c r="M1059" s="162">
        <f t="shared" si="731"/>
        <v>0</v>
      </c>
      <c r="N1059" s="50">
        <f t="shared" si="732"/>
        <v>0</v>
      </c>
      <c r="O1059" s="50">
        <f t="shared" si="733"/>
        <v>5</v>
      </c>
      <c r="P1059" s="92">
        <f t="shared" si="738"/>
        <v>20180328</v>
      </c>
      <c r="Q1059" s="92" t="str">
        <f t="shared" si="739"/>
        <v>9999</v>
      </c>
      <c r="R1059" s="12" t="str">
        <f t="shared" si="740"/>
        <v>CZCE</v>
      </c>
      <c r="S1059" s="126">
        <f t="shared" si="734"/>
        <v>20180328</v>
      </c>
      <c r="T1059" s="126"/>
      <c r="U1059" s="38"/>
      <c r="V1059" s="38"/>
      <c r="W1059" s="126"/>
      <c r="X1059" s="126"/>
      <c r="Y1059" s="126"/>
      <c r="Z1059" s="126"/>
      <c r="AA1059" s="126"/>
      <c r="AB1059" s="126"/>
      <c r="AC1059" s="126"/>
      <c r="AD1059" s="126"/>
      <c r="AE1059" s="126"/>
      <c r="AF1059" s="126"/>
      <c r="AG1059" s="126"/>
      <c r="AH1059" s="126"/>
      <c r="AI1059" s="126"/>
      <c r="AJ1059" s="126"/>
      <c r="AK1059" s="126"/>
      <c r="AL1059" s="126"/>
      <c r="AM1059" s="141"/>
      <c r="AN1059" s="141"/>
      <c r="AO1059" s="141"/>
      <c r="AP1059" s="141"/>
      <c r="AQ1059" s="126"/>
      <c r="AR1059" s="126"/>
      <c r="AS1059" s="126"/>
      <c r="AT1059" s="126"/>
      <c r="AU1059" s="126"/>
      <c r="AV1059" s="126"/>
      <c r="AW1059" s="126"/>
      <c r="AX1059" s="126"/>
      <c r="AY1059" s="126"/>
      <c r="AZ1059" s="126"/>
      <c r="BA1059" s="126"/>
      <c r="BB1059" s="126"/>
      <c r="BC1059" s="126"/>
      <c r="BD1059" s="126"/>
      <c r="BE1059" s="126"/>
      <c r="BF1059" s="126"/>
      <c r="BG1059" s="161"/>
      <c r="BH1059" s="3"/>
      <c r="BI1059" s="126"/>
      <c r="BJ1059" s="126"/>
    </row>
    <row r="1060" spans="1:62" x14ac:dyDescent="0.25">
      <c r="A1060" s="448" t="str">
        <f t="shared" si="741"/>
        <v/>
      </c>
      <c r="B1060" s="12" t="str">
        <f t="shared" si="735"/>
        <v>6001</v>
      </c>
      <c r="C1060" s="12" t="str">
        <f t="shared" si="742"/>
        <v>B00102</v>
      </c>
      <c r="D1060" s="109" t="str">
        <f>D1057</f>
        <v>PTA807</v>
      </c>
      <c r="E1060" s="92">
        <v>3</v>
      </c>
      <c r="F1060" s="50">
        <v>1</v>
      </c>
      <c r="G1060" s="50">
        <f t="shared" si="737"/>
        <v>3</v>
      </c>
      <c r="H1060" s="50">
        <f t="shared" si="726"/>
        <v>0</v>
      </c>
      <c r="I1060" s="50">
        <f t="shared" si="727"/>
        <v>6160</v>
      </c>
      <c r="J1060" s="50">
        <f t="shared" si="728"/>
        <v>6165</v>
      </c>
      <c r="K1060" s="50">
        <f t="shared" si="729"/>
        <v>-175</v>
      </c>
      <c r="L1060" s="50">
        <f t="shared" si="730"/>
        <v>0</v>
      </c>
      <c r="M1060" s="162">
        <f t="shared" si="731"/>
        <v>0</v>
      </c>
      <c r="N1060" s="50">
        <f t="shared" si="732"/>
        <v>0</v>
      </c>
      <c r="O1060" s="50">
        <f t="shared" si="733"/>
        <v>5</v>
      </c>
      <c r="P1060" s="92">
        <f t="shared" si="738"/>
        <v>20180328</v>
      </c>
      <c r="Q1060" s="92" t="str">
        <f t="shared" si="739"/>
        <v>9999</v>
      </c>
      <c r="R1060" s="12" t="str">
        <f t="shared" si="740"/>
        <v>CZCE</v>
      </c>
      <c r="S1060" s="126">
        <f t="shared" si="734"/>
        <v>20180328</v>
      </c>
      <c r="T1060" s="126"/>
      <c r="U1060" s="38"/>
      <c r="V1060" s="38"/>
      <c r="W1060" s="126"/>
      <c r="X1060" s="126"/>
      <c r="Y1060" s="126"/>
      <c r="Z1060" s="126"/>
      <c r="AA1060" s="126"/>
      <c r="AB1060" s="126"/>
      <c r="AC1060" s="126"/>
      <c r="AD1060" s="126"/>
      <c r="AE1060" s="126"/>
      <c r="AF1060" s="126"/>
      <c r="AG1060" s="126"/>
      <c r="AH1060" s="126"/>
      <c r="AI1060" s="126"/>
      <c r="AJ1060" s="126"/>
      <c r="AK1060" s="126"/>
      <c r="AL1060" s="126"/>
      <c r="AM1060" s="141"/>
      <c r="AN1060" s="141"/>
      <c r="AO1060" s="141"/>
      <c r="AP1060" s="141"/>
      <c r="AQ1060" s="126"/>
      <c r="AR1060" s="126"/>
      <c r="AS1060" s="126"/>
      <c r="AT1060" s="126"/>
      <c r="AU1060" s="126"/>
      <c r="AV1060" s="126"/>
      <c r="AW1060" s="126"/>
      <c r="AX1060" s="126"/>
      <c r="AY1060" s="126"/>
      <c r="AZ1060" s="126"/>
      <c r="BA1060" s="126"/>
      <c r="BB1060" s="126"/>
      <c r="BC1060" s="126"/>
      <c r="BD1060" s="126"/>
      <c r="BE1060" s="126"/>
      <c r="BF1060" s="126"/>
      <c r="BG1060" s="161"/>
      <c r="BH1060" s="3"/>
      <c r="BI1060" s="126"/>
      <c r="BJ1060" s="126"/>
    </row>
    <row r="1061" spans="1:62" x14ac:dyDescent="0.25">
      <c r="A1061" s="448" t="str">
        <f t="shared" si="741"/>
        <v/>
      </c>
      <c r="B1061" s="12" t="str">
        <f t="shared" si="735"/>
        <v>6001</v>
      </c>
      <c r="C1061" s="12" t="str">
        <f t="shared" si="742"/>
        <v>B00102</v>
      </c>
      <c r="D1061" s="109" t="str">
        <f>G1031</f>
        <v>PTA809</v>
      </c>
      <c r="E1061" s="92">
        <v>1</v>
      </c>
      <c r="F1061" s="50">
        <v>0</v>
      </c>
      <c r="G1061" s="50">
        <f t="shared" si="737"/>
        <v>2</v>
      </c>
      <c r="H1061" s="50">
        <f t="shared" si="726"/>
        <v>2</v>
      </c>
      <c r="I1061" s="50">
        <f t="shared" si="727"/>
        <v>6165</v>
      </c>
      <c r="J1061" s="50">
        <f t="shared" si="728"/>
        <v>6168</v>
      </c>
      <c r="K1061" s="50">
        <f t="shared" si="729"/>
        <v>30</v>
      </c>
      <c r="L1061" s="50">
        <f t="shared" si="730"/>
        <v>440</v>
      </c>
      <c r="M1061" s="162">
        <f t="shared" si="731"/>
        <v>3094</v>
      </c>
      <c r="N1061" s="50">
        <f t="shared" si="732"/>
        <v>2475.1999999999998</v>
      </c>
      <c r="O1061" s="50">
        <f t="shared" si="733"/>
        <v>5</v>
      </c>
      <c r="P1061" s="92">
        <f t="shared" si="738"/>
        <v>20180328</v>
      </c>
      <c r="Q1061" s="92" t="str">
        <f t="shared" si="739"/>
        <v>9999</v>
      </c>
      <c r="R1061" s="12" t="str">
        <f t="shared" si="740"/>
        <v>CZCE</v>
      </c>
      <c r="S1061" s="126">
        <f t="shared" si="734"/>
        <v>20180333</v>
      </c>
      <c r="T1061" s="126"/>
      <c r="U1061" s="38"/>
      <c r="V1061" s="38"/>
      <c r="W1061" s="126"/>
      <c r="X1061" s="126"/>
      <c r="Y1061" s="126"/>
      <c r="Z1061" s="126"/>
      <c r="AA1061" s="126"/>
      <c r="AB1061" s="126"/>
      <c r="AC1061" s="126"/>
      <c r="AD1061" s="126"/>
      <c r="AE1061" s="126"/>
      <c r="AF1061" s="126"/>
      <c r="AG1061" s="126"/>
      <c r="AH1061" s="126"/>
      <c r="AI1061" s="126"/>
      <c r="AJ1061" s="126"/>
      <c r="AK1061" s="126"/>
      <c r="AL1061" s="126"/>
      <c r="AM1061" s="141"/>
      <c r="AN1061" s="141"/>
      <c r="AO1061" s="141"/>
      <c r="AP1061" s="141"/>
      <c r="AQ1061" s="126"/>
      <c r="AR1061" s="126"/>
      <c r="AS1061" s="126"/>
      <c r="AT1061" s="126"/>
      <c r="AU1061" s="126"/>
      <c r="AV1061" s="126"/>
      <c r="AW1061" s="126"/>
      <c r="AX1061" s="126"/>
      <c r="AY1061" s="126"/>
      <c r="AZ1061" s="126"/>
      <c r="BA1061" s="126"/>
      <c r="BB1061" s="126"/>
      <c r="BC1061" s="126"/>
      <c r="BD1061" s="126"/>
      <c r="BE1061" s="126"/>
      <c r="BF1061" s="126"/>
      <c r="BG1061" s="161"/>
      <c r="BH1061" s="3"/>
      <c r="BI1061" s="126"/>
      <c r="BJ1061" s="126"/>
    </row>
    <row r="1062" spans="1:62" x14ac:dyDescent="0.25">
      <c r="A1062" s="448" t="str">
        <f t="shared" si="741"/>
        <v>comment</v>
      </c>
      <c r="B1062" s="12" t="str">
        <f t="shared" si="735"/>
        <v>6001</v>
      </c>
      <c r="C1062" s="12" t="str">
        <f t="shared" si="742"/>
        <v>B00102</v>
      </c>
      <c r="D1062" s="109" t="str">
        <f>D1061</f>
        <v>PTA809</v>
      </c>
      <c r="E1062" s="92">
        <v>1</v>
      </c>
      <c r="F1062" s="50">
        <v>1</v>
      </c>
      <c r="G1062" s="50">
        <f t="shared" si="737"/>
        <v>3</v>
      </c>
      <c r="H1062" s="50">
        <f t="shared" si="726"/>
        <v>0</v>
      </c>
      <c r="I1062" s="50">
        <f t="shared" si="727"/>
        <v>6165</v>
      </c>
      <c r="J1062" s="50">
        <f t="shared" si="728"/>
        <v>6168</v>
      </c>
      <c r="K1062" s="50">
        <f t="shared" si="729"/>
        <v>0</v>
      </c>
      <c r="L1062" s="50">
        <f t="shared" si="730"/>
        <v>0</v>
      </c>
      <c r="M1062" s="162">
        <f t="shared" si="731"/>
        <v>0</v>
      </c>
      <c r="N1062" s="50">
        <f t="shared" si="732"/>
        <v>0</v>
      </c>
      <c r="O1062" s="50">
        <f t="shared" si="733"/>
        <v>5</v>
      </c>
      <c r="P1062" s="92">
        <f t="shared" si="738"/>
        <v>20180328</v>
      </c>
      <c r="Q1062" s="92" t="str">
        <f t="shared" si="739"/>
        <v>9999</v>
      </c>
      <c r="R1062" s="12" t="str">
        <f t="shared" si="740"/>
        <v>CZCE</v>
      </c>
      <c r="S1062" s="126">
        <f t="shared" si="734"/>
        <v>20180333</v>
      </c>
      <c r="T1062" s="126"/>
      <c r="U1062" s="38"/>
      <c r="V1062" s="38"/>
      <c r="W1062" s="126"/>
      <c r="X1062" s="126"/>
      <c r="Y1062" s="126"/>
      <c r="Z1062" s="126"/>
      <c r="AA1062" s="126"/>
      <c r="AB1062" s="126"/>
      <c r="AC1062" s="126"/>
      <c r="AD1062" s="126"/>
      <c r="AE1062" s="126"/>
      <c r="AF1062" s="126"/>
      <c r="AG1062" s="126"/>
      <c r="AH1062" s="126"/>
      <c r="AI1062" s="126"/>
      <c r="AJ1062" s="126"/>
      <c r="AK1062" s="126"/>
      <c r="AL1062" s="126"/>
      <c r="AM1062" s="141"/>
      <c r="AN1062" s="141"/>
      <c r="AO1062" s="141"/>
      <c r="AP1062" s="141"/>
      <c r="AQ1062" s="126"/>
      <c r="AR1062" s="126"/>
      <c r="AS1062" s="126"/>
      <c r="AT1062" s="126"/>
      <c r="AU1062" s="126"/>
      <c r="AV1062" s="126"/>
      <c r="AW1062" s="126"/>
      <c r="AX1062" s="126"/>
      <c r="AY1062" s="126"/>
      <c r="AZ1062" s="126"/>
      <c r="BA1062" s="126"/>
      <c r="BB1062" s="126"/>
      <c r="BC1062" s="126"/>
      <c r="BD1062" s="126"/>
      <c r="BE1062" s="126"/>
      <c r="BF1062" s="126"/>
      <c r="BG1062" s="161"/>
      <c r="BH1062" s="3"/>
      <c r="BI1062" s="126"/>
      <c r="BJ1062" s="126"/>
    </row>
    <row r="1063" spans="1:62" x14ac:dyDescent="0.25">
      <c r="A1063" s="448" t="str">
        <f t="shared" si="741"/>
        <v>comment</v>
      </c>
      <c r="B1063" s="12" t="str">
        <f t="shared" si="735"/>
        <v>6001</v>
      </c>
      <c r="C1063" s="12" t="str">
        <f t="shared" si="742"/>
        <v>B00102</v>
      </c>
      <c r="D1063" s="109" t="str">
        <f>D1061</f>
        <v>PTA809</v>
      </c>
      <c r="E1063" s="92">
        <v>3</v>
      </c>
      <c r="F1063" s="50">
        <v>0</v>
      </c>
      <c r="G1063" s="50">
        <f t="shared" si="737"/>
        <v>2</v>
      </c>
      <c r="H1063" s="50">
        <f t="shared" si="726"/>
        <v>0</v>
      </c>
      <c r="I1063" s="50">
        <f t="shared" si="727"/>
        <v>6165</v>
      </c>
      <c r="J1063" s="50">
        <f t="shared" si="728"/>
        <v>6168</v>
      </c>
      <c r="K1063" s="50">
        <f t="shared" si="729"/>
        <v>0</v>
      </c>
      <c r="L1063" s="50">
        <f t="shared" si="730"/>
        <v>0</v>
      </c>
      <c r="M1063" s="162">
        <f t="shared" si="731"/>
        <v>0</v>
      </c>
      <c r="N1063" s="50">
        <f t="shared" si="732"/>
        <v>0</v>
      </c>
      <c r="O1063" s="50">
        <f t="shared" si="733"/>
        <v>5</v>
      </c>
      <c r="P1063" s="92">
        <f t="shared" si="738"/>
        <v>20180328</v>
      </c>
      <c r="Q1063" s="92" t="str">
        <f t="shared" si="739"/>
        <v>9999</v>
      </c>
      <c r="R1063" s="12" t="str">
        <f t="shared" si="740"/>
        <v>CZCE</v>
      </c>
      <c r="S1063" s="126">
        <f t="shared" si="734"/>
        <v>20180333</v>
      </c>
      <c r="T1063" s="126"/>
      <c r="U1063" s="38"/>
      <c r="V1063" s="38"/>
      <c r="W1063" s="126"/>
      <c r="X1063" s="126"/>
      <c r="Y1063" s="126"/>
      <c r="Z1063" s="126"/>
      <c r="AA1063" s="126"/>
      <c r="AB1063" s="126"/>
      <c r="AC1063" s="126"/>
      <c r="AD1063" s="126"/>
      <c r="AE1063" s="126"/>
      <c r="AF1063" s="126"/>
      <c r="AG1063" s="126"/>
      <c r="AH1063" s="126"/>
      <c r="AI1063" s="126"/>
      <c r="AJ1063" s="126"/>
      <c r="AK1063" s="126"/>
      <c r="AL1063" s="126"/>
      <c r="AM1063" s="141"/>
      <c r="AN1063" s="141"/>
      <c r="AO1063" s="141"/>
      <c r="AP1063" s="141"/>
      <c r="AQ1063" s="126"/>
      <c r="AR1063" s="126"/>
      <c r="AS1063" s="126"/>
      <c r="AT1063" s="126"/>
      <c r="AU1063" s="126"/>
      <c r="AV1063" s="126"/>
      <c r="AW1063" s="126"/>
      <c r="AX1063" s="126"/>
      <c r="AY1063" s="126"/>
      <c r="AZ1063" s="126"/>
      <c r="BA1063" s="126"/>
      <c r="BB1063" s="126"/>
      <c r="BC1063" s="126"/>
      <c r="BD1063" s="126"/>
      <c r="BE1063" s="126"/>
      <c r="BF1063" s="126"/>
      <c r="BG1063" s="161"/>
      <c r="BH1063" s="3"/>
      <c r="BI1063" s="126"/>
      <c r="BJ1063" s="126"/>
    </row>
    <row r="1064" spans="1:62" x14ac:dyDescent="0.25">
      <c r="A1064" s="448" t="str">
        <f t="shared" si="741"/>
        <v>comment</v>
      </c>
      <c r="B1064" s="12" t="str">
        <f t="shared" si="735"/>
        <v>6001</v>
      </c>
      <c r="C1064" s="12" t="str">
        <f t="shared" si="742"/>
        <v>B00102</v>
      </c>
      <c r="D1064" s="109" t="str">
        <f>D1061</f>
        <v>PTA809</v>
      </c>
      <c r="E1064" s="92">
        <v>3</v>
      </c>
      <c r="F1064" s="50">
        <v>1</v>
      </c>
      <c r="G1064" s="50">
        <f t="shared" si="737"/>
        <v>3</v>
      </c>
      <c r="H1064" s="50">
        <f t="shared" si="726"/>
        <v>0</v>
      </c>
      <c r="I1064" s="50">
        <f t="shared" si="727"/>
        <v>6165</v>
      </c>
      <c r="J1064" s="50">
        <f t="shared" si="728"/>
        <v>6168</v>
      </c>
      <c r="K1064" s="50">
        <f t="shared" si="729"/>
        <v>0</v>
      </c>
      <c r="L1064" s="50">
        <f t="shared" si="730"/>
        <v>0</v>
      </c>
      <c r="M1064" s="162">
        <f t="shared" si="731"/>
        <v>0</v>
      </c>
      <c r="N1064" s="50">
        <f t="shared" si="732"/>
        <v>0</v>
      </c>
      <c r="O1064" s="50">
        <f t="shared" si="733"/>
        <v>5</v>
      </c>
      <c r="P1064" s="92">
        <f t="shared" si="738"/>
        <v>20180328</v>
      </c>
      <c r="Q1064" s="92" t="str">
        <f t="shared" si="739"/>
        <v>9999</v>
      </c>
      <c r="R1064" s="12" t="str">
        <f t="shared" si="740"/>
        <v>CZCE</v>
      </c>
      <c r="S1064" s="126">
        <f t="shared" si="734"/>
        <v>20180333</v>
      </c>
      <c r="T1064" s="126"/>
      <c r="U1064" s="38"/>
      <c r="V1064" s="38"/>
      <c r="W1064" s="126"/>
      <c r="X1064" s="126"/>
      <c r="Y1064" s="126"/>
      <c r="Z1064" s="126"/>
      <c r="AA1064" s="126"/>
      <c r="AB1064" s="126"/>
      <c r="AC1064" s="126"/>
      <c r="AD1064" s="126"/>
      <c r="AE1064" s="126"/>
      <c r="AF1064" s="126"/>
      <c r="AG1064" s="126"/>
      <c r="AH1064" s="126"/>
      <c r="AI1064" s="126"/>
      <c r="AJ1064" s="126"/>
      <c r="AK1064" s="126"/>
      <c r="AL1064" s="126"/>
      <c r="AM1064" s="141"/>
      <c r="AN1064" s="141"/>
      <c r="AO1064" s="141"/>
      <c r="AP1064" s="141"/>
      <c r="AQ1064" s="126"/>
      <c r="AR1064" s="126"/>
      <c r="AS1064" s="126"/>
      <c r="AT1064" s="126"/>
      <c r="AU1064" s="126"/>
      <c r="AV1064" s="126"/>
      <c r="AW1064" s="126"/>
      <c r="AX1064" s="126"/>
      <c r="AY1064" s="126"/>
      <c r="AZ1064" s="126"/>
      <c r="BA1064" s="126"/>
      <c r="BB1064" s="126"/>
      <c r="BC1064" s="126"/>
      <c r="BD1064" s="126"/>
      <c r="BE1064" s="126"/>
      <c r="BF1064" s="126"/>
      <c r="BG1064" s="161"/>
      <c r="BH1064" s="3"/>
      <c r="BI1064" s="126"/>
      <c r="BJ1064" s="126"/>
    </row>
    <row r="1065" spans="1:62" x14ac:dyDescent="0.25">
      <c r="A1065" s="448" t="str">
        <f t="shared" si="741"/>
        <v>comment</v>
      </c>
      <c r="B1065" s="12" t="str">
        <f t="shared" si="735"/>
        <v>6001</v>
      </c>
      <c r="C1065" s="12" t="str">
        <f t="shared" si="736"/>
        <v>B00101</v>
      </c>
      <c r="D1065" s="109" t="str">
        <f>G1033</f>
        <v>SR807C6500</v>
      </c>
      <c r="E1065" s="92">
        <v>1</v>
      </c>
      <c r="F1065" s="50">
        <v>0</v>
      </c>
      <c r="G1065" s="50">
        <f t="shared" si="737"/>
        <v>2</v>
      </c>
      <c r="H1065" s="50">
        <f t="shared" si="726"/>
        <v>0</v>
      </c>
      <c r="I1065" s="50">
        <f t="shared" si="727"/>
        <v>610</v>
      </c>
      <c r="J1065" s="50">
        <f t="shared" si="728"/>
        <v>610</v>
      </c>
      <c r="K1065" s="50">
        <f t="shared" si="729"/>
        <v>0</v>
      </c>
      <c r="L1065" s="50">
        <f t="shared" si="730"/>
        <v>0</v>
      </c>
      <c r="M1065" s="162">
        <f t="shared" si="731"/>
        <v>0</v>
      </c>
      <c r="N1065" s="50">
        <f t="shared" si="732"/>
        <v>0</v>
      </c>
      <c r="O1065" s="50">
        <f t="shared" si="733"/>
        <v>10</v>
      </c>
      <c r="P1065" s="92">
        <f t="shared" si="738"/>
        <v>20180328</v>
      </c>
      <c r="Q1065" s="92" t="str">
        <f t="shared" si="739"/>
        <v>9999</v>
      </c>
      <c r="R1065" s="12" t="str">
        <f t="shared" si="740"/>
        <v>CZCE</v>
      </c>
      <c r="S1065" s="126">
        <f t="shared" si="734"/>
        <v>20180327</v>
      </c>
      <c r="T1065" s="126"/>
      <c r="U1065" s="38"/>
      <c r="V1065" s="38"/>
      <c r="W1065" s="126"/>
      <c r="X1065" s="126"/>
      <c r="Y1065" s="126"/>
      <c r="Z1065" s="126"/>
      <c r="AA1065" s="126"/>
      <c r="AB1065" s="126"/>
      <c r="AC1065" s="126"/>
      <c r="AD1065" s="126"/>
      <c r="AE1065" s="126"/>
      <c r="AF1065" s="126"/>
      <c r="AG1065" s="126"/>
      <c r="AH1065" s="126"/>
      <c r="AI1065" s="126"/>
      <c r="AJ1065" s="126"/>
      <c r="AK1065" s="126"/>
      <c r="AL1065" s="126"/>
      <c r="AM1065" s="141"/>
      <c r="AN1065" s="141"/>
      <c r="AO1065" s="141"/>
      <c r="AP1065" s="141"/>
      <c r="AQ1065" s="126"/>
      <c r="AR1065" s="126"/>
      <c r="AS1065" s="126"/>
      <c r="AT1065" s="126"/>
      <c r="AU1065" s="126"/>
      <c r="AV1065" s="126"/>
      <c r="AW1065" s="126"/>
      <c r="AX1065" s="126"/>
      <c r="AY1065" s="126"/>
      <c r="AZ1065" s="126"/>
      <c r="BA1065" s="126"/>
      <c r="BB1065" s="126"/>
      <c r="BC1065" s="126"/>
      <c r="BD1065" s="126"/>
      <c r="BE1065" s="126"/>
      <c r="BF1065" s="126"/>
      <c r="BG1065" s="161"/>
      <c r="BH1065" s="3"/>
      <c r="BI1065" s="126"/>
      <c r="BJ1065" s="126"/>
    </row>
    <row r="1066" spans="1:62" x14ac:dyDescent="0.25">
      <c r="A1066" s="448" t="str">
        <f t="shared" si="741"/>
        <v>comment</v>
      </c>
      <c r="B1066" s="12" t="str">
        <f t="shared" si="735"/>
        <v>6001</v>
      </c>
      <c r="C1066" s="12" t="str">
        <f t="shared" si="736"/>
        <v>B00101</v>
      </c>
      <c r="D1066" s="109" t="str">
        <f>D1065</f>
        <v>SR807C6500</v>
      </c>
      <c r="E1066" s="92">
        <v>1</v>
      </c>
      <c r="F1066" s="50">
        <v>1</v>
      </c>
      <c r="G1066" s="50">
        <f t="shared" si="737"/>
        <v>3</v>
      </c>
      <c r="H1066" s="50">
        <f t="shared" si="726"/>
        <v>0</v>
      </c>
      <c r="I1066" s="50">
        <f t="shared" si="727"/>
        <v>610</v>
      </c>
      <c r="J1066" s="50">
        <f t="shared" si="728"/>
        <v>610</v>
      </c>
      <c r="K1066" s="50">
        <f t="shared" si="729"/>
        <v>0</v>
      </c>
      <c r="L1066" s="50">
        <f t="shared" si="730"/>
        <v>0</v>
      </c>
      <c r="M1066" s="162">
        <f t="shared" si="731"/>
        <v>0</v>
      </c>
      <c r="N1066" s="50">
        <f t="shared" si="732"/>
        <v>0</v>
      </c>
      <c r="O1066" s="50">
        <f t="shared" si="733"/>
        <v>10</v>
      </c>
      <c r="P1066" s="92">
        <f t="shared" si="738"/>
        <v>20180328</v>
      </c>
      <c r="Q1066" s="92" t="str">
        <f t="shared" si="739"/>
        <v>9999</v>
      </c>
      <c r="R1066" s="12" t="str">
        <f t="shared" si="740"/>
        <v>CZCE</v>
      </c>
      <c r="S1066" s="126">
        <f t="shared" si="734"/>
        <v>20180327</v>
      </c>
      <c r="T1066" s="126"/>
      <c r="U1066" s="38"/>
      <c r="V1066" s="38"/>
      <c r="W1066" s="126"/>
      <c r="X1066" s="126"/>
      <c r="Y1066" s="126"/>
      <c r="Z1066" s="126"/>
      <c r="AA1066" s="126"/>
      <c r="AB1066" s="126"/>
      <c r="AC1066" s="126"/>
      <c r="AD1066" s="126"/>
      <c r="AE1066" s="126"/>
      <c r="AF1066" s="126"/>
      <c r="AG1066" s="126"/>
      <c r="AH1066" s="126"/>
      <c r="AI1066" s="126"/>
      <c r="AJ1066" s="126"/>
      <c r="AK1066" s="126"/>
      <c r="AL1066" s="126"/>
      <c r="AM1066" s="141"/>
      <c r="AN1066" s="141"/>
      <c r="AO1066" s="141"/>
      <c r="AP1066" s="141"/>
      <c r="AQ1066" s="126"/>
      <c r="AR1066" s="126"/>
      <c r="AS1066" s="126"/>
      <c r="AT1066" s="126"/>
      <c r="AU1066" s="126"/>
      <c r="AV1066" s="126"/>
      <c r="AW1066" s="126"/>
      <c r="AX1066" s="126"/>
      <c r="AY1066" s="126"/>
      <c r="AZ1066" s="126"/>
      <c r="BA1066" s="126"/>
      <c r="BB1066" s="126"/>
      <c r="BC1066" s="126"/>
      <c r="BD1066" s="126"/>
      <c r="BE1066" s="126"/>
      <c r="BF1066" s="126"/>
      <c r="BG1066" s="161"/>
      <c r="BH1066" s="3"/>
      <c r="BI1066" s="126"/>
      <c r="BJ1066" s="126"/>
    </row>
    <row r="1067" spans="1:62" x14ac:dyDescent="0.25">
      <c r="A1067" s="448" t="str">
        <f t="shared" si="741"/>
        <v>comment</v>
      </c>
      <c r="B1067" s="12" t="str">
        <f t="shared" si="735"/>
        <v>6001</v>
      </c>
      <c r="C1067" s="12" t="str">
        <f t="shared" si="736"/>
        <v>B00101</v>
      </c>
      <c r="D1067" s="109" t="str">
        <f>D1065</f>
        <v>SR807C6500</v>
      </c>
      <c r="E1067" s="92">
        <v>3</v>
      </c>
      <c r="F1067" s="50">
        <v>0</v>
      </c>
      <c r="G1067" s="50">
        <f t="shared" si="737"/>
        <v>2</v>
      </c>
      <c r="H1067" s="50">
        <f t="shared" si="726"/>
        <v>0</v>
      </c>
      <c r="I1067" s="50">
        <f t="shared" si="727"/>
        <v>610</v>
      </c>
      <c r="J1067" s="50">
        <f t="shared" si="728"/>
        <v>610</v>
      </c>
      <c r="K1067" s="50">
        <f t="shared" si="729"/>
        <v>0</v>
      </c>
      <c r="L1067" s="50">
        <f t="shared" si="730"/>
        <v>0</v>
      </c>
      <c r="M1067" s="162">
        <f t="shared" si="731"/>
        <v>0</v>
      </c>
      <c r="N1067" s="50">
        <f t="shared" si="732"/>
        <v>0</v>
      </c>
      <c r="O1067" s="50">
        <f t="shared" si="733"/>
        <v>10</v>
      </c>
      <c r="P1067" s="92">
        <f t="shared" si="738"/>
        <v>20180328</v>
      </c>
      <c r="Q1067" s="92" t="str">
        <f t="shared" si="739"/>
        <v>9999</v>
      </c>
      <c r="R1067" s="12" t="str">
        <f t="shared" si="740"/>
        <v>CZCE</v>
      </c>
      <c r="S1067" s="126">
        <f t="shared" si="734"/>
        <v>20180327</v>
      </c>
      <c r="T1067" s="126"/>
      <c r="U1067" s="38"/>
      <c r="V1067" s="38"/>
      <c r="W1067" s="126"/>
      <c r="X1067" s="126"/>
      <c r="Y1067" s="126"/>
      <c r="Z1067" s="126"/>
      <c r="AA1067" s="126"/>
      <c r="AB1067" s="126"/>
      <c r="AC1067" s="126"/>
      <c r="AD1067" s="126"/>
      <c r="AE1067" s="126"/>
      <c r="AF1067" s="126"/>
      <c r="AG1067" s="126"/>
      <c r="AH1067" s="126"/>
      <c r="AI1067" s="126"/>
      <c r="AJ1067" s="126"/>
      <c r="AK1067" s="126"/>
      <c r="AL1067" s="126"/>
      <c r="AM1067" s="141"/>
      <c r="AN1067" s="141"/>
      <c r="AO1067" s="141"/>
      <c r="AP1067" s="141"/>
      <c r="AQ1067" s="126"/>
      <c r="AR1067" s="126"/>
      <c r="AS1067" s="126"/>
      <c r="AT1067" s="126"/>
      <c r="AU1067" s="126"/>
      <c r="AV1067" s="126"/>
      <c r="AW1067" s="126"/>
      <c r="AX1067" s="126"/>
      <c r="AY1067" s="126"/>
      <c r="AZ1067" s="126"/>
      <c r="BA1067" s="126"/>
      <c r="BB1067" s="126"/>
      <c r="BC1067" s="126"/>
      <c r="BD1067" s="126"/>
      <c r="BE1067" s="126"/>
      <c r="BF1067" s="126"/>
      <c r="BG1067" s="161"/>
      <c r="BH1067" s="3"/>
      <c r="BI1067" s="126"/>
      <c r="BJ1067" s="126"/>
    </row>
    <row r="1068" spans="1:62" x14ac:dyDescent="0.25">
      <c r="A1068" s="448" t="str">
        <f t="shared" si="741"/>
        <v>comment</v>
      </c>
      <c r="B1068" s="12" t="str">
        <f t="shared" si="735"/>
        <v>6001</v>
      </c>
      <c r="C1068" s="12" t="str">
        <f t="shared" si="736"/>
        <v>B00101</v>
      </c>
      <c r="D1068" s="109" t="str">
        <f>D1065</f>
        <v>SR807C6500</v>
      </c>
      <c r="E1068" s="92">
        <v>3</v>
      </c>
      <c r="F1068" s="50">
        <v>1</v>
      </c>
      <c r="G1068" s="50">
        <f t="shared" si="737"/>
        <v>3</v>
      </c>
      <c r="H1068" s="50">
        <f t="shared" si="726"/>
        <v>0</v>
      </c>
      <c r="I1068" s="50">
        <f t="shared" si="727"/>
        <v>610</v>
      </c>
      <c r="J1068" s="50">
        <f t="shared" si="728"/>
        <v>610</v>
      </c>
      <c r="K1068" s="50">
        <f t="shared" si="729"/>
        <v>0</v>
      </c>
      <c r="L1068" s="50">
        <f t="shared" si="730"/>
        <v>0</v>
      </c>
      <c r="M1068" s="162">
        <f t="shared" si="731"/>
        <v>0</v>
      </c>
      <c r="N1068" s="50">
        <f t="shared" si="732"/>
        <v>0</v>
      </c>
      <c r="O1068" s="50">
        <f t="shared" si="733"/>
        <v>10</v>
      </c>
      <c r="P1068" s="92">
        <f t="shared" si="738"/>
        <v>20180328</v>
      </c>
      <c r="Q1068" s="92" t="str">
        <f t="shared" si="739"/>
        <v>9999</v>
      </c>
      <c r="R1068" s="12" t="str">
        <f t="shared" si="740"/>
        <v>CZCE</v>
      </c>
      <c r="S1068" s="126">
        <f t="shared" si="734"/>
        <v>20180327</v>
      </c>
      <c r="T1068" s="126"/>
      <c r="U1068" s="38"/>
      <c r="V1068" s="38"/>
      <c r="W1068" s="126"/>
      <c r="X1068" s="126"/>
      <c r="Y1068" s="126"/>
      <c r="Z1068" s="126"/>
      <c r="AA1068" s="126"/>
      <c r="AB1068" s="126"/>
      <c r="AC1068" s="126"/>
      <c r="AD1068" s="126"/>
      <c r="AE1068" s="126"/>
      <c r="AF1068" s="126"/>
      <c r="AG1068" s="126"/>
      <c r="AH1068" s="126"/>
      <c r="AI1068" s="126"/>
      <c r="AJ1068" s="126"/>
      <c r="AK1068" s="126"/>
      <c r="AL1068" s="126"/>
      <c r="AM1068" s="141"/>
      <c r="AN1068" s="141"/>
      <c r="AO1068" s="141"/>
      <c r="AP1068" s="141"/>
      <c r="AQ1068" s="126"/>
      <c r="AR1068" s="126"/>
      <c r="AS1068" s="126"/>
      <c r="AT1068" s="126"/>
      <c r="AU1068" s="126"/>
      <c r="AV1068" s="126"/>
      <c r="AW1068" s="126"/>
      <c r="AX1068" s="126"/>
      <c r="AY1068" s="126"/>
      <c r="AZ1068" s="126"/>
      <c r="BA1068" s="126"/>
      <c r="BB1068" s="126"/>
      <c r="BC1068" s="126"/>
      <c r="BD1068" s="126"/>
      <c r="BE1068" s="126"/>
      <c r="BF1068" s="126"/>
      <c r="BG1068" s="161"/>
      <c r="BH1068" s="3"/>
      <c r="BI1068" s="126"/>
      <c r="BJ1068" s="126"/>
    </row>
    <row r="1069" spans="1:62" x14ac:dyDescent="0.25">
      <c r="A1069" s="448" t="str">
        <f t="shared" si="741"/>
        <v>comment</v>
      </c>
      <c r="B1069" s="12" t="str">
        <f t="shared" si="735"/>
        <v>6001</v>
      </c>
      <c r="C1069" s="12" t="str">
        <f t="shared" si="736"/>
        <v>B00101</v>
      </c>
      <c r="D1069" s="109" t="str">
        <f>G1035</f>
        <v>SR807P6500</v>
      </c>
      <c r="E1069" s="92">
        <v>1</v>
      </c>
      <c r="F1069" s="50">
        <v>0</v>
      </c>
      <c r="G1069" s="50">
        <f t="shared" si="737"/>
        <v>2</v>
      </c>
      <c r="H1069" s="50">
        <f t="shared" si="726"/>
        <v>0</v>
      </c>
      <c r="I1069" s="50">
        <f t="shared" si="727"/>
        <v>615</v>
      </c>
      <c r="J1069" s="50">
        <f t="shared" si="728"/>
        <v>615</v>
      </c>
      <c r="K1069" s="50">
        <f t="shared" si="729"/>
        <v>0</v>
      </c>
      <c r="L1069" s="50">
        <f t="shared" si="730"/>
        <v>0</v>
      </c>
      <c r="M1069" s="162">
        <f t="shared" si="731"/>
        <v>0</v>
      </c>
      <c r="N1069" s="50">
        <f t="shared" si="732"/>
        <v>0</v>
      </c>
      <c r="O1069" s="50">
        <f t="shared" si="733"/>
        <v>10</v>
      </c>
      <c r="P1069" s="92">
        <f t="shared" si="738"/>
        <v>20180328</v>
      </c>
      <c r="Q1069" s="92" t="str">
        <f t="shared" si="739"/>
        <v>9999</v>
      </c>
      <c r="R1069" s="12" t="str">
        <f t="shared" si="740"/>
        <v>CZCE</v>
      </c>
      <c r="S1069" s="126">
        <f t="shared" si="734"/>
        <v>20180327</v>
      </c>
      <c r="T1069" s="126"/>
      <c r="U1069" s="38"/>
      <c r="V1069" s="38"/>
      <c r="W1069" s="126"/>
      <c r="X1069" s="126"/>
      <c r="Y1069" s="126"/>
      <c r="Z1069" s="126"/>
      <c r="AA1069" s="126"/>
      <c r="AB1069" s="126"/>
      <c r="AC1069" s="126"/>
      <c r="AD1069" s="126"/>
      <c r="AE1069" s="126"/>
      <c r="AF1069" s="126"/>
      <c r="AG1069" s="126"/>
      <c r="AH1069" s="126"/>
      <c r="AI1069" s="126"/>
      <c r="AJ1069" s="126"/>
      <c r="AK1069" s="126"/>
      <c r="AL1069" s="126"/>
      <c r="AM1069" s="141"/>
      <c r="AN1069" s="141"/>
      <c r="AO1069" s="141"/>
      <c r="AP1069" s="141"/>
      <c r="AQ1069" s="126"/>
      <c r="AR1069" s="126"/>
      <c r="AS1069" s="126"/>
      <c r="AT1069" s="126"/>
      <c r="AU1069" s="126"/>
      <c r="AV1069" s="126"/>
      <c r="AW1069" s="126"/>
      <c r="AX1069" s="126"/>
      <c r="AY1069" s="126"/>
      <c r="AZ1069" s="126"/>
      <c r="BA1069" s="126"/>
      <c r="BB1069" s="126"/>
      <c r="BC1069" s="126"/>
      <c r="BD1069" s="126"/>
      <c r="BE1069" s="126"/>
      <c r="BF1069" s="126"/>
      <c r="BG1069" s="161"/>
      <c r="BH1069" s="3"/>
      <c r="BI1069" s="126"/>
      <c r="BJ1069" s="126"/>
    </row>
    <row r="1070" spans="1:62" x14ac:dyDescent="0.25">
      <c r="A1070" s="448" t="str">
        <f t="shared" si="741"/>
        <v>comment</v>
      </c>
      <c r="B1070" s="12" t="str">
        <f t="shared" si="735"/>
        <v>6001</v>
      </c>
      <c r="C1070" s="12" t="str">
        <f t="shared" si="736"/>
        <v>B00101</v>
      </c>
      <c r="D1070" s="109" t="str">
        <f>D1069</f>
        <v>SR807P6500</v>
      </c>
      <c r="E1070" s="92">
        <v>1</v>
      </c>
      <c r="F1070" s="50">
        <v>1</v>
      </c>
      <c r="G1070" s="50">
        <f t="shared" si="737"/>
        <v>3</v>
      </c>
      <c r="H1070" s="50">
        <f t="shared" si="726"/>
        <v>0</v>
      </c>
      <c r="I1070" s="50">
        <f t="shared" si="727"/>
        <v>615</v>
      </c>
      <c r="J1070" s="50">
        <f t="shared" si="728"/>
        <v>615</v>
      </c>
      <c r="K1070" s="50">
        <f t="shared" si="729"/>
        <v>0</v>
      </c>
      <c r="L1070" s="50">
        <f t="shared" si="730"/>
        <v>0</v>
      </c>
      <c r="M1070" s="162">
        <f t="shared" si="731"/>
        <v>0</v>
      </c>
      <c r="N1070" s="50">
        <f t="shared" si="732"/>
        <v>0</v>
      </c>
      <c r="O1070" s="50">
        <f t="shared" si="733"/>
        <v>10</v>
      </c>
      <c r="P1070" s="92">
        <f t="shared" si="738"/>
        <v>20180328</v>
      </c>
      <c r="Q1070" s="92" t="str">
        <f t="shared" si="739"/>
        <v>9999</v>
      </c>
      <c r="R1070" s="12" t="str">
        <f t="shared" si="740"/>
        <v>CZCE</v>
      </c>
      <c r="S1070" s="126">
        <f t="shared" si="734"/>
        <v>20180327</v>
      </c>
      <c r="T1070" s="126"/>
      <c r="U1070" s="38"/>
      <c r="V1070" s="38"/>
      <c r="W1070" s="126"/>
      <c r="X1070" s="126"/>
      <c r="Y1070" s="126"/>
      <c r="Z1070" s="126"/>
      <c r="AA1070" s="126"/>
      <c r="AB1070" s="126"/>
      <c r="AC1070" s="126"/>
      <c r="AD1070" s="126"/>
      <c r="AE1070" s="126"/>
      <c r="AF1070" s="126"/>
      <c r="AG1070" s="126"/>
      <c r="AH1070" s="126"/>
      <c r="AI1070" s="126"/>
      <c r="AJ1070" s="126"/>
      <c r="AK1070" s="126"/>
      <c r="AL1070" s="126"/>
      <c r="AM1070" s="141"/>
      <c r="AN1070" s="141"/>
      <c r="AO1070" s="141"/>
      <c r="AP1070" s="141"/>
      <c r="AQ1070" s="126"/>
      <c r="AR1070" s="126"/>
      <c r="AS1070" s="126"/>
      <c r="AT1070" s="126"/>
      <c r="AU1070" s="126"/>
      <c r="AV1070" s="126"/>
      <c r="AW1070" s="126"/>
      <c r="AX1070" s="126"/>
      <c r="AY1070" s="126"/>
      <c r="AZ1070" s="126"/>
      <c r="BA1070" s="126"/>
      <c r="BB1070" s="126"/>
      <c r="BC1070" s="126"/>
      <c r="BD1070" s="126"/>
      <c r="BE1070" s="126"/>
      <c r="BF1070" s="126"/>
      <c r="BG1070" s="161"/>
      <c r="BH1070" s="3"/>
      <c r="BI1070" s="126"/>
      <c r="BJ1070" s="126"/>
    </row>
    <row r="1071" spans="1:62" x14ac:dyDescent="0.25">
      <c r="A1071" s="448" t="str">
        <f t="shared" si="741"/>
        <v>comment</v>
      </c>
      <c r="B1071" s="12" t="str">
        <f t="shared" si="735"/>
        <v>6001</v>
      </c>
      <c r="C1071" s="12" t="str">
        <f t="shared" si="736"/>
        <v>B00101</v>
      </c>
      <c r="D1071" s="109" t="str">
        <f>D1069</f>
        <v>SR807P6500</v>
      </c>
      <c r="E1071" s="92">
        <v>3</v>
      </c>
      <c r="F1071" s="50">
        <v>0</v>
      </c>
      <c r="G1071" s="50">
        <f t="shared" si="737"/>
        <v>2</v>
      </c>
      <c r="H1071" s="50">
        <f t="shared" si="726"/>
        <v>0</v>
      </c>
      <c r="I1071" s="50">
        <f t="shared" si="727"/>
        <v>615</v>
      </c>
      <c r="J1071" s="50">
        <f t="shared" si="728"/>
        <v>615</v>
      </c>
      <c r="K1071" s="50">
        <f t="shared" si="729"/>
        <v>0</v>
      </c>
      <c r="L1071" s="50">
        <f t="shared" si="730"/>
        <v>0</v>
      </c>
      <c r="M1071" s="162">
        <f t="shared" si="731"/>
        <v>0</v>
      </c>
      <c r="N1071" s="50">
        <f t="shared" si="732"/>
        <v>0</v>
      </c>
      <c r="O1071" s="50">
        <f t="shared" si="733"/>
        <v>10</v>
      </c>
      <c r="P1071" s="92">
        <f t="shared" si="738"/>
        <v>20180328</v>
      </c>
      <c r="Q1071" s="92" t="str">
        <f t="shared" si="739"/>
        <v>9999</v>
      </c>
      <c r="R1071" s="12" t="str">
        <f t="shared" si="740"/>
        <v>CZCE</v>
      </c>
      <c r="S1071" s="126">
        <f t="shared" si="734"/>
        <v>20180327</v>
      </c>
      <c r="T1071" s="126"/>
      <c r="U1071" s="38"/>
      <c r="V1071" s="38"/>
      <c r="W1071" s="126"/>
      <c r="X1071" s="126"/>
      <c r="Y1071" s="126"/>
      <c r="Z1071" s="126"/>
      <c r="AA1071" s="126"/>
      <c r="AB1071" s="126"/>
      <c r="AC1071" s="126"/>
      <c r="AD1071" s="126"/>
      <c r="AE1071" s="126"/>
      <c r="AF1071" s="126"/>
      <c r="AG1071" s="126"/>
      <c r="AH1071" s="126"/>
      <c r="AI1071" s="126"/>
      <c r="AJ1071" s="126"/>
      <c r="AK1071" s="126"/>
      <c r="AL1071" s="126"/>
      <c r="AM1071" s="141"/>
      <c r="AN1071" s="141"/>
      <c r="AO1071" s="141"/>
      <c r="AP1071" s="141"/>
      <c r="AQ1071" s="126"/>
      <c r="AR1071" s="126"/>
      <c r="AS1071" s="126"/>
      <c r="AT1071" s="126"/>
      <c r="AU1071" s="126"/>
      <c r="AV1071" s="126"/>
      <c r="AW1071" s="126"/>
      <c r="AX1071" s="126"/>
      <c r="AY1071" s="126"/>
      <c r="AZ1071" s="126"/>
      <c r="BA1071" s="126"/>
      <c r="BB1071" s="126"/>
      <c r="BC1071" s="126"/>
      <c r="BD1071" s="126"/>
      <c r="BE1071" s="126"/>
      <c r="BF1071" s="126"/>
      <c r="BG1071" s="161"/>
      <c r="BH1071" s="3"/>
      <c r="BI1071" s="126"/>
      <c r="BJ1071" s="126"/>
    </row>
    <row r="1072" spans="1:62" x14ac:dyDescent="0.25">
      <c r="A1072" s="448" t="str">
        <f t="shared" si="741"/>
        <v>comment</v>
      </c>
      <c r="B1072" s="12" t="str">
        <f t="shared" si="735"/>
        <v>6001</v>
      </c>
      <c r="C1072" s="12" t="str">
        <f t="shared" si="736"/>
        <v>B00101</v>
      </c>
      <c r="D1072" s="109" t="str">
        <f>D1069</f>
        <v>SR807P6500</v>
      </c>
      <c r="E1072" s="92">
        <v>3</v>
      </c>
      <c r="F1072" s="50">
        <v>1</v>
      </c>
      <c r="G1072" s="50">
        <f t="shared" si="737"/>
        <v>3</v>
      </c>
      <c r="H1072" s="50">
        <f t="shared" si="726"/>
        <v>0</v>
      </c>
      <c r="I1072" s="50">
        <f t="shared" si="727"/>
        <v>615</v>
      </c>
      <c r="J1072" s="50">
        <f t="shared" si="728"/>
        <v>615</v>
      </c>
      <c r="K1072" s="50">
        <f t="shared" si="729"/>
        <v>0</v>
      </c>
      <c r="L1072" s="50">
        <f t="shared" si="730"/>
        <v>0</v>
      </c>
      <c r="M1072" s="162">
        <f t="shared" si="731"/>
        <v>0</v>
      </c>
      <c r="N1072" s="50">
        <f t="shared" si="732"/>
        <v>0</v>
      </c>
      <c r="O1072" s="50">
        <f t="shared" si="733"/>
        <v>10</v>
      </c>
      <c r="P1072" s="92">
        <f t="shared" si="738"/>
        <v>20180328</v>
      </c>
      <c r="Q1072" s="92" t="str">
        <f t="shared" si="739"/>
        <v>9999</v>
      </c>
      <c r="R1072" s="12" t="str">
        <f t="shared" si="740"/>
        <v>CZCE</v>
      </c>
      <c r="S1072" s="126">
        <f t="shared" si="734"/>
        <v>20180327</v>
      </c>
      <c r="T1072" s="126"/>
      <c r="U1072" s="38"/>
      <c r="V1072" s="38"/>
      <c r="W1072" s="126"/>
      <c r="X1072" s="126"/>
      <c r="Y1072" s="126"/>
      <c r="Z1072" s="126"/>
      <c r="AA1072" s="126"/>
      <c r="AB1072" s="126"/>
      <c r="AC1072" s="126"/>
      <c r="AD1072" s="126"/>
      <c r="AE1072" s="126"/>
      <c r="AF1072" s="126"/>
      <c r="AG1072" s="126"/>
      <c r="AH1072" s="126"/>
      <c r="AI1072" s="126"/>
      <c r="AJ1072" s="126"/>
      <c r="AK1072" s="126"/>
      <c r="AL1072" s="126"/>
      <c r="AM1072" s="141"/>
      <c r="AN1072" s="141"/>
      <c r="AO1072" s="141"/>
      <c r="AP1072" s="141"/>
      <c r="AQ1072" s="126"/>
      <c r="AR1072" s="126"/>
      <c r="AS1072" s="126"/>
      <c r="AT1072" s="126"/>
      <c r="AU1072" s="126"/>
      <c r="AV1072" s="126"/>
      <c r="AW1072" s="126"/>
      <c r="AX1072" s="126"/>
      <c r="AY1072" s="126"/>
      <c r="AZ1072" s="126"/>
      <c r="BA1072" s="126"/>
      <c r="BB1072" s="126"/>
      <c r="BC1072" s="126"/>
      <c r="BD1072" s="126"/>
      <c r="BE1072" s="126"/>
      <c r="BF1072" s="126"/>
      <c r="BG1072" s="161"/>
      <c r="BH1072" s="3"/>
      <c r="BI1072" s="126"/>
      <c r="BJ1072" s="126"/>
    </row>
    <row r="1073" spans="1:68" x14ac:dyDescent="0.25">
      <c r="A1073" s="448" t="str">
        <f t="shared" si="741"/>
        <v>comment</v>
      </c>
      <c r="B1073" s="12" t="str">
        <f t="shared" si="735"/>
        <v>6001</v>
      </c>
      <c r="C1073" s="12" t="str">
        <f t="shared" si="736"/>
        <v>B00101</v>
      </c>
      <c r="D1073" s="109" t="str">
        <f>G1038</f>
        <v>SR807P6400</v>
      </c>
      <c r="E1073" s="92">
        <v>1</v>
      </c>
      <c r="F1073" s="50">
        <v>0</v>
      </c>
      <c r="G1073" s="50">
        <f t="shared" si="737"/>
        <v>2</v>
      </c>
      <c r="H1073" s="50">
        <f t="shared" si="726"/>
        <v>0</v>
      </c>
      <c r="I1073" s="50">
        <f t="shared" si="727"/>
        <v>620</v>
      </c>
      <c r="J1073" s="50">
        <f t="shared" si="728"/>
        <v>620</v>
      </c>
      <c r="K1073" s="50">
        <f t="shared" si="729"/>
        <v>0</v>
      </c>
      <c r="L1073" s="50">
        <f t="shared" si="730"/>
        <v>0</v>
      </c>
      <c r="M1073" s="162">
        <f t="shared" si="731"/>
        <v>0</v>
      </c>
      <c r="N1073" s="50">
        <f t="shared" si="732"/>
        <v>0</v>
      </c>
      <c r="O1073" s="50">
        <f t="shared" si="733"/>
        <v>10</v>
      </c>
      <c r="P1073" s="92">
        <f t="shared" si="738"/>
        <v>20180328</v>
      </c>
      <c r="Q1073" s="92" t="str">
        <f t="shared" si="739"/>
        <v>9999</v>
      </c>
      <c r="R1073" s="12" t="str">
        <f t="shared" si="740"/>
        <v>CZCE</v>
      </c>
      <c r="S1073" s="126">
        <f t="shared" si="734"/>
        <v>20180327</v>
      </c>
      <c r="T1073" s="126"/>
      <c r="U1073" s="38"/>
      <c r="V1073" s="38"/>
      <c r="W1073" s="126"/>
      <c r="X1073" s="126"/>
      <c r="Y1073" s="126"/>
      <c r="Z1073" s="126"/>
      <c r="AA1073" s="126"/>
      <c r="AB1073" s="126"/>
      <c r="AC1073" s="126"/>
      <c r="AD1073" s="126"/>
      <c r="AE1073" s="126"/>
      <c r="AF1073" s="126"/>
      <c r="AG1073" s="126"/>
      <c r="AH1073" s="126"/>
      <c r="AI1073" s="126"/>
      <c r="AJ1073" s="126"/>
      <c r="AK1073" s="126"/>
      <c r="AL1073" s="126"/>
      <c r="AM1073" s="141"/>
      <c r="AN1073" s="141"/>
      <c r="AO1073" s="141"/>
      <c r="AP1073" s="141"/>
      <c r="AQ1073" s="126"/>
      <c r="AR1073" s="126"/>
      <c r="AS1073" s="126"/>
      <c r="AT1073" s="126"/>
      <c r="AU1073" s="126"/>
      <c r="AV1073" s="126"/>
      <c r="AW1073" s="126"/>
      <c r="AX1073" s="126"/>
      <c r="AY1073" s="126"/>
      <c r="AZ1073" s="126"/>
      <c r="BA1073" s="126"/>
      <c r="BB1073" s="126"/>
      <c r="BC1073" s="126"/>
      <c r="BD1073" s="126"/>
      <c r="BE1073" s="126"/>
      <c r="BF1073" s="126"/>
      <c r="BG1073" s="161"/>
      <c r="BH1073" s="3"/>
      <c r="BI1073" s="126"/>
      <c r="BJ1073" s="126"/>
    </row>
    <row r="1074" spans="1:68" x14ac:dyDescent="0.25">
      <c r="A1074" s="448" t="str">
        <f t="shared" si="741"/>
        <v>comment</v>
      </c>
      <c r="B1074" s="12" t="str">
        <f t="shared" si="735"/>
        <v>6001</v>
      </c>
      <c r="C1074" s="12" t="str">
        <f t="shared" si="736"/>
        <v>B00101</v>
      </c>
      <c r="D1074" s="109" t="str">
        <f>D1073</f>
        <v>SR807P6400</v>
      </c>
      <c r="E1074" s="92">
        <v>1</v>
      </c>
      <c r="F1074" s="50">
        <v>1</v>
      </c>
      <c r="G1074" s="50">
        <f t="shared" si="737"/>
        <v>3</v>
      </c>
      <c r="H1074" s="50">
        <f t="shared" si="726"/>
        <v>0</v>
      </c>
      <c r="I1074" s="50">
        <f t="shared" si="727"/>
        <v>620</v>
      </c>
      <c r="J1074" s="50">
        <f t="shared" si="728"/>
        <v>620</v>
      </c>
      <c r="K1074" s="50">
        <f t="shared" si="729"/>
        <v>0</v>
      </c>
      <c r="L1074" s="50">
        <f t="shared" si="730"/>
        <v>0</v>
      </c>
      <c r="M1074" s="162">
        <f t="shared" si="731"/>
        <v>0</v>
      </c>
      <c r="N1074" s="50">
        <f t="shared" si="732"/>
        <v>0</v>
      </c>
      <c r="O1074" s="50">
        <f t="shared" si="733"/>
        <v>10</v>
      </c>
      <c r="P1074" s="92">
        <f t="shared" si="738"/>
        <v>20180328</v>
      </c>
      <c r="Q1074" s="92" t="str">
        <f t="shared" si="739"/>
        <v>9999</v>
      </c>
      <c r="R1074" s="12" t="str">
        <f t="shared" si="740"/>
        <v>CZCE</v>
      </c>
      <c r="S1074" s="126">
        <f t="shared" si="734"/>
        <v>20180327</v>
      </c>
      <c r="T1074" s="126"/>
      <c r="U1074" s="38"/>
      <c r="V1074" s="38"/>
      <c r="W1074" s="126"/>
      <c r="X1074" s="126"/>
      <c r="Y1074" s="126"/>
      <c r="Z1074" s="126"/>
      <c r="AA1074" s="126"/>
      <c r="AB1074" s="126"/>
      <c r="AC1074" s="126"/>
      <c r="AD1074" s="126"/>
      <c r="AE1074" s="126"/>
      <c r="AF1074" s="126"/>
      <c r="AG1074" s="126"/>
      <c r="AH1074" s="126"/>
      <c r="AI1074" s="126"/>
      <c r="AJ1074" s="126"/>
      <c r="AK1074" s="126"/>
      <c r="AL1074" s="126"/>
      <c r="AM1074" s="141"/>
      <c r="AN1074" s="141"/>
      <c r="AO1074" s="141"/>
      <c r="AP1074" s="141"/>
      <c r="AQ1074" s="126"/>
      <c r="AR1074" s="126"/>
      <c r="AS1074" s="126"/>
      <c r="AT1074" s="126"/>
      <c r="AU1074" s="126"/>
      <c r="AV1074" s="126"/>
      <c r="AW1074" s="126"/>
      <c r="AX1074" s="126"/>
      <c r="AY1074" s="126"/>
      <c r="AZ1074" s="126"/>
      <c r="BA1074" s="126"/>
      <c r="BB1074" s="126"/>
      <c r="BC1074" s="126"/>
      <c r="BD1074" s="126"/>
      <c r="BE1074" s="126"/>
      <c r="BF1074" s="126"/>
      <c r="BG1074" s="161"/>
      <c r="BH1074" s="3"/>
      <c r="BI1074" s="126"/>
      <c r="BJ1074" s="126"/>
    </row>
    <row r="1075" spans="1:68" x14ac:dyDescent="0.25">
      <c r="A1075" s="448" t="str">
        <f t="shared" si="741"/>
        <v>comment</v>
      </c>
      <c r="B1075" s="12" t="str">
        <f t="shared" si="735"/>
        <v>6001</v>
      </c>
      <c r="C1075" s="12" t="str">
        <f t="shared" si="736"/>
        <v>B00101</v>
      </c>
      <c r="D1075" s="109" t="str">
        <f>D1073</f>
        <v>SR807P6400</v>
      </c>
      <c r="E1075" s="92">
        <v>3</v>
      </c>
      <c r="F1075" s="50">
        <v>0</v>
      </c>
      <c r="G1075" s="50">
        <f t="shared" si="737"/>
        <v>2</v>
      </c>
      <c r="H1075" s="50">
        <f t="shared" si="726"/>
        <v>0</v>
      </c>
      <c r="I1075" s="50">
        <f t="shared" si="727"/>
        <v>620</v>
      </c>
      <c r="J1075" s="50">
        <f t="shared" si="728"/>
        <v>620</v>
      </c>
      <c r="K1075" s="50">
        <f t="shared" si="729"/>
        <v>0</v>
      </c>
      <c r="L1075" s="50">
        <f t="shared" si="730"/>
        <v>0</v>
      </c>
      <c r="M1075" s="162">
        <f t="shared" si="731"/>
        <v>0</v>
      </c>
      <c r="N1075" s="50">
        <f t="shared" si="732"/>
        <v>0</v>
      </c>
      <c r="O1075" s="50">
        <f t="shared" si="733"/>
        <v>10</v>
      </c>
      <c r="P1075" s="92">
        <f t="shared" si="738"/>
        <v>20180328</v>
      </c>
      <c r="Q1075" s="92" t="str">
        <f t="shared" si="739"/>
        <v>9999</v>
      </c>
      <c r="R1075" s="12" t="str">
        <f t="shared" si="740"/>
        <v>CZCE</v>
      </c>
      <c r="S1075" s="126">
        <f t="shared" si="734"/>
        <v>20180327</v>
      </c>
      <c r="T1075" s="126"/>
      <c r="U1075" s="38"/>
      <c r="V1075" s="38"/>
      <c r="W1075" s="126"/>
      <c r="X1075" s="126"/>
      <c r="Y1075" s="126"/>
      <c r="Z1075" s="126"/>
      <c r="AA1075" s="126"/>
      <c r="AB1075" s="126"/>
      <c r="AC1075" s="126"/>
      <c r="AD1075" s="126"/>
      <c r="AE1075" s="126"/>
      <c r="AF1075" s="126"/>
      <c r="AG1075" s="126"/>
      <c r="AH1075" s="126"/>
      <c r="AI1075" s="126"/>
      <c r="AJ1075" s="126"/>
      <c r="AK1075" s="126"/>
      <c r="AL1075" s="126"/>
      <c r="AM1075" s="141"/>
      <c r="AN1075" s="141"/>
      <c r="AO1075" s="141"/>
      <c r="AP1075" s="141"/>
      <c r="AQ1075" s="126"/>
      <c r="AR1075" s="126"/>
      <c r="AS1075" s="126"/>
      <c r="AT1075" s="126"/>
      <c r="AU1075" s="126"/>
      <c r="AV1075" s="126"/>
      <c r="AW1075" s="126"/>
      <c r="AX1075" s="126"/>
      <c r="AY1075" s="126"/>
      <c r="AZ1075" s="126"/>
      <c r="BA1075" s="126"/>
      <c r="BB1075" s="126"/>
      <c r="BC1075" s="126"/>
      <c r="BD1075" s="126"/>
      <c r="BE1075" s="126"/>
      <c r="BF1075" s="126"/>
      <c r="BG1075" s="161"/>
      <c r="BH1075" s="3"/>
      <c r="BI1075" s="126"/>
      <c r="BJ1075" s="126"/>
    </row>
    <row r="1076" spans="1:68" x14ac:dyDescent="0.25">
      <c r="A1076" s="448" t="str">
        <f t="shared" si="741"/>
        <v>comment</v>
      </c>
      <c r="B1076" s="12" t="str">
        <f t="shared" si="735"/>
        <v>6001</v>
      </c>
      <c r="C1076" s="12" t="str">
        <f t="shared" si="736"/>
        <v>B00101</v>
      </c>
      <c r="D1076" s="109" t="str">
        <f>D1073</f>
        <v>SR807P6400</v>
      </c>
      <c r="E1076" s="92">
        <v>3</v>
      </c>
      <c r="F1076" s="50">
        <v>1</v>
      </c>
      <c r="G1076" s="50">
        <f t="shared" si="737"/>
        <v>3</v>
      </c>
      <c r="H1076" s="50">
        <f t="shared" si="726"/>
        <v>0</v>
      </c>
      <c r="I1076" s="50">
        <f t="shared" si="727"/>
        <v>620</v>
      </c>
      <c r="J1076" s="50">
        <f t="shared" si="728"/>
        <v>620</v>
      </c>
      <c r="K1076" s="50">
        <f t="shared" si="729"/>
        <v>0</v>
      </c>
      <c r="L1076" s="50">
        <f t="shared" si="730"/>
        <v>0</v>
      </c>
      <c r="M1076" s="162">
        <f t="shared" si="731"/>
        <v>0</v>
      </c>
      <c r="N1076" s="50">
        <f t="shared" si="732"/>
        <v>0</v>
      </c>
      <c r="O1076" s="50">
        <f t="shared" si="733"/>
        <v>10</v>
      </c>
      <c r="P1076" s="92">
        <f t="shared" si="738"/>
        <v>20180328</v>
      </c>
      <c r="Q1076" s="92" t="str">
        <f t="shared" si="739"/>
        <v>9999</v>
      </c>
      <c r="R1076" s="12" t="str">
        <f t="shared" si="740"/>
        <v>CZCE</v>
      </c>
      <c r="S1076" s="126">
        <f t="shared" si="734"/>
        <v>20180327</v>
      </c>
      <c r="T1076" s="126"/>
      <c r="U1076" s="38"/>
      <c r="V1076" s="38"/>
      <c r="W1076" s="126"/>
      <c r="X1076" s="126"/>
      <c r="Y1076" s="126"/>
      <c r="Z1076" s="126"/>
      <c r="AA1076" s="126"/>
      <c r="AB1076" s="126"/>
      <c r="AC1076" s="126"/>
      <c r="AD1076" s="126"/>
      <c r="AE1076" s="126"/>
      <c r="AF1076" s="126"/>
      <c r="AG1076" s="126"/>
      <c r="AH1076" s="126"/>
      <c r="AI1076" s="126"/>
      <c r="AJ1076" s="126"/>
      <c r="AK1076" s="126"/>
      <c r="AL1076" s="126"/>
      <c r="AM1076" s="141"/>
      <c r="AN1076" s="141"/>
      <c r="AO1076" s="141"/>
      <c r="AP1076" s="141"/>
      <c r="AQ1076" s="126"/>
      <c r="AR1076" s="126"/>
      <c r="AS1076" s="126"/>
      <c r="AT1076" s="126"/>
      <c r="AU1076" s="126"/>
      <c r="AV1076" s="126"/>
      <c r="AW1076" s="126"/>
      <c r="AX1076" s="126"/>
      <c r="AY1076" s="126"/>
      <c r="AZ1076" s="126"/>
      <c r="BA1076" s="126"/>
      <c r="BB1076" s="126"/>
      <c r="BC1076" s="126"/>
      <c r="BD1076" s="126"/>
      <c r="BE1076" s="126"/>
      <c r="BF1076" s="126"/>
      <c r="BG1076" s="161"/>
      <c r="BH1076" s="3"/>
      <c r="BI1076" s="126"/>
      <c r="BJ1076" s="126"/>
    </row>
    <row r="1078" spans="1:68" x14ac:dyDescent="0.25">
      <c r="A1078" t="s">
        <v>173</v>
      </c>
      <c r="B1078" t="s">
        <v>714</v>
      </c>
    </row>
    <row r="1079" spans="1:68" x14ac:dyDescent="0.25">
      <c r="A1079" s="57" t="s">
        <v>124</v>
      </c>
      <c r="B1079" s="57" t="s">
        <v>980</v>
      </c>
    </row>
    <row r="1080" spans="1:68" x14ac:dyDescent="0.25">
      <c r="A1080" s="57" t="s">
        <v>306</v>
      </c>
      <c r="B1080" s="731" t="s">
        <v>713</v>
      </c>
      <c r="C1080" s="721"/>
      <c r="D1080" s="721"/>
      <c r="E1080" s="721"/>
      <c r="F1080" s="721"/>
      <c r="G1080" s="721"/>
      <c r="H1080" s="721"/>
      <c r="I1080" s="721"/>
      <c r="J1080" s="721"/>
      <c r="K1080" s="721"/>
      <c r="L1080" s="721"/>
      <c r="M1080" s="721"/>
      <c r="N1080" s="721"/>
      <c r="O1080" s="721"/>
      <c r="P1080" s="721"/>
      <c r="Q1080" s="721"/>
      <c r="R1080" s="721"/>
      <c r="S1080" s="721"/>
      <c r="T1080" s="721"/>
      <c r="U1080" s="721"/>
      <c r="V1080" s="721"/>
      <c r="W1080" s="721"/>
      <c r="X1080" s="721"/>
      <c r="Y1080" s="721"/>
      <c r="Z1080" s="721"/>
      <c r="AA1080" s="721"/>
      <c r="AB1080" s="721"/>
      <c r="AC1080" s="721"/>
      <c r="AD1080" s="721"/>
      <c r="AE1080" s="721"/>
      <c r="AF1080" s="721"/>
      <c r="AG1080" s="721"/>
      <c r="AH1080" s="721"/>
      <c r="AI1080" s="721"/>
      <c r="AJ1080" s="721"/>
      <c r="AK1080" s="721"/>
      <c r="AL1080" s="721"/>
      <c r="AM1080" s="721"/>
      <c r="AN1080" s="721"/>
      <c r="AO1080" s="721"/>
      <c r="AP1080" s="721"/>
      <c r="AQ1080" s="721"/>
    </row>
    <row r="1081" spans="1:68" x14ac:dyDescent="0.25">
      <c r="A1081" t="s">
        <v>173</v>
      </c>
      <c r="B1081" s="148" t="s">
        <v>365</v>
      </c>
      <c r="C1081" s="148" t="s">
        <v>843</v>
      </c>
      <c r="D1081" s="148" t="s">
        <v>118</v>
      </c>
      <c r="E1081" s="148" t="s">
        <v>226</v>
      </c>
      <c r="F1081" s="148" t="s">
        <v>703</v>
      </c>
      <c r="G1081" s="148" t="s">
        <v>683</v>
      </c>
      <c r="H1081" s="148" t="s">
        <v>684</v>
      </c>
      <c r="I1081" s="148" t="s">
        <v>704</v>
      </c>
      <c r="J1081" s="148" t="s">
        <v>705</v>
      </c>
      <c r="K1081" s="148" t="s">
        <v>706</v>
      </c>
      <c r="L1081" s="148" t="s">
        <v>707</v>
      </c>
      <c r="M1081" s="148" t="s">
        <v>708</v>
      </c>
      <c r="N1081" s="148" t="s">
        <v>694</v>
      </c>
      <c r="O1081" s="148" t="s">
        <v>63</v>
      </c>
      <c r="P1081" s="148" t="s">
        <v>695</v>
      </c>
      <c r="Q1081" s="148" t="s">
        <v>696</v>
      </c>
      <c r="R1081" s="148" t="s">
        <v>693</v>
      </c>
      <c r="S1081" s="148" t="s">
        <v>692</v>
      </c>
      <c r="T1081" s="148" t="s">
        <v>728</v>
      </c>
      <c r="U1081" s="148" t="s">
        <v>21</v>
      </c>
      <c r="V1081" s="148" t="s">
        <v>689</v>
      </c>
      <c r="W1081" s="148" t="s">
        <v>102</v>
      </c>
      <c r="X1081" s="148" t="s">
        <v>53</v>
      </c>
      <c r="Y1081" s="148" t="s">
        <v>54</v>
      </c>
      <c r="Z1081" s="148" t="s">
        <v>106</v>
      </c>
      <c r="AA1081" s="148" t="s">
        <v>107</v>
      </c>
      <c r="AB1081" s="148" t="s">
        <v>698</v>
      </c>
      <c r="AC1081" s="148" t="s">
        <v>729</v>
      </c>
      <c r="AD1081" s="148" t="s">
        <v>6</v>
      </c>
      <c r="AE1081" s="148" t="s">
        <v>103</v>
      </c>
      <c r="AF1081" s="148" t="s">
        <v>104</v>
      </c>
      <c r="AG1081" s="148" t="s">
        <v>55</v>
      </c>
      <c r="AH1081" s="148" t="s">
        <v>56</v>
      </c>
      <c r="AI1081" s="148" t="s">
        <v>699</v>
      </c>
      <c r="AJ1081" s="148" t="s">
        <v>351</v>
      </c>
      <c r="AK1081" s="148" t="s">
        <v>352</v>
      </c>
      <c r="AL1081" s="148" t="s">
        <v>700</v>
      </c>
      <c r="AM1081" s="148" t="s">
        <v>701</v>
      </c>
      <c r="AN1081" s="148" t="s">
        <v>702</v>
      </c>
      <c r="AO1081" s="148" t="s">
        <v>198</v>
      </c>
      <c r="AP1081" s="148" t="s">
        <v>1561</v>
      </c>
      <c r="AQ1081" s="148" t="s">
        <v>1563</v>
      </c>
    </row>
    <row r="1082" spans="1:68" x14ac:dyDescent="0.25">
      <c r="B1082" s="148" t="s">
        <v>844</v>
      </c>
      <c r="C1082" s="148" t="s">
        <v>845</v>
      </c>
      <c r="D1082" s="148" t="s">
        <v>710</v>
      </c>
      <c r="E1082" s="148" t="s">
        <v>709</v>
      </c>
      <c r="F1082" s="148" t="s">
        <v>726</v>
      </c>
      <c r="G1082" s="148" t="s">
        <v>727</v>
      </c>
      <c r="H1082" s="148" t="s">
        <v>731</v>
      </c>
      <c r="I1082" s="148" t="s">
        <v>732</v>
      </c>
      <c r="J1082" s="148" t="s">
        <v>733</v>
      </c>
      <c r="K1082" s="148" t="s">
        <v>734</v>
      </c>
      <c r="L1082" s="148" t="s">
        <v>735</v>
      </c>
      <c r="M1082" s="148" t="s">
        <v>736</v>
      </c>
      <c r="N1082" s="148" t="s">
        <v>737</v>
      </c>
      <c r="O1082" s="148" t="s">
        <v>738</v>
      </c>
      <c r="P1082" s="148" t="s">
        <v>739</v>
      </c>
      <c r="Q1082" s="148" t="s">
        <v>740</v>
      </c>
      <c r="R1082" s="148" t="s">
        <v>741</v>
      </c>
      <c r="S1082" s="148" t="s">
        <v>742</v>
      </c>
      <c r="T1082" s="148" t="s">
        <v>743</v>
      </c>
      <c r="U1082" s="148" t="s">
        <v>744</v>
      </c>
      <c r="V1082" s="148" t="s">
        <v>745</v>
      </c>
      <c r="W1082" s="148" t="s">
        <v>746</v>
      </c>
      <c r="X1082" s="148" t="s">
        <v>747</v>
      </c>
      <c r="Y1082" s="148" t="s">
        <v>748</v>
      </c>
      <c r="Z1082" s="148" t="s">
        <v>749</v>
      </c>
      <c r="AA1082" s="148" t="s">
        <v>750</v>
      </c>
      <c r="AB1082" s="148" t="s">
        <v>751</v>
      </c>
      <c r="AC1082" s="148" t="s">
        <v>752</v>
      </c>
      <c r="AD1082" s="148" t="s">
        <v>753</v>
      </c>
      <c r="AE1082" s="148" t="s">
        <v>754</v>
      </c>
      <c r="AF1082" s="148" t="s">
        <v>755</v>
      </c>
      <c r="AG1082" s="148" t="s">
        <v>756</v>
      </c>
      <c r="AH1082" s="148" t="s">
        <v>757</v>
      </c>
      <c r="AI1082" s="148" t="s">
        <v>758</v>
      </c>
      <c r="AJ1082" s="148" t="s">
        <v>759</v>
      </c>
      <c r="AK1082" s="148" t="s">
        <v>760</v>
      </c>
      <c r="AL1082" s="148" t="s">
        <v>761</v>
      </c>
      <c r="AM1082" s="148" t="s">
        <v>762</v>
      </c>
      <c r="AN1082" s="148" t="s">
        <v>763</v>
      </c>
      <c r="AO1082" s="148" t="s">
        <v>652</v>
      </c>
      <c r="AP1082" s="148" t="s">
        <v>1561</v>
      </c>
      <c r="AQ1082" s="148" t="s">
        <v>1563</v>
      </c>
    </row>
    <row r="1083" spans="1:68" x14ac:dyDescent="0.25">
      <c r="B1083" s="92">
        <f>$B$2</f>
        <v>20180328</v>
      </c>
      <c r="C1083" s="92" t="str">
        <f>$F$5</f>
        <v>9999</v>
      </c>
      <c r="D1083" s="8" t="str">
        <f>$D$5</f>
        <v>6001</v>
      </c>
      <c r="E1083" s="8" t="s">
        <v>228</v>
      </c>
      <c r="F1083" s="92">
        <f>G1083+H1083+I1083</f>
        <v>90368.41</v>
      </c>
      <c r="G1083" s="92">
        <f>SUMPRODUCT(($D$1023:$D$1039=D1083)*($E$1023:$E$1039=E1083)*($H$1023:$H$1039=1)*($L$1023:$L$1039))+SUMPRODUCT(($D$1023:$D$1039=D1083)*($E$1023:$E$1039=E1083)*($H$1023:$H$1039=1)*($M$1023:$M$1039))</f>
        <v>38309.81</v>
      </c>
      <c r="H1083" s="92">
        <f>SUMPRODUCT(($D$1023:$D$1039=D1083)*($E$1023:$E$1039=E1083)*($H$1023:$H$1039=3)*($L$1023:$L$1039))+SUMPRODUCT(($D$1023:$D$1039=D1083)*($E$1023:$E$1039=E1083)*($H$1023:$H$1039=3)*($M$1023:$M$1039))</f>
        <v>0</v>
      </c>
      <c r="I1083" s="92">
        <f>SUMPRODUCT(($D$1023:$D$1039=D1083)*($E$1023:$E$1039=E1083)*($P$1023:$P$1039))</f>
        <v>52058.6</v>
      </c>
      <c r="J1083" s="115">
        <f>K1083+L1083+M1083</f>
        <v>74560.649999999994</v>
      </c>
      <c r="K1083" s="115">
        <f>SUMPRODUCT(($D$1023:$D$1039=D1083)*($E$1023:$E$1039=E1083)*($H$1023:$H$1039=1)*($N$1023:$N$1039))+SUMPRODUCT(($D$1023:$D$1039=D1083)*($E$1023:$E$1039=E1083)*($H$1023:$H$1039=1)*($O$1023:$O$1039))</f>
        <v>32691.3</v>
      </c>
      <c r="L1083" s="115">
        <f>SUMPRODUCT(($D$1023:$D$1039=D1083)*($E$1023:$E$1039=E1083)*($H$1023:$H$1039=3)*($N$1023:$N$1039))+SUMPRODUCT(($D$1023:$D$1039=D1083)*($E$1023:$E$1039=E1083)*($H$1023:$H$1039=3)*($O$1023:$O$1039))</f>
        <v>0</v>
      </c>
      <c r="M1083" s="92">
        <f>SUMPRODUCT(($D$1023:$D$1039=D1083)*($E$1023:$E$1039=E1083)*($Q$1023:$Q$1039))</f>
        <v>41869.35</v>
      </c>
      <c r="N1083" s="92">
        <f>O1083+P1083+AL1083</f>
        <v>-2065</v>
      </c>
      <c r="O1083" s="92">
        <f>SUMPRODUCT(($D$1023:$D$1039=D1083)*($E$1023:$E$1039=E1083)*($AL$1023:$AL$1039))+SUMPRODUCT(($D$1023:$D$1039=D1083)*($E$1023:$E$1039=E1083)*($AK$1023:$AK$1039))</f>
        <v>0</v>
      </c>
      <c r="P1083" s="92">
        <f>SUMPRODUCT(($D$1023:$D$1039=D1083)*($E$1023:$E$1039=E1083)*($AO$1023:$AO$1039))+SUMPRODUCT(($D$1023:$D$1039=D1083)*($E$1023:$E$1039=E1083)*($AP$1023:$AP$1039))</f>
        <v>-2065</v>
      </c>
      <c r="Q1083" s="115">
        <f>R1083+S1083</f>
        <v>-12515</v>
      </c>
      <c r="R1083" s="92">
        <f>SUMPRODUCT(($D$1023:$D$1039=D1083)*($E$1023:$E$1039=E1083)*($AN$1023:$AN$1039))+SUMPRODUCT(($D$1023:$D$1039=D1083)*($E$1023:$E$1039=E1083)*($AM$1023:$AM$1039))</f>
        <v>-20815</v>
      </c>
      <c r="S1083" s="92">
        <f>SUMPRODUCT(($D$1023:$D$1039=D1083)*($E$1023:$E$1039=E1083)*($AQ$1023:$AQ$1039))+SUMPRODUCT(($D$1023:$D$1039=D1083)*($E$1023:$E$1039=E1083)*($AR$1023:$AR$1039))</f>
        <v>8300</v>
      </c>
      <c r="T1083" s="92">
        <f>SUMPRODUCT(($D$1023:$D$1039=D1083)*($E$1023:$E$1039=E1083)*($Y$1023:$Y$1039))</f>
        <v>111.67</v>
      </c>
      <c r="U1083" s="92">
        <f>SUMPRODUCT(($F$792:$F$818=D1083)*($O$792:$O$818=2)*($U$792:$U$818))</f>
        <v>1559.67</v>
      </c>
      <c r="V1083" s="92">
        <f>SUMPRODUCT(($D$1023:$D$1039=D1083)*($E$1023:$E$1039=E1083)*($AA$1023:$AA$1039))</f>
        <v>44.66</v>
      </c>
      <c r="W1083" s="92">
        <f>SUMPRODUCT(($D$1023:$D$1039=D1083)*($E$1023:$E$1039=E1083)*($AB$1023:$AB$1039))</f>
        <v>0</v>
      </c>
      <c r="X1083" s="176">
        <f>SUMPRODUCT(($D$1023:$D$1039=D1083)*($E$1023:$E$1039=E1083)*($AC$1023:$AC$1039))</f>
        <v>0</v>
      </c>
      <c r="Y1083" s="92">
        <f>SUMPRODUCT(($D$1023:$D$1039=D1083)*($E$1023:$E$1039=E1083)*($AD$1023:$AD$1039))</f>
        <v>0</v>
      </c>
      <c r="Z1083" s="92">
        <f>SUMPRODUCT(($D$1023:$D$1039=D1083)*($E$1023:$E$1039=E1083)*($BV$1023:$BV$1039=1)*($L$1023:$L$1039))+SUMPRODUCT(($D$1023:$D$1039=D1083)*($E$1023:$E$1039=E1083)*($BV$1023:$BV$1039=1)*($M$1023:$M$1039))+SUMPRODUCT(($D$1023:$D$1039=D1083)*($E$1023:$E$1039=E1083)*($BV$1023:$BV$1039=1)*($P$1023:$P$1039))</f>
        <v>39084.6</v>
      </c>
      <c r="AA1083" s="428">
        <f>SUMPRODUCT(($D$1023:$D$1039=D1083)*($E$1023:$E$1039=E1083)*($BV$1023:$BV$1039=1)*($AK$1023:$AK$1039))+SUMPRODUCT(($D$1023:$D$1039=D1083)*($E$1023:$E$1039=E1083)*($BV$1023:$BV$1039=1)*($AL$1023:$AL$1039))+SUMPRODUCT(($D$1023:$D$1039=D1083)*($E$1023:$E$1039=E1083)*($BV$1023:$BV$1039=1)*($AO$1023:$AO$1039))+SUMPRODUCT(($D$1023:$D$1039=D1083)*($E$1023:$E$1039=E1083)*($BV$1023:$BV$1039=1)*($AP$1023:$AP$1039))</f>
        <v>185</v>
      </c>
      <c r="AB1083" s="237">
        <f>SUMPRODUCT(($D$1023:$D$1039=D1083)*($E$1023:$E$1039=E1083)*($BV$1023:$BV$1039=1)*($Y$1023:$Y$1039))+SUMPRODUCT(($D$1023:$D$1039=D1083)*($E$1023:$E$1039=E1083)*($BV$1023:$BV$1039=1)*($AA$1023:$AA$1039))+SUMPRODUCT(($D$1023:$D$1039=D1083)*($E$1023:$E$1039=E1083)*($BV$1023:$BV$1039=1)*($AB$1023:$AB$1039))+SUMPRODUCT(($D$1023:$D$1039=D1083)*($E$1023:$E$1039=E1083)*($BV$1023:$BV$1039=1)*($AC$1023:$AC$1039))+SUMPRODUCT(($D$1023:$D$1039=D1083)*($E$1023:$E$1039=E1083)*($BV$1023:$BV$1039=1)*($AD$1023:$AD$1039))+SUMPRODUCT(($Y$792:$Y$818=E1083)*($F$792:$F$818=D1083)*($O$792:$O$818=2)*($AE$792:$AE$818=1)*($U$792:$U$818))</f>
        <v>411.89</v>
      </c>
      <c r="AC1083" s="92">
        <f>SUMPRODUCT(($D$1023:$D$1039=D1083)*($E$1023:$E$1039=E1083)*($AE$1023:$AE$1039))</f>
        <v>89.330000000000013</v>
      </c>
      <c r="AD1083" s="92">
        <f>SUMPRODUCT(($F$792:$F$818=D1083)*($O$792:$O$818=1)*($U$792:$U$818))</f>
        <v>1315.95</v>
      </c>
      <c r="AE1083" s="92">
        <v>0</v>
      </c>
      <c r="AF1083" s="92">
        <f>SUMPRODUCT(($D$1023:$D$1039=D1083)*($E$1023:$E$1039=E1083)*($AH$1023:$AH$1039))</f>
        <v>0</v>
      </c>
      <c r="AG1083" s="92">
        <f>SUMPRODUCT(($D$1023:$D$1039=D1083)*($E$1023:$E$1039=E1083)*($AI$1023:$AI$1039))</f>
        <v>0</v>
      </c>
      <c r="AH1083" s="92">
        <f>SUMPRODUCT(($D$1023:$D$1039=D1083)*($E$1023:$E$1039=E1083)*($AJ$1023:$AJ$1039))</f>
        <v>0</v>
      </c>
      <c r="AI1083" s="92">
        <f>SUMPRODUCT(($D$1023:$D$1039=D1083)*($E$1023:$E$1039=E1083)*($BV$1023:$BV$1039=1)*($N$1023:$N$1039))+SUMPRODUCT(($D$1023:$D$1039=D1083)*($E$1023:$E$1039=E1083)*($BV$1023:$BV$1039=1)*($O$1023:$O$1039))+SUMPRODUCT(($D$1023:$D$1039=D1083)*($E$1023:$E$1039=E1083)*($BV$1023:$BV$1039=1)*($Q$1023:$Q$1039))</f>
        <v>31366.55</v>
      </c>
      <c r="AJ1083" s="92">
        <f>SUMPRODUCT(($D$1023:$D$1039=D1083)*($E$1023:$E$1039=E1083)*($W$1023:$W$1039))</f>
        <v>0</v>
      </c>
      <c r="AK1083" s="92">
        <f>SUMPRODUCT(($D$1023:$D$1039=D1083)*($E$1023:$E$1039=E1083)*($X$1023:$X$1039))</f>
        <v>0</v>
      </c>
      <c r="AL1083" s="92">
        <v>0</v>
      </c>
      <c r="AM1083" s="92">
        <f>SUMPRODUCT(($E$926:$E$1002=D1083)*($J$926:$J$1002=0)*($AT$926:$AT$1002=E1083)*($P$926:$P$1002))</f>
        <v>0</v>
      </c>
      <c r="AN1083" s="92">
        <f>SUMPRODUCT(($E$926:$E$1002=D1083)*($J$926:$J$1002=1)*($AT$926:$AT$1002=E1083)*($P$926:$P$1002))</f>
        <v>12500</v>
      </c>
      <c r="AO1083" s="92" t="str">
        <f>$B$19</f>
        <v>CZCE</v>
      </c>
      <c r="AP1083" s="111">
        <f>SUMPRODUCT(($D$1023:$D$1039=D1083)*($E$1023:$E$1039=E1083)*($BV$1023:$BV$1039=1)*($W$1023:$W$1039))</f>
        <v>0</v>
      </c>
      <c r="AQ1083" s="111">
        <f>SUMPRODUCT(($D$1023:$D$1039=D1083)*($E$1023:$E$1039=E1083)*($BV$1023:$BV$1039=1)*($X$1023:$X$1039))</f>
        <v>0</v>
      </c>
    </row>
    <row r="1084" spans="1:68" x14ac:dyDescent="0.25">
      <c r="B1084" s="92">
        <f>$B$2</f>
        <v>20180328</v>
      </c>
      <c r="C1084" s="92" t="str">
        <f>$F$5</f>
        <v>9999</v>
      </c>
      <c r="D1084" s="8" t="str">
        <f>$D$5</f>
        <v>6001</v>
      </c>
      <c r="E1084" s="8" t="s">
        <v>1912</v>
      </c>
      <c r="F1084" s="92">
        <f>G1084+H1084+I1084</f>
        <v>0</v>
      </c>
      <c r="G1084" s="92">
        <f>SUMPRODUCT(($D$1023:$D$1039=D1084)*($E$1023:$E$1039=E1084)*($H$1023:$H$1039=1)*($L$1023:$L$1039))+SUMPRODUCT(($D$1023:$D$1039=D1084)*($E$1023:$E$1039=E1084)*($H$1023:$H$1039=1)*($M$1023:$M$1039))</f>
        <v>0</v>
      </c>
      <c r="H1084" s="92">
        <f>SUMPRODUCT(($D$1023:$D$1039=D1084)*($E$1023:$E$1039=E1084)*($H$1023:$H$1039=3)*($L$1023:$L$1039))+SUMPRODUCT(($D$1023:$D$1039=D1084)*($E$1023:$E$1039=E1084)*($H$1023:$H$1039=3)*($M$1023:$M$1039))</f>
        <v>0</v>
      </c>
      <c r="I1084" s="92">
        <f>SUMPRODUCT(($D$1023:$D$1039=D1084)*($E$1023:$E$1039=E1084)*($P$1023:$P$1039))</f>
        <v>0</v>
      </c>
      <c r="J1084" s="115">
        <f>K1084+L1084+M1084</f>
        <v>0</v>
      </c>
      <c r="K1084" s="115">
        <f>SUMPRODUCT(($D$1023:$D$1039=D1084)*($E$1023:$E$1039=E1084)*($H$1023:$H$1039=1)*($N$1023:$N$1039))+SUMPRODUCT(($D$1023:$D$1039=D1084)*($E$1023:$E$1039=E1084)*($H$1023:$H$1039=1)*($O$1023:$O$1039))</f>
        <v>0</v>
      </c>
      <c r="L1084" s="115">
        <f>SUMPRODUCT(($D$1023:$D$1039=D1084)*($E$1023:$E$1039=E1084)*($H$1023:$H$1039=3)*($N$1023:$N$1039))+SUMPRODUCT(($D$1023:$D$1039=D1084)*($E$1023:$E$1039=E1084)*($H$1023:$H$1039=3)*($O$1023:$O$1039))</f>
        <v>0</v>
      </c>
      <c r="M1084" s="92">
        <f>SUMPRODUCT(($D$1023:$D$1039=D1084)*($E$1023:$E$1039=E1084)*($Q$1023:$Q$1039))</f>
        <v>0</v>
      </c>
      <c r="N1084" s="92">
        <f>O1084+P1084+AL1084</f>
        <v>0</v>
      </c>
      <c r="O1084" s="92">
        <f>SUMPRODUCT(($D$1023:$D$1039=D1084)*($E$1023:$E$1039=E1084)*($AL$1023:$AL$1039))+SUMPRODUCT(($D$1023:$D$1039=D1084)*($E$1023:$E$1039=E1084)*($AK$1023:$AK$1039))</f>
        <v>0</v>
      </c>
      <c r="P1084" s="92">
        <f>SUMPRODUCT(($D$1023:$D$1039=D1084)*($E$1023:$E$1039=E1084)*($AO$1023:$AO$1039))+SUMPRODUCT(($D$1023:$D$1039=D1084)*($E$1023:$E$1039=E1084)*($AP$1023:$AP$1039))</f>
        <v>0</v>
      </c>
      <c r="Q1084" s="115">
        <f>R1084+S1084</f>
        <v>0</v>
      </c>
      <c r="R1084" s="92">
        <f>SUMPRODUCT(($D$1023:$D$1039=D1084)*($E$1023:$E$1039=E1084)*($AN$1023:$AN$1039))+SUMPRODUCT(($D$1023:$D$1039=D1084)*($E$1023:$E$1039=E1084)*($AM$1023:$AM$1039))</f>
        <v>0</v>
      </c>
      <c r="S1084" s="92">
        <f>SUMPRODUCT(($D$1023:$D$1039=D1084)*($E$1023:$E$1039=E1084)*($AQ$1023:$AQ$1039))+SUMPRODUCT(($D$1023:$D$1039=D1084)*($E$1023:$E$1039=E1084)*($AR$1023:$AR$1039))</f>
        <v>0</v>
      </c>
      <c r="T1084" s="92">
        <f>SUMPRODUCT(($D$1023:$D$1039=D1084)*($E$1023:$E$1039=E1084)*($Y$1023:$Y$1039))</f>
        <v>0</v>
      </c>
      <c r="U1084" s="427">
        <f>SUMPRODUCT(($D$1023:$D$1039=D1084)*($E$1023:$E$1039=E1084)*($Z$1023:$Z$1039))</f>
        <v>0</v>
      </c>
      <c r="V1084" s="92">
        <f>SUMPRODUCT(($D$1023:$D$1039=D1084)*($E$1023:$E$1039=E1084)*($AA$1023:$AA$1039))</f>
        <v>0</v>
      </c>
      <c r="W1084" s="92">
        <f>SUMPRODUCT(($D$1023:$D$1039=D1084)*($E$1023:$E$1039=E1084)*($AB$1023:$AB$1039))</f>
        <v>0</v>
      </c>
      <c r="X1084" s="176">
        <f>SUMPRODUCT(($D$1023:$D$1039=D1084)*($E$1023:$E$1039=E1084)*($AC$1023:$AC$1039))</f>
        <v>0</v>
      </c>
      <c r="Y1084" s="92">
        <f>SUMPRODUCT(($D$1023:$D$1039=D1084)*($E$1023:$E$1039=E1084)*($AD$1023:$AD$1039))</f>
        <v>0</v>
      </c>
      <c r="Z1084" s="92">
        <f>SUMPRODUCT(($D$1023:$D$1039=D1084)*($E$1023:$E$1039=E1084)*($W$1023:$BV$1039=1)*($L$1023:$L$1039))+SUMPRODUCT(($D$1023:$D$1039=D1084)*($E$1023:$E$1039=E1084)*($W$1023:$BV$1039=1)*($M$1023:$M$1039))+SUMPRODUCT(($D$1023:$D$1039=D1084)*($E$1023:$E$1039=E1084)*($W$1023:$BV$1039=1)*($P$1023:$P$1039))</f>
        <v>0</v>
      </c>
      <c r="AA1084" s="428">
        <f>SUMPRODUCT(($D$1023:$D$1039=D1084)*($E$1023:$E$1039=E1084)*($W$1023:$BV$1039=1)*($AK$1023:$AK$1039))+SUMPRODUCT(($D$1023:$D$1039=D1084)*($E$1023:$E$1039=E1084)*($W$1023:$BV$1039=1)*($AL$1023:$AL$1039))+SUMPRODUCT(($D$1023:$D$1039=D1084)*($E$1023:$E$1039=E1084)*($W$1023:$BV$1039=1)*($AO$1023:$AO$1039))+SUMPRODUCT(($D$1023:$D$1039=D1084)*($E$1023:$E$1039=E1084)*($W$1023:$BV$1039=1)*($AP$1023:$AP$1039))</f>
        <v>0</v>
      </c>
      <c r="AB1084" s="237">
        <f>SUMPRODUCT(($D$1023:$D$1039=D1084)*($E$1023:$E$1039=E1084)*($BV$1023:$BV$1039=1)*($Y$1023:$Y$1039))</f>
        <v>0</v>
      </c>
      <c r="AC1084" s="92">
        <f>SUMPRODUCT(($D$1023:$D$1039=D1084)*($E$1023:$E$1039=E1084)*($AE$1023:$AE$1039))</f>
        <v>0</v>
      </c>
      <c r="AD1084" s="92">
        <f>SUMPRODUCT(($D$1023:$D$1039=D1084)*($E$1023:$E$1039=E1084)*($AF$1023:$AF$1039))</f>
        <v>0</v>
      </c>
      <c r="AE1084" s="92">
        <v>0</v>
      </c>
      <c r="AF1084" s="92">
        <f>SUMPRODUCT(($D$1023:$D$1039=D1084)*($E$1023:$E$1039=E1084)*($AH$1023:$AH$1039))</f>
        <v>0</v>
      </c>
      <c r="AG1084" s="92">
        <f>SUMPRODUCT(($D$1023:$D$1039=D1084)*($E$1023:$E$1039=E1084)*($AI$1023:$AI$1039))</f>
        <v>0</v>
      </c>
      <c r="AH1084" s="92">
        <f>SUMPRODUCT(($D$1023:$D$1039=D1084)*($E$1023:$E$1039=E1084)*($AJ$1023:$AJ$1039))</f>
        <v>0</v>
      </c>
      <c r="AI1084" s="92">
        <f>SUMPRODUCT(($D$1023:$D$1039=D1084)*($E$1023:$E$1039=E1084)*($W$1023:$BV$1039=1)*($N$1023:$N$1039))+SUMPRODUCT(($D$1023:$D$1039=D1084)*($E$1023:$E$1039=E1084)*($W$1023:$BV$1039=1)*($O$1023:$O$1039))+SUMPRODUCT(($D$1023:$D$1039=D1084)*($E$1023:$E$1039=E1084)*($W$1023:$BV$1039=1)*($Q$1023:$Q$1039))</f>
        <v>0</v>
      </c>
      <c r="AJ1084" s="92">
        <f>SUMPRODUCT(($D$1023:$D$1039=D1084)*($E$1023:$E$1039=E1084)*($W$1023:$W$1039))</f>
        <v>0</v>
      </c>
      <c r="AK1084" s="92">
        <f>SUMPRODUCT(($D$1023:$D$1039=D1084)*($E$1023:$E$1039=E1084)*($X$1023:$X$1039))</f>
        <v>0</v>
      </c>
      <c r="AL1084" s="92">
        <v>0</v>
      </c>
      <c r="AM1084" s="92">
        <f>SUMPRODUCT(($E$926:$E$1002=D1084)*($J$926:$J$1002=0)*($AT$926:$AT$1002=E1084)*($P$926:$P$1002))</f>
        <v>0</v>
      </c>
      <c r="AN1084" s="92">
        <f>SUMPRODUCT(($E$926:$E$1002=D1084)*($J$926:$J$1002=1)*($AT$926:$AT$1002=E1084)*($P$926:$P$1002))</f>
        <v>0</v>
      </c>
      <c r="AO1084" s="92" t="str">
        <f>$B$19</f>
        <v>CZCE</v>
      </c>
      <c r="AP1084" s="111">
        <f>SUMPRODUCT(($D$1023:$D$1039=D1084)*($E$1023:$E$1039=E1084)*($BV$1023:$BV$1039=1)*($W$1023:$W$1039))</f>
        <v>0</v>
      </c>
      <c r="AQ1084" s="111">
        <f>SUMPRODUCT(($D$1023:$D$1039=D1084)*($E$1023:$E$1039=E1084)*($BV$1023:$BV$1039=1)*($X$1023:$X$1039))</f>
        <v>0</v>
      </c>
    </row>
    <row r="1085" spans="1:68" ht="13.95" customHeight="1" x14ac:dyDescent="0.25">
      <c r="B1085" s="92">
        <f>$B$2</f>
        <v>20180328</v>
      </c>
      <c r="C1085" s="92" t="str">
        <f>$F$5</f>
        <v>9999</v>
      </c>
      <c r="D1085" s="8" t="str">
        <f>$D$5</f>
        <v>6001</v>
      </c>
      <c r="E1085" s="8" t="s">
        <v>229</v>
      </c>
      <c r="F1085" s="92">
        <f>G1085+H1085+I1085</f>
        <v>0</v>
      </c>
      <c r="G1085" s="92">
        <f>SUMPRODUCT(($D$1023:$D$1039=D1085)*($E$1023:$E$1039=E1085)*($H$1023:$H$1039=1)*($L$1023:$L$1039))+SUMPRODUCT(($D$1023:$D$1039=D1085)*($E$1023:$E$1039=E1085)*($H$1023:$H$1039=1)*($M$1023:$M$1039))</f>
        <v>0</v>
      </c>
      <c r="H1085" s="92">
        <f>SUMPRODUCT(($D$1023:$D$1039=D1085)*($E$1023:$E$1039=E1085)*($H$1023:$H$1039=3)*($L$1023:$L$1039))+SUMPRODUCT(($D$1023:$D$1039=D1085)*($E$1023:$E$1039=E1085)*($H$1023:$H$1039=3)*($M$1023:$M$1039))</f>
        <v>0</v>
      </c>
      <c r="I1085" s="92">
        <f>SUMPRODUCT(($D$1023:$D$1039=D1085)*($E$1023:$E$1039=E1085)*($P$1023:$P$1039))</f>
        <v>0</v>
      </c>
      <c r="J1085" s="92">
        <f>K1085+L1085+M1085</f>
        <v>0</v>
      </c>
      <c r="K1085" s="92">
        <f>SUMPRODUCT(($D$1023:$D$1039=D1085)*($E$1023:$E$1039=E1085)*($H$1023:$H$1039=1)*($N$1023:$N$1039))+SUMPRODUCT(($D$1023:$D$1039=D1085)*($E$1023:$E$1039=E1085)*($H$1023:$H$1039=1)*($O$1023:$O$1039))</f>
        <v>0</v>
      </c>
      <c r="L1085" s="92">
        <f>SUMPRODUCT(($D$1023:$D$1039=D1085)*($E$1023:$E$1039=E1085)*($H$1023:$H$1039=3)*($N$1023:$N$1039))+SUMPRODUCT(($D$1023:$D$1039=D1085)*($E$1023:$E$1039=E1085)*($H$1023:$H$1039=3)*($O$1023:$O$1039))</f>
        <v>0</v>
      </c>
      <c r="M1085" s="92">
        <f>SUMPRODUCT(($D$1023:$D$1039=D1085)*($E$1023:$E$1039=E1085)*($Q$1023:$Q$1039))</f>
        <v>0</v>
      </c>
      <c r="N1085" s="92">
        <f>O1085+P1085+AL1085</f>
        <v>0</v>
      </c>
      <c r="O1085" s="92">
        <f>SUMPRODUCT(($D$1023:$D$1039=D1085)*($E$1023:$E$1039=E1085)*($AL$1023:$AL$1039))+SUMPRODUCT(($D$1023:$D$1039=D1085)*($E$1023:$E$1039=E1085)*($AM$1023:$AM$1039))</f>
        <v>0</v>
      </c>
      <c r="P1085" s="92">
        <f>SUMPRODUCT(($D$1023:$D$1039=D1085)*($E$1023:$E$1039=E1085)*($AO$1023:$AO$1039))+SUMPRODUCT(($D$1023:$D$1039=D1085)*($E$1023:$E$1039=E1085)*($AP$1023:$AP$1039))</f>
        <v>0</v>
      </c>
      <c r="Q1085" s="92">
        <f>R1085+S1085</f>
        <v>0</v>
      </c>
      <c r="R1085" s="92">
        <f>SUMPRODUCT(($D$1023:$D$1039=D1085)*($E$1023:$E$1039=E1085)*($AN$1023:$AN$1039))+SUMPRODUCT(($D$1023:$D$1039=D1085)*($E$1023:$E$1039=E1085)*($AO$1023:$AO$1039))</f>
        <v>0</v>
      </c>
      <c r="S1085" s="92">
        <f>SUMPRODUCT(($D$1023:$D$1039=D1085)*($E$1023:$E$1039=E1085)*($AQ$1023:$AQ$1039))+SUMPRODUCT(($D$1023:$D$1039=D1085)*($E$1023:$E$1039=E1085)*($AR$1023:$AR$1039))</f>
        <v>0</v>
      </c>
      <c r="T1085" s="92">
        <f>SUMPRODUCT(($D$1023:$D$1039=D1085)*($E$1023:$E$1039=E1085)*($Y$1023:$Y$1039))</f>
        <v>0</v>
      </c>
      <c r="U1085" s="92">
        <f>SUMPRODUCT(($D$1023:$D$1039=D1085)*($E$1023:$E$1039=E1085)*($Z$1023:$Z$1039))</f>
        <v>0</v>
      </c>
      <c r="V1085" s="92">
        <f>SUMPRODUCT(($D$1023:$D$1039=D1085)*($E$1023:$E$1039=E1085)*($AA$1023:$AA$1039))</f>
        <v>0</v>
      </c>
      <c r="W1085" s="92">
        <f>SUMPRODUCT(($D$1023:$D$1039=D1085)*($E$1023:$E$1039=E1085)*($AB$1023:$AB$1039))</f>
        <v>0</v>
      </c>
      <c r="X1085" s="176">
        <f>SUMPRODUCT(($D$1023:$D$1039=D1085)*($E$1023:$E$1039=E1085)*($AC$1023:$AC$1039))</f>
        <v>0</v>
      </c>
      <c r="Y1085" s="92">
        <f>SUMPRODUCT(($D$1023:$D$1039=D1085)*($E$1023:$E$1039=E1085)*($AD$1023:$AD$1039))</f>
        <v>0</v>
      </c>
      <c r="Z1085" s="92">
        <f>SUMPRODUCT(($D$1023:$D$1039=D1085)*($E$1023:$E$1039=E1085)*($W$1023:$BV$1039=1)*($L$1023:$L$1039))+SUMPRODUCT(($D$1023:$D$1039=D1085)*($E$1023:$E$1039=E1085)*($W$1023:$BV$1039=1)*($M$1023:$M$1039))+SUMPRODUCT(($D$1023:$D$1039=D1085)*($E$1023:$E$1039=E1085)*($W$1023:$BV$1039=1)*($P$1023:$P$1039))</f>
        <v>0</v>
      </c>
      <c r="AA1085" s="92">
        <f>SUMPRODUCT(($D$1023:$D$1039=D1085)*($E$1023:$E$1039=E1085)*($W$1023:$BV$1039=1)*($AK$1023:$AK$1039))+SUMPRODUCT(($D$1023:$D$1039=D1085)*($E$1023:$E$1039=E1085)*($W$1023:$BV$1039=1)*($AL$1023:$AL$1039))+SUMPRODUCT(($D$1023:$D$1039=D1085)*($E$1023:$E$1039=E1085)*($W$1023:$BV$1039=1)*($AO$1023:$AO$1039))+SUMPRODUCT(($D$1023:$D$1039=D1085)*($E$1023:$E$1039=E1085)*($W$1023:$BV$1039=1)*($AP$1023:$AP$1039))</f>
        <v>0</v>
      </c>
      <c r="AB1085" s="92">
        <f>SUMPRODUCT(($D$1023:$D$1039=D1085)*($E$1023:$E$1039=E1085)*($BV$1023:$BV$1039=1)*($Y$1023:$Y$1039))</f>
        <v>0</v>
      </c>
      <c r="AC1085" s="92">
        <f>SUMPRODUCT(($D$1023:$D$1039=D1085)*($E$1023:$E$1039=E1085)*($AE$1023:$AE$1039))</f>
        <v>0</v>
      </c>
      <c r="AD1085" s="92">
        <f>SUMPRODUCT(($D$1023:$D$1039=D1085)*($E$1023:$E$1039=E1085)*($AF$1023:$AF$1039))</f>
        <v>0</v>
      </c>
      <c r="AE1085" s="92">
        <f>SUMPRODUCT(($D$1023:$D$1039=D1085)*($E$1023:$E$1039=E1085)*($AG$1023:$AG$1039))</f>
        <v>0</v>
      </c>
      <c r="AF1085" s="92">
        <f>SUMPRODUCT(($D$1023:$D$1039=D1085)*($E$1023:$E$1039=E1085)*($AH$1023:$AH$1039))</f>
        <v>0</v>
      </c>
      <c r="AG1085" s="92">
        <f>SUMPRODUCT(($D$1023:$D$1039=D1085)*($E$1023:$E$1039=E1085)*($AI$1023:$AI$1039))</f>
        <v>0</v>
      </c>
      <c r="AH1085" s="92">
        <f>SUMPRODUCT(($D$1023:$D$1039=D1085)*($E$1023:$E$1039=E1085)*($AJ$1023:$AJ$1039))</f>
        <v>0</v>
      </c>
      <c r="AI1085" s="92">
        <f>SUMPRODUCT(($D$1023:$D$1039=D1085)*($E$1023:$E$1039=E1085)*($W$1023:$BV$1039=1)*($N$1023:$N$1039))+SUMPRODUCT(($D$1023:$D$1039=D1085)*($E$1023:$E$1039=E1085)*($W$1023:$BV$1039=1)*($O$1023:$O$1039))+SUMPRODUCT(($D$1023:$D$1039=D1085)*($E$1023:$E$1039=E1085)*($W$1023:$BV$1039=1)*($Q$1023:$Q$1039))</f>
        <v>0</v>
      </c>
      <c r="AJ1085" s="92">
        <f>SUMPRODUCT(($D$1023:$D$1039=D1085)*($E$1023:$E$1039=E1085)*($W$1023:$W$1039))</f>
        <v>0</v>
      </c>
      <c r="AK1085" s="92">
        <f>SUMPRODUCT(($D$1023:$D$1039=D1085)*($E$1023:$E$1039=E1085)*($X$1023:$X$1039))</f>
        <v>0</v>
      </c>
      <c r="AL1085" s="92">
        <v>0</v>
      </c>
      <c r="AM1085" s="92">
        <f>SUMPRODUCT(($E$926:$E$1002=D1085)*($J$926:$J$1002=0)*($AT$926:$AT$1002=E1085)*($P$926:$P$1002))</f>
        <v>0</v>
      </c>
      <c r="AN1085" s="92">
        <f>SUMPRODUCT(($E$926:$E$1002=D1085)*($J$926:$J$1002=1)*($AT$926:$AT$1002=E1085)*($P$926:$P$1002))</f>
        <v>0</v>
      </c>
      <c r="AO1085" s="92" t="str">
        <f>$B$19</f>
        <v>CZCE</v>
      </c>
      <c r="AP1085" s="111">
        <f>SUMPRODUCT(($D$1023:$D$1039=D1085)*($E$1023:$E$1039=E1085)*($BV$1023:$BV$1039=1)*($W$1023:$W$1039))</f>
        <v>0</v>
      </c>
      <c r="AQ1085" s="111">
        <f>SUMPRODUCT(($D$1023:$D$1039=D1085)*($E$1023:$E$1039=E1085)*($BV$1023:$BV$1039=1)*($X$1023:$X$1039))</f>
        <v>0</v>
      </c>
    </row>
    <row r="1086" spans="1:68" x14ac:dyDescent="0.25">
      <c r="A1086" t="s">
        <v>173</v>
      </c>
      <c r="B1086" t="s">
        <v>715</v>
      </c>
      <c r="F1086" s="269"/>
      <c r="G1086" s="269"/>
      <c r="H1086" s="269"/>
      <c r="I1086" s="269"/>
      <c r="J1086" s="269"/>
      <c r="K1086" s="269"/>
      <c r="L1086" s="269"/>
      <c r="M1086" s="269"/>
      <c r="N1086" s="269"/>
      <c r="O1086" s="269"/>
      <c r="P1086" s="269"/>
      <c r="Q1086" s="269"/>
      <c r="R1086" s="269"/>
      <c r="S1086" s="269"/>
      <c r="T1086" s="269"/>
      <c r="U1086" s="269"/>
      <c r="V1086" s="269"/>
      <c r="W1086" s="269"/>
      <c r="X1086" s="269"/>
      <c r="Y1086" s="269"/>
      <c r="Z1086" s="269"/>
      <c r="AA1086" s="269"/>
      <c r="AB1086" s="269"/>
      <c r="AC1086" s="269"/>
      <c r="AD1086" s="269"/>
      <c r="AE1086" s="269"/>
      <c r="AF1086" s="269"/>
      <c r="AG1086" s="269"/>
      <c r="AH1086" s="269"/>
      <c r="AI1086" s="269"/>
      <c r="AJ1086" s="269"/>
      <c r="AK1086" s="269"/>
      <c r="AL1086" s="269"/>
      <c r="AM1086" s="269"/>
      <c r="AN1086" s="269"/>
    </row>
    <row r="1087" spans="1:68" ht="13.95" customHeight="1" x14ac:dyDescent="0.25">
      <c r="A1087" s="57" t="s">
        <v>124</v>
      </c>
      <c r="B1087" s="57" t="s">
        <v>980</v>
      </c>
    </row>
    <row r="1088" spans="1:68" ht="13.95" customHeight="1" x14ac:dyDescent="0.25">
      <c r="A1088" t="s">
        <v>306</v>
      </c>
      <c r="B1088" s="750" t="s">
        <v>716</v>
      </c>
      <c r="C1088" s="751"/>
      <c r="D1088" s="751"/>
      <c r="E1088" s="751"/>
      <c r="F1088" s="751"/>
      <c r="G1088" s="751"/>
      <c r="H1088" s="751"/>
      <c r="I1088" s="751"/>
      <c r="J1088" s="751"/>
      <c r="K1088" s="751"/>
      <c r="L1088" s="751"/>
      <c r="M1088" s="751"/>
      <c r="N1088" s="751"/>
      <c r="O1088" s="751"/>
      <c r="P1088" s="751"/>
      <c r="Q1088" s="751"/>
      <c r="R1088" s="751"/>
      <c r="S1088" s="751"/>
      <c r="T1088" s="751"/>
      <c r="U1088" s="751"/>
      <c r="V1088" s="751"/>
      <c r="W1088" s="751"/>
      <c r="X1088" s="751"/>
      <c r="Y1088" s="751"/>
      <c r="Z1088" s="751"/>
      <c r="AA1088" s="751"/>
      <c r="AB1088" s="751"/>
      <c r="AC1088" s="751"/>
      <c r="AD1088" s="751"/>
      <c r="AE1088" s="751"/>
      <c r="AF1088" s="751"/>
      <c r="AG1088" s="751"/>
      <c r="AH1088" s="751"/>
      <c r="AI1088" s="751"/>
      <c r="AJ1088" s="751"/>
      <c r="AK1088" s="751"/>
      <c r="AL1088" s="751"/>
      <c r="AM1088" s="751"/>
      <c r="AN1088" s="751"/>
      <c r="AO1088" s="751"/>
      <c r="AP1088" s="751"/>
      <c r="AQ1088" s="751"/>
      <c r="AR1088" s="751"/>
      <c r="AS1088" s="751"/>
      <c r="AT1088" s="751"/>
      <c r="AU1088" s="751"/>
      <c r="AV1088" s="751"/>
      <c r="AW1088" s="751"/>
      <c r="AX1088" s="751"/>
      <c r="AY1088" s="751"/>
      <c r="AZ1088" s="751"/>
      <c r="BA1088" s="751"/>
      <c r="BB1088" s="751"/>
      <c r="BC1088" s="751"/>
      <c r="BD1088" s="751"/>
      <c r="BE1088" s="751"/>
      <c r="BF1088" s="751"/>
      <c r="BG1088" s="751"/>
      <c r="BH1088" s="751"/>
      <c r="BI1088" s="751"/>
      <c r="BJ1088" s="751"/>
      <c r="BK1088" s="751"/>
      <c r="BL1088" s="751"/>
      <c r="BM1088" s="751"/>
      <c r="BN1088" s="751"/>
      <c r="BO1088" s="751"/>
      <c r="BP1088" s="751"/>
    </row>
    <row r="1089" spans="1:68" x14ac:dyDescent="0.25">
      <c r="A1089" t="s">
        <v>173</v>
      </c>
      <c r="B1089" s="148" t="s">
        <v>365</v>
      </c>
      <c r="C1089" s="148" t="s">
        <v>843</v>
      </c>
      <c r="D1089" s="148" t="s">
        <v>118</v>
      </c>
      <c r="E1089" s="148" t="s">
        <v>226</v>
      </c>
      <c r="F1089" s="148" t="s">
        <v>764</v>
      </c>
      <c r="G1089" s="148" t="s">
        <v>765</v>
      </c>
      <c r="H1089" s="148" t="s">
        <v>766</v>
      </c>
      <c r="I1089" s="148" t="s">
        <v>767</v>
      </c>
      <c r="J1089" s="148" t="s">
        <v>768</v>
      </c>
      <c r="K1089" s="148" t="s">
        <v>769</v>
      </c>
      <c r="L1089" s="148" t="s">
        <v>770</v>
      </c>
      <c r="M1089" s="148" t="s">
        <v>771</v>
      </c>
      <c r="N1089" s="148" t="s">
        <v>772</v>
      </c>
      <c r="O1089" s="148" t="s">
        <v>773</v>
      </c>
      <c r="P1089" s="148" t="s">
        <v>774</v>
      </c>
      <c r="Q1089" s="148" t="s">
        <v>775</v>
      </c>
      <c r="R1089" s="148" t="s">
        <v>776</v>
      </c>
      <c r="S1089" s="148" t="s">
        <v>777</v>
      </c>
      <c r="T1089" s="148" t="s">
        <v>778</v>
      </c>
      <c r="U1089" s="148" t="s">
        <v>779</v>
      </c>
      <c r="V1089" s="148" t="s">
        <v>780</v>
      </c>
      <c r="W1089" s="148" t="s">
        <v>1380</v>
      </c>
      <c r="X1089" s="148" t="s">
        <v>1464</v>
      </c>
      <c r="Y1089" s="148" t="s">
        <v>781</v>
      </c>
      <c r="Z1089" s="148" t="s">
        <v>782</v>
      </c>
      <c r="AA1089" s="148" t="s">
        <v>783</v>
      </c>
      <c r="AB1089" s="239" t="s">
        <v>784</v>
      </c>
      <c r="AC1089" s="148" t="s">
        <v>685</v>
      </c>
      <c r="AD1089" s="148" t="s">
        <v>703</v>
      </c>
      <c r="AE1089" s="148" t="s">
        <v>683</v>
      </c>
      <c r="AF1089" s="148" t="s">
        <v>684</v>
      </c>
      <c r="AG1089" s="148" t="s">
        <v>704</v>
      </c>
      <c r="AH1089" s="148" t="s">
        <v>705</v>
      </c>
      <c r="AI1089" s="148" t="s">
        <v>706</v>
      </c>
      <c r="AJ1089" s="148" t="s">
        <v>707</v>
      </c>
      <c r="AK1089" s="148" t="s">
        <v>708</v>
      </c>
      <c r="AL1089" s="148" t="s">
        <v>694</v>
      </c>
      <c r="AM1089" s="148" t="s">
        <v>63</v>
      </c>
      <c r="AN1089" s="148" t="s">
        <v>695</v>
      </c>
      <c r="AO1089" s="148" t="s">
        <v>696</v>
      </c>
      <c r="AP1089" s="148" t="s">
        <v>693</v>
      </c>
      <c r="AQ1089" s="148" t="s">
        <v>692</v>
      </c>
      <c r="AR1089" s="148" t="s">
        <v>728</v>
      </c>
      <c r="AS1089" s="148" t="s">
        <v>21</v>
      </c>
      <c r="AT1089" s="148" t="s">
        <v>689</v>
      </c>
      <c r="AU1089" s="148" t="s">
        <v>102</v>
      </c>
      <c r="AV1089" s="148" t="s">
        <v>53</v>
      </c>
      <c r="AW1089" s="148" t="s">
        <v>54</v>
      </c>
      <c r="AX1089" s="148" t="s">
        <v>106</v>
      </c>
      <c r="AY1089" s="148" t="s">
        <v>107</v>
      </c>
      <c r="AZ1089" s="148" t="s">
        <v>698</v>
      </c>
      <c r="BA1089" s="148" t="s">
        <v>729</v>
      </c>
      <c r="BB1089" s="148" t="s">
        <v>6</v>
      </c>
      <c r="BC1089" s="148" t="s">
        <v>103</v>
      </c>
      <c r="BD1089" s="148" t="s">
        <v>104</v>
      </c>
      <c r="BE1089" s="148" t="s">
        <v>55</v>
      </c>
      <c r="BF1089" s="148" t="s">
        <v>56</v>
      </c>
      <c r="BG1089" s="148" t="s">
        <v>699</v>
      </c>
      <c r="BH1089" s="148" t="s">
        <v>351</v>
      </c>
      <c r="BI1089" s="148" t="s">
        <v>352</v>
      </c>
      <c r="BJ1089" s="148" t="s">
        <v>700</v>
      </c>
      <c r="BK1089" s="148" t="s">
        <v>701</v>
      </c>
      <c r="BL1089" s="148" t="s">
        <v>702</v>
      </c>
      <c r="BM1089" s="201" t="s">
        <v>1205</v>
      </c>
      <c r="BN1089" s="201" t="s">
        <v>1206</v>
      </c>
      <c r="BO1089" s="201" t="s">
        <v>1914</v>
      </c>
      <c r="BP1089" s="201" t="s">
        <v>1902</v>
      </c>
    </row>
    <row r="1090" spans="1:68" ht="13.95" customHeight="1" x14ac:dyDescent="0.25">
      <c r="B1090" s="202" t="s">
        <v>844</v>
      </c>
      <c r="C1090" s="202" t="s">
        <v>845</v>
      </c>
      <c r="D1090" s="202" t="s">
        <v>710</v>
      </c>
      <c r="E1090" s="202" t="s">
        <v>709</v>
      </c>
      <c r="F1090" s="202" t="s">
        <v>785</v>
      </c>
      <c r="G1090" s="202" t="s">
        <v>786</v>
      </c>
      <c r="H1090" s="202" t="s">
        <v>724</v>
      </c>
      <c r="I1090" s="202" t="s">
        <v>788</v>
      </c>
      <c r="J1090" s="202" t="s">
        <v>789</v>
      </c>
      <c r="K1090" s="202" t="s">
        <v>790</v>
      </c>
      <c r="L1090" s="202" t="s">
        <v>791</v>
      </c>
      <c r="M1090" s="202" t="s">
        <v>792</v>
      </c>
      <c r="N1090" s="202" t="s">
        <v>793</v>
      </c>
      <c r="O1090" s="202" t="s">
        <v>794</v>
      </c>
      <c r="P1090" s="202" t="s">
        <v>795</v>
      </c>
      <c r="Q1090" s="202" t="s">
        <v>796</v>
      </c>
      <c r="R1090" s="202" t="s">
        <v>797</v>
      </c>
      <c r="S1090" s="202" t="s">
        <v>798</v>
      </c>
      <c r="T1090" s="202" t="s">
        <v>799</v>
      </c>
      <c r="U1090" s="202" t="s">
        <v>800</v>
      </c>
      <c r="V1090" s="202" t="s">
        <v>801</v>
      </c>
      <c r="W1090" s="202" t="s">
        <v>802</v>
      </c>
      <c r="X1090" s="202" t="s">
        <v>803</v>
      </c>
      <c r="Y1090" s="202" t="s">
        <v>804</v>
      </c>
      <c r="Z1090" s="202" t="s">
        <v>805</v>
      </c>
      <c r="AA1090" s="202" t="s">
        <v>806</v>
      </c>
      <c r="AB1090" s="240" t="s">
        <v>725</v>
      </c>
      <c r="AC1090" s="202" t="s">
        <v>808</v>
      </c>
      <c r="AD1090" s="202" t="s">
        <v>726</v>
      </c>
      <c r="AE1090" s="202" t="s">
        <v>727</v>
      </c>
      <c r="AF1090" s="202" t="s">
        <v>731</v>
      </c>
      <c r="AG1090" s="202" t="s">
        <v>732</v>
      </c>
      <c r="AH1090" s="202" t="s">
        <v>733</v>
      </c>
      <c r="AI1090" s="202" t="s">
        <v>734</v>
      </c>
      <c r="AJ1090" s="202" t="s">
        <v>735</v>
      </c>
      <c r="AK1090" s="202" t="s">
        <v>736</v>
      </c>
      <c r="AL1090" s="202" t="s">
        <v>737</v>
      </c>
      <c r="AM1090" s="202" t="s">
        <v>738</v>
      </c>
      <c r="AN1090" s="202" t="s">
        <v>739</v>
      </c>
      <c r="AO1090" s="202" t="s">
        <v>740</v>
      </c>
      <c r="AP1090" s="202" t="s">
        <v>741</v>
      </c>
      <c r="AQ1090" s="202" t="s">
        <v>742</v>
      </c>
      <c r="AR1090" s="202" t="s">
        <v>743</v>
      </c>
      <c r="AS1090" s="202" t="s">
        <v>744</v>
      </c>
      <c r="AT1090" s="202" t="s">
        <v>745</v>
      </c>
      <c r="AU1090" s="202" t="s">
        <v>746</v>
      </c>
      <c r="AV1090" s="202" t="s">
        <v>747</v>
      </c>
      <c r="AW1090" s="202" t="s">
        <v>748</v>
      </c>
      <c r="AX1090" s="202" t="s">
        <v>749</v>
      </c>
      <c r="AY1090" s="202" t="s">
        <v>750</v>
      </c>
      <c r="AZ1090" s="202" t="s">
        <v>751</v>
      </c>
      <c r="BA1090" s="202" t="s">
        <v>752</v>
      </c>
      <c r="BB1090" s="202" t="s">
        <v>753</v>
      </c>
      <c r="BC1090" s="202" t="s">
        <v>754</v>
      </c>
      <c r="BD1090" s="202" t="s">
        <v>755</v>
      </c>
      <c r="BE1090" s="202" t="s">
        <v>756</v>
      </c>
      <c r="BF1090" s="202" t="s">
        <v>757</v>
      </c>
      <c r="BG1090" s="202" t="s">
        <v>758</v>
      </c>
      <c r="BH1090" s="202" t="s">
        <v>759</v>
      </c>
      <c r="BI1090" s="202" t="s">
        <v>760</v>
      </c>
      <c r="BJ1090" s="202" t="s">
        <v>761</v>
      </c>
      <c r="BK1090" s="202" t="s">
        <v>762</v>
      </c>
      <c r="BL1090" s="202" t="s">
        <v>763</v>
      </c>
      <c r="BM1090" s="201" t="s">
        <v>1205</v>
      </c>
      <c r="BN1090" s="201" t="s">
        <v>1206</v>
      </c>
      <c r="BO1090" s="201" t="s">
        <v>1915</v>
      </c>
      <c r="BP1090" s="201" t="s">
        <v>1902</v>
      </c>
    </row>
    <row r="1091" spans="1:68" ht="13.95" customHeight="1" x14ac:dyDescent="0.25">
      <c r="B1091" s="92">
        <f>$B$2</f>
        <v>20180328</v>
      </c>
      <c r="C1091" s="92" t="str">
        <f>$F$5</f>
        <v>9999</v>
      </c>
      <c r="D1091" s="92" t="str">
        <f>$D$5</f>
        <v>6001</v>
      </c>
      <c r="E1091" s="92" t="s">
        <v>228</v>
      </c>
      <c r="F1091" s="92">
        <f>G1091-S1091+T1091+AL1091-AR1091-AS1091-AT1091-AU1091-AV1091-AW1091+BH1091-BI1091</f>
        <v>70679.91</v>
      </c>
      <c r="G1091" s="92">
        <f>'day2'!F1103</f>
        <v>74460.91</v>
      </c>
      <c r="H1091" s="118">
        <f>I1091-S1091+T1091+AP1091-AR1091-AS1091-AT1091-AU1091-AV1091-AW1091+BH1091-BI1091</f>
        <v>62379.909999999974</v>
      </c>
      <c r="I1091" s="92">
        <f>'day2'!H1103</f>
        <v>84910.909999999974</v>
      </c>
      <c r="J1091" s="237">
        <f>ROUND(F1091+U1091-V1091+Q1091,2)</f>
        <v>83299.97</v>
      </c>
      <c r="K1091" s="237">
        <f>ROUND(F1091+Q1091-AD1091+U1091-V1091,2)</f>
        <v>-7068.44</v>
      </c>
      <c r="L1091" s="237">
        <f>ROUND(F1091-AD1091-O1091-V1091+U1091,2)</f>
        <v>-8068.44</v>
      </c>
      <c r="M1091" s="92">
        <v>0</v>
      </c>
      <c r="N1091" s="237">
        <f>IF(P1091-K1091&gt;0,P1091-K1091,0)</f>
        <v>9068.4399999999987</v>
      </c>
      <c r="O1091" s="92">
        <f>D193</f>
        <v>1000</v>
      </c>
      <c r="P1091" s="92">
        <f>E193</f>
        <v>2000</v>
      </c>
      <c r="Q1091" s="200">
        <f>I324</f>
        <v>0</v>
      </c>
      <c r="R1091" s="92">
        <f>'day1'!Q858</f>
        <v>5000</v>
      </c>
      <c r="S1091" s="92">
        <f>SUMPRODUCT(( $C$419:$C$424=D1091)*($D$419:$D$424=E1091)*($F$419:$F$424=1)*($E$419:$E$424))</f>
        <v>0</v>
      </c>
      <c r="T1091" s="109">
        <f>SUMPRODUCT(( $C$419:$C$424=D1091)*($D$419:$D$424=E1091)*($F$419:$F$424=0)*($E$419:$E$424))</f>
        <v>0</v>
      </c>
      <c r="U1091" s="237">
        <f>ROUND(V1093*BM1091*BN1091+V1092*BO1091*BP1091,2)</f>
        <v>12620.06</v>
      </c>
      <c r="V1091" s="92">
        <v>0</v>
      </c>
      <c r="W1091" s="237">
        <f>'day2'!U1103</f>
        <v>12620.06</v>
      </c>
      <c r="X1091" s="92">
        <v>0</v>
      </c>
      <c r="Y1091" s="237">
        <f>IF(U1091&gt;=AX1091,AX1091,U1091)</f>
        <v>12620.06</v>
      </c>
      <c r="Z1091" s="237">
        <f>IF(U1091&gt;=BG1091,BG1091,U1091)</f>
        <v>12620.06</v>
      </c>
      <c r="AA1091" s="92">
        <v>0</v>
      </c>
      <c r="AB1091" s="241">
        <f>J1091+BK1091-BL1091</f>
        <v>70799.97</v>
      </c>
      <c r="AC1091" s="237">
        <f>U1091-W1091</f>
        <v>0</v>
      </c>
      <c r="AD1091" s="92">
        <f t="shared" ref="AD1091:BL1091" si="743">F1083</f>
        <v>90368.41</v>
      </c>
      <c r="AE1091" s="92">
        <f t="shared" si="743"/>
        <v>38309.81</v>
      </c>
      <c r="AF1091" s="92">
        <f t="shared" si="743"/>
        <v>0</v>
      </c>
      <c r="AG1091" s="237">
        <f t="shared" si="743"/>
        <v>52058.6</v>
      </c>
      <c r="AH1091" s="92">
        <f t="shared" si="743"/>
        <v>74560.649999999994</v>
      </c>
      <c r="AI1091" s="92">
        <f t="shared" si="743"/>
        <v>32691.3</v>
      </c>
      <c r="AJ1091" s="92">
        <f t="shared" si="743"/>
        <v>0</v>
      </c>
      <c r="AK1091" s="92">
        <f t="shared" si="743"/>
        <v>41869.35</v>
      </c>
      <c r="AL1091" s="92">
        <f t="shared" si="743"/>
        <v>-2065</v>
      </c>
      <c r="AM1091" s="92">
        <f t="shared" si="743"/>
        <v>0</v>
      </c>
      <c r="AN1091" s="92">
        <f t="shared" si="743"/>
        <v>-2065</v>
      </c>
      <c r="AO1091" s="92">
        <f t="shared" si="743"/>
        <v>-12515</v>
      </c>
      <c r="AP1091" s="92">
        <f t="shared" si="743"/>
        <v>-20815</v>
      </c>
      <c r="AQ1091" s="92">
        <f t="shared" si="743"/>
        <v>8300</v>
      </c>
      <c r="AR1091" s="92">
        <f t="shared" si="743"/>
        <v>111.67</v>
      </c>
      <c r="AS1091" s="92">
        <f t="shared" si="743"/>
        <v>1559.67</v>
      </c>
      <c r="AT1091" s="92">
        <f t="shared" si="743"/>
        <v>44.66</v>
      </c>
      <c r="AU1091" s="92">
        <f t="shared" si="743"/>
        <v>0</v>
      </c>
      <c r="AV1091" s="92">
        <f t="shared" si="743"/>
        <v>0</v>
      </c>
      <c r="AW1091" s="92">
        <f t="shared" si="743"/>
        <v>0</v>
      </c>
      <c r="AX1091" s="92">
        <f t="shared" si="743"/>
        <v>39084.6</v>
      </c>
      <c r="AY1091" s="92">
        <f t="shared" si="743"/>
        <v>185</v>
      </c>
      <c r="AZ1091" s="237">
        <f>AB1083</f>
        <v>411.89</v>
      </c>
      <c r="BA1091" s="92">
        <f t="shared" si="743"/>
        <v>89.330000000000013</v>
      </c>
      <c r="BB1091" s="92">
        <f t="shared" si="743"/>
        <v>1315.95</v>
      </c>
      <c r="BC1091" s="92">
        <f t="shared" si="743"/>
        <v>0</v>
      </c>
      <c r="BD1091" s="92">
        <f t="shared" si="743"/>
        <v>0</v>
      </c>
      <c r="BE1091" s="92">
        <f t="shared" si="743"/>
        <v>0</v>
      </c>
      <c r="BF1091" s="92">
        <f t="shared" si="743"/>
        <v>0</v>
      </c>
      <c r="BG1091" s="92">
        <f t="shared" si="743"/>
        <v>31366.55</v>
      </c>
      <c r="BH1091" s="92">
        <f t="shared" si="743"/>
        <v>0</v>
      </c>
      <c r="BI1091" s="92">
        <f t="shared" si="743"/>
        <v>0</v>
      </c>
      <c r="BJ1091" s="92">
        <f t="shared" si="743"/>
        <v>0</v>
      </c>
      <c r="BK1091" s="92">
        <f t="shared" si="743"/>
        <v>0</v>
      </c>
      <c r="BL1091" s="92">
        <f t="shared" si="743"/>
        <v>12500</v>
      </c>
      <c r="BM1091" s="111">
        <f>B198</f>
        <v>6.1234000000000002</v>
      </c>
      <c r="BN1091" s="111">
        <f>B203</f>
        <v>0.9</v>
      </c>
      <c r="BO1091" s="111">
        <f>B200</f>
        <v>0.88200000000000001</v>
      </c>
      <c r="BP1091" s="111">
        <f>B205</f>
        <v>0.9</v>
      </c>
    </row>
    <row r="1092" spans="1:68" ht="13.95" customHeight="1" x14ac:dyDescent="0.25">
      <c r="B1092" s="92">
        <f>$B$2</f>
        <v>20180328</v>
      </c>
      <c r="C1092" s="92" t="str">
        <f>$F$5</f>
        <v>9999</v>
      </c>
      <c r="D1092" s="92" t="str">
        <f>$D$5</f>
        <v>6001</v>
      </c>
      <c r="E1092" s="92" t="s">
        <v>1913</v>
      </c>
      <c r="F1092" s="92">
        <f>G1092-S1092+T1092+AL1092-AR1092-AS1092-AT1092-AU1092-AV1092-AW1092+BH1092-BI1092</f>
        <v>2001.64</v>
      </c>
      <c r="G1092" s="92">
        <f>'day2'!F1104</f>
        <v>2001.64</v>
      </c>
      <c r="H1092" s="118">
        <f>I1092-S1092+T1092+AP1092-AR1092-AS1092-AT1092-AU1092-AV1092-AW1092+BH1092-BI1092</f>
        <v>2001.6399999999994</v>
      </c>
      <c r="I1092" s="92">
        <f>'day2'!H1104</f>
        <v>2001.6399999999994</v>
      </c>
      <c r="J1092" s="92">
        <f>F1092+U1092-V1092+Q1092</f>
        <v>0</v>
      </c>
      <c r="K1092" s="237">
        <f>F1092+Q1092-AD1092+U1092-V1092</f>
        <v>0</v>
      </c>
      <c r="L1092" s="237">
        <f>F1092-AD1092-O1092-V1092+U1092</f>
        <v>0</v>
      </c>
      <c r="M1092" s="92">
        <v>0</v>
      </c>
      <c r="N1092" s="92">
        <f>IF(P1092-K1092&gt;0,Q1092-L1092,0)</f>
        <v>0</v>
      </c>
      <c r="O1092" s="92">
        <v>0</v>
      </c>
      <c r="P1092" s="92">
        <v>0</v>
      </c>
      <c r="Q1092" s="200">
        <v>0</v>
      </c>
      <c r="R1092" s="92">
        <v>0</v>
      </c>
      <c r="S1092" s="92">
        <f>SUMPRODUCT(( $C$419:$C$424=D1092)*($D$419:$D$424=E1092)*($F$419:$F$424=1)*($E$419:$E$424))</f>
        <v>0</v>
      </c>
      <c r="T1092" s="109">
        <f>SUMPRODUCT(( $C$419:$C$424=D1092)*($D$419:$D$424=E1092)*($F$419:$F$424=0)*($E$419:$E$424))</f>
        <v>0</v>
      </c>
      <c r="U1092" s="237">
        <v>0</v>
      </c>
      <c r="V1092" s="109">
        <f>T1092-S1092+G1092</f>
        <v>2001.64</v>
      </c>
      <c r="W1092" s="237">
        <f>'day2'!W1104</f>
        <v>0</v>
      </c>
      <c r="X1092" s="92">
        <f>'day2'!V1104</f>
        <v>2001.6399999999996</v>
      </c>
      <c r="Y1092" s="92">
        <v>0</v>
      </c>
      <c r="Z1092" s="92">
        <v>0</v>
      </c>
      <c r="AA1092" s="92">
        <v>0</v>
      </c>
      <c r="AB1092" s="241">
        <f>J1092+BK1092-BL1092</f>
        <v>0</v>
      </c>
      <c r="AC1092" s="237">
        <v>0</v>
      </c>
      <c r="AD1092" s="92">
        <v>0</v>
      </c>
      <c r="AE1092" s="92">
        <v>0</v>
      </c>
      <c r="AF1092" s="92">
        <v>0</v>
      </c>
      <c r="AG1092" s="92">
        <v>0</v>
      </c>
      <c r="AH1092" s="92">
        <v>0</v>
      </c>
      <c r="AI1092" s="92">
        <v>0</v>
      </c>
      <c r="AJ1092" s="92">
        <v>0</v>
      </c>
      <c r="AK1092" s="92">
        <v>0</v>
      </c>
      <c r="AL1092" s="92">
        <v>0</v>
      </c>
      <c r="AM1092" s="92">
        <v>0</v>
      </c>
      <c r="AN1092" s="92">
        <v>0</v>
      </c>
      <c r="AO1092" s="92">
        <v>0</v>
      </c>
      <c r="AP1092" s="92">
        <v>0</v>
      </c>
      <c r="AQ1092" s="92">
        <v>0</v>
      </c>
      <c r="AR1092" s="92">
        <v>0</v>
      </c>
      <c r="AS1092" s="92">
        <v>0</v>
      </c>
      <c r="AT1092" s="92">
        <v>0</v>
      </c>
      <c r="AU1092" s="92">
        <v>0</v>
      </c>
      <c r="AV1092" s="92">
        <v>0</v>
      </c>
      <c r="AW1092" s="92">
        <v>0</v>
      </c>
      <c r="AX1092" s="92">
        <v>0</v>
      </c>
      <c r="AY1092" s="92">
        <v>0</v>
      </c>
      <c r="AZ1092" s="92">
        <v>0</v>
      </c>
      <c r="BA1092" s="92">
        <v>0</v>
      </c>
      <c r="BB1092" s="92">
        <v>0</v>
      </c>
      <c r="BC1092" s="92">
        <v>0</v>
      </c>
      <c r="BD1092" s="92">
        <v>0</v>
      </c>
      <c r="BE1092" s="92">
        <v>0</v>
      </c>
      <c r="BF1092" s="92">
        <v>0</v>
      </c>
      <c r="BG1092" s="92">
        <v>0</v>
      </c>
      <c r="BH1092" s="92">
        <v>0</v>
      </c>
      <c r="BI1092" s="92">
        <v>0</v>
      </c>
      <c r="BJ1092" s="92">
        <v>0</v>
      </c>
      <c r="BK1092" s="92">
        <v>0</v>
      </c>
      <c r="BL1092" s="92">
        <v>0</v>
      </c>
      <c r="BM1092" s="111"/>
      <c r="BN1092" s="111"/>
      <c r="BO1092" s="111"/>
      <c r="BP1092" s="111"/>
    </row>
    <row r="1093" spans="1:68" x14ac:dyDescent="0.25">
      <c r="B1093" s="92">
        <f>$B$2</f>
        <v>20180328</v>
      </c>
      <c r="C1093" s="92" t="str">
        <f>$F$5</f>
        <v>9999</v>
      </c>
      <c r="D1093" s="92" t="str">
        <f>$D$5</f>
        <v>6001</v>
      </c>
      <c r="E1093" s="111" t="s">
        <v>229</v>
      </c>
      <c r="F1093" s="237">
        <f>G1093-S1093+T1093+AL1093-AR1093-AS1093-AT1093-AU1093-AV1093-AW1093+BH1093-BI1093</f>
        <v>2001.6399999999994</v>
      </c>
      <c r="G1093" s="92">
        <f>'day2'!F1105</f>
        <v>2001.6399999999994</v>
      </c>
      <c r="H1093" s="109">
        <f>I1093-S1093+T1093+AO1093-AR1093-AS1093-AT1093-AU1093-AV1093-AW1093+BH1093-BI1093</f>
        <v>2001.6399999999994</v>
      </c>
      <c r="I1093" s="92">
        <f>'day2'!H1105</f>
        <v>2001.6399999999994</v>
      </c>
      <c r="J1093" s="92">
        <f>F1093+U1093-V1093+Q1093</f>
        <v>0</v>
      </c>
      <c r="K1093" s="92">
        <f>F1093+Q1093-AD1093+U1093-V1093</f>
        <v>0</v>
      </c>
      <c r="L1093" s="237">
        <f>F1093-AD1093-O1093-V1093+U1093</f>
        <v>0</v>
      </c>
      <c r="M1093" s="92">
        <v>0</v>
      </c>
      <c r="N1093" s="92">
        <f>IF(P1093-K1093&gt;0,Q1151-L1151,0)</f>
        <v>0</v>
      </c>
      <c r="O1093" s="92">
        <v>0</v>
      </c>
      <c r="P1093" s="92">
        <v>0</v>
      </c>
      <c r="Q1093" s="92">
        <v>0</v>
      </c>
      <c r="R1093" s="92">
        <v>0</v>
      </c>
      <c r="S1093" s="92">
        <f>SUMPRODUCT(( $C$419:$C$424=D1093)*($D$419:$D$424=E1093)*($F$419:$F$424=1)*($E$419:$E$424))</f>
        <v>0</v>
      </c>
      <c r="T1093" s="109">
        <f>SUMPRODUCT(( $C$419:$C$424=D1093)*($D$419:$D$424=E1093)*($F$419:$F$424=0)*($E$419:$E$424))</f>
        <v>0</v>
      </c>
      <c r="U1093" s="92">
        <v>0</v>
      </c>
      <c r="V1093" s="237">
        <f>T1093-S1093+G1093</f>
        <v>2001.6399999999994</v>
      </c>
      <c r="W1093" s="237">
        <f>'day2'!W1105</f>
        <v>0</v>
      </c>
      <c r="X1093" s="92">
        <f>'day2'!V1105</f>
        <v>2001.6399999999996</v>
      </c>
      <c r="Y1093" s="92">
        <v>0</v>
      </c>
      <c r="Z1093" s="92">
        <v>0</v>
      </c>
      <c r="AA1093" s="92">
        <v>0</v>
      </c>
      <c r="AB1093" s="241">
        <f>J1093+BK1093-BL1093</f>
        <v>0</v>
      </c>
      <c r="AC1093" s="92">
        <v>0</v>
      </c>
      <c r="AD1093" s="92">
        <v>0</v>
      </c>
      <c r="AE1093" s="92">
        <v>0</v>
      </c>
      <c r="AF1093" s="92">
        <v>0</v>
      </c>
      <c r="AG1093" s="92">
        <v>0</v>
      </c>
      <c r="AH1093" s="92">
        <v>0</v>
      </c>
      <c r="AI1093" s="92">
        <v>0</v>
      </c>
      <c r="AJ1093" s="92">
        <v>0</v>
      </c>
      <c r="AK1093" s="92">
        <v>0</v>
      </c>
      <c r="AL1093" s="92">
        <v>0</v>
      </c>
      <c r="AM1093" s="92">
        <v>0</v>
      </c>
      <c r="AN1093" s="92">
        <v>0</v>
      </c>
      <c r="AO1093" s="92">
        <v>0</v>
      </c>
      <c r="AP1093" s="92">
        <v>0</v>
      </c>
      <c r="AQ1093" s="92">
        <v>0</v>
      </c>
      <c r="AR1093" s="92">
        <v>0</v>
      </c>
      <c r="AS1093" s="92">
        <v>0</v>
      </c>
      <c r="AT1093" s="92">
        <v>0</v>
      </c>
      <c r="AU1093" s="92">
        <v>0</v>
      </c>
      <c r="AV1093" s="92">
        <v>0</v>
      </c>
      <c r="AW1093" s="92">
        <v>0</v>
      </c>
      <c r="AX1093" s="92">
        <v>0</v>
      </c>
      <c r="AY1093" s="92">
        <v>0</v>
      </c>
      <c r="AZ1093" s="92">
        <v>0</v>
      </c>
      <c r="BA1093" s="92">
        <v>0</v>
      </c>
      <c r="BB1093" s="92">
        <v>0</v>
      </c>
      <c r="BC1093" s="92">
        <v>0</v>
      </c>
      <c r="BD1093" s="92">
        <v>0</v>
      </c>
      <c r="BE1093" s="92">
        <v>0</v>
      </c>
      <c r="BF1093" s="92">
        <v>0</v>
      </c>
      <c r="BG1093" s="92">
        <v>0</v>
      </c>
      <c r="BH1093" s="92">
        <v>0</v>
      </c>
      <c r="BI1093" s="92">
        <v>0</v>
      </c>
      <c r="BJ1093" s="92">
        <v>0</v>
      </c>
      <c r="BK1093" s="92">
        <v>0</v>
      </c>
      <c r="BL1093" s="92">
        <v>0</v>
      </c>
      <c r="BM1093" s="92"/>
      <c r="BN1093" s="92"/>
      <c r="BO1093" s="92"/>
      <c r="BP1093" s="92"/>
    </row>
    <row r="1094" spans="1:68" x14ac:dyDescent="0.25">
      <c r="A1094" t="s">
        <v>173</v>
      </c>
      <c r="B1094" t="s">
        <v>837</v>
      </c>
      <c r="F1094" s="242"/>
      <c r="G1094" s="242"/>
      <c r="H1094" s="242"/>
      <c r="I1094" s="242"/>
      <c r="J1094" s="242"/>
      <c r="K1094" s="242"/>
      <c r="L1094" s="242"/>
      <c r="M1094" s="242"/>
      <c r="N1094" s="242"/>
      <c r="O1094" s="242"/>
      <c r="P1094" s="242"/>
      <c r="Q1094" s="242"/>
      <c r="R1094" s="242"/>
      <c r="S1094" s="242"/>
      <c r="T1094" s="242"/>
      <c r="U1094" s="242"/>
      <c r="V1094" s="242"/>
      <c r="W1094" s="242"/>
      <c r="X1094" s="242"/>
      <c r="Y1094" s="242"/>
      <c r="Z1094" s="242"/>
      <c r="AA1094" s="242"/>
      <c r="AB1094" s="242"/>
      <c r="AC1094" s="242"/>
      <c r="AD1094" s="242"/>
      <c r="AE1094" s="242"/>
      <c r="AF1094" s="242"/>
      <c r="AG1094" s="242"/>
      <c r="AH1094" s="242"/>
      <c r="AI1094" s="242"/>
      <c r="AJ1094" s="242"/>
      <c r="AK1094" s="242"/>
      <c r="AL1094" s="242"/>
      <c r="AM1094" s="242"/>
      <c r="AN1094" s="242"/>
      <c r="AO1094" s="242"/>
      <c r="AP1094" s="242"/>
      <c r="AQ1094" s="242"/>
      <c r="AR1094" s="242"/>
      <c r="AS1094" s="242"/>
      <c r="AT1094" s="242"/>
      <c r="AU1094" s="242"/>
      <c r="AV1094" s="242"/>
      <c r="AW1094" s="242"/>
      <c r="AX1094" s="242"/>
      <c r="AY1094" s="242"/>
      <c r="AZ1094" s="242"/>
      <c r="BA1094" s="242"/>
      <c r="BB1094" s="242"/>
      <c r="BC1094" s="242"/>
      <c r="BD1094" s="242"/>
      <c r="BE1094" s="242"/>
      <c r="BF1094" s="242"/>
      <c r="BG1094" s="242"/>
      <c r="BH1094" s="242"/>
      <c r="BI1094" s="242"/>
      <c r="BJ1094" s="242"/>
      <c r="BK1094" s="242"/>
      <c r="BL1094" s="242"/>
    </row>
    <row r="1095" spans="1:68" x14ac:dyDescent="0.25">
      <c r="A1095" s="57" t="s">
        <v>124</v>
      </c>
      <c r="B1095" s="57" t="s">
        <v>980</v>
      </c>
      <c r="L1095" s="238"/>
    </row>
    <row r="1096" spans="1:68" x14ac:dyDescent="0.25">
      <c r="A1096" t="s">
        <v>306</v>
      </c>
      <c r="B1096" s="752" t="s">
        <v>838</v>
      </c>
      <c r="C1096" s="753"/>
      <c r="D1096" s="753"/>
      <c r="E1096" s="753"/>
      <c r="F1096" s="753"/>
      <c r="G1096" s="753"/>
      <c r="H1096" s="753"/>
      <c r="I1096" s="753"/>
      <c r="J1096" s="753"/>
      <c r="K1096" s="753"/>
      <c r="L1096" s="753"/>
      <c r="M1096" s="753"/>
      <c r="N1096" s="753"/>
      <c r="O1096" s="753"/>
      <c r="P1096" s="753"/>
      <c r="Q1096" s="753"/>
      <c r="R1096" s="753"/>
      <c r="S1096" s="753"/>
      <c r="T1096" s="753"/>
      <c r="U1096" s="753"/>
      <c r="V1096" s="753"/>
      <c r="W1096" s="753"/>
      <c r="X1096" s="753"/>
      <c r="Y1096" s="753"/>
      <c r="Z1096" s="753"/>
      <c r="AA1096" s="753"/>
      <c r="AB1096" s="753"/>
      <c r="AC1096" s="753"/>
      <c r="AD1096" s="753"/>
      <c r="AE1096" s="753"/>
      <c r="AF1096" s="753"/>
      <c r="AG1096" s="753"/>
      <c r="AH1096" s="753"/>
      <c r="AI1096" s="753"/>
      <c r="AJ1096" s="753"/>
      <c r="AK1096" s="753"/>
      <c r="AL1096" s="753"/>
      <c r="AM1096" s="753"/>
      <c r="AN1096" s="753"/>
      <c r="AO1096" s="753"/>
      <c r="AP1096" s="753"/>
      <c r="AQ1096" s="753"/>
      <c r="AR1096" s="753"/>
      <c r="AS1096" s="753"/>
    </row>
    <row r="1097" spans="1:68" x14ac:dyDescent="0.25">
      <c r="A1097" t="s">
        <v>173</v>
      </c>
      <c r="B1097" s="283" t="s">
        <v>365</v>
      </c>
      <c r="C1097" s="283" t="s">
        <v>843</v>
      </c>
      <c r="D1097" s="283" t="s">
        <v>198</v>
      </c>
      <c r="E1097" s="283" t="s">
        <v>118</v>
      </c>
      <c r="F1097" s="283" t="s">
        <v>849</v>
      </c>
      <c r="G1097" s="283" t="s">
        <v>764</v>
      </c>
      <c r="H1097" s="283" t="s">
        <v>765</v>
      </c>
      <c r="I1097" s="283" t="s">
        <v>768</v>
      </c>
      <c r="J1097" s="283" t="s">
        <v>769</v>
      </c>
      <c r="K1097" s="283" t="s">
        <v>770</v>
      </c>
      <c r="L1097" s="283" t="s">
        <v>777</v>
      </c>
      <c r="M1097" s="283" t="s">
        <v>778</v>
      </c>
      <c r="N1097" s="283" t="s">
        <v>775</v>
      </c>
      <c r="O1097" s="283" t="s">
        <v>703</v>
      </c>
      <c r="P1097" s="283" t="s">
        <v>683</v>
      </c>
      <c r="Q1097" s="283" t="s">
        <v>684</v>
      </c>
      <c r="R1097" s="283" t="s">
        <v>704</v>
      </c>
      <c r="S1097" s="283" t="s">
        <v>705</v>
      </c>
      <c r="T1097" s="283" t="s">
        <v>706</v>
      </c>
      <c r="U1097" s="283" t="s">
        <v>707</v>
      </c>
      <c r="V1097" s="283" t="s">
        <v>708</v>
      </c>
      <c r="W1097" s="283" t="s">
        <v>850</v>
      </c>
      <c r="X1097" s="283" t="s">
        <v>14</v>
      </c>
      <c r="Y1097" s="283" t="s">
        <v>694</v>
      </c>
      <c r="Z1097" s="283" t="s">
        <v>696</v>
      </c>
      <c r="AA1097" s="283" t="s">
        <v>60</v>
      </c>
      <c r="AB1097" s="283" t="s">
        <v>414</v>
      </c>
      <c r="AC1097" s="283" t="s">
        <v>570</v>
      </c>
      <c r="AD1097" s="283" t="s">
        <v>633</v>
      </c>
      <c r="AE1097" s="283" t="s">
        <v>630</v>
      </c>
      <c r="AF1097" s="283" t="s">
        <v>632</v>
      </c>
      <c r="AG1097" s="283" t="s">
        <v>729</v>
      </c>
      <c r="AH1097" s="283" t="s">
        <v>6</v>
      </c>
      <c r="AI1097" s="283" t="s">
        <v>103</v>
      </c>
      <c r="AJ1097" s="283" t="s">
        <v>104</v>
      </c>
      <c r="AK1097" s="283" t="s">
        <v>55</v>
      </c>
      <c r="AL1097" s="283" t="s">
        <v>56</v>
      </c>
      <c r="AM1097" s="283" t="s">
        <v>853</v>
      </c>
      <c r="AN1097" s="283" t="s">
        <v>854</v>
      </c>
      <c r="AO1097" s="283" t="s">
        <v>700</v>
      </c>
      <c r="AP1097" s="201" t="s">
        <v>1205</v>
      </c>
      <c r="AQ1097" s="201" t="s">
        <v>1206</v>
      </c>
      <c r="AR1097" s="201" t="s">
        <v>1205</v>
      </c>
      <c r="AS1097" s="201" t="s">
        <v>1206</v>
      </c>
    </row>
    <row r="1098" spans="1:68" ht="13.95" customHeight="1" x14ac:dyDescent="0.25">
      <c r="B1098" s="148" t="s">
        <v>844</v>
      </c>
      <c r="C1098" s="148" t="s">
        <v>845</v>
      </c>
      <c r="D1098" s="148" t="s">
        <v>652</v>
      </c>
      <c r="E1098" s="148" t="s">
        <v>710</v>
      </c>
      <c r="F1098" s="148" t="s">
        <v>709</v>
      </c>
      <c r="G1098" s="148" t="s">
        <v>785</v>
      </c>
      <c r="H1098" s="148" t="s">
        <v>786</v>
      </c>
      <c r="I1098" s="148" t="s">
        <v>789</v>
      </c>
      <c r="J1098" s="148" t="s">
        <v>790</v>
      </c>
      <c r="K1098" s="148" t="s">
        <v>791</v>
      </c>
      <c r="L1098" s="148" t="s">
        <v>798</v>
      </c>
      <c r="M1098" s="148" t="s">
        <v>799</v>
      </c>
      <c r="N1098" s="148" t="s">
        <v>796</v>
      </c>
      <c r="O1098" s="148" t="s">
        <v>726</v>
      </c>
      <c r="P1098" s="148" t="s">
        <v>727</v>
      </c>
      <c r="Q1098" s="148" t="s">
        <v>731</v>
      </c>
      <c r="R1098" s="148" t="s">
        <v>732</v>
      </c>
      <c r="S1098" s="148" t="s">
        <v>733</v>
      </c>
      <c r="T1098" s="148" t="s">
        <v>734</v>
      </c>
      <c r="U1098" s="148" t="s">
        <v>735</v>
      </c>
      <c r="V1098" s="148" t="s">
        <v>736</v>
      </c>
      <c r="W1098" s="148" t="s">
        <v>738</v>
      </c>
      <c r="X1098" s="148" t="s">
        <v>739</v>
      </c>
      <c r="Y1098" s="148" t="s">
        <v>737</v>
      </c>
      <c r="Z1098" s="148" t="s">
        <v>740</v>
      </c>
      <c r="AA1098" s="148" t="s">
        <v>743</v>
      </c>
      <c r="AB1098" s="148" t="s">
        <v>744</v>
      </c>
      <c r="AC1098" s="148" t="s">
        <v>745</v>
      </c>
      <c r="AD1098" s="148" t="s">
        <v>746</v>
      </c>
      <c r="AE1098" s="148" t="s">
        <v>747</v>
      </c>
      <c r="AF1098" s="148" t="s">
        <v>748</v>
      </c>
      <c r="AG1098" s="148" t="s">
        <v>752</v>
      </c>
      <c r="AH1098" s="148" t="s">
        <v>753</v>
      </c>
      <c r="AI1098" s="148" t="s">
        <v>754</v>
      </c>
      <c r="AJ1098" s="148" t="s">
        <v>755</v>
      </c>
      <c r="AK1098" s="148" t="s">
        <v>756</v>
      </c>
      <c r="AL1098" s="148" t="s">
        <v>757</v>
      </c>
      <c r="AM1098" s="148" t="s">
        <v>759</v>
      </c>
      <c r="AN1098" s="148" t="s">
        <v>760</v>
      </c>
      <c r="AO1098" s="148" t="s">
        <v>761</v>
      </c>
      <c r="AP1098" s="201" t="s">
        <v>1205</v>
      </c>
      <c r="AQ1098" s="201" t="s">
        <v>1206</v>
      </c>
      <c r="AR1098" s="201" t="s">
        <v>1205</v>
      </c>
      <c r="AS1098" s="201" t="s">
        <v>1206</v>
      </c>
    </row>
    <row r="1099" spans="1:68" s="555" customFormat="1" x14ac:dyDescent="0.25">
      <c r="B1099" s="261">
        <f>$B$2</f>
        <v>20180328</v>
      </c>
      <c r="C1099" s="261" t="str">
        <f>$F$5</f>
        <v>9999</v>
      </c>
      <c r="D1099" s="261" t="str">
        <f>$B$19</f>
        <v>CZCE</v>
      </c>
      <c r="E1099" s="261">
        <v>99990201</v>
      </c>
      <c r="F1099" s="261" t="s">
        <v>228</v>
      </c>
      <c r="G1099" s="261">
        <f>H1099-L1099+M1099+Y1099-AG1099-AH1099-AI1099-AJ1099-AK1099-AL1099+AM1099-AN1099</f>
        <v>78153.600000000006</v>
      </c>
      <c r="H1099" s="261">
        <f>'day2'!G1111</f>
        <v>81623.88</v>
      </c>
      <c r="I1099" s="261">
        <f>ROUND(IF(N1099&gt;S1099,G1099,G1099+N1099-S1099),2)</f>
        <v>37226.99</v>
      </c>
      <c r="J1099" s="261">
        <f>MAX(I1099,0)</f>
        <v>37226.99</v>
      </c>
      <c r="K1099" s="261">
        <f>G1099-S1099</f>
        <v>3592.9500000000116</v>
      </c>
      <c r="L1099" s="261">
        <f>SUMPRODUCT(( $C$487:$C$492=E1099)*($D$487:$D$492=F1099)*($F$487:$F$492=1)*($E$487:$E$492))</f>
        <v>0</v>
      </c>
      <c r="M1099" s="557">
        <f>SUMPRODUCT(( $C$487:$C$492=E1099)*($D$487:$D$492=F1099)*($F$487:$F$492=0)*($E$487:$E$492))</f>
        <v>0</v>
      </c>
      <c r="N1099" s="636">
        <f>ROUND(Q1091+ROUND(G1101*AP1101*AQ1101,2)+ROUND(G1100*AR1100*AS1100,2),2)</f>
        <v>33634.04</v>
      </c>
      <c r="O1099" s="261">
        <f t="shared" ref="O1099:V1099" si="744">F1083</f>
        <v>90368.41</v>
      </c>
      <c r="P1099" s="261">
        <f t="shared" si="744"/>
        <v>38309.81</v>
      </c>
      <c r="Q1099" s="261">
        <f t="shared" si="744"/>
        <v>0</v>
      </c>
      <c r="R1099" s="261">
        <f t="shared" si="744"/>
        <v>52058.6</v>
      </c>
      <c r="S1099" s="261">
        <f>ROUND(J1083,2)</f>
        <v>74560.649999999994</v>
      </c>
      <c r="T1099" s="261">
        <f t="shared" si="744"/>
        <v>32691.3</v>
      </c>
      <c r="U1099" s="261">
        <f t="shared" si="744"/>
        <v>0</v>
      </c>
      <c r="V1099" s="261">
        <f t="shared" si="744"/>
        <v>41869.35</v>
      </c>
      <c r="W1099" s="261">
        <f>O1083</f>
        <v>0</v>
      </c>
      <c r="X1099" s="261">
        <f>P1083</f>
        <v>-2065</v>
      </c>
      <c r="Y1099" s="261">
        <f>N1083</f>
        <v>-2065</v>
      </c>
      <c r="Z1099" s="637">
        <v>0</v>
      </c>
      <c r="AA1099" s="261">
        <f t="shared" ref="AA1099:AF1099" si="745">T1083</f>
        <v>111.67</v>
      </c>
      <c r="AB1099" s="261">
        <f t="shared" si="745"/>
        <v>1559.67</v>
      </c>
      <c r="AC1099" s="261">
        <f t="shared" si="745"/>
        <v>44.66</v>
      </c>
      <c r="AD1099" s="261">
        <f t="shared" si="745"/>
        <v>0</v>
      </c>
      <c r="AE1099" s="261">
        <f t="shared" si="745"/>
        <v>0</v>
      </c>
      <c r="AF1099" s="261">
        <f t="shared" si="745"/>
        <v>0</v>
      </c>
      <c r="AG1099" s="261">
        <f t="shared" ref="AG1099:AL1099" si="746">AC1083</f>
        <v>89.330000000000013</v>
      </c>
      <c r="AH1099" s="261">
        <f t="shared" si="746"/>
        <v>1315.95</v>
      </c>
      <c r="AI1099" s="261">
        <f t="shared" si="746"/>
        <v>0</v>
      </c>
      <c r="AJ1099" s="261">
        <f t="shared" si="746"/>
        <v>0</v>
      </c>
      <c r="AK1099" s="261">
        <f t="shared" si="746"/>
        <v>0</v>
      </c>
      <c r="AL1099" s="261">
        <f t="shared" si="746"/>
        <v>0</v>
      </c>
      <c r="AM1099" s="261">
        <f>AJ1083</f>
        <v>0</v>
      </c>
      <c r="AN1099" s="261">
        <f>AK1083</f>
        <v>0</v>
      </c>
      <c r="AO1099" s="261">
        <f>AL1083</f>
        <v>0</v>
      </c>
      <c r="AP1099" s="535">
        <f>B198</f>
        <v>6.1234000000000002</v>
      </c>
      <c r="AQ1099" s="535">
        <f>B208</f>
        <v>0.8</v>
      </c>
      <c r="AR1099" s="535">
        <f>B200</f>
        <v>0.88200000000000001</v>
      </c>
      <c r="AS1099" s="535">
        <f>B210</f>
        <v>0.8</v>
      </c>
    </row>
    <row r="1100" spans="1:68" x14ac:dyDescent="0.25">
      <c r="B1100" s="92">
        <f>$B$2</f>
        <v>20180328</v>
      </c>
      <c r="C1100" s="92" t="str">
        <f>$F$5</f>
        <v>9999</v>
      </c>
      <c r="D1100" s="92" t="str">
        <f>$B$19</f>
        <v>CZCE</v>
      </c>
      <c r="E1100" s="92">
        <v>99990203</v>
      </c>
      <c r="F1100" s="92" t="s">
        <v>1913</v>
      </c>
      <c r="G1100" s="92">
        <f>H1100-L1100+M1100+Y1100-AG1100-AH1100-AI1100-AJ1100-AK1100-AL1100+AM1100-AN1100</f>
        <v>6001.4500000000007</v>
      </c>
      <c r="H1100" s="92">
        <f>'day2'!G1112</f>
        <v>6001.4500000000007</v>
      </c>
      <c r="I1100" s="92">
        <f>IF(N1100&gt;S1100,G1100,G1100+N1100-S1100)</f>
        <v>0</v>
      </c>
      <c r="J1100" s="92">
        <f>MAX(I1100,0)</f>
        <v>0</v>
      </c>
      <c r="K1100" s="92">
        <f>G1100-S1100</f>
        <v>6001.4500000000007</v>
      </c>
      <c r="L1100" s="92">
        <f>SUMPRODUCT(( $C$487:$C$492=E1100)*($D$487:$D$492=F1100)*($F$487:$F$492=1)*($E$487:$E$492))</f>
        <v>0</v>
      </c>
      <c r="M1100" s="109">
        <f>SUMPRODUCT(( $C$487:$C$492=E1100)*($D$487:$D$492=F1100)*($F$487:$F$492=0)*($E$487:$E$492))</f>
        <v>0</v>
      </c>
      <c r="N1100" s="200">
        <f>-G1100</f>
        <v>-6001.4500000000007</v>
      </c>
      <c r="O1100" s="92">
        <v>0</v>
      </c>
      <c r="P1100" s="92">
        <v>0</v>
      </c>
      <c r="Q1100" s="92">
        <v>0</v>
      </c>
      <c r="R1100" s="92">
        <v>0</v>
      </c>
      <c r="S1100" s="92">
        <v>0</v>
      </c>
      <c r="T1100" s="92">
        <v>0</v>
      </c>
      <c r="U1100" s="92">
        <v>0</v>
      </c>
      <c r="V1100" s="92">
        <v>0</v>
      </c>
      <c r="W1100" s="92">
        <v>0</v>
      </c>
      <c r="X1100" s="92">
        <v>0</v>
      </c>
      <c r="Y1100" s="92">
        <v>0</v>
      </c>
      <c r="Z1100" s="92">
        <v>0</v>
      </c>
      <c r="AA1100" s="92">
        <v>0</v>
      </c>
      <c r="AB1100" s="92">
        <v>0</v>
      </c>
      <c r="AC1100" s="92">
        <v>0</v>
      </c>
      <c r="AD1100" s="92">
        <v>0</v>
      </c>
      <c r="AE1100" s="92">
        <v>0</v>
      </c>
      <c r="AF1100" s="92">
        <v>0</v>
      </c>
      <c r="AG1100" s="92">
        <v>0</v>
      </c>
      <c r="AH1100" s="92">
        <v>0</v>
      </c>
      <c r="AI1100" s="92">
        <v>0</v>
      </c>
      <c r="AJ1100" s="92">
        <v>0</v>
      </c>
      <c r="AK1100" s="92">
        <v>0</v>
      </c>
      <c r="AL1100" s="92">
        <v>0</v>
      </c>
      <c r="AM1100" s="92">
        <v>0</v>
      </c>
      <c r="AN1100" s="92">
        <v>0</v>
      </c>
      <c r="AO1100" s="92">
        <v>0</v>
      </c>
      <c r="AP1100" s="167"/>
      <c r="AQ1100" s="167"/>
      <c r="AR1100" s="167">
        <f>AR1099</f>
        <v>0.88200000000000001</v>
      </c>
      <c r="AS1100" s="167">
        <f>AS1099</f>
        <v>0.8</v>
      </c>
    </row>
    <row r="1101" spans="1:68" ht="13.95" customHeight="1" x14ac:dyDescent="0.25">
      <c r="B1101" s="92">
        <f>$B$2</f>
        <v>20180328</v>
      </c>
      <c r="C1101" s="92" t="str">
        <f>$F$5</f>
        <v>9999</v>
      </c>
      <c r="D1101" s="92" t="str">
        <f>$B$19</f>
        <v>CZCE</v>
      </c>
      <c r="E1101" s="92">
        <v>99990202</v>
      </c>
      <c r="F1101" s="111" t="s">
        <v>229</v>
      </c>
      <c r="G1101" s="92">
        <f>H1101-L1101+M1101+Y1101-AG1101-AH1101-AI1101-AJ1101-AK1101-AL1101+AM1101-AN1101</f>
        <v>6001.4500000000007</v>
      </c>
      <c r="H1101" s="92">
        <f>'day2'!G1113</f>
        <v>6001.4500000000007</v>
      </c>
      <c r="I1101" s="92">
        <f>IF(N1101&gt;S1101,G1101,G1101+N1101-S1101)</f>
        <v>0</v>
      </c>
      <c r="J1101" s="92">
        <f>MAX(I1101,0)</f>
        <v>0</v>
      </c>
      <c r="K1101" s="92">
        <f>G1101-S1101</f>
        <v>6001.4500000000007</v>
      </c>
      <c r="L1101" s="92">
        <f>SUMPRODUCT(( $C$487:$C$492=E1101)*($D$487:$D$492=F1101)*($F$487:$F$492=1)*($E$487:$E$492))</f>
        <v>0</v>
      </c>
      <c r="M1101" s="109">
        <f>SUMPRODUCT(( $C$487:$C$492=E1101)*($D$487:$D$492=F1101)*($F$487:$F$492=0)*($E$487:$E$492))</f>
        <v>0</v>
      </c>
      <c r="N1101" s="92">
        <f>-G1101</f>
        <v>-6001.4500000000007</v>
      </c>
      <c r="O1101" s="92">
        <v>0</v>
      </c>
      <c r="P1101" s="92">
        <v>0</v>
      </c>
      <c r="Q1101" s="92">
        <v>0</v>
      </c>
      <c r="R1101" s="92">
        <v>0</v>
      </c>
      <c r="S1101" s="92">
        <v>0</v>
      </c>
      <c r="T1101" s="92">
        <v>0</v>
      </c>
      <c r="U1101" s="92">
        <v>0</v>
      </c>
      <c r="V1101" s="92">
        <v>0</v>
      </c>
      <c r="W1101" s="92">
        <v>0</v>
      </c>
      <c r="X1101" s="92">
        <v>0</v>
      </c>
      <c r="Y1101" s="92">
        <v>0</v>
      </c>
      <c r="Z1101" s="92">
        <v>0</v>
      </c>
      <c r="AA1101" s="92">
        <v>0</v>
      </c>
      <c r="AB1101" s="92">
        <v>0</v>
      </c>
      <c r="AC1101" s="92">
        <v>0</v>
      </c>
      <c r="AD1101" s="92">
        <v>0</v>
      </c>
      <c r="AE1101" s="92">
        <v>0</v>
      </c>
      <c r="AF1101" s="92">
        <v>0</v>
      </c>
      <c r="AG1101" s="92">
        <v>0</v>
      </c>
      <c r="AH1101" s="92">
        <v>0</v>
      </c>
      <c r="AI1101" s="92">
        <v>0</v>
      </c>
      <c r="AJ1101" s="92">
        <v>0</v>
      </c>
      <c r="AK1101" s="92">
        <v>0</v>
      </c>
      <c r="AL1101" s="92">
        <v>0</v>
      </c>
      <c r="AM1101" s="92">
        <v>0</v>
      </c>
      <c r="AN1101" s="92">
        <v>0</v>
      </c>
      <c r="AO1101" s="92">
        <v>0</v>
      </c>
      <c r="AP1101">
        <f>AP1099</f>
        <v>6.1234000000000002</v>
      </c>
      <c r="AQ1101">
        <f>AQ1099</f>
        <v>0.8</v>
      </c>
    </row>
    <row r="1102" spans="1:68" ht="13.95" customHeight="1" x14ac:dyDescent="0.25">
      <c r="F1102" s="9"/>
      <c r="G1102" s="60"/>
      <c r="H1102" s="60"/>
      <c r="I1102" s="60"/>
      <c r="J1102" s="60"/>
      <c r="K1102" s="60"/>
      <c r="L1102" s="60"/>
      <c r="M1102" s="60"/>
      <c r="N1102" s="60"/>
      <c r="O1102" s="60"/>
      <c r="P1102" s="60"/>
      <c r="Q1102" s="60"/>
      <c r="R1102" s="60"/>
      <c r="S1102" s="60"/>
      <c r="T1102" s="60"/>
      <c r="U1102" s="60"/>
      <c r="V1102" s="60"/>
      <c r="W1102" s="60"/>
      <c r="X1102" s="60"/>
      <c r="Y1102" s="60"/>
      <c r="Z1102" s="60"/>
      <c r="AA1102" s="60"/>
      <c r="AB1102" s="60"/>
      <c r="AC1102" s="60"/>
      <c r="AD1102" s="60"/>
      <c r="AE1102" s="60"/>
      <c r="AF1102" s="60"/>
      <c r="AG1102" s="60"/>
      <c r="AH1102" s="60"/>
      <c r="AI1102" s="60"/>
      <c r="AJ1102" s="60"/>
      <c r="AK1102" s="60"/>
      <c r="AL1102" s="60"/>
      <c r="AM1102" s="60"/>
      <c r="AN1102" s="60"/>
      <c r="AO1102" s="60"/>
      <c r="AP1102" s="9"/>
    </row>
    <row r="1103" spans="1:68" ht="24" customHeight="1" x14ac:dyDescent="0.25">
      <c r="A1103" s="564" t="s">
        <v>359</v>
      </c>
      <c r="B1103" s="218" t="s">
        <v>173</v>
      </c>
      <c r="C1103" s="359" t="s">
        <v>1749</v>
      </c>
      <c r="D1103" s="9"/>
      <c r="E1103" s="9"/>
      <c r="F1103" s="9"/>
      <c r="G1103" s="60"/>
      <c r="H1103" s="60"/>
      <c r="I1103" s="60"/>
      <c r="J1103" s="60"/>
      <c r="K1103" s="60"/>
      <c r="L1103" s="60"/>
      <c r="M1103" s="60"/>
      <c r="N1103" s="60"/>
      <c r="O1103" s="60"/>
      <c r="P1103" s="60"/>
      <c r="Q1103" s="60"/>
      <c r="R1103" s="60"/>
      <c r="S1103" s="60"/>
      <c r="T1103" s="60"/>
      <c r="U1103" s="60"/>
      <c r="V1103" s="60"/>
      <c r="W1103" s="60"/>
      <c r="X1103" s="60"/>
      <c r="Y1103" s="60"/>
      <c r="Z1103" s="60"/>
      <c r="AA1103" s="60"/>
      <c r="AB1103" s="60"/>
      <c r="AC1103" s="60"/>
      <c r="AD1103" s="60"/>
      <c r="AE1103" s="60"/>
      <c r="AF1103" s="60"/>
      <c r="AG1103" s="60"/>
      <c r="AH1103" s="60"/>
      <c r="AI1103" s="60"/>
      <c r="AJ1103" s="60"/>
      <c r="AK1103" s="60"/>
      <c r="AL1103" s="60"/>
      <c r="AM1103" s="60"/>
      <c r="AN1103" s="60"/>
      <c r="AO1103" s="60"/>
      <c r="AP1103" s="60"/>
      <c r="AQ1103" s="60"/>
      <c r="AR1103" s="60"/>
      <c r="AS1103" s="60"/>
      <c r="AT1103" s="60"/>
      <c r="AU1103" s="60"/>
      <c r="AV1103" s="60"/>
      <c r="AW1103" s="60"/>
      <c r="AX1103" s="60"/>
      <c r="AY1103" s="60"/>
      <c r="AZ1103" s="60"/>
      <c r="BA1103" s="60"/>
      <c r="BB1103" s="60"/>
      <c r="BC1103" s="60"/>
      <c r="BD1103" s="60"/>
      <c r="BE1103" s="60"/>
      <c r="BF1103" s="60"/>
      <c r="BG1103" s="60"/>
      <c r="BH1103" s="60"/>
      <c r="BI1103" s="60"/>
      <c r="BJ1103" s="60"/>
      <c r="BK1103" s="60"/>
      <c r="BL1103" s="60"/>
      <c r="BM1103" s="60"/>
    </row>
    <row r="1104" spans="1:68" x14ac:dyDescent="0.25">
      <c r="A1104" s="564" t="s">
        <v>359</v>
      </c>
      <c r="B1104" s="348" t="s">
        <v>970</v>
      </c>
      <c r="C1104" s="348" t="s">
        <v>1735</v>
      </c>
      <c r="D1104" s="9"/>
      <c r="E1104" s="9"/>
      <c r="F1104" s="9"/>
      <c r="G1104" s="246"/>
      <c r="H1104" s="60"/>
      <c r="I1104" s="60"/>
      <c r="J1104" s="60"/>
      <c r="K1104" s="60"/>
      <c r="L1104" s="60"/>
      <c r="M1104" s="60"/>
      <c r="N1104" s="60"/>
      <c r="O1104" s="60"/>
      <c r="P1104" s="60"/>
      <c r="Q1104" s="60"/>
      <c r="R1104" s="60"/>
      <c r="S1104" s="60"/>
      <c r="T1104" s="60"/>
      <c r="U1104" s="60"/>
      <c r="V1104" s="60"/>
      <c r="W1104" s="60"/>
      <c r="X1104" s="60"/>
      <c r="Y1104" s="60"/>
      <c r="Z1104" s="60"/>
      <c r="AA1104" s="60"/>
      <c r="AB1104" s="60"/>
      <c r="AC1104" s="60"/>
      <c r="AD1104" s="60"/>
      <c r="AE1104" s="60"/>
      <c r="AF1104" s="60"/>
      <c r="AG1104" s="60"/>
      <c r="AH1104" s="60"/>
      <c r="AI1104" s="60"/>
      <c r="AJ1104" s="60"/>
      <c r="AK1104" s="60"/>
      <c r="AL1104" s="60"/>
      <c r="AM1104" s="60"/>
      <c r="AN1104" s="60"/>
      <c r="AO1104" s="60"/>
      <c r="AP1104" s="60"/>
      <c r="AQ1104" s="246"/>
      <c r="AR1104" s="246"/>
      <c r="AS1104" s="246"/>
      <c r="AT1104" s="246"/>
      <c r="AU1104" s="246"/>
      <c r="AV1104" s="246"/>
      <c r="AW1104" s="246"/>
      <c r="AX1104" s="246"/>
      <c r="AY1104" s="246"/>
      <c r="AZ1104" s="246"/>
      <c r="BA1104" s="246"/>
      <c r="BB1104" s="246"/>
      <c r="BC1104" s="246"/>
      <c r="BD1104" s="246"/>
      <c r="BE1104" s="246"/>
      <c r="BF1104" s="246"/>
      <c r="BG1104" s="246"/>
      <c r="BH1104" s="246"/>
      <c r="BI1104" s="246"/>
      <c r="BJ1104" s="246"/>
      <c r="BK1104" s="246"/>
      <c r="BL1104" s="246"/>
      <c r="BM1104" s="246"/>
      <c r="BN1104" s="246"/>
    </row>
    <row r="1105" spans="1:105" x14ac:dyDescent="0.25">
      <c r="A1105" s="564" t="s">
        <v>359</v>
      </c>
      <c r="B1105" s="348" t="s">
        <v>1095</v>
      </c>
      <c r="C1105" s="360" t="s">
        <v>1622</v>
      </c>
      <c r="G1105" s="242"/>
      <c r="H1105" s="242"/>
      <c r="I1105" s="242"/>
      <c r="J1105" s="242"/>
      <c r="K1105" s="242"/>
      <c r="L1105" s="242"/>
      <c r="M1105" s="242"/>
      <c r="N1105" s="242"/>
      <c r="O1105" s="242"/>
      <c r="P1105" s="242"/>
      <c r="Q1105" s="242"/>
      <c r="R1105" s="242"/>
      <c r="S1105" s="242"/>
      <c r="T1105" s="242"/>
      <c r="U1105" s="242"/>
      <c r="V1105" s="242"/>
      <c r="W1105" s="242"/>
      <c r="X1105" s="242"/>
      <c r="Y1105" s="242"/>
      <c r="Z1105" s="242"/>
      <c r="AA1105" s="242"/>
      <c r="AB1105" s="242"/>
      <c r="AC1105" s="242"/>
      <c r="AD1105" s="242"/>
      <c r="AE1105" s="242"/>
      <c r="AF1105" s="242"/>
      <c r="AG1105" s="242"/>
      <c r="AH1105" s="242"/>
      <c r="AI1105" s="242"/>
      <c r="AJ1105" s="242"/>
      <c r="AK1105" s="242"/>
      <c r="AL1105" s="242"/>
      <c r="AM1105" s="242"/>
      <c r="AN1105" s="242"/>
      <c r="AO1105" s="242"/>
      <c r="AP1105" s="242"/>
      <c r="AQ1105" s="242"/>
      <c r="AR1105" s="242"/>
      <c r="AS1105" s="242"/>
      <c r="AT1105" s="242"/>
      <c r="AU1105" s="242"/>
      <c r="AV1105" s="242"/>
      <c r="AW1105" s="242"/>
      <c r="AX1105" s="242"/>
      <c r="AY1105" s="242"/>
      <c r="AZ1105" s="242"/>
      <c r="BA1105" s="242"/>
      <c r="BB1105" s="242"/>
      <c r="BC1105" s="242"/>
      <c r="BD1105" s="242"/>
      <c r="BE1105" s="242"/>
      <c r="BF1105" s="242"/>
      <c r="BG1105" s="242"/>
      <c r="BH1105" s="242"/>
      <c r="BI1105" s="242"/>
      <c r="BJ1105" s="242"/>
      <c r="BK1105" s="242"/>
      <c r="BL1105" s="242"/>
      <c r="BM1105" s="242"/>
      <c r="BN1105" s="242"/>
    </row>
    <row r="1106" spans="1:105" ht="34.950000000000003" customHeight="1" x14ac:dyDescent="0.25">
      <c r="A1106" s="564" t="s">
        <v>359</v>
      </c>
      <c r="B1106" s="348"/>
      <c r="C1106" s="226" t="s">
        <v>1736</v>
      </c>
    </row>
    <row r="1107" spans="1:105" x14ac:dyDescent="0.25">
      <c r="A1107" s="564" t="s">
        <v>359</v>
      </c>
      <c r="B1107" s="168" t="s">
        <v>173</v>
      </c>
      <c r="C1107" s="4" t="s">
        <v>1682</v>
      </c>
      <c r="O1107" s="242"/>
    </row>
    <row r="1108" spans="1:105" x14ac:dyDescent="0.25">
      <c r="A1108" s="564" t="s">
        <v>359</v>
      </c>
      <c r="B1108" s="57" t="s">
        <v>124</v>
      </c>
      <c r="C1108" s="57" t="s">
        <v>1683</v>
      </c>
      <c r="D1108" s="9"/>
      <c r="E1108" s="9"/>
      <c r="F1108" s="9"/>
      <c r="G1108" s="9"/>
      <c r="H1108" s="60"/>
      <c r="I1108" s="60"/>
      <c r="J1108" s="60"/>
      <c r="K1108" s="60"/>
      <c r="L1108" s="60"/>
      <c r="M1108" s="60"/>
      <c r="N1108" s="60"/>
      <c r="O1108" s="60"/>
      <c r="P1108" s="60"/>
      <c r="Q1108" s="60"/>
      <c r="R1108" s="60"/>
      <c r="S1108" s="60"/>
      <c r="T1108" s="60"/>
      <c r="U1108" s="60"/>
      <c r="V1108" s="60"/>
      <c r="W1108" s="60"/>
      <c r="X1108" s="60"/>
      <c r="Y1108" s="60"/>
      <c r="Z1108" s="60"/>
      <c r="AA1108" s="60"/>
      <c r="AB1108" s="60"/>
      <c r="AC1108" s="60"/>
      <c r="AD1108" s="60"/>
      <c r="AE1108" s="60"/>
      <c r="AF1108" s="60"/>
      <c r="AG1108" s="60"/>
      <c r="AH1108" s="60"/>
      <c r="AI1108" s="60"/>
      <c r="AJ1108" s="60"/>
      <c r="AK1108" s="60"/>
      <c r="AL1108" s="60"/>
      <c r="AM1108" s="60"/>
      <c r="AN1108" s="60"/>
      <c r="AO1108" s="60"/>
      <c r="AP1108" s="60"/>
      <c r="AQ1108" s="60"/>
      <c r="AR1108" s="60"/>
      <c r="AS1108" s="60"/>
      <c r="AT1108" s="60"/>
      <c r="AU1108" s="60"/>
      <c r="AV1108" s="60"/>
      <c r="AW1108" s="60"/>
      <c r="AX1108" s="60"/>
      <c r="AY1108" s="60"/>
      <c r="AZ1108" s="60"/>
      <c r="BA1108" s="60"/>
      <c r="BB1108" s="60"/>
      <c r="BC1108" s="60"/>
      <c r="BD1108" s="60"/>
      <c r="BE1108" s="60"/>
      <c r="BF1108" s="60"/>
      <c r="BG1108" s="60"/>
      <c r="BH1108" s="60"/>
      <c r="BI1108" s="60"/>
      <c r="BJ1108" s="60"/>
      <c r="BK1108" s="60"/>
      <c r="BL1108" s="60"/>
      <c r="BM1108" s="60"/>
    </row>
    <row r="1109" spans="1:105" x14ac:dyDescent="0.25">
      <c r="A1109" s="564" t="s">
        <v>359</v>
      </c>
      <c r="B1109" s="262" t="s">
        <v>306</v>
      </c>
      <c r="C1109" s="701" t="s">
        <v>1699</v>
      </c>
      <c r="D1109" s="701"/>
      <c r="E1109" s="701"/>
      <c r="F1109" s="701"/>
      <c r="G1109" s="701"/>
      <c r="H1109" s="701"/>
      <c r="I1109" s="701"/>
      <c r="J1109" s="701"/>
      <c r="K1109" s="701"/>
      <c r="L1109" s="701"/>
      <c r="M1109" s="701"/>
      <c r="N1109" s="701"/>
      <c r="O1109" s="701"/>
      <c r="P1109" s="701"/>
      <c r="Q1109" s="701"/>
      <c r="R1109" s="701"/>
      <c r="S1109" s="701"/>
      <c r="T1109" s="730" t="s">
        <v>1700</v>
      </c>
      <c r="U1109" s="730" t="s">
        <v>1107</v>
      </c>
      <c r="V1109" s="730" t="s">
        <v>1108</v>
      </c>
      <c r="W1109" s="60"/>
      <c r="X1109" s="60"/>
      <c r="Y1109" s="60"/>
      <c r="Z1109" s="60"/>
      <c r="AA1109" s="60"/>
      <c r="AB1109" s="60"/>
      <c r="AC1109" s="60"/>
      <c r="AD1109" s="60"/>
      <c r="AE1109" s="60"/>
      <c r="AF1109" s="60"/>
      <c r="AG1109" s="60"/>
      <c r="AH1109" s="60"/>
      <c r="AI1109" s="60"/>
      <c r="AJ1109" s="60"/>
      <c r="AK1109" s="60"/>
      <c r="AL1109" s="60"/>
      <c r="AM1109" s="60"/>
      <c r="AN1109" s="60"/>
      <c r="AO1109" s="60"/>
      <c r="AP1109" s="60"/>
      <c r="AQ1109" s="60"/>
      <c r="AR1109" s="60"/>
      <c r="AS1109" s="60"/>
      <c r="AT1109" s="60"/>
      <c r="AU1109" s="60"/>
      <c r="AV1109" s="60"/>
      <c r="AW1109" s="60"/>
      <c r="AX1109" s="60"/>
      <c r="AY1109" s="60"/>
      <c r="AZ1109" s="60"/>
      <c r="BA1109" s="60"/>
      <c r="BB1109" s="60"/>
      <c r="BC1109" s="60"/>
      <c r="BD1109" s="60"/>
      <c r="BE1109" s="60"/>
      <c r="BF1109" s="60"/>
      <c r="BG1109" s="60"/>
      <c r="BH1109" s="60"/>
      <c r="BI1109" s="60"/>
      <c r="BJ1109" s="60"/>
      <c r="BK1109" s="60"/>
      <c r="BL1109" s="60"/>
      <c r="BM1109" s="60"/>
    </row>
    <row r="1110" spans="1:105" x14ac:dyDescent="0.25">
      <c r="A1110" s="564" t="s">
        <v>359</v>
      </c>
      <c r="C1110" s="92" t="s">
        <v>1395</v>
      </c>
      <c r="D1110" s="92" t="s">
        <v>1684</v>
      </c>
      <c r="E1110" s="92" t="s">
        <v>1394</v>
      </c>
      <c r="F1110" s="92" t="s">
        <v>1401</v>
      </c>
      <c r="G1110" s="92" t="s">
        <v>1685</v>
      </c>
      <c r="H1110" s="92" t="s">
        <v>1686</v>
      </c>
      <c r="I1110" s="92" t="s">
        <v>1687</v>
      </c>
      <c r="J1110" s="92" t="s">
        <v>1688</v>
      </c>
      <c r="K1110" s="92" t="s">
        <v>1689</v>
      </c>
      <c r="L1110" s="92" t="s">
        <v>1690</v>
      </c>
      <c r="M1110" s="92" t="s">
        <v>1691</v>
      </c>
      <c r="N1110" s="92" t="s">
        <v>1692</v>
      </c>
      <c r="O1110" s="92" t="s">
        <v>1693</v>
      </c>
      <c r="P1110" s="92" t="s">
        <v>1694</v>
      </c>
      <c r="Q1110" s="92" t="s">
        <v>1695</v>
      </c>
      <c r="R1110" s="92" t="s">
        <v>1696</v>
      </c>
      <c r="S1110" s="92" t="s">
        <v>1697</v>
      </c>
      <c r="T1110" s="696"/>
      <c r="U1110" s="696"/>
      <c r="V1110" s="696"/>
      <c r="W1110" s="242"/>
      <c r="X1110" s="242"/>
      <c r="Y1110" s="242"/>
      <c r="Z1110" s="242"/>
      <c r="AA1110" s="242"/>
      <c r="AB1110" s="242"/>
      <c r="AC1110" s="242"/>
      <c r="AD1110" s="242"/>
      <c r="AE1110" s="242"/>
      <c r="AF1110" s="242"/>
      <c r="AG1110" s="242"/>
      <c r="AH1110" s="242"/>
      <c r="AI1110" s="242"/>
      <c r="AJ1110" s="242"/>
      <c r="AK1110" s="242"/>
      <c r="AL1110" s="242"/>
      <c r="AM1110" s="242"/>
      <c r="AN1110" s="242"/>
      <c r="AO1110" s="242"/>
      <c r="AP1110" s="242"/>
      <c r="AQ1110" s="242"/>
      <c r="AR1110" s="242"/>
      <c r="AS1110" s="242"/>
      <c r="AT1110" s="242"/>
      <c r="AU1110" s="242"/>
      <c r="AV1110" s="242"/>
      <c r="AW1110" s="242"/>
      <c r="AX1110" s="242"/>
      <c r="AY1110" s="242"/>
      <c r="AZ1110" s="242"/>
      <c r="BA1110" s="242"/>
      <c r="BB1110" s="242"/>
      <c r="BC1110" s="242"/>
      <c r="BD1110" s="242"/>
      <c r="BE1110" s="242"/>
      <c r="BF1110" s="242"/>
      <c r="BG1110" s="242"/>
      <c r="BH1110" s="238"/>
      <c r="BI1110" s="242"/>
      <c r="BJ1110" s="242"/>
      <c r="BK1110" s="242"/>
      <c r="BL1110" s="242"/>
      <c r="BM1110" s="242"/>
    </row>
    <row r="1111" spans="1:105" x14ac:dyDescent="0.25">
      <c r="A1111" s="564" t="s">
        <v>359</v>
      </c>
      <c r="C1111" s="92">
        <f t="shared" ref="C1111:D1115" si="747">$B$2</f>
        <v>20180328</v>
      </c>
      <c r="D1111" s="92">
        <f t="shared" si="747"/>
        <v>20180328</v>
      </c>
      <c r="E1111" s="92" t="str">
        <f>$F$5</f>
        <v>9999</v>
      </c>
      <c r="F1111" s="92" t="str">
        <f>$B$19</f>
        <v>CZCE</v>
      </c>
      <c r="G1111" s="109">
        <v>2</v>
      </c>
      <c r="H1111" s="109">
        <v>1</v>
      </c>
      <c r="I1111" s="109">
        <v>2</v>
      </c>
      <c r="J1111" s="109">
        <v>0</v>
      </c>
      <c r="K1111" s="109">
        <f>D1111-1</f>
        <v>20180327</v>
      </c>
      <c r="L1111" s="109">
        <v>7</v>
      </c>
      <c r="M1111" s="109">
        <v>2</v>
      </c>
      <c r="N1111" s="109">
        <v>2</v>
      </c>
      <c r="O1111" s="109">
        <v>2</v>
      </c>
      <c r="P1111" s="109">
        <v>0</v>
      </c>
      <c r="Q1111" s="370" t="s">
        <v>1128</v>
      </c>
      <c r="R1111" s="92">
        <f>$B$2</f>
        <v>20180328</v>
      </c>
      <c r="S1111" s="371">
        <v>0.54887731481481483</v>
      </c>
      <c r="T1111" s="727" t="s">
        <v>1128</v>
      </c>
      <c r="U1111" s="727"/>
      <c r="V1111" s="727"/>
      <c r="W1111" s="242"/>
      <c r="X1111" s="242"/>
      <c r="Y1111" s="242"/>
      <c r="Z1111" s="242"/>
      <c r="AA1111" s="242"/>
      <c r="AB1111" s="242"/>
      <c r="AC1111" s="242"/>
      <c r="AD1111" s="242"/>
      <c r="AE1111" s="242"/>
      <c r="AF1111" s="242"/>
      <c r="AG1111" s="242"/>
      <c r="AH1111" s="242"/>
      <c r="AI1111" s="242"/>
      <c r="AJ1111" s="242"/>
      <c r="AK1111" s="242"/>
      <c r="AL1111" s="242"/>
      <c r="AM1111" s="242"/>
      <c r="AN1111" s="242"/>
      <c r="AO1111" s="242"/>
      <c r="AP1111" s="242"/>
      <c r="AQ1111" s="242"/>
      <c r="AR1111" s="242"/>
      <c r="AS1111" s="242"/>
      <c r="AT1111" s="242"/>
      <c r="AU1111" s="242"/>
      <c r="AV1111" s="242"/>
      <c r="AW1111" s="242"/>
      <c r="AX1111" s="242"/>
      <c r="AY1111" s="242"/>
      <c r="AZ1111" s="242"/>
      <c r="BA1111" s="242"/>
      <c r="BB1111" s="242"/>
      <c r="BC1111" s="242"/>
      <c r="BD1111" s="242"/>
      <c r="BE1111" s="242"/>
      <c r="BF1111" s="242"/>
      <c r="BG1111" s="242"/>
      <c r="BH1111" s="242"/>
      <c r="BI1111" s="242"/>
      <c r="BJ1111" s="242"/>
      <c r="BK1111" s="242"/>
      <c r="BL1111" s="242"/>
      <c r="BM1111" s="242"/>
      <c r="BN1111" s="242"/>
      <c r="BO1111" s="242"/>
      <c r="BP1111" s="242"/>
      <c r="BQ1111" s="242"/>
      <c r="BR1111" s="242"/>
      <c r="BS1111" s="242"/>
      <c r="BT1111" s="242"/>
      <c r="BU1111" s="242"/>
      <c r="BV1111" s="242"/>
      <c r="BW1111" s="242"/>
      <c r="BX1111" s="242"/>
      <c r="BY1111" s="242"/>
      <c r="BZ1111" s="242"/>
      <c r="CA1111" s="242"/>
      <c r="CB1111" s="242"/>
      <c r="CC1111" s="242"/>
      <c r="CD1111" s="242"/>
      <c r="CE1111" s="242"/>
      <c r="CF1111" s="242"/>
      <c r="CG1111" s="242"/>
      <c r="CH1111" s="242"/>
      <c r="CI1111" s="242"/>
      <c r="CJ1111" s="242"/>
      <c r="CK1111" s="242"/>
      <c r="CL1111" s="242"/>
      <c r="CM1111" s="242"/>
      <c r="CN1111" s="242"/>
      <c r="CO1111" s="242"/>
      <c r="CP1111" s="242"/>
      <c r="CQ1111" s="242"/>
      <c r="CR1111" s="242"/>
      <c r="CS1111" s="242"/>
      <c r="CT1111" s="242"/>
      <c r="CU1111" s="242"/>
      <c r="CV1111" s="242"/>
      <c r="CW1111" s="242"/>
      <c r="CX1111" s="242"/>
      <c r="CY1111" s="242"/>
      <c r="CZ1111" s="242"/>
      <c r="DA1111" s="242"/>
    </row>
    <row r="1112" spans="1:105" x14ac:dyDescent="0.25">
      <c r="A1112" s="564" t="s">
        <v>359</v>
      </c>
      <c r="C1112" s="92">
        <f t="shared" si="747"/>
        <v>20180328</v>
      </c>
      <c r="D1112" s="92">
        <f t="shared" si="747"/>
        <v>20180328</v>
      </c>
      <c r="E1112" s="92" t="str">
        <f>$F$5</f>
        <v>9999</v>
      </c>
      <c r="F1112" s="92" t="s">
        <v>1679</v>
      </c>
      <c r="G1112" s="109">
        <v>2</v>
      </c>
      <c r="H1112" s="109">
        <v>1</v>
      </c>
      <c r="I1112" s="109">
        <v>2</v>
      </c>
      <c r="J1112" s="109">
        <v>0</v>
      </c>
      <c r="K1112" s="109">
        <f>D1112-1</f>
        <v>20180327</v>
      </c>
      <c r="L1112" s="109">
        <v>7</v>
      </c>
      <c r="M1112" s="109">
        <v>2</v>
      </c>
      <c r="N1112" s="109">
        <v>2</v>
      </c>
      <c r="O1112" s="109">
        <v>2</v>
      </c>
      <c r="P1112" s="109">
        <v>0</v>
      </c>
      <c r="Q1112" s="370" t="s">
        <v>1128</v>
      </c>
      <c r="R1112" s="92">
        <f>$B$2</f>
        <v>20180328</v>
      </c>
      <c r="S1112" s="371">
        <v>0.54887731481481483</v>
      </c>
      <c r="T1112" s="728"/>
      <c r="U1112" s="728"/>
      <c r="V1112" s="728"/>
      <c r="W1112" s="242"/>
      <c r="X1112" s="242"/>
      <c r="Y1112" s="242"/>
      <c r="Z1112" s="242"/>
      <c r="AA1112" s="242"/>
      <c r="AB1112" s="242"/>
      <c r="AC1112" s="242"/>
      <c r="AD1112" s="242"/>
      <c r="AE1112" s="242"/>
      <c r="AF1112" s="242"/>
      <c r="AG1112" s="242"/>
      <c r="AH1112" s="242"/>
      <c r="AI1112" s="242"/>
      <c r="AJ1112" s="242"/>
      <c r="AK1112" s="242"/>
      <c r="AL1112" s="242"/>
      <c r="AM1112" s="242"/>
      <c r="AN1112" s="242"/>
      <c r="AO1112" s="242"/>
      <c r="AP1112" s="242"/>
      <c r="AQ1112" s="242"/>
      <c r="AR1112" s="242"/>
      <c r="AS1112" s="242"/>
      <c r="AT1112" s="242"/>
      <c r="AU1112" s="242"/>
      <c r="AV1112" s="242"/>
      <c r="AW1112" s="242"/>
      <c r="AX1112" s="242"/>
      <c r="AY1112" s="242"/>
      <c r="AZ1112" s="242"/>
      <c r="BA1112" s="242"/>
      <c r="BB1112" s="242"/>
      <c r="BC1112" s="242"/>
      <c r="BD1112" s="242"/>
      <c r="BE1112" s="242"/>
      <c r="BF1112" s="242"/>
      <c r="BG1112" s="242"/>
      <c r="BH1112" s="242"/>
      <c r="BI1112" s="242"/>
      <c r="BJ1112" s="242"/>
      <c r="BK1112" s="242"/>
      <c r="BL1112" s="242"/>
      <c r="BM1112" s="242"/>
      <c r="BN1112" s="242"/>
      <c r="BO1112" s="242"/>
      <c r="BP1112" s="242"/>
      <c r="BQ1112" s="242"/>
      <c r="BR1112" s="242"/>
      <c r="BS1112" s="242"/>
      <c r="BT1112" s="242"/>
      <c r="BU1112" s="242"/>
      <c r="BV1112" s="242"/>
      <c r="BW1112" s="242"/>
      <c r="BX1112" s="242"/>
      <c r="BY1112" s="242"/>
      <c r="BZ1112" s="242"/>
      <c r="CA1112" s="242"/>
      <c r="CB1112" s="242"/>
      <c r="CC1112" s="242"/>
      <c r="CD1112" s="242"/>
      <c r="CE1112" s="242"/>
      <c r="CF1112" s="242"/>
      <c r="CG1112" s="242"/>
      <c r="CH1112" s="242"/>
      <c r="CI1112" s="242"/>
      <c r="CJ1112" s="242"/>
      <c r="CK1112" s="242"/>
      <c r="CL1112" s="242"/>
      <c r="CM1112" s="242"/>
      <c r="CN1112" s="242"/>
      <c r="CO1112" s="242"/>
      <c r="CP1112" s="242"/>
      <c r="CQ1112" s="242"/>
      <c r="CR1112" s="242"/>
      <c r="CS1112" s="242"/>
      <c r="CT1112" s="242"/>
      <c r="CU1112" s="242"/>
      <c r="CV1112" s="242"/>
      <c r="CW1112" s="242"/>
      <c r="CX1112" s="242"/>
      <c r="CY1112" s="242"/>
      <c r="CZ1112" s="242"/>
      <c r="DA1112" s="242"/>
    </row>
    <row r="1113" spans="1:105" x14ac:dyDescent="0.25">
      <c r="A1113" s="564" t="s">
        <v>359</v>
      </c>
      <c r="C1113" s="92">
        <f t="shared" si="747"/>
        <v>20180328</v>
      </c>
      <c r="D1113" s="92">
        <f t="shared" si="747"/>
        <v>20180328</v>
      </c>
      <c r="E1113" s="92" t="str">
        <f>$F$5</f>
        <v>9999</v>
      </c>
      <c r="F1113" s="92" t="s">
        <v>1680</v>
      </c>
      <c r="G1113" s="109">
        <v>2</v>
      </c>
      <c r="H1113" s="109">
        <v>1</v>
      </c>
      <c r="I1113" s="109">
        <v>2</v>
      </c>
      <c r="J1113" s="109">
        <v>0</v>
      </c>
      <c r="K1113" s="109">
        <f>D1113-1</f>
        <v>20180327</v>
      </c>
      <c r="L1113" s="109">
        <v>7</v>
      </c>
      <c r="M1113" s="109">
        <v>2</v>
      </c>
      <c r="N1113" s="109">
        <v>2</v>
      </c>
      <c r="O1113" s="109">
        <v>2</v>
      </c>
      <c r="P1113" s="109">
        <v>0</v>
      </c>
      <c r="Q1113" s="370" t="s">
        <v>1128</v>
      </c>
      <c r="R1113" s="92">
        <f>$B$2</f>
        <v>20180328</v>
      </c>
      <c r="S1113" s="371">
        <v>0.54887731481481483</v>
      </c>
      <c r="T1113" s="728"/>
      <c r="U1113" s="728"/>
      <c r="V1113" s="728"/>
      <c r="W1113" s="242"/>
      <c r="X1113" s="242"/>
      <c r="Y1113" s="242"/>
      <c r="Z1113" s="242"/>
      <c r="AA1113" s="242"/>
      <c r="AB1113" s="242"/>
      <c r="AC1113" s="242"/>
      <c r="AD1113" s="242"/>
      <c r="AE1113" s="242"/>
      <c r="AF1113" s="242"/>
      <c r="AG1113" s="242"/>
      <c r="AH1113" s="242"/>
      <c r="AI1113" s="242"/>
      <c r="AJ1113" s="242"/>
      <c r="AK1113" s="242"/>
      <c r="AL1113" s="242"/>
      <c r="AM1113" s="242"/>
      <c r="AN1113" s="242"/>
      <c r="AO1113" s="242"/>
      <c r="AP1113" s="242"/>
      <c r="AQ1113" s="242"/>
      <c r="AR1113" s="242"/>
      <c r="AS1113" s="242"/>
      <c r="AT1113" s="242"/>
      <c r="AU1113" s="242"/>
      <c r="AV1113" s="242"/>
      <c r="AW1113" s="242"/>
      <c r="AX1113" s="242"/>
      <c r="AY1113" s="242"/>
      <c r="AZ1113" s="242"/>
      <c r="BA1113" s="242"/>
      <c r="BB1113" s="242"/>
      <c r="BC1113" s="242"/>
      <c r="BD1113" s="242"/>
      <c r="BE1113" s="242"/>
      <c r="BF1113" s="242"/>
      <c r="BG1113" s="242"/>
      <c r="BH1113" s="242"/>
      <c r="BI1113" s="242"/>
      <c r="BJ1113" s="242"/>
      <c r="BK1113" s="242"/>
      <c r="BL1113" s="242"/>
      <c r="BM1113" s="242"/>
      <c r="BN1113" s="242"/>
      <c r="BO1113" s="242"/>
      <c r="BP1113" s="242"/>
      <c r="BQ1113" s="242"/>
      <c r="BR1113" s="242"/>
      <c r="BS1113" s="242"/>
      <c r="BT1113" s="242"/>
      <c r="BU1113" s="242"/>
      <c r="BV1113" s="242"/>
      <c r="BW1113" s="242"/>
      <c r="BX1113" s="242"/>
      <c r="BY1113" s="242"/>
      <c r="BZ1113" s="242"/>
      <c r="CA1113" s="242"/>
      <c r="CB1113" s="242"/>
      <c r="CC1113" s="242"/>
      <c r="CD1113" s="242"/>
      <c r="CE1113" s="242"/>
      <c r="CF1113" s="242"/>
      <c r="CG1113" s="242"/>
      <c r="CH1113" s="242"/>
      <c r="CI1113" s="242"/>
      <c r="CJ1113" s="242"/>
      <c r="CK1113" s="242"/>
      <c r="CL1113" s="242"/>
      <c r="CM1113" s="242"/>
      <c r="CN1113" s="242"/>
      <c r="CO1113" s="242"/>
      <c r="CP1113" s="242"/>
      <c r="CQ1113" s="242"/>
      <c r="CR1113" s="242"/>
      <c r="CS1113" s="242"/>
      <c r="CT1113" s="242"/>
      <c r="CU1113" s="242"/>
      <c r="CV1113" s="242"/>
      <c r="CW1113" s="242"/>
      <c r="CX1113" s="242"/>
      <c r="CY1113" s="242"/>
      <c r="CZ1113" s="242"/>
      <c r="DA1113" s="242"/>
    </row>
    <row r="1114" spans="1:105" x14ac:dyDescent="0.25">
      <c r="A1114" s="564" t="s">
        <v>359</v>
      </c>
      <c r="C1114" s="92">
        <f t="shared" si="747"/>
        <v>20180328</v>
      </c>
      <c r="D1114" s="92">
        <f t="shared" si="747"/>
        <v>20180328</v>
      </c>
      <c r="E1114" s="92" t="str">
        <f>$F$5</f>
        <v>9999</v>
      </c>
      <c r="F1114" s="92" t="s">
        <v>1675</v>
      </c>
      <c r="G1114" s="109">
        <v>2</v>
      </c>
      <c r="H1114" s="109">
        <v>1</v>
      </c>
      <c r="I1114" s="109">
        <v>2</v>
      </c>
      <c r="J1114" s="109">
        <v>0</v>
      </c>
      <c r="K1114" s="109">
        <f>D1114-1</f>
        <v>20180327</v>
      </c>
      <c r="L1114" s="109">
        <v>7</v>
      </c>
      <c r="M1114" s="109">
        <v>2</v>
      </c>
      <c r="N1114" s="109">
        <v>2</v>
      </c>
      <c r="O1114" s="109">
        <v>2</v>
      </c>
      <c r="P1114" s="109">
        <v>0</v>
      </c>
      <c r="Q1114" s="370" t="s">
        <v>1128</v>
      </c>
      <c r="R1114" s="92">
        <f>$B$2</f>
        <v>20180328</v>
      </c>
      <c r="S1114" s="371">
        <v>0.54887731481481483</v>
      </c>
      <c r="T1114" s="728"/>
      <c r="U1114" s="728"/>
      <c r="V1114" s="728"/>
      <c r="W1114" s="242"/>
      <c r="X1114" s="242"/>
      <c r="Y1114" s="242"/>
      <c r="Z1114" s="242"/>
      <c r="AA1114" s="242"/>
      <c r="AB1114" s="242"/>
      <c r="AC1114" s="242"/>
      <c r="AD1114" s="242"/>
      <c r="AE1114" s="242"/>
      <c r="AF1114" s="242"/>
      <c r="AG1114" s="242"/>
      <c r="AH1114" s="242"/>
      <c r="AI1114" s="242"/>
      <c r="AJ1114" s="242"/>
      <c r="AK1114" s="242"/>
      <c r="AL1114" s="242"/>
      <c r="AM1114" s="242"/>
      <c r="AN1114" s="242"/>
      <c r="AO1114" s="242"/>
      <c r="AP1114" s="242"/>
      <c r="AQ1114" s="242"/>
      <c r="AR1114" s="242"/>
      <c r="AS1114" s="242"/>
      <c r="AT1114" s="242"/>
      <c r="AU1114" s="242"/>
      <c r="AV1114" s="242"/>
      <c r="AW1114" s="242"/>
      <c r="AX1114" s="242"/>
      <c r="AY1114" s="242"/>
      <c r="AZ1114" s="242"/>
      <c r="BA1114" s="242"/>
      <c r="BB1114" s="242"/>
      <c r="BC1114" s="242"/>
      <c r="BD1114" s="242"/>
      <c r="BE1114" s="242"/>
      <c r="BF1114" s="242"/>
      <c r="BG1114" s="242"/>
      <c r="BH1114" s="242"/>
      <c r="BI1114" s="242"/>
      <c r="BJ1114" s="242"/>
      <c r="BK1114" s="242"/>
      <c r="BL1114" s="242"/>
      <c r="BM1114" s="242"/>
      <c r="BN1114" s="242"/>
      <c r="BO1114" s="242"/>
      <c r="BP1114" s="242"/>
      <c r="BQ1114" s="242"/>
      <c r="BR1114" s="242"/>
      <c r="BS1114" s="242"/>
      <c r="BT1114" s="242"/>
      <c r="BU1114" s="242"/>
      <c r="BV1114" s="242"/>
      <c r="BW1114" s="242"/>
      <c r="BX1114" s="242"/>
      <c r="BY1114" s="242"/>
      <c r="BZ1114" s="242"/>
      <c r="CA1114" s="242"/>
      <c r="CB1114" s="242"/>
      <c r="CC1114" s="242"/>
      <c r="CD1114" s="242"/>
      <c r="CE1114" s="242"/>
      <c r="CF1114" s="242"/>
      <c r="CG1114" s="242"/>
      <c r="CH1114" s="242"/>
      <c r="CI1114" s="242"/>
      <c r="CJ1114" s="242"/>
      <c r="CK1114" s="242"/>
      <c r="CL1114" s="242"/>
      <c r="CM1114" s="242"/>
      <c r="CN1114" s="242"/>
      <c r="CO1114" s="242"/>
      <c r="CP1114" s="242"/>
      <c r="CQ1114" s="242"/>
      <c r="CR1114" s="242"/>
      <c r="CS1114" s="242"/>
      <c r="CT1114" s="242"/>
      <c r="CU1114" s="242"/>
      <c r="CV1114" s="242"/>
      <c r="CW1114" s="242"/>
      <c r="CX1114" s="242"/>
      <c r="CY1114" s="242"/>
      <c r="CZ1114" s="242"/>
      <c r="DA1114" s="242"/>
    </row>
    <row r="1115" spans="1:105" x14ac:dyDescent="0.25">
      <c r="A1115" s="564" t="s">
        <v>359</v>
      </c>
      <c r="C1115" s="92">
        <f t="shared" si="747"/>
        <v>20180328</v>
      </c>
      <c r="D1115" s="92">
        <f t="shared" si="747"/>
        <v>20180328</v>
      </c>
      <c r="E1115" s="92" t="str">
        <f>$F$5</f>
        <v>9999</v>
      </c>
      <c r="F1115" s="92" t="s">
        <v>1677</v>
      </c>
      <c r="G1115" s="109">
        <v>2</v>
      </c>
      <c r="H1115" s="109">
        <v>1</v>
      </c>
      <c r="I1115" s="109">
        <v>2</v>
      </c>
      <c r="J1115" s="109">
        <v>0</v>
      </c>
      <c r="K1115" s="109">
        <f>D1115-1</f>
        <v>20180327</v>
      </c>
      <c r="L1115" s="109">
        <v>7</v>
      </c>
      <c r="M1115" s="109">
        <v>2</v>
      </c>
      <c r="N1115" s="109">
        <v>2</v>
      </c>
      <c r="O1115" s="109">
        <v>2</v>
      </c>
      <c r="P1115" s="109">
        <v>0</v>
      </c>
      <c r="Q1115" s="370" t="s">
        <v>1128</v>
      </c>
      <c r="R1115" s="92">
        <f>$B$2</f>
        <v>20180328</v>
      </c>
      <c r="S1115" s="371">
        <v>0.54887731481481483</v>
      </c>
      <c r="T1115" s="696"/>
      <c r="U1115" s="696"/>
      <c r="V1115" s="696"/>
      <c r="W1115" s="242"/>
      <c r="X1115" s="242"/>
      <c r="Y1115" s="242"/>
      <c r="Z1115" s="242"/>
      <c r="AA1115" s="242"/>
      <c r="AB1115" s="242"/>
      <c r="AC1115" s="242"/>
      <c r="AD1115" s="242"/>
      <c r="AE1115" s="242"/>
      <c r="AF1115" s="242"/>
      <c r="AG1115" s="242"/>
      <c r="AH1115" s="242"/>
      <c r="AI1115" s="242"/>
      <c r="AJ1115" s="242"/>
      <c r="AK1115" s="242"/>
      <c r="AL1115" s="242"/>
      <c r="AM1115" s="242"/>
      <c r="AN1115" s="242"/>
      <c r="AO1115" s="242"/>
      <c r="AP1115" s="242"/>
      <c r="AQ1115" s="242"/>
      <c r="AR1115" s="242"/>
      <c r="AS1115" s="242"/>
      <c r="AT1115" s="242"/>
      <c r="AU1115" s="242"/>
      <c r="AV1115" s="242"/>
      <c r="AW1115" s="242"/>
      <c r="AX1115" s="242"/>
      <c r="AY1115" s="242"/>
      <c r="AZ1115" s="242"/>
      <c r="BA1115" s="242"/>
      <c r="BB1115" s="242"/>
      <c r="BC1115" s="242"/>
      <c r="BD1115" s="242"/>
      <c r="BE1115" s="242"/>
      <c r="BF1115" s="242"/>
      <c r="BG1115" s="242"/>
      <c r="BH1115" s="242"/>
      <c r="BI1115" s="242"/>
      <c r="BJ1115" s="242"/>
      <c r="BK1115" s="242"/>
      <c r="BL1115" s="242"/>
      <c r="BM1115" s="242"/>
      <c r="BN1115" s="242"/>
      <c r="BO1115" s="242"/>
      <c r="BP1115" s="242"/>
      <c r="BQ1115" s="242"/>
      <c r="BR1115" s="242"/>
      <c r="BS1115" s="242"/>
      <c r="BT1115" s="242"/>
      <c r="BU1115" s="242"/>
      <c r="BV1115" s="242"/>
      <c r="BW1115" s="242"/>
      <c r="BX1115" s="242"/>
      <c r="BY1115" s="242"/>
      <c r="BZ1115" s="242"/>
      <c r="CA1115" s="242"/>
      <c r="CB1115" s="242"/>
      <c r="CC1115" s="242"/>
      <c r="CD1115" s="242"/>
      <c r="CE1115" s="242"/>
      <c r="CF1115" s="242"/>
      <c r="CG1115" s="242"/>
      <c r="CH1115" s="242"/>
      <c r="CI1115" s="242"/>
      <c r="CJ1115" s="242"/>
      <c r="CK1115" s="242"/>
      <c r="CL1115" s="242"/>
      <c r="CM1115" s="242"/>
      <c r="CN1115" s="242"/>
      <c r="CO1115" s="242"/>
      <c r="CP1115" s="242"/>
      <c r="CQ1115" s="242"/>
      <c r="CR1115" s="242"/>
      <c r="CS1115" s="242"/>
      <c r="CT1115" s="242"/>
      <c r="CU1115" s="242"/>
      <c r="CV1115" s="242"/>
      <c r="CW1115" s="242"/>
      <c r="CX1115" s="242"/>
      <c r="CY1115" s="242"/>
      <c r="CZ1115" s="242"/>
      <c r="DA1115" s="242"/>
    </row>
    <row r="1116" spans="1:105" x14ac:dyDescent="0.25">
      <c r="A1116" s="564" t="s">
        <v>359</v>
      </c>
      <c r="C1116" s="126"/>
      <c r="D1116" s="126"/>
      <c r="E1116" s="126"/>
      <c r="F1116" s="126"/>
      <c r="G1116" s="160"/>
      <c r="H1116" s="160"/>
      <c r="I1116" s="160"/>
      <c r="J1116" s="160"/>
      <c r="K1116" s="160"/>
      <c r="L1116" s="160"/>
      <c r="M1116" s="160"/>
      <c r="N1116" s="160"/>
      <c r="O1116" s="160"/>
      <c r="P1116" s="160"/>
      <c r="Q1116" s="372"/>
      <c r="R1116" s="126"/>
      <c r="S1116" s="373"/>
      <c r="T1116" s="372"/>
      <c r="U1116" s="372"/>
      <c r="V1116" s="372"/>
      <c r="W1116" s="242"/>
      <c r="X1116" s="242"/>
      <c r="Y1116" s="242"/>
      <c r="Z1116" s="242"/>
      <c r="AA1116" s="242"/>
      <c r="AB1116" s="242"/>
      <c r="AC1116" s="242"/>
      <c r="AD1116" s="242"/>
      <c r="AE1116" s="242"/>
      <c r="AF1116" s="242"/>
      <c r="AG1116" s="242"/>
      <c r="AH1116" s="242"/>
      <c r="AI1116" s="242"/>
      <c r="AJ1116" s="242"/>
      <c r="AK1116" s="242"/>
      <c r="AL1116" s="242"/>
      <c r="AM1116" s="242"/>
      <c r="AN1116" s="242"/>
      <c r="AO1116" s="242"/>
      <c r="AP1116" s="242"/>
      <c r="AQ1116" s="242"/>
      <c r="AR1116" s="242"/>
      <c r="AS1116" s="242"/>
      <c r="AT1116" s="242"/>
      <c r="AU1116" s="242"/>
      <c r="AV1116" s="242"/>
      <c r="AW1116" s="242"/>
      <c r="AX1116" s="242"/>
      <c r="AY1116" s="242"/>
      <c r="AZ1116" s="242"/>
      <c r="BA1116" s="242"/>
      <c r="BB1116" s="242"/>
      <c r="BC1116" s="242"/>
      <c r="BD1116" s="242"/>
      <c r="BE1116" s="242"/>
      <c r="BF1116" s="242"/>
      <c r="BG1116" s="242"/>
      <c r="BH1116" s="242"/>
      <c r="BI1116" s="242"/>
      <c r="BJ1116" s="242"/>
      <c r="BK1116" s="242"/>
      <c r="BL1116" s="242"/>
      <c r="BM1116" s="242"/>
      <c r="BN1116" s="242"/>
      <c r="BO1116" s="242"/>
      <c r="BP1116" s="242"/>
      <c r="BQ1116" s="242"/>
      <c r="BR1116" s="242"/>
      <c r="BS1116" s="242"/>
      <c r="BT1116" s="242"/>
      <c r="BU1116" s="242"/>
      <c r="BV1116" s="242"/>
      <c r="BW1116" s="242"/>
      <c r="BX1116" s="242"/>
      <c r="BY1116" s="242"/>
      <c r="BZ1116" s="242"/>
      <c r="CA1116" s="242"/>
      <c r="CB1116" s="242"/>
      <c r="CC1116" s="242"/>
      <c r="CD1116" s="242"/>
      <c r="CE1116" s="242"/>
      <c r="CF1116" s="242"/>
      <c r="CG1116" s="242"/>
      <c r="CH1116" s="242"/>
      <c r="CI1116" s="242"/>
      <c r="CJ1116" s="242"/>
      <c r="CK1116" s="242"/>
      <c r="CL1116" s="242"/>
      <c r="CM1116" s="242"/>
      <c r="CN1116" s="242"/>
      <c r="CO1116" s="242"/>
      <c r="CP1116" s="242"/>
      <c r="CQ1116" s="242"/>
      <c r="CR1116" s="242"/>
      <c r="CS1116" s="242"/>
      <c r="CT1116" s="242"/>
      <c r="CU1116" s="242"/>
      <c r="CV1116" s="242"/>
      <c r="CW1116" s="242"/>
      <c r="CX1116" s="242"/>
      <c r="CY1116" s="242"/>
      <c r="CZ1116" s="242"/>
      <c r="DA1116" s="242"/>
    </row>
    <row r="1117" spans="1:105" x14ac:dyDescent="0.25">
      <c r="A1117" s="564" t="s">
        <v>359</v>
      </c>
      <c r="B1117" s="4" t="s">
        <v>173</v>
      </c>
      <c r="C1117" s="4" t="s">
        <v>1702</v>
      </c>
    </row>
    <row r="1118" spans="1:105" x14ac:dyDescent="0.25">
      <c r="A1118" s="564" t="s">
        <v>359</v>
      </c>
      <c r="B1118" s="57" t="s">
        <v>124</v>
      </c>
      <c r="C1118" s="57" t="s">
        <v>1703</v>
      </c>
      <c r="D1118" s="9"/>
    </row>
    <row r="1119" spans="1:105" x14ac:dyDescent="0.25">
      <c r="A1119" s="564" t="s">
        <v>359</v>
      </c>
      <c r="B1119" t="s">
        <v>1095</v>
      </c>
      <c r="C1119" s="701" t="s">
        <v>1815</v>
      </c>
      <c r="D1119" s="701"/>
      <c r="E1119" s="701"/>
      <c r="F1119" s="701"/>
      <c r="G1119" s="701"/>
      <c r="H1119" s="701"/>
      <c r="I1119" s="701"/>
      <c r="J1119" s="701"/>
      <c r="K1119" s="701"/>
      <c r="L1119" s="701"/>
      <c r="M1119" s="701"/>
      <c r="N1119" s="701"/>
      <c r="O1119" s="701"/>
      <c r="P1119" s="701"/>
      <c r="Q1119" s="701"/>
      <c r="R1119" s="701"/>
      <c r="S1119" s="701"/>
      <c r="T1119" s="729" t="s">
        <v>1700</v>
      </c>
      <c r="U1119" s="729" t="s">
        <v>1107</v>
      </c>
      <c r="V1119" s="729" t="s">
        <v>1108</v>
      </c>
    </row>
    <row r="1120" spans="1:105" x14ac:dyDescent="0.25">
      <c r="A1120" s="564" t="s">
        <v>359</v>
      </c>
      <c r="C1120" s="92" t="s">
        <v>1395</v>
      </c>
      <c r="D1120" s="92" t="s">
        <v>1684</v>
      </c>
      <c r="E1120" s="92" t="s">
        <v>1394</v>
      </c>
      <c r="F1120" s="92" t="s">
        <v>1401</v>
      </c>
      <c r="G1120" s="92" t="s">
        <v>1685</v>
      </c>
      <c r="H1120" s="92" t="s">
        <v>1686</v>
      </c>
      <c r="I1120" s="92" t="s">
        <v>1687</v>
      </c>
      <c r="J1120" s="92" t="s">
        <v>1688</v>
      </c>
      <c r="K1120" s="92" t="s">
        <v>1689</v>
      </c>
      <c r="L1120" s="92" t="s">
        <v>1690</v>
      </c>
      <c r="M1120" s="92" t="s">
        <v>1691</v>
      </c>
      <c r="N1120" s="92" t="s">
        <v>1692</v>
      </c>
      <c r="O1120" s="92" t="s">
        <v>1693</v>
      </c>
      <c r="P1120" s="92" t="s">
        <v>1694</v>
      </c>
      <c r="Q1120" s="92" t="s">
        <v>1695</v>
      </c>
      <c r="R1120" s="92" t="s">
        <v>1696</v>
      </c>
      <c r="S1120" s="92" t="s">
        <v>1697</v>
      </c>
      <c r="T1120" s="679"/>
      <c r="U1120" s="679"/>
      <c r="V1120" s="679"/>
    </row>
    <row r="1121" spans="1:22" x14ac:dyDescent="0.25">
      <c r="A1121" s="564" t="s">
        <v>359</v>
      </c>
      <c r="C1121" s="92">
        <f t="shared" ref="C1121:D1125" si="748">$B$2</f>
        <v>20180328</v>
      </c>
      <c r="D1121" s="92">
        <f t="shared" si="748"/>
        <v>20180328</v>
      </c>
      <c r="E1121" s="92" t="str">
        <f>$F$5</f>
        <v>9999</v>
      </c>
      <c r="F1121" s="92" t="s">
        <v>1236</v>
      </c>
      <c r="G1121" s="109">
        <v>3</v>
      </c>
      <c r="H1121" s="109">
        <v>1</v>
      </c>
      <c r="I1121" s="109">
        <v>2</v>
      </c>
      <c r="J1121" s="109">
        <v>0</v>
      </c>
      <c r="K1121" s="109">
        <f>D1121-1</f>
        <v>20180327</v>
      </c>
      <c r="L1121" s="109">
        <v>7</v>
      </c>
      <c r="M1121" s="109">
        <v>2</v>
      </c>
      <c r="N1121" s="109">
        <v>2</v>
      </c>
      <c r="O1121" s="109">
        <v>2</v>
      </c>
      <c r="P1121" s="109">
        <v>0</v>
      </c>
      <c r="Q1121" s="370" t="s">
        <v>1128</v>
      </c>
      <c r="R1121" s="109">
        <f>$B$2</f>
        <v>20180328</v>
      </c>
      <c r="S1121" s="371">
        <v>0.54887731481481483</v>
      </c>
      <c r="T1121" s="679" t="s">
        <v>1128</v>
      </c>
      <c r="U1121" s="679"/>
      <c r="V1121" s="679"/>
    </row>
    <row r="1122" spans="1:22" x14ac:dyDescent="0.25">
      <c r="A1122" s="564" t="s">
        <v>359</v>
      </c>
      <c r="C1122" s="92">
        <f t="shared" si="748"/>
        <v>20180328</v>
      </c>
      <c r="D1122" s="92">
        <f t="shared" si="748"/>
        <v>20180328</v>
      </c>
      <c r="E1122" s="92" t="str">
        <f>$F$5</f>
        <v>9999</v>
      </c>
      <c r="F1122" s="92" t="s">
        <v>1679</v>
      </c>
      <c r="G1122" s="109">
        <v>3</v>
      </c>
      <c r="H1122" s="109">
        <v>1</v>
      </c>
      <c r="I1122" s="109">
        <v>2</v>
      </c>
      <c r="J1122" s="109">
        <v>0</v>
      </c>
      <c r="K1122" s="109">
        <f>D1122-1</f>
        <v>20180327</v>
      </c>
      <c r="L1122" s="109">
        <v>7</v>
      </c>
      <c r="M1122" s="109">
        <v>2</v>
      </c>
      <c r="N1122" s="109">
        <v>2</v>
      </c>
      <c r="O1122" s="109">
        <v>2</v>
      </c>
      <c r="P1122" s="109">
        <v>0</v>
      </c>
      <c r="Q1122" s="370" t="s">
        <v>1128</v>
      </c>
      <c r="R1122" s="109">
        <f>$B$2</f>
        <v>20180328</v>
      </c>
      <c r="S1122" s="371">
        <v>0.54887731481481483</v>
      </c>
      <c r="T1122" s="679"/>
      <c r="U1122" s="679"/>
      <c r="V1122" s="679"/>
    </row>
    <row r="1123" spans="1:22" x14ac:dyDescent="0.25">
      <c r="A1123" s="564" t="s">
        <v>359</v>
      </c>
      <c r="C1123" s="92">
        <f t="shared" si="748"/>
        <v>20180328</v>
      </c>
      <c r="D1123" s="92">
        <f t="shared" si="748"/>
        <v>20180328</v>
      </c>
      <c r="E1123" s="92" t="str">
        <f>$F$5</f>
        <v>9999</v>
      </c>
      <c r="F1123" s="92" t="s">
        <v>1675</v>
      </c>
      <c r="G1123" s="109">
        <v>3</v>
      </c>
      <c r="H1123" s="109">
        <v>1</v>
      </c>
      <c r="I1123" s="109">
        <v>2</v>
      </c>
      <c r="J1123" s="109">
        <v>0</v>
      </c>
      <c r="K1123" s="109">
        <f>D1123-1</f>
        <v>20180327</v>
      </c>
      <c r="L1123" s="109">
        <v>7</v>
      </c>
      <c r="M1123" s="109">
        <v>2</v>
      </c>
      <c r="N1123" s="109">
        <v>2</v>
      </c>
      <c r="O1123" s="109">
        <v>2</v>
      </c>
      <c r="P1123" s="109">
        <v>0</v>
      </c>
      <c r="Q1123" s="370" t="s">
        <v>1128</v>
      </c>
      <c r="R1123" s="109">
        <f>$B$2</f>
        <v>20180328</v>
      </c>
      <c r="S1123" s="371">
        <v>0.54887731481481483</v>
      </c>
      <c r="T1123" s="679"/>
      <c r="U1123" s="679"/>
      <c r="V1123" s="679"/>
    </row>
    <row r="1124" spans="1:22" x14ac:dyDescent="0.25">
      <c r="A1124" s="564" t="s">
        <v>359</v>
      </c>
      <c r="C1124" s="92">
        <f t="shared" si="748"/>
        <v>20180328</v>
      </c>
      <c r="D1124" s="92">
        <f t="shared" si="748"/>
        <v>20180328</v>
      </c>
      <c r="E1124" s="92" t="str">
        <f>$F$5</f>
        <v>9999</v>
      </c>
      <c r="F1124" s="92" t="s">
        <v>1680</v>
      </c>
      <c r="G1124" s="109">
        <v>3</v>
      </c>
      <c r="H1124" s="109">
        <v>1</v>
      </c>
      <c r="I1124" s="109">
        <v>2</v>
      </c>
      <c r="J1124" s="109">
        <v>0</v>
      </c>
      <c r="K1124" s="109">
        <f>D1124-1</f>
        <v>20180327</v>
      </c>
      <c r="L1124" s="109">
        <v>7</v>
      </c>
      <c r="M1124" s="109">
        <v>2</v>
      </c>
      <c r="N1124" s="109">
        <v>2</v>
      </c>
      <c r="O1124" s="109">
        <v>2</v>
      </c>
      <c r="P1124" s="109">
        <v>0</v>
      </c>
      <c r="Q1124" s="370" t="s">
        <v>1128</v>
      </c>
      <c r="R1124" s="109">
        <f>$B$2</f>
        <v>20180328</v>
      </c>
      <c r="S1124" s="371">
        <v>0.54887731481481483</v>
      </c>
      <c r="T1124" s="679"/>
      <c r="U1124" s="679"/>
      <c r="V1124" s="679"/>
    </row>
    <row r="1125" spans="1:22" x14ac:dyDescent="0.25">
      <c r="A1125" s="564" t="s">
        <v>359</v>
      </c>
      <c r="C1125" s="92">
        <f t="shared" si="748"/>
        <v>20180328</v>
      </c>
      <c r="D1125" s="92">
        <f t="shared" si="748"/>
        <v>20180328</v>
      </c>
      <c r="E1125" s="92" t="str">
        <f>$F$5</f>
        <v>9999</v>
      </c>
      <c r="F1125" s="92" t="s">
        <v>1677</v>
      </c>
      <c r="G1125" s="109">
        <v>3</v>
      </c>
      <c r="H1125" s="109">
        <v>1</v>
      </c>
      <c r="I1125" s="109">
        <v>2</v>
      </c>
      <c r="J1125" s="109">
        <v>0</v>
      </c>
      <c r="K1125" s="109">
        <f>D1125-1</f>
        <v>20180327</v>
      </c>
      <c r="L1125" s="109">
        <v>7</v>
      </c>
      <c r="M1125" s="109">
        <v>2</v>
      </c>
      <c r="N1125" s="109">
        <v>2</v>
      </c>
      <c r="O1125" s="109">
        <v>2</v>
      </c>
      <c r="P1125" s="109">
        <v>0</v>
      </c>
      <c r="Q1125" s="370" t="s">
        <v>1128</v>
      </c>
      <c r="R1125" s="109">
        <f>$B$2</f>
        <v>20180328</v>
      </c>
      <c r="S1125" s="371">
        <v>0.54887731481481483</v>
      </c>
      <c r="T1125" s="679"/>
      <c r="U1125" s="679"/>
      <c r="V1125" s="679"/>
    </row>
    <row r="1126" spans="1:22" x14ac:dyDescent="0.25">
      <c r="A1126" s="564" t="s">
        <v>359</v>
      </c>
      <c r="B1126" s="4" t="s">
        <v>173</v>
      </c>
      <c r="C1126" s="4" t="s">
        <v>1712</v>
      </c>
    </row>
    <row r="1127" spans="1:22" x14ac:dyDescent="0.25">
      <c r="A1127" s="564" t="s">
        <v>359</v>
      </c>
      <c r="B1127" s="57" t="s">
        <v>124</v>
      </c>
      <c r="C1127" s="57" t="s">
        <v>1713</v>
      </c>
      <c r="D1127" s="9"/>
    </row>
    <row r="1128" spans="1:22" x14ac:dyDescent="0.25">
      <c r="A1128" s="564" t="s">
        <v>359</v>
      </c>
      <c r="B1128" t="s">
        <v>306</v>
      </c>
      <c r="C1128" s="92" t="s">
        <v>1723</v>
      </c>
      <c r="D1128" s="92" t="s">
        <v>1724</v>
      </c>
      <c r="E1128" s="92" t="s">
        <v>1725</v>
      </c>
      <c r="F1128" s="92" t="s">
        <v>1726</v>
      </c>
      <c r="G1128" s="92" t="s">
        <v>1727</v>
      </c>
      <c r="H1128" s="92" t="s">
        <v>1728</v>
      </c>
      <c r="I1128" s="92" t="s">
        <v>1729</v>
      </c>
      <c r="J1128" s="92" t="s">
        <v>1730</v>
      </c>
      <c r="K1128" s="92" t="s">
        <v>1731</v>
      </c>
      <c r="L1128" s="92" t="s">
        <v>1126</v>
      </c>
      <c r="M1128" s="92" t="s">
        <v>1107</v>
      </c>
      <c r="N1128" s="92" t="s">
        <v>1108</v>
      </c>
    </row>
    <row r="1129" spans="1:22" x14ac:dyDescent="0.25">
      <c r="A1129" s="564" t="s">
        <v>359</v>
      </c>
      <c r="C1129" s="374" t="s">
        <v>1741</v>
      </c>
      <c r="D1129" s="92" t="s">
        <v>1724</v>
      </c>
      <c r="E1129" s="92" t="s">
        <v>1725</v>
      </c>
      <c r="F1129" s="92" t="s">
        <v>1726</v>
      </c>
      <c r="G1129" s="92" t="s">
        <v>1727</v>
      </c>
      <c r="H1129" s="92" t="s">
        <v>1728</v>
      </c>
      <c r="I1129" s="92" t="s">
        <v>1729</v>
      </c>
      <c r="J1129" s="92" t="s">
        <v>1730</v>
      </c>
      <c r="K1129" s="92" t="s">
        <v>1731</v>
      </c>
      <c r="L1129" s="92" t="s">
        <v>1128</v>
      </c>
      <c r="M1129" s="92"/>
      <c r="N1129" s="92"/>
    </row>
    <row r="1130" spans="1:22" x14ac:dyDescent="0.25">
      <c r="A1130" s="564" t="s">
        <v>359</v>
      </c>
      <c r="B1130" s="57" t="s">
        <v>124</v>
      </c>
      <c r="C1130" s="57" t="s">
        <v>1716</v>
      </c>
      <c r="D1130" s="9"/>
    </row>
    <row r="1131" spans="1:22" x14ac:dyDescent="0.25">
      <c r="A1131" s="564" t="s">
        <v>359</v>
      </c>
      <c r="B1131" t="s">
        <v>306</v>
      </c>
      <c r="C1131" s="92" t="s">
        <v>1718</v>
      </c>
      <c r="D1131" s="92" t="s">
        <v>1126</v>
      </c>
      <c r="E1131" s="92" t="s">
        <v>1719</v>
      </c>
      <c r="F1131" s="92" t="s">
        <v>1720</v>
      </c>
      <c r="G1131" s="92" t="s">
        <v>1721</v>
      </c>
      <c r="H1131" s="92" t="s">
        <v>1107</v>
      </c>
      <c r="I1131" s="92" t="s">
        <v>1108</v>
      </c>
    </row>
    <row r="1132" spans="1:22" x14ac:dyDescent="0.25">
      <c r="A1132" s="564" t="s">
        <v>359</v>
      </c>
      <c r="C1132" s="92">
        <f>$B$2+1</f>
        <v>20180329</v>
      </c>
      <c r="D1132" s="92" t="s">
        <v>1128</v>
      </c>
      <c r="E1132" s="108" t="s">
        <v>1862</v>
      </c>
      <c r="F1132" s="92">
        <v>7</v>
      </c>
      <c r="G1132" s="92">
        <v>2</v>
      </c>
      <c r="H1132" s="92"/>
      <c r="I1132" s="92"/>
    </row>
    <row r="1133" spans="1:22" x14ac:dyDescent="0.25">
      <c r="A1133" s="564" t="s">
        <v>359</v>
      </c>
    </row>
    <row r="1134" spans="1:22" x14ac:dyDescent="0.25">
      <c r="A1134" t="s">
        <v>359</v>
      </c>
      <c r="B1134" s="4" t="s">
        <v>1752</v>
      </c>
      <c r="C1134" s="4" t="s">
        <v>1733</v>
      </c>
    </row>
    <row r="1135" spans="1:22" x14ac:dyDescent="0.25">
      <c r="A1135" t="s">
        <v>359</v>
      </c>
      <c r="B1135" s="348" t="s">
        <v>970</v>
      </c>
      <c r="C1135" s="348" t="s">
        <v>1735</v>
      </c>
    </row>
    <row r="1136" spans="1:22" x14ac:dyDescent="0.25">
      <c r="A1136" t="s">
        <v>359</v>
      </c>
      <c r="B1136" s="348" t="s">
        <v>1095</v>
      </c>
      <c r="C1136" s="360" t="s">
        <v>1622</v>
      </c>
    </row>
    <row r="1137" spans="1:14" x14ac:dyDescent="0.25">
      <c r="A1137" t="s">
        <v>359</v>
      </c>
      <c r="B1137" s="348"/>
      <c r="C1137" s="225" t="s">
        <v>1734</v>
      </c>
    </row>
    <row r="1138" spans="1:14" x14ac:dyDescent="0.25">
      <c r="A1138" t="s">
        <v>359</v>
      </c>
      <c r="B1138" s="262" t="s">
        <v>173</v>
      </c>
      <c r="C1138" t="s">
        <v>1738</v>
      </c>
    </row>
    <row r="1139" spans="1:14" x14ac:dyDescent="0.25">
      <c r="A1139" t="s">
        <v>359</v>
      </c>
      <c r="B1139" s="57" t="s">
        <v>124</v>
      </c>
      <c r="C1139" s="57" t="s">
        <v>1713</v>
      </c>
      <c r="D1139" s="9"/>
    </row>
    <row r="1140" spans="1:14" x14ac:dyDescent="0.25">
      <c r="A1140" t="s">
        <v>359</v>
      </c>
      <c r="B1140" t="s">
        <v>306</v>
      </c>
      <c r="C1140" s="92" t="s">
        <v>1723</v>
      </c>
      <c r="D1140" s="92" t="s">
        <v>1724</v>
      </c>
      <c r="E1140" s="92" t="s">
        <v>1725</v>
      </c>
      <c r="F1140" s="92" t="s">
        <v>1726</v>
      </c>
      <c r="G1140" s="92" t="s">
        <v>1727</v>
      </c>
      <c r="H1140" s="92" t="s">
        <v>1728</v>
      </c>
      <c r="I1140" s="92" t="s">
        <v>1729</v>
      </c>
      <c r="J1140" s="92" t="s">
        <v>1730</v>
      </c>
      <c r="K1140" s="92" t="s">
        <v>1731</v>
      </c>
      <c r="L1140" s="92" t="s">
        <v>1126</v>
      </c>
      <c r="M1140" s="92" t="s">
        <v>1107</v>
      </c>
      <c r="N1140" s="92" t="s">
        <v>1108</v>
      </c>
    </row>
    <row r="1141" spans="1:14" x14ac:dyDescent="0.25">
      <c r="A1141" t="s">
        <v>359</v>
      </c>
      <c r="C1141" s="108" t="s">
        <v>1741</v>
      </c>
      <c r="D1141" s="92" t="s">
        <v>1724</v>
      </c>
      <c r="E1141" s="92" t="s">
        <v>1725</v>
      </c>
      <c r="F1141" s="92" t="s">
        <v>1726</v>
      </c>
      <c r="G1141" s="92" t="s">
        <v>1727</v>
      </c>
      <c r="H1141" s="92" t="s">
        <v>1728</v>
      </c>
      <c r="I1141" s="92" t="s">
        <v>1729</v>
      </c>
      <c r="J1141" s="92" t="s">
        <v>1730</v>
      </c>
      <c r="K1141" s="92" t="s">
        <v>1731</v>
      </c>
      <c r="L1141" s="92" t="s">
        <v>1128</v>
      </c>
      <c r="M1141" s="92"/>
      <c r="N1141" s="92"/>
    </row>
    <row r="1142" spans="1:14" x14ac:dyDescent="0.25">
      <c r="A1142" t="s">
        <v>359</v>
      </c>
      <c r="B1142" s="57" t="s">
        <v>124</v>
      </c>
      <c r="C1142" s="57" t="s">
        <v>1740</v>
      </c>
      <c r="D1142" s="9"/>
    </row>
    <row r="1143" spans="1:14" x14ac:dyDescent="0.25">
      <c r="A1143" t="s">
        <v>359</v>
      </c>
      <c r="B1143" t="s">
        <v>306</v>
      </c>
      <c r="C1143" s="92" t="s">
        <v>1718</v>
      </c>
      <c r="D1143" s="92" t="s">
        <v>1723</v>
      </c>
      <c r="E1143" s="92" t="s">
        <v>1126</v>
      </c>
      <c r="F1143" s="92" t="s">
        <v>1107</v>
      </c>
      <c r="G1143" s="92" t="s">
        <v>1108</v>
      </c>
    </row>
    <row r="1144" spans="1:14" x14ac:dyDescent="0.25">
      <c r="A1144" t="s">
        <v>359</v>
      </c>
      <c r="C1144" s="92">
        <f>$B$2+1</f>
        <v>20180329</v>
      </c>
      <c r="D1144" s="108" t="s">
        <v>1741</v>
      </c>
      <c r="E1144" s="92" t="s">
        <v>1128</v>
      </c>
      <c r="F1144" s="92"/>
      <c r="G1144" s="92"/>
    </row>
    <row r="1145" spans="1:14" x14ac:dyDescent="0.25">
      <c r="A1145" t="s">
        <v>359</v>
      </c>
      <c r="B1145" t="s">
        <v>173</v>
      </c>
      <c r="C1145" t="s">
        <v>1739</v>
      </c>
    </row>
    <row r="1146" spans="1:14" x14ac:dyDescent="0.25">
      <c r="A1146" t="s">
        <v>359</v>
      </c>
      <c r="B1146" s="57" t="s">
        <v>124</v>
      </c>
      <c r="C1146" s="57" t="s">
        <v>1713</v>
      </c>
      <c r="D1146" s="9"/>
    </row>
    <row r="1147" spans="1:14" x14ac:dyDescent="0.25">
      <c r="A1147" t="s">
        <v>359</v>
      </c>
      <c r="B1147" t="s">
        <v>1250</v>
      </c>
      <c r="C1147" s="92" t="s">
        <v>1723</v>
      </c>
      <c r="D1147" s="92" t="s">
        <v>1724</v>
      </c>
      <c r="E1147" s="92" t="s">
        <v>1725</v>
      </c>
      <c r="F1147" s="92" t="s">
        <v>1726</v>
      </c>
      <c r="G1147" s="92" t="s">
        <v>1727</v>
      </c>
      <c r="H1147" s="92" t="s">
        <v>1728</v>
      </c>
      <c r="I1147" s="92" t="s">
        <v>1729</v>
      </c>
      <c r="J1147" s="92" t="s">
        <v>1730</v>
      </c>
      <c r="K1147" s="92" t="s">
        <v>1731</v>
      </c>
      <c r="L1147" s="92" t="s">
        <v>1126</v>
      </c>
      <c r="M1147" s="92" t="s">
        <v>1107</v>
      </c>
      <c r="N1147" s="92" t="s">
        <v>1108</v>
      </c>
    </row>
    <row r="1148" spans="1:14" x14ac:dyDescent="0.25">
      <c r="A1148" t="s">
        <v>359</v>
      </c>
      <c r="C1148" s="108" t="s">
        <v>1741</v>
      </c>
      <c r="D1148" s="92" t="s">
        <v>1724</v>
      </c>
      <c r="E1148" s="92" t="s">
        <v>1725</v>
      </c>
      <c r="F1148" s="92" t="s">
        <v>1726</v>
      </c>
      <c r="G1148" s="92" t="s">
        <v>1727</v>
      </c>
      <c r="H1148" s="92" t="s">
        <v>1728</v>
      </c>
      <c r="I1148" s="92" t="s">
        <v>1729</v>
      </c>
      <c r="J1148" s="92" t="s">
        <v>1730</v>
      </c>
      <c r="K1148" s="92" t="s">
        <v>1731</v>
      </c>
      <c r="L1148" s="92" t="s">
        <v>1128</v>
      </c>
      <c r="M1148" s="92"/>
      <c r="N1148" s="92"/>
    </row>
    <row r="1149" spans="1:14" x14ac:dyDescent="0.25">
      <c r="A1149" t="s">
        <v>359</v>
      </c>
      <c r="B1149" s="57" t="s">
        <v>124</v>
      </c>
      <c r="C1149" s="57" t="s">
        <v>1716</v>
      </c>
      <c r="D1149" s="9"/>
    </row>
    <row r="1150" spans="1:14" x14ac:dyDescent="0.25">
      <c r="A1150" t="s">
        <v>359</v>
      </c>
      <c r="B1150" t="s">
        <v>1095</v>
      </c>
      <c r="C1150" s="92" t="s">
        <v>1717</v>
      </c>
      <c r="D1150" s="92" t="s">
        <v>1126</v>
      </c>
      <c r="E1150" s="92" t="s">
        <v>1719</v>
      </c>
      <c r="F1150" s="92" t="s">
        <v>1720</v>
      </c>
      <c r="G1150" s="92" t="s">
        <v>1721</v>
      </c>
      <c r="H1150" s="92" t="s">
        <v>1107</v>
      </c>
      <c r="I1150" s="92" t="s">
        <v>1107</v>
      </c>
    </row>
    <row r="1151" spans="1:14" x14ac:dyDescent="0.25">
      <c r="A1151" t="s">
        <v>359</v>
      </c>
      <c r="C1151" s="92">
        <f>$B$2+1</f>
        <v>20180329</v>
      </c>
      <c r="D1151" s="92" t="s">
        <v>1128</v>
      </c>
      <c r="E1151" s="108" t="s">
        <v>1741</v>
      </c>
      <c r="F1151" s="92">
        <v>2</v>
      </c>
      <c r="G1151" s="92">
        <v>7</v>
      </c>
      <c r="H1151" s="92"/>
      <c r="I1151" s="92"/>
    </row>
  </sheetData>
  <mergeCells count="354">
    <mergeCell ref="AN290:AN291"/>
    <mergeCell ref="B294:AJ294"/>
    <mergeCell ref="AK294:AK295"/>
    <mergeCell ref="AL294:AL295"/>
    <mergeCell ref="AM294:AM295"/>
    <mergeCell ref="AN294:AN295"/>
    <mergeCell ref="B298:AJ298"/>
    <mergeCell ref="AK298:AK299"/>
    <mergeCell ref="AL298:AL299"/>
    <mergeCell ref="AM298:AM299"/>
    <mergeCell ref="AN298:AN299"/>
    <mergeCell ref="C637:S637"/>
    <mergeCell ref="T637:T638"/>
    <mergeCell ref="U637:U638"/>
    <mergeCell ref="V637:V638"/>
    <mergeCell ref="V642:V643"/>
    <mergeCell ref="B290:AJ290"/>
    <mergeCell ref="AK290:AK291"/>
    <mergeCell ref="AL290:AL291"/>
    <mergeCell ref="AM290:AM291"/>
    <mergeCell ref="B308:AB308"/>
    <mergeCell ref="AC308:AC309"/>
    <mergeCell ref="AD308:AD309"/>
    <mergeCell ref="AE308:AE309"/>
    <mergeCell ref="AF308:AF309"/>
    <mergeCell ref="B312:AB312"/>
    <mergeCell ref="AC312:AC313"/>
    <mergeCell ref="AD312:AD313"/>
    <mergeCell ref="AE312:AE313"/>
    <mergeCell ref="AF312:AF313"/>
    <mergeCell ref="B316:AB316"/>
    <mergeCell ref="AC316:AC317"/>
    <mergeCell ref="AD316:AD317"/>
    <mergeCell ref="AE316:AE317"/>
    <mergeCell ref="AF316:AF317"/>
    <mergeCell ref="T343:T344"/>
    <mergeCell ref="U343:U344"/>
    <mergeCell ref="V343:V344"/>
    <mergeCell ref="S348:S349"/>
    <mergeCell ref="T348:T349"/>
    <mergeCell ref="U348:U349"/>
    <mergeCell ref="V348:V349"/>
    <mergeCell ref="B1042:R1042"/>
    <mergeCell ref="U597:U598"/>
    <mergeCell ref="C652:S652"/>
    <mergeCell ref="T652:T653"/>
    <mergeCell ref="U652:U653"/>
    <mergeCell ref="V652:V653"/>
    <mergeCell ref="C607:S607"/>
    <mergeCell ref="T607:T608"/>
    <mergeCell ref="U607:U608"/>
    <mergeCell ref="V607:V608"/>
    <mergeCell ref="C617:S617"/>
    <mergeCell ref="C647:S647"/>
    <mergeCell ref="T647:T648"/>
    <mergeCell ref="U647:U648"/>
    <mergeCell ref="V647:V648"/>
    <mergeCell ref="C627:S627"/>
    <mergeCell ref="T627:T628"/>
    <mergeCell ref="V622:V623"/>
    <mergeCell ref="C642:S642"/>
    <mergeCell ref="T587:T588"/>
    <mergeCell ref="U642:U643"/>
    <mergeCell ref="C592:S592"/>
    <mergeCell ref="T592:T593"/>
    <mergeCell ref="U592:U593"/>
    <mergeCell ref="V592:V593"/>
    <mergeCell ref="C612:S612"/>
    <mergeCell ref="T612:T613"/>
    <mergeCell ref="U612:U613"/>
    <mergeCell ref="V612:V613"/>
    <mergeCell ref="U632:U633"/>
    <mergeCell ref="V632:V633"/>
    <mergeCell ref="C597:S597"/>
    <mergeCell ref="T597:T598"/>
    <mergeCell ref="T642:T643"/>
    <mergeCell ref="V597:V598"/>
    <mergeCell ref="V617:V618"/>
    <mergeCell ref="C622:S622"/>
    <mergeCell ref="C632:S632"/>
    <mergeCell ref="T632:T633"/>
    <mergeCell ref="U627:U628"/>
    <mergeCell ref="V627:V628"/>
    <mergeCell ref="B249:E249"/>
    <mergeCell ref="C461:X461"/>
    <mergeCell ref="C482:AF482"/>
    <mergeCell ref="B256:R256"/>
    <mergeCell ref="S256:S257"/>
    <mergeCell ref="T256:T257"/>
    <mergeCell ref="U256:U257"/>
    <mergeCell ref="B261:R261"/>
    <mergeCell ref="S261:S262"/>
    <mergeCell ref="T261:T262"/>
    <mergeCell ref="U261:U262"/>
    <mergeCell ref="V261:V262"/>
    <mergeCell ref="B266:R266"/>
    <mergeCell ref="B326:L326"/>
    <mergeCell ref="M326:M327"/>
    <mergeCell ref="N326:N327"/>
    <mergeCell ref="N409:N410"/>
    <mergeCell ref="C343:R343"/>
    <mergeCell ref="C348:R348"/>
    <mergeCell ref="S338:S339"/>
    <mergeCell ref="T338:T339"/>
    <mergeCell ref="U338:U339"/>
    <mergeCell ref="V338:V339"/>
    <mergeCell ref="S343:S344"/>
    <mergeCell ref="C457:AF457"/>
    <mergeCell ref="B572:R572"/>
    <mergeCell ref="S572:S573"/>
    <mergeCell ref="T572:T573"/>
    <mergeCell ref="U572:U573"/>
    <mergeCell ref="AD515:AD516"/>
    <mergeCell ref="AF515:AF516"/>
    <mergeCell ref="AD495:AD496"/>
    <mergeCell ref="AE495:AE496"/>
    <mergeCell ref="AF495:AF496"/>
    <mergeCell ref="AF550:AF551"/>
    <mergeCell ref="AG515:AG516"/>
    <mergeCell ref="C467:AF467"/>
    <mergeCell ref="B1080:AQ1080"/>
    <mergeCell ref="B248:E248"/>
    <mergeCell ref="B562:R562"/>
    <mergeCell ref="T562:T563"/>
    <mergeCell ref="U562:U563"/>
    <mergeCell ref="V562:V563"/>
    <mergeCell ref="B567:R567"/>
    <mergeCell ref="S567:S568"/>
    <mergeCell ref="T567:T568"/>
    <mergeCell ref="U567:U568"/>
    <mergeCell ref="C577:S577"/>
    <mergeCell ref="T577:T578"/>
    <mergeCell ref="U577:U578"/>
    <mergeCell ref="V577:V578"/>
    <mergeCell ref="C582:S582"/>
    <mergeCell ref="T582:T583"/>
    <mergeCell ref="T617:T618"/>
    <mergeCell ref="U617:U618"/>
    <mergeCell ref="C471:X471"/>
    <mergeCell ref="C854:AD854"/>
    <mergeCell ref="C877:AV877"/>
    <mergeCell ref="AJ482:AJ483"/>
    <mergeCell ref="B321:L321"/>
    <mergeCell ref="S557:S558"/>
    <mergeCell ref="T557:T558"/>
    <mergeCell ref="U557:U558"/>
    <mergeCell ref="AD520:AD521"/>
    <mergeCell ref="AE520:AE521"/>
    <mergeCell ref="AF520:AF521"/>
    <mergeCell ref="AG520:AG521"/>
    <mergeCell ref="C515:AC515"/>
    <mergeCell ref="C520:AC520"/>
    <mergeCell ref="AD525:AD526"/>
    <mergeCell ref="AE525:AE526"/>
    <mergeCell ref="AF525:AF526"/>
    <mergeCell ref="AG525:AG526"/>
    <mergeCell ref="AD500:AD501"/>
    <mergeCell ref="AE500:AE501"/>
    <mergeCell ref="AF500:AF501"/>
    <mergeCell ref="AG500:AG501"/>
    <mergeCell ref="AG482:AG483"/>
    <mergeCell ref="C472:AF472"/>
    <mergeCell ref="Q399:Q400"/>
    <mergeCell ref="N404:N405"/>
    <mergeCell ref="O404:O405"/>
    <mergeCell ref="P404:P405"/>
    <mergeCell ref="AJ427:AJ428"/>
    <mergeCell ref="P409:P410"/>
    <mergeCell ref="Q409:Q410"/>
    <mergeCell ref="AG427:AG428"/>
    <mergeCell ref="AH427:AH428"/>
    <mergeCell ref="AI427:AI428"/>
    <mergeCell ref="Q414:Q415"/>
    <mergeCell ref="AD384:AD385"/>
    <mergeCell ref="P399:P400"/>
    <mergeCell ref="AE384:AE385"/>
    <mergeCell ref="AF384:AF385"/>
    <mergeCell ref="AG384:AG385"/>
    <mergeCell ref="AD389:AD390"/>
    <mergeCell ref="AE389:AE390"/>
    <mergeCell ref="AF389:AF390"/>
    <mergeCell ref="AG389:AG390"/>
    <mergeCell ref="AG447:AG448"/>
    <mergeCell ref="AH447:AH448"/>
    <mergeCell ref="C399:M399"/>
    <mergeCell ref="C404:M404"/>
    <mergeCell ref="C409:M409"/>
    <mergeCell ref="C414:M414"/>
    <mergeCell ref="N399:N400"/>
    <mergeCell ref="O399:O400"/>
    <mergeCell ref="N414:N415"/>
    <mergeCell ref="O414:O415"/>
    <mergeCell ref="P414:P415"/>
    <mergeCell ref="C432:AF432"/>
    <mergeCell ref="C447:AF447"/>
    <mergeCell ref="C437:AF437"/>
    <mergeCell ref="AG437:AG438"/>
    <mergeCell ref="AH437:AH438"/>
    <mergeCell ref="O409:O410"/>
    <mergeCell ref="B227:K227"/>
    <mergeCell ref="C361:Z361"/>
    <mergeCell ref="C373:Z373"/>
    <mergeCell ref="C369:Z369"/>
    <mergeCell ref="C365:Z365"/>
    <mergeCell ref="C384:AC384"/>
    <mergeCell ref="C389:AC389"/>
    <mergeCell ref="C427:AF427"/>
    <mergeCell ref="C1013:M1013"/>
    <mergeCell ref="B923:AV923"/>
    <mergeCell ref="B839:U839"/>
    <mergeCell ref="B821:AC821"/>
    <mergeCell ref="B789:Z789"/>
    <mergeCell ref="C713:Z713"/>
    <mergeCell ref="B659:AQ659"/>
    <mergeCell ref="AG432:AG433"/>
    <mergeCell ref="AH432:AH433"/>
    <mergeCell ref="AI432:AI433"/>
    <mergeCell ref="AJ432:AJ433"/>
    <mergeCell ref="AA373:AA374"/>
    <mergeCell ref="AB373:AB374"/>
    <mergeCell ref="AC373:AC374"/>
    <mergeCell ref="AD373:AD374"/>
    <mergeCell ref="AC361:AC362"/>
    <mergeCell ref="AG477:AG478"/>
    <mergeCell ref="AH477:AH478"/>
    <mergeCell ref="AI477:AI478"/>
    <mergeCell ref="AI482:AI483"/>
    <mergeCell ref="AE515:AE516"/>
    <mergeCell ref="AJ477:AJ478"/>
    <mergeCell ref="AI457:AI458"/>
    <mergeCell ref="AJ457:AJ458"/>
    <mergeCell ref="AG462:AG463"/>
    <mergeCell ref="AH462:AH463"/>
    <mergeCell ref="AI462:AI463"/>
    <mergeCell ref="AJ462:AJ463"/>
    <mergeCell ref="AG457:AG458"/>
    <mergeCell ref="AH457:AH458"/>
    <mergeCell ref="AG467:AG468"/>
    <mergeCell ref="AH467:AH468"/>
    <mergeCell ref="AI467:AI468"/>
    <mergeCell ref="AJ467:AJ468"/>
    <mergeCell ref="AG472:AG473"/>
    <mergeCell ref="AH472:AH473"/>
    <mergeCell ref="AI472:AI473"/>
    <mergeCell ref="AJ472:AJ473"/>
    <mergeCell ref="AH482:AH483"/>
    <mergeCell ref="AG495:AG496"/>
    <mergeCell ref="T1111:T1115"/>
    <mergeCell ref="U1111:U1115"/>
    <mergeCell ref="V1111:V1115"/>
    <mergeCell ref="C1119:S1119"/>
    <mergeCell ref="T1119:T1120"/>
    <mergeCell ref="U1119:U1120"/>
    <mergeCell ref="V1119:V1120"/>
    <mergeCell ref="AI452:AI453"/>
    <mergeCell ref="T1121:T1125"/>
    <mergeCell ref="U1121:U1125"/>
    <mergeCell ref="V1121:V1125"/>
    <mergeCell ref="C505:AC505"/>
    <mergeCell ref="AD505:AD506"/>
    <mergeCell ref="AE505:AE506"/>
    <mergeCell ref="AF505:AF506"/>
    <mergeCell ref="AG505:AG506"/>
    <mergeCell ref="C510:AC510"/>
    <mergeCell ref="AD510:AD511"/>
    <mergeCell ref="AE510:AE511"/>
    <mergeCell ref="AF510:AF511"/>
    <mergeCell ref="AG510:AG511"/>
    <mergeCell ref="C525:AC525"/>
    <mergeCell ref="C530:AC530"/>
    <mergeCell ref="C545:AC545"/>
    <mergeCell ref="AD369:AD370"/>
    <mergeCell ref="AA361:AA362"/>
    <mergeCell ref="AB361:AB362"/>
    <mergeCell ref="AA369:AA370"/>
    <mergeCell ref="AB369:AB370"/>
    <mergeCell ref="C1109:S1109"/>
    <mergeCell ref="T1109:T1110"/>
    <mergeCell ref="U1109:U1110"/>
    <mergeCell ref="V1109:V1110"/>
    <mergeCell ref="C550:AC550"/>
    <mergeCell ref="AD530:AD531"/>
    <mergeCell ref="Q404:Q405"/>
    <mergeCell ref="C495:AC495"/>
    <mergeCell ref="C500:AC500"/>
    <mergeCell ref="S562:S563"/>
    <mergeCell ref="U587:U588"/>
    <mergeCell ref="V587:V588"/>
    <mergeCell ref="C452:AF452"/>
    <mergeCell ref="C462:AF462"/>
    <mergeCell ref="C477:AF477"/>
    <mergeCell ref="AE530:AE531"/>
    <mergeCell ref="AF530:AF531"/>
    <mergeCell ref="V582:V583"/>
    <mergeCell ref="C587:S587"/>
    <mergeCell ref="AJ452:AJ453"/>
    <mergeCell ref="AI447:AI448"/>
    <mergeCell ref="AJ447:AJ448"/>
    <mergeCell ref="AG452:AG453"/>
    <mergeCell ref="AH452:AH453"/>
    <mergeCell ref="AG550:AG551"/>
    <mergeCell ref="C338:R338"/>
    <mergeCell ref="AG530:AG531"/>
    <mergeCell ref="AD545:AD546"/>
    <mergeCell ref="AE545:AE546"/>
    <mergeCell ref="AF545:AF546"/>
    <mergeCell ref="AI437:AI438"/>
    <mergeCell ref="AJ437:AJ438"/>
    <mergeCell ref="C442:AF442"/>
    <mergeCell ref="AG442:AG443"/>
    <mergeCell ref="AH442:AH443"/>
    <mergeCell ref="AI442:AI443"/>
    <mergeCell ref="AJ442:AJ443"/>
    <mergeCell ref="AD361:AD362"/>
    <mergeCell ref="AA365:AA366"/>
    <mergeCell ref="AB365:AB366"/>
    <mergeCell ref="AC365:AC366"/>
    <mergeCell ref="AD365:AD366"/>
    <mergeCell ref="AC369:AC370"/>
    <mergeCell ref="B1088:BP1088"/>
    <mergeCell ref="B1096:AS1096"/>
    <mergeCell ref="C535:AC535"/>
    <mergeCell ref="AD535:AD536"/>
    <mergeCell ref="AE535:AE536"/>
    <mergeCell ref="AF535:AF536"/>
    <mergeCell ref="AG535:AG536"/>
    <mergeCell ref="C540:AC540"/>
    <mergeCell ref="AD540:AD541"/>
    <mergeCell ref="AE540:AE541"/>
    <mergeCell ref="AF540:AF541"/>
    <mergeCell ref="AG540:AG541"/>
    <mergeCell ref="B1020:BW1020"/>
    <mergeCell ref="B557:R557"/>
    <mergeCell ref="AG545:AG546"/>
    <mergeCell ref="AD550:AD551"/>
    <mergeCell ref="AE550:AE551"/>
    <mergeCell ref="U582:U583"/>
    <mergeCell ref="C602:S602"/>
    <mergeCell ref="T602:T603"/>
    <mergeCell ref="U602:U603"/>
    <mergeCell ref="V602:V603"/>
    <mergeCell ref="T622:T623"/>
    <mergeCell ref="U622:U623"/>
    <mergeCell ref="S266:S267"/>
    <mergeCell ref="T266:T267"/>
    <mergeCell ref="U266:U267"/>
    <mergeCell ref="B271:R271"/>
    <mergeCell ref="S271:S272"/>
    <mergeCell ref="T271:T272"/>
    <mergeCell ref="U271:U272"/>
    <mergeCell ref="B277:R277"/>
    <mergeCell ref="S277:S278"/>
    <mergeCell ref="T277:T278"/>
    <mergeCell ref="U277:U278"/>
  </mergeCells>
  <phoneticPr fontId="2" type="noConversion"/>
  <hyperlinks>
    <hyperlink ref="B252" r:id="rId1"/>
    <hyperlink ref="B247" r:id="rId2"/>
    <hyperlink ref="B21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5"/>
  <sheetViews>
    <sheetView workbookViewId="0">
      <selection activeCell="G131" sqref="F131:G131"/>
    </sheetView>
  </sheetViews>
  <sheetFormatPr defaultRowHeight="14.4" x14ac:dyDescent="0.25"/>
  <cols>
    <col min="1" max="1" width="12" customWidth="1"/>
    <col min="6" max="6" width="19" customWidth="1"/>
    <col min="7" max="7" width="25.33203125" customWidth="1"/>
  </cols>
  <sheetData>
    <row r="1" spans="1:11" ht="15.6" x14ac:dyDescent="0.25">
      <c r="A1" s="5" t="s">
        <v>68</v>
      </c>
      <c r="B1" s="5" t="s">
        <v>69</v>
      </c>
      <c r="C1" s="5"/>
      <c r="D1" s="5"/>
      <c r="E1" s="5"/>
    </row>
    <row r="2" spans="1:11" ht="15.6" x14ac:dyDescent="0.25">
      <c r="A2" s="5" t="s">
        <v>70</v>
      </c>
      <c r="B2" s="41" t="s">
        <v>71</v>
      </c>
      <c r="C2" s="42"/>
      <c r="D2" s="42"/>
      <c r="E2" s="42"/>
      <c r="F2" s="43"/>
      <c r="G2" s="43"/>
      <c r="H2" s="43"/>
    </row>
    <row r="4" spans="1:11" x14ac:dyDescent="0.25">
      <c r="A4" s="10" t="s">
        <v>41</v>
      </c>
    </row>
    <row r="5" spans="1:11" x14ac:dyDescent="0.25">
      <c r="A5" s="10" t="s">
        <v>42</v>
      </c>
      <c r="B5" s="10"/>
      <c r="C5" s="10"/>
      <c r="D5" s="10"/>
      <c r="E5" s="10"/>
    </row>
    <row r="6" spans="1:11" s="6" customFormat="1" x14ac:dyDescent="0.25">
      <c r="A6" s="4" t="s">
        <v>44</v>
      </c>
    </row>
    <row r="7" spans="1:11" s="6" customFormat="1" x14ac:dyDescent="0.25">
      <c r="A7" s="18" t="s">
        <v>91</v>
      </c>
    </row>
    <row r="8" spans="1:11" s="6" customFormat="1" x14ac:dyDescent="0.25">
      <c r="A8" s="18"/>
      <c r="D8" s="6">
        <f>640*10</f>
        <v>6400</v>
      </c>
      <c r="E8" s="6">
        <f>0.04*6156*10+4</f>
        <v>2466.4</v>
      </c>
      <c r="F8" s="6">
        <f>4440*0.5</f>
        <v>2220</v>
      </c>
      <c r="I8" s="6">
        <v>6400</v>
      </c>
      <c r="J8" s="6">
        <f>E8*0.5</f>
        <v>1233.2</v>
      </c>
    </row>
    <row r="9" spans="1:11" s="6" customFormat="1" x14ac:dyDescent="0.25">
      <c r="A9" s="6">
        <v>18966</v>
      </c>
      <c r="C9" s="6">
        <f>C10*10</f>
        <v>4440</v>
      </c>
      <c r="D9" s="6">
        <f>D8+E8-F8</f>
        <v>6646.4</v>
      </c>
      <c r="I9" s="6">
        <f>I8+J8</f>
        <v>7633.2</v>
      </c>
      <c r="K9" s="6">
        <v>8928.06</v>
      </c>
    </row>
    <row r="10" spans="1:11" s="6" customFormat="1" x14ac:dyDescent="0.25">
      <c r="A10" s="6">
        <f>A9/2</f>
        <v>9483</v>
      </c>
      <c r="C10" s="6">
        <f>B11-C11</f>
        <v>444</v>
      </c>
      <c r="D10" s="6">
        <f>D8+E8</f>
        <v>8866.4</v>
      </c>
      <c r="I10" s="6">
        <f>I9*2</f>
        <v>15266.4</v>
      </c>
      <c r="K10" s="6">
        <f>K9*2</f>
        <v>17856.12</v>
      </c>
    </row>
    <row r="11" spans="1:11" s="6" customFormat="1" x14ac:dyDescent="0.25">
      <c r="A11" s="6">
        <f>A10-D9</f>
        <v>2836.6000000000004</v>
      </c>
      <c r="B11" s="6">
        <v>6600</v>
      </c>
      <c r="C11" s="6">
        <v>6156</v>
      </c>
      <c r="D11" s="6">
        <f>D10*2</f>
        <v>17732.8</v>
      </c>
    </row>
    <row r="12" spans="1:11" s="6" customFormat="1" x14ac:dyDescent="0.25">
      <c r="A12" s="19" t="s">
        <v>95</v>
      </c>
    </row>
    <row r="13" spans="1:11" s="6" customFormat="1" x14ac:dyDescent="0.25">
      <c r="A13" s="19" t="s">
        <v>96</v>
      </c>
    </row>
    <row r="14" spans="1:11" s="6" customFormat="1" x14ac:dyDescent="0.25">
      <c r="A14" s="19" t="s">
        <v>97</v>
      </c>
    </row>
    <row r="15" spans="1:11" s="6" customFormat="1" x14ac:dyDescent="0.25">
      <c r="A15" s="11" t="s">
        <v>46</v>
      </c>
    </row>
    <row r="16" spans="1:11" s="6" customFormat="1" x14ac:dyDescent="0.25">
      <c r="A16" s="18" t="s">
        <v>43</v>
      </c>
    </row>
    <row r="17" spans="1:16" s="6" customFormat="1" x14ac:dyDescent="0.25">
      <c r="A17" s="19" t="s">
        <v>45</v>
      </c>
    </row>
    <row r="18" spans="1:16" s="6" customFormat="1" x14ac:dyDescent="0.25">
      <c r="A18" s="19" t="s">
        <v>47</v>
      </c>
    </row>
    <row r="19" spans="1:16" s="6" customFormat="1" x14ac:dyDescent="0.25">
      <c r="A19" s="19" t="s">
        <v>48</v>
      </c>
    </row>
    <row r="20" spans="1:16" s="6" customFormat="1" x14ac:dyDescent="0.25"/>
    <row r="21" spans="1:16" s="6" customFormat="1" x14ac:dyDescent="0.25">
      <c r="A21" s="4" t="s">
        <v>92</v>
      </c>
      <c r="B21" s="4"/>
      <c r="C21" s="4"/>
      <c r="D21" s="4"/>
      <c r="E21" s="4"/>
      <c r="F21" s="4"/>
      <c r="G21" s="4"/>
      <c r="H21" s="4"/>
      <c r="I21" s="4"/>
      <c r="J21" s="4"/>
      <c r="K21" s="4"/>
    </row>
    <row r="22" spans="1:16" s="6" customFormat="1" ht="13.5" customHeight="1" x14ac:dyDescent="0.25">
      <c r="A22" s="46" t="s">
        <v>93</v>
      </c>
      <c r="B22" s="4"/>
      <c r="C22" s="4"/>
      <c r="D22" s="4"/>
      <c r="E22" s="4"/>
      <c r="F22" s="45"/>
      <c r="G22" s="45"/>
      <c r="H22" s="45"/>
      <c r="I22" s="45"/>
      <c r="J22" s="45"/>
      <c r="K22" s="45"/>
      <c r="L22" s="20"/>
      <c r="M22" s="20"/>
      <c r="N22" s="20"/>
      <c r="O22" s="20"/>
      <c r="P22" s="20"/>
    </row>
    <row r="23" spans="1:16" s="6" customFormat="1" ht="13.5" customHeight="1" x14ac:dyDescent="0.25">
      <c r="A23" s="46"/>
      <c r="B23" s="4" t="s">
        <v>111</v>
      </c>
      <c r="C23" s="4"/>
      <c r="D23" s="4"/>
      <c r="E23" s="4"/>
      <c r="F23" s="45"/>
      <c r="G23" s="45"/>
      <c r="H23" s="45"/>
      <c r="I23" s="45"/>
      <c r="J23" s="45"/>
      <c r="K23" s="45"/>
      <c r="L23" s="20"/>
      <c r="M23" s="20"/>
      <c r="N23" s="20"/>
      <c r="O23" s="20"/>
      <c r="P23" s="20"/>
    </row>
    <row r="24" spans="1:16" s="6" customFormat="1" ht="13.5" customHeight="1" x14ac:dyDescent="0.25">
      <c r="A24" s="48" t="s">
        <v>101</v>
      </c>
      <c r="B24" s="4"/>
      <c r="C24" s="4"/>
      <c r="D24" s="4"/>
      <c r="E24" s="4"/>
      <c r="F24" s="45"/>
      <c r="G24" s="45"/>
      <c r="H24" s="45"/>
      <c r="I24" s="45"/>
      <c r="J24" s="45"/>
      <c r="K24" s="45"/>
      <c r="L24" s="20"/>
      <c r="M24" s="20"/>
      <c r="N24" s="20"/>
      <c r="O24" s="20"/>
      <c r="P24" s="20"/>
    </row>
    <row r="25" spans="1:16" s="6" customFormat="1" ht="13.5" customHeight="1" x14ac:dyDescent="0.25">
      <c r="A25" s="48" t="s">
        <v>105</v>
      </c>
      <c r="B25" s="4"/>
      <c r="C25" s="4"/>
      <c r="D25" s="4"/>
      <c r="E25" s="4"/>
      <c r="F25" s="45"/>
      <c r="G25" s="45"/>
      <c r="H25" s="45"/>
      <c r="I25" s="45"/>
      <c r="J25" s="45"/>
      <c r="K25" s="45"/>
      <c r="L25" s="20"/>
      <c r="M25" s="20"/>
      <c r="N25" s="20"/>
      <c r="O25" s="20"/>
      <c r="P25" s="20"/>
    </row>
    <row r="26" spans="1:16" s="6" customFormat="1" x14ac:dyDescent="0.25">
      <c r="F26" s="20"/>
      <c r="G26" s="20"/>
      <c r="H26" s="20"/>
      <c r="I26" s="20"/>
      <c r="J26" s="20"/>
      <c r="K26" s="20"/>
      <c r="L26" s="20"/>
      <c r="M26" s="20"/>
      <c r="N26" s="20"/>
      <c r="O26" s="20"/>
      <c r="P26" s="20"/>
    </row>
    <row r="27" spans="1:16" s="6" customFormat="1" x14ac:dyDescent="0.25">
      <c r="A27" s="6" t="s">
        <v>49</v>
      </c>
      <c r="G27" s="20"/>
      <c r="H27" s="20"/>
      <c r="I27" s="20"/>
      <c r="J27" s="20"/>
      <c r="K27" s="20"/>
      <c r="L27" s="20"/>
      <c r="M27" s="20"/>
      <c r="N27" s="20"/>
      <c r="O27" s="20"/>
      <c r="P27" s="20"/>
    </row>
    <row r="28" spans="1:16" x14ac:dyDescent="0.25">
      <c r="A28" s="14"/>
      <c r="B28" s="14"/>
      <c r="C28" s="14"/>
      <c r="D28" s="14"/>
      <c r="E28" s="14"/>
      <c r="F28" s="14"/>
      <c r="G28" s="14"/>
      <c r="H28" s="14"/>
      <c r="I28" s="14"/>
      <c r="J28" s="14"/>
      <c r="K28" s="14"/>
      <c r="L28" s="14"/>
      <c r="M28" s="14"/>
      <c r="N28" s="14"/>
      <c r="O28" s="14"/>
      <c r="P28" s="14"/>
    </row>
    <row r="29" spans="1:16" x14ac:dyDescent="0.25">
      <c r="A29" s="51" t="s">
        <v>109</v>
      </c>
      <c r="B29" s="14"/>
      <c r="C29" s="14"/>
      <c r="D29" s="14"/>
      <c r="E29" s="14"/>
      <c r="F29" s="14"/>
      <c r="G29" s="14"/>
      <c r="H29" s="14"/>
      <c r="I29" s="14"/>
      <c r="J29" s="14"/>
      <c r="K29" s="14"/>
      <c r="L29" s="14"/>
      <c r="M29" s="14"/>
      <c r="N29" s="14"/>
      <c r="O29" s="14"/>
      <c r="P29" s="14"/>
    </row>
    <row r="30" spans="1:16" x14ac:dyDescent="0.25">
      <c r="B30" t="s">
        <v>110</v>
      </c>
    </row>
    <row r="36" spans="1:1" x14ac:dyDescent="0.25">
      <c r="A36" t="s">
        <v>59</v>
      </c>
    </row>
    <row r="38" spans="1:1" ht="15.6" x14ac:dyDescent="0.25">
      <c r="A38" t="s">
        <v>99</v>
      </c>
    </row>
    <row r="39" spans="1:1" ht="15.6" x14ac:dyDescent="0.25">
      <c r="A39" t="s">
        <v>83</v>
      </c>
    </row>
    <row r="40" spans="1:1" ht="15.6" x14ac:dyDescent="0.25">
      <c r="A40" t="s">
        <v>98</v>
      </c>
    </row>
    <row r="41" spans="1:1" x14ac:dyDescent="0.25">
      <c r="A41" t="s">
        <v>79</v>
      </c>
    </row>
    <row r="42" spans="1:1" ht="15.6" x14ac:dyDescent="0.25">
      <c r="A42" t="s">
        <v>82</v>
      </c>
    </row>
    <row r="43" spans="1:1" ht="15.6" x14ac:dyDescent="0.25">
      <c r="A43" t="s">
        <v>100</v>
      </c>
    </row>
    <row r="44" spans="1:1" ht="15.6" x14ac:dyDescent="0.25">
      <c r="A44" t="s">
        <v>77</v>
      </c>
    </row>
    <row r="45" spans="1:1" ht="16.2" x14ac:dyDescent="0.25">
      <c r="A45" t="s">
        <v>80</v>
      </c>
    </row>
    <row r="46" spans="1:1" ht="15.6" x14ac:dyDescent="0.25">
      <c r="A46" t="s">
        <v>81</v>
      </c>
    </row>
    <row r="48" spans="1:1" x14ac:dyDescent="0.25">
      <c r="A48" t="s">
        <v>84</v>
      </c>
    </row>
    <row r="49" spans="1:10" x14ac:dyDescent="0.25">
      <c r="A49" s="44" t="s">
        <v>85</v>
      </c>
      <c r="B49" s="44"/>
      <c r="C49" s="44"/>
      <c r="D49" s="44"/>
      <c r="E49" s="45"/>
      <c r="F49" s="4"/>
      <c r="G49" s="4"/>
      <c r="H49" s="4"/>
      <c r="I49" s="4"/>
      <c r="J49" s="4"/>
    </row>
    <row r="50" spans="1:10" x14ac:dyDescent="0.25">
      <c r="A50" s="44"/>
      <c r="B50" s="44"/>
      <c r="C50" s="44"/>
      <c r="D50" s="44"/>
      <c r="E50" s="45"/>
      <c r="F50" s="4"/>
      <c r="G50" s="4"/>
      <c r="H50" s="4"/>
      <c r="I50" s="4"/>
      <c r="J50" s="4"/>
    </row>
    <row r="51" spans="1:10" x14ac:dyDescent="0.25">
      <c r="A51" s="44" t="s">
        <v>86</v>
      </c>
      <c r="B51" s="44"/>
      <c r="C51" s="44"/>
      <c r="D51" s="44"/>
      <c r="E51" s="45"/>
      <c r="F51" s="4"/>
      <c r="G51" s="4"/>
      <c r="H51" s="4"/>
      <c r="I51" s="4"/>
      <c r="J51" s="4"/>
    </row>
    <row r="53" spans="1:10" x14ac:dyDescent="0.25">
      <c r="A53" s="4" t="s">
        <v>87</v>
      </c>
      <c r="B53" s="4"/>
      <c r="C53" s="4"/>
      <c r="D53" s="4"/>
      <c r="E53" s="4"/>
      <c r="F53" s="4"/>
    </row>
    <row r="54" spans="1:10" x14ac:dyDescent="0.25">
      <c r="A54" s="4" t="s">
        <v>88</v>
      </c>
      <c r="B54" s="4"/>
      <c r="C54" s="4"/>
      <c r="D54" s="4"/>
      <c r="E54" s="4"/>
      <c r="F54" s="4"/>
    </row>
    <row r="55" spans="1:10" x14ac:dyDescent="0.25">
      <c r="A55" s="4"/>
      <c r="B55" s="4" t="s">
        <v>89</v>
      </c>
      <c r="C55" s="4"/>
      <c r="D55" s="4"/>
      <c r="E55" s="4"/>
      <c r="F55" s="4"/>
    </row>
    <row r="56" spans="1:10" x14ac:dyDescent="0.25">
      <c r="A56" s="4"/>
      <c r="B56" s="4" t="s">
        <v>90</v>
      </c>
      <c r="C56" s="4"/>
      <c r="D56" s="4"/>
      <c r="E56" s="4"/>
      <c r="F56" s="4"/>
    </row>
    <row r="57" spans="1:10" x14ac:dyDescent="0.25">
      <c r="A57" s="4"/>
      <c r="B57" s="4"/>
      <c r="C57" s="4"/>
      <c r="D57" s="4"/>
      <c r="E57" s="4"/>
      <c r="F57" s="4"/>
    </row>
    <row r="59" spans="1:10" x14ac:dyDescent="0.25">
      <c r="B59" t="s">
        <v>1388</v>
      </c>
    </row>
    <row r="60" spans="1:10" x14ac:dyDescent="0.25">
      <c r="B60" t="s">
        <v>718</v>
      </c>
    </row>
    <row r="61" spans="1:10" x14ac:dyDescent="0.25">
      <c r="B61" t="s">
        <v>719</v>
      </c>
    </row>
    <row r="66" spans="1:17" s="56" customFormat="1" ht="13.2" x14ac:dyDescent="0.3"/>
    <row r="67" spans="1:17" s="9" customFormat="1" x14ac:dyDescent="0.25">
      <c r="J67" s="120"/>
      <c r="K67" s="120"/>
      <c r="L67" s="120"/>
      <c r="M67" s="60"/>
      <c r="N67" s="60"/>
      <c r="O67" s="60"/>
      <c r="Q67" s="60"/>
    </row>
    <row r="68" spans="1:17" s="9" customFormat="1" x14ac:dyDescent="0.25">
      <c r="J68" s="120"/>
      <c r="K68" s="120"/>
      <c r="L68" s="120"/>
      <c r="M68" s="60"/>
      <c r="N68" s="60"/>
      <c r="O68" s="60"/>
      <c r="Q68" s="60"/>
    </row>
    <row r="69" spans="1:17" s="9" customFormat="1" x14ac:dyDescent="0.25">
      <c r="J69" s="120"/>
      <c r="K69" s="120"/>
      <c r="L69" s="120"/>
      <c r="M69" s="60"/>
      <c r="N69" s="60"/>
      <c r="O69" s="60"/>
      <c r="Q69" s="60"/>
    </row>
    <row r="70" spans="1:17" s="9" customFormat="1" x14ac:dyDescent="0.25">
      <c r="J70" s="120"/>
      <c r="K70" s="120"/>
      <c r="L70" s="120"/>
      <c r="M70" s="60"/>
      <c r="N70" s="60"/>
      <c r="O70" s="60"/>
      <c r="Q70" s="60"/>
    </row>
    <row r="71" spans="1:17" s="9" customFormat="1" x14ac:dyDescent="0.25">
      <c r="J71" s="120"/>
      <c r="K71" s="120"/>
      <c r="L71" s="120"/>
      <c r="M71" s="60"/>
      <c r="N71" s="60"/>
      <c r="O71" s="60"/>
      <c r="Q71" s="60"/>
    </row>
    <row r="72" spans="1:17" s="9" customFormat="1" x14ac:dyDescent="0.25">
      <c r="J72" s="120"/>
      <c r="K72" s="120"/>
      <c r="L72" s="120"/>
      <c r="M72" s="60"/>
      <c r="N72" s="60"/>
      <c r="O72" s="60"/>
      <c r="Q72" s="60"/>
    </row>
    <row r="73" spans="1:17" s="9" customFormat="1" x14ac:dyDescent="0.25">
      <c r="J73" s="120"/>
      <c r="K73" s="120"/>
      <c r="L73" s="120"/>
      <c r="M73" s="60"/>
      <c r="N73" s="60"/>
      <c r="O73" s="60"/>
      <c r="Q73" s="60"/>
    </row>
    <row r="76" spans="1:17" x14ac:dyDescent="0.25">
      <c r="A76" t="s">
        <v>723</v>
      </c>
      <c r="B76" t="s">
        <v>720</v>
      </c>
    </row>
    <row r="77" spans="1:17" x14ac:dyDescent="0.25">
      <c r="A77" t="s">
        <v>724</v>
      </c>
      <c r="B77" t="s">
        <v>721</v>
      </c>
    </row>
    <row r="78" spans="1:17" x14ac:dyDescent="0.25">
      <c r="A78" t="s">
        <v>725</v>
      </c>
      <c r="B78" t="s">
        <v>722</v>
      </c>
    </row>
    <row r="84" spans="2:4" x14ac:dyDescent="0.25">
      <c r="B84" t="s">
        <v>856</v>
      </c>
    </row>
    <row r="85" spans="2:4" x14ac:dyDescent="0.25">
      <c r="B85" t="s">
        <v>857</v>
      </c>
    </row>
    <row r="86" spans="2:4" x14ac:dyDescent="0.25">
      <c r="B86" t="s">
        <v>858</v>
      </c>
    </row>
    <row r="87" spans="2:4" x14ac:dyDescent="0.25">
      <c r="B87" t="s">
        <v>859</v>
      </c>
    </row>
    <row r="90" spans="2:4" x14ac:dyDescent="0.25">
      <c r="B90" t="s">
        <v>1588</v>
      </c>
    </row>
    <row r="92" spans="2:4" x14ac:dyDescent="0.25">
      <c r="D92" t="s">
        <v>1626</v>
      </c>
    </row>
    <row r="93" spans="2:4" x14ac:dyDescent="0.25">
      <c r="D93" t="s">
        <v>1625</v>
      </c>
    </row>
    <row r="120" spans="6:7" x14ac:dyDescent="0.25">
      <c r="F120" s="508"/>
    </row>
    <row r="121" spans="6:7" x14ac:dyDescent="0.25">
      <c r="F121" s="508"/>
    </row>
    <row r="122" spans="6:7" x14ac:dyDescent="0.25">
      <c r="F122" s="4"/>
      <c r="G122" s="4"/>
    </row>
    <row r="124" spans="6:7" x14ac:dyDescent="0.25">
      <c r="F124" s="508"/>
    </row>
    <row r="125" spans="6:7" x14ac:dyDescent="0.25">
      <c r="F125" s="508"/>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data</vt:lpstr>
      <vt:lpstr>day1</vt:lpstr>
      <vt:lpstr>day2</vt:lpstr>
      <vt:lpstr>day3</vt:lpstr>
      <vt:lpstr>公式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张蓓蕾</dc:creator>
  <cp:lastModifiedBy>王超</cp:lastModifiedBy>
  <dcterms:created xsi:type="dcterms:W3CDTF">2013-07-08T01:44:31Z</dcterms:created>
  <dcterms:modified xsi:type="dcterms:W3CDTF">2020-12-09T02:23:50Z</dcterms:modified>
</cp:coreProperties>
</file>