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eliy\Documents\"/>
    </mc:Choice>
  </mc:AlternateContent>
  <xr:revisionPtr revIDLastSave="0" documentId="13_ncr:1_{29087947-169F-4ACC-9994-2200B34FF919}" xr6:coauthVersionLast="45" xr6:coauthVersionMax="45" xr10:uidLastSave="{00000000-0000-0000-0000-000000000000}"/>
  <bookViews>
    <workbookView xWindow="-108" yWindow="-108" windowWidth="23256" windowHeight="12576" firstSheet="1" activeTab="16" xr2:uid="{1D45F84A-67A1-404C-87F3-E344606B91D2}"/>
  </bookViews>
  <sheets>
    <sheet name="Raw" sheetId="1" r:id="rId1"/>
    <sheet name="Dataset" sheetId="2" r:id="rId2"/>
    <sheet name="№1" sheetId="3" r:id="rId3"/>
    <sheet name="№2" sheetId="4" r:id="rId4"/>
    <sheet name="№3" sheetId="6" r:id="rId5"/>
    <sheet name="№4" sheetId="8" r:id="rId6"/>
    <sheet name="№5" sheetId="9" r:id="rId7"/>
    <sheet name="№6" sheetId="20" r:id="rId8"/>
    <sheet name="№7" sheetId="22" r:id="rId9"/>
    <sheet name="№8" sheetId="12" r:id="rId10"/>
    <sheet name="№9" sheetId="13" r:id="rId11"/>
    <sheet name="№10" sheetId="23" r:id="rId12"/>
    <sheet name="№11" sheetId="24" r:id="rId13"/>
    <sheet name="№12" sheetId="25" r:id="rId14"/>
    <sheet name="№13" sheetId="17" r:id="rId15"/>
    <sheet name="№14" sheetId="18" r:id="rId16"/>
    <sheet name="№15" sheetId="19" r:id="rId17"/>
  </sheets>
  <definedNames>
    <definedName name="_xlnm._FilterDatabase" localSheetId="2" hidden="1">№1!$A$1:$A$1</definedName>
    <definedName name="_xlnm._FilterDatabase" localSheetId="4" hidden="1">№3!#REF!</definedName>
    <definedName name="ВАРИАЦИОННЫЙ_РЯД_ВЕС">№1!$E$2:$E$201</definedName>
    <definedName name="ВАРИАЦИОННЫЙ_РЯД_РОСТ">№1!$B$2:$B$201</definedName>
    <definedName name="ВЕС_ВАРИАЦИОННЫЙ_РЯД_КОНЕЦ">№2!$J$3:$J$12</definedName>
    <definedName name="ВЕС_ВАРИАЦИОННЫЙ_РЯД_КОНЕЦ_ГОРИЗ">№2!$M$5:$V$5</definedName>
    <definedName name="ВЕС_ВАРИАЦИОННЫЙ_РЯД_НАЧАЛО">№2!$I$3:$I$12</definedName>
    <definedName name="ВЕС_ВАРИАЦИОННЫЙ_РЯД_НАЧАЛО_ГОРИЗ">№2!$M$4:$V$4</definedName>
    <definedName name="ВЕС_ВЫБОРОЧНАЯ_ДИСПЕРСИЯ">№4!$B$10</definedName>
    <definedName name="ВЕС_ВЫБОРОЧНАЯ_СРЕДНЯЯ_КВАДР_ОТКЛОНЕНИЯ">№12!$B$4</definedName>
    <definedName name="ВЕС_ВЫБОРОЧНОЕ_СРЕДНЕЕ">№4!$B$9</definedName>
    <definedName name="ВЕС_ИНТЕРВАЛЫ_КВАДР_ПРОИЗВ_ЧАСТОТЫ">№4!$G$13:$G$22</definedName>
    <definedName name="ВЕС_ИНТЕРВАЛЫ_ПРОИЗВ_ЧАСТОТЫ">№4!$F$13:$F$22</definedName>
    <definedName name="ВЕС_ИНТЕРВАЛЫ_СЕР">№4!$E$13:$E$22</definedName>
    <definedName name="ВЕС_ИНТЕРВАЛЫ_СЕР_ГОРИЗ">№4!$J$3:$S$3</definedName>
    <definedName name="ВЕС_ИСПРАВЛЕННАЯ_ДИСПЕРСИЯ">№4!$B$11</definedName>
    <definedName name="ВЕС_ИСПРАВЛЕННЫЕ_ВЫБОРОЧНЫЕ_СРЕДНИЕ_КВАДРАТИЧЕСКИЕ_ОТКЛОНЕНИЯ">№4!$B$12</definedName>
    <definedName name="ВЕС_МАКС">№2!$B$9</definedName>
    <definedName name="ВЕС_МИН">№2!$B$10</definedName>
    <definedName name="ВЕС_МОДА">№4!$B$13</definedName>
    <definedName name="ВЕС_РАЗМЕР_ИНТЕРВАЛА">№2!$B$11</definedName>
    <definedName name="ВЕС_УСЛОВНЫЕ_СРЕДНИЕ">№9!$O$4:$O$13</definedName>
    <definedName name="ВЕС_ЧАСТОТЫ">№3!$D$2:$D$11</definedName>
    <definedName name="ДАННЫЕ_ВЕС">Dataset!$C$2:$C$201</definedName>
    <definedName name="ДАННЫЕ_ДИСПЕРСИИ">№9!$P$4:$P$13</definedName>
    <definedName name="ДАННЫЕ_КОРРЕЛЯЦИОННАЯ_МАТРИЦА">№9!$D$4:$M$13</definedName>
    <definedName name="ДАННЫЕ_РОСТ">Dataset!$B$2:$B$201</definedName>
    <definedName name="НАДЕЖНОСТЬ">№6!$B$2</definedName>
    <definedName name="ОБЩЕЕ_EPS">№9!$B$16</definedName>
    <definedName name="ОБЩЕЕ_ВНУТРЕГРУППОВАЯ_ДИСПЕРСИЯ">№10!$B$4</definedName>
    <definedName name="ОБЩЕЕ_ВЫБОРОЧНАЯ_ДИСПЕРСИЯ">№10!$B$6</definedName>
    <definedName name="ОБЩЕЕ_ВЫБОРОЧНЫЙ_КОЭФФ_ЛИНЕЙНОЙ_КОРРЕЛЯЦИИ">№12!$B$5</definedName>
    <definedName name="ОБЩЕЕ_КОЛИЧЕСТВО_ДАННЫХ">Dataset!$F$1</definedName>
    <definedName name="ОБЩЕЕ_КОЛИЧЕСТВО_ИНТЕРВАЛОВ">№2!$B$3</definedName>
    <definedName name="ОБЩЕЕ_ЛИНЕЙНАЯ_РЕГРЕССИЯ_A">№12!$B$6</definedName>
    <definedName name="ОБЩЕЕ_ЛИНЕЙНАЯ_РЕГРЕССИЯ_B">№12!$B$7</definedName>
    <definedName name="ОБЩЕЕ_МЕЖГРУППОВАЯ_ДИСПЕРСИЯ">№10!$B$5</definedName>
    <definedName name="ОБЩЕЕ_СРЕДНЕЕ_ПРОИЗВЕДЕНИЕ">№12!$B$2</definedName>
    <definedName name="ОБЩЕЕ_УСЛОВНО_ВЫБОРОЧНАЯ_СРЕДНЯЯ">№10!$B$3</definedName>
    <definedName name="РОСТ_ВАРИАЦИОННЫЙ_РЯД_КОНЕЦ">№2!$F$3:$F$12</definedName>
    <definedName name="РОСТ_ВАРИАЦИОННЫЙ_РЯД_КОНЕЦ_ГОРИЗ">№2!$M$3:$V$3</definedName>
    <definedName name="РОСТ_ВАРИАЦИОННЫЙ_РЯД_НАЧАЛО">№2!$E$3:$E$12</definedName>
    <definedName name="РОСТ_ВАРИАЦИОННЫЙ_РЯД_НАЧАЛО_ГОРИЗ">№2!$M$2:$V$2</definedName>
    <definedName name="РОСТ_ВНУТРЕГРУППОВАЯ_ДИСПЕРСИЯ">№9!$B$19</definedName>
    <definedName name="РОСТ_ВЫБОРОЧНАЯ_ДИСПЕРСИЯ">№4!$B$4</definedName>
    <definedName name="РОСТ_ВЫБОРОЧНАЯ_СРЕДНЯЯ_КВАДР_ОТКЛОНЕНИЯ">№12!$B$3</definedName>
    <definedName name="РОСТ_ВЫБОРОЧНОЕ_СРЕДНЕЕ">№4!$B$3</definedName>
    <definedName name="РОСТ_ЗНАЧЕНИЯ_РАСПРЕДЕЛЕНИЯ">№3!$C$2:$C$11</definedName>
    <definedName name="РОСТ_ИНТЕРВАЛЫ_КВАДР_ПРОИЗВ_ЧАСТОТЫ">№4!$G$2:$G$11</definedName>
    <definedName name="РОСТ_ИНТЕРВАЛЫ_ПРОИЗВ_ЧАСТОТЫ">№4!$F$2:$F$11</definedName>
    <definedName name="РОСТ_ИНТЕРВАЛЫ_СЕР">№4!$E$2:$E$11</definedName>
    <definedName name="РОСТ_ИНТЕРВАЛЫ_СЕР_ГОРИЗ">№4!$J$2:$S$2</definedName>
    <definedName name="РОСТ_ИСПРАВЛЕННАЯ_ДИСПЕРСИЯ">№4!$B$5</definedName>
    <definedName name="РОСТ_ИСПРАВЛЕННЫЕ_ВЫБОРОЧНЫЕ_СРЕДНИЕ_КВАДРАТИЧЕСКИЕ_ОТКЛОНЕНИЯ">№4!$B$6</definedName>
    <definedName name="РОСТ_МАКС">№2!$B$5</definedName>
    <definedName name="РОСТ_МЕЖГРУППОВАЯ_ДИСПЕРСИЯ">№9!$B$20</definedName>
    <definedName name="РОСТ_МИН">№2!$B$6</definedName>
    <definedName name="РОСТ_МОДА">№4!$B$7</definedName>
    <definedName name="РОСТ_НОВЫЕ_ЧАСТОТЫ">№7!$H$3:$H$7</definedName>
    <definedName name="РОСТ_НОВЫЙ_ВАРИАЦИОННЫЙ_РЯД_КОНЕЦ">№7!$F$3:$F$7</definedName>
    <definedName name="РОСТ_НОВЫЙ_ВАРИАЦИОННЫЙ_РЯД_НАЧАЛО">№7!$E$3:$E$7</definedName>
    <definedName name="РОСТ_РАЗМЕР_ИНТЕРВАЛА">№2!$B$7</definedName>
    <definedName name="РОСТ_УСЛОВНЫЕ_СРЕДНИЕ">№9!$N$4:$N$13</definedName>
    <definedName name="РОСТ_ХИ_КВАДРАТ_НАБЛ">№7!$B$2</definedName>
    <definedName name="РОСТ_ХИ_КВАДРАТ_ТЕОР">№7!$B$5</definedName>
    <definedName name="РОСТ_ЧАСТОТЫ">№3!$A$2:$A$11</definedName>
    <definedName name="РОСТ_ЧИСЛО_СТЕПЕНЕЙ_СВОБОДЫ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20" l="1"/>
  <c r="B26" i="19"/>
  <c r="B12" i="9" l="1"/>
  <c r="B6" i="9"/>
  <c r="B10" i="9" l="1"/>
  <c r="B11" i="9"/>
  <c r="B4" i="9"/>
  <c r="B5" i="9"/>
  <c r="B24" i="20" l="1" a="1"/>
  <c r="B6" i="20"/>
  <c r="G1" i="25" l="1" a="1"/>
  <c r="F2" i="25" a="1"/>
  <c r="D2" i="19" l="1" a="1"/>
  <c r="D2" i="19" s="1"/>
  <c r="B4" i="19" s="1"/>
  <c r="Q4" i="13" a="1"/>
  <c r="D5" i="19" l="1"/>
  <c r="B9" i="19" s="1"/>
  <c r="D3" i="19"/>
  <c r="B6" i="19" s="1"/>
  <c r="D6" i="19"/>
  <c r="D4" i="19"/>
  <c r="B7" i="19" s="1"/>
  <c r="E5" i="19"/>
  <c r="B10" i="19" s="1"/>
  <c r="E3" i="19"/>
  <c r="B5" i="19" s="1"/>
  <c r="E6" i="19"/>
  <c r="E4" i="19"/>
  <c r="B8" i="19" s="1"/>
  <c r="E2" i="19"/>
  <c r="B3" i="19" s="1"/>
  <c r="B25" i="19" l="1"/>
  <c r="B27" i="19" s="1"/>
  <c r="B13" i="19"/>
  <c r="B19" i="19"/>
  <c r="B23" i="19" s="1"/>
  <c r="B16" i="19"/>
  <c r="B22" i="19" l="1"/>
  <c r="B4" i="22" l="1"/>
  <c r="B5" i="22" s="1"/>
  <c r="M3" i="22"/>
  <c r="J7" i="22"/>
  <c r="J6" i="22"/>
  <c r="K6" i="22"/>
  <c r="J5" i="22"/>
  <c r="K5" i="22"/>
  <c r="K4" i="22"/>
  <c r="J4" i="22"/>
  <c r="K3" i="22"/>
  <c r="H7" i="22"/>
  <c r="H4" i="22"/>
  <c r="H5" i="22"/>
  <c r="H6" i="22"/>
  <c r="H3" i="22"/>
  <c r="F1" i="2"/>
  <c r="B4" i="24" s="1"/>
  <c r="R4" i="13" a="1"/>
  <c r="T2" i="6" a="1"/>
  <c r="S2" i="6" a="1"/>
  <c r="Q2" i="6" a="1"/>
  <c r="P2" i="6" a="1"/>
  <c r="B17" i="20" l="1"/>
  <c r="B16" i="20"/>
  <c r="B11" i="20"/>
  <c r="B23" i="20"/>
  <c r="B22" i="20"/>
  <c r="B12" i="19"/>
  <c r="B11" i="19"/>
  <c r="D28" i="13" l="1" a="1"/>
  <c r="B21" i="20" l="1"/>
  <c r="B2" i="20"/>
  <c r="B5" i="20"/>
  <c r="D1" i="13" l="1" a="1"/>
  <c r="B2" i="12" l="1" a="1"/>
  <c r="B2" i="12" s="1"/>
  <c r="B4" i="12"/>
  <c r="B12" i="12"/>
  <c r="B20" i="12"/>
  <c r="B28" i="12"/>
  <c r="B36" i="12"/>
  <c r="B44" i="12"/>
  <c r="B52" i="12"/>
  <c r="B60" i="12"/>
  <c r="B68" i="12"/>
  <c r="B76" i="12"/>
  <c r="B84" i="12"/>
  <c r="B92" i="12"/>
  <c r="B100" i="12"/>
  <c r="B108" i="12"/>
  <c r="B116" i="12"/>
  <c r="B124" i="12"/>
  <c r="B132" i="12"/>
  <c r="B140" i="12"/>
  <c r="B145" i="12"/>
  <c r="B151" i="12"/>
  <c r="B156" i="12"/>
  <c r="B161" i="12"/>
  <c r="B167" i="12"/>
  <c r="B172" i="12"/>
  <c r="B177" i="12"/>
  <c r="B183" i="12"/>
  <c r="B188" i="12"/>
  <c r="B193" i="12"/>
  <c r="B197" i="12"/>
  <c r="B199" i="12"/>
  <c r="A2" i="12" a="1"/>
  <c r="B9" i="9"/>
  <c r="B13" i="9"/>
  <c r="B7" i="9"/>
  <c r="B3" i="9"/>
  <c r="D13" i="8" a="1"/>
  <c r="D2" i="8" a="1"/>
  <c r="A2" i="12" l="1"/>
  <c r="A5" i="12"/>
  <c r="A13" i="12"/>
  <c r="A21" i="12"/>
  <c r="A29" i="12"/>
  <c r="A37" i="12"/>
  <c r="A45" i="12"/>
  <c r="A53" i="12"/>
  <c r="A61" i="12"/>
  <c r="A69" i="12"/>
  <c r="A77" i="12"/>
  <c r="A85" i="12"/>
  <c r="A93" i="12"/>
  <c r="A101" i="12"/>
  <c r="A109" i="12"/>
  <c r="A117" i="12"/>
  <c r="A125" i="12"/>
  <c r="A133" i="12"/>
  <c r="A140" i="12"/>
  <c r="A145" i="12"/>
  <c r="A151" i="12"/>
  <c r="A156" i="12"/>
  <c r="A161" i="12"/>
  <c r="A167" i="12"/>
  <c r="A172" i="12"/>
  <c r="A177" i="12"/>
  <c r="A183" i="12"/>
  <c r="A188" i="12"/>
  <c r="A193" i="12"/>
  <c r="A199" i="12"/>
  <c r="A8" i="12"/>
  <c r="A16" i="12"/>
  <c r="A24" i="12"/>
  <c r="A32" i="12"/>
  <c r="A40" i="12"/>
  <c r="A48" i="12"/>
  <c r="A56" i="12"/>
  <c r="A64" i="12"/>
  <c r="A72" i="12"/>
  <c r="A80" i="12"/>
  <c r="A88" i="12"/>
  <c r="A96" i="12"/>
  <c r="A104" i="12"/>
  <c r="A112" i="12"/>
  <c r="A120" i="12"/>
  <c r="A128" i="12"/>
  <c r="A136" i="12"/>
  <c r="A141" i="12"/>
  <c r="A147" i="12"/>
  <c r="A152" i="12"/>
  <c r="A157" i="12"/>
  <c r="A163" i="12"/>
  <c r="A168" i="12"/>
  <c r="A173" i="12"/>
  <c r="A179" i="12"/>
  <c r="A184" i="12"/>
  <c r="A189" i="12"/>
  <c r="A195" i="12"/>
  <c r="A200" i="12"/>
  <c r="A203" i="12"/>
  <c r="A192" i="12"/>
  <c r="A181" i="12"/>
  <c r="A171" i="12"/>
  <c r="A160" i="12"/>
  <c r="A149" i="12"/>
  <c r="A139" i="12"/>
  <c r="A124" i="12"/>
  <c r="A108" i="12"/>
  <c r="A92" i="12"/>
  <c r="A76" i="12"/>
  <c r="A60" i="12"/>
  <c r="A44" i="12"/>
  <c r="A28" i="12"/>
  <c r="A12" i="12"/>
  <c r="A185" i="12"/>
  <c r="A164" i="12"/>
  <c r="A143" i="12"/>
  <c r="A113" i="12"/>
  <c r="A81" i="12"/>
  <c r="A65" i="12"/>
  <c r="A17" i="12"/>
  <c r="A201" i="12"/>
  <c r="A191" i="12"/>
  <c r="A180" i="12"/>
  <c r="A169" i="12"/>
  <c r="A159" i="12"/>
  <c r="A148" i="12"/>
  <c r="A137" i="12"/>
  <c r="A121" i="12"/>
  <c r="A105" i="12"/>
  <c r="A89" i="12"/>
  <c r="A73" i="12"/>
  <c r="A57" i="12"/>
  <c r="A41" i="12"/>
  <c r="A25" i="12"/>
  <c r="A9" i="12"/>
  <c r="A196" i="12"/>
  <c r="A175" i="12"/>
  <c r="A153" i="12"/>
  <c r="A129" i="12"/>
  <c r="A97" i="12"/>
  <c r="A49" i="12"/>
  <c r="A33" i="12"/>
  <c r="A197" i="12"/>
  <c r="A187" i="12"/>
  <c r="A176" i="12"/>
  <c r="A165" i="12"/>
  <c r="A155" i="12"/>
  <c r="A144" i="12"/>
  <c r="A132" i="12"/>
  <c r="A116" i="12"/>
  <c r="A100" i="12"/>
  <c r="A84" i="12"/>
  <c r="A68" i="12"/>
  <c r="A52" i="12"/>
  <c r="A36" i="12"/>
  <c r="A20" i="12"/>
  <c r="A4" i="12"/>
  <c r="B201" i="12"/>
  <c r="B196" i="12"/>
  <c r="B191" i="12"/>
  <c r="B185" i="12"/>
  <c r="B180" i="12"/>
  <c r="B175" i="12"/>
  <c r="B169" i="12"/>
  <c r="B164" i="12"/>
  <c r="B159" i="12"/>
  <c r="B153" i="12"/>
  <c r="B148" i="12"/>
  <c r="B143" i="12"/>
  <c r="B136" i="12"/>
  <c r="B128" i="12"/>
  <c r="B120" i="12"/>
  <c r="B112" i="12"/>
  <c r="B104" i="12"/>
  <c r="B96" i="12"/>
  <c r="B88" i="12"/>
  <c r="B80" i="12"/>
  <c r="B72" i="12"/>
  <c r="B64" i="12"/>
  <c r="B56" i="12"/>
  <c r="B48" i="12"/>
  <c r="B40" i="12"/>
  <c r="B32" i="12"/>
  <c r="B24" i="12"/>
  <c r="B16" i="12"/>
  <c r="B8" i="12"/>
  <c r="B192" i="12"/>
  <c r="B187" i="12"/>
  <c r="B181" i="12"/>
  <c r="B176" i="12"/>
  <c r="B171" i="12"/>
  <c r="B165" i="12"/>
  <c r="B160" i="12"/>
  <c r="B155" i="12"/>
  <c r="B149" i="12"/>
  <c r="B144" i="12"/>
  <c r="B137" i="12"/>
  <c r="B129" i="12"/>
  <c r="B121" i="12"/>
  <c r="B113" i="12"/>
  <c r="B105" i="12"/>
  <c r="B97" i="12"/>
  <c r="B89" i="12"/>
  <c r="B81" i="12"/>
  <c r="B73" i="12"/>
  <c r="B65" i="12"/>
  <c r="B57" i="12"/>
  <c r="B49" i="12"/>
  <c r="B41" i="12"/>
  <c r="B33" i="12"/>
  <c r="B25" i="12"/>
  <c r="B17" i="12"/>
  <c r="B9" i="12"/>
  <c r="B200" i="12"/>
  <c r="B195" i="12"/>
  <c r="B189" i="12"/>
  <c r="B184" i="12"/>
  <c r="B179" i="12"/>
  <c r="B173" i="12"/>
  <c r="B168" i="12"/>
  <c r="B163" i="12"/>
  <c r="B157" i="12"/>
  <c r="B152" i="12"/>
  <c r="B147" i="12"/>
  <c r="B141" i="12"/>
  <c r="B133" i="12"/>
  <c r="B125" i="12"/>
  <c r="B117" i="12"/>
  <c r="B109" i="12"/>
  <c r="B101" i="12"/>
  <c r="B93" i="12"/>
  <c r="B85" i="12"/>
  <c r="B77" i="12"/>
  <c r="B69" i="12"/>
  <c r="B61" i="12"/>
  <c r="B53" i="12"/>
  <c r="B45" i="12"/>
  <c r="B37" i="12"/>
  <c r="B29" i="12"/>
  <c r="B21" i="12"/>
  <c r="B13" i="12"/>
  <c r="B5" i="12"/>
  <c r="B139" i="12"/>
  <c r="B135" i="12"/>
  <c r="B131" i="12"/>
  <c r="B127" i="12"/>
  <c r="B123" i="12"/>
  <c r="B119" i="12"/>
  <c r="B115" i="12"/>
  <c r="B111" i="12"/>
  <c r="B107" i="12"/>
  <c r="B103" i="12"/>
  <c r="B99" i="12"/>
  <c r="B95" i="12"/>
  <c r="B91" i="12"/>
  <c r="B87" i="12"/>
  <c r="B83" i="12"/>
  <c r="B79" i="12"/>
  <c r="B75" i="12"/>
  <c r="B71" i="12"/>
  <c r="B67" i="12"/>
  <c r="B63" i="12"/>
  <c r="B59" i="12"/>
  <c r="B55" i="12"/>
  <c r="B51" i="12"/>
  <c r="B47" i="12"/>
  <c r="B43" i="12"/>
  <c r="B39" i="12"/>
  <c r="B35" i="12"/>
  <c r="B31" i="12"/>
  <c r="B27" i="12"/>
  <c r="B23" i="12"/>
  <c r="B19" i="12"/>
  <c r="B15" i="12"/>
  <c r="B11" i="12"/>
  <c r="B7" i="12"/>
  <c r="B3" i="12"/>
  <c r="B198" i="12"/>
  <c r="B194" i="12"/>
  <c r="B190" i="12"/>
  <c r="B186" i="12"/>
  <c r="B182" i="12"/>
  <c r="B178" i="12"/>
  <c r="B174" i="12"/>
  <c r="B170" i="12"/>
  <c r="B166" i="12"/>
  <c r="B162" i="12"/>
  <c r="B158" i="12"/>
  <c r="B154" i="12"/>
  <c r="B150" i="12"/>
  <c r="B146" i="12"/>
  <c r="B142" i="12"/>
  <c r="B138" i="12"/>
  <c r="B134" i="12"/>
  <c r="B130" i="12"/>
  <c r="B126" i="12"/>
  <c r="B122" i="12"/>
  <c r="B118" i="12"/>
  <c r="B114" i="12"/>
  <c r="B110" i="12"/>
  <c r="B106" i="12"/>
  <c r="B102" i="12"/>
  <c r="B98" i="12"/>
  <c r="B94" i="12"/>
  <c r="B90" i="12"/>
  <c r="B86" i="12"/>
  <c r="B82" i="12"/>
  <c r="B78" i="12"/>
  <c r="B74" i="12"/>
  <c r="B70" i="12"/>
  <c r="B66" i="12"/>
  <c r="B62" i="12"/>
  <c r="B58" i="12"/>
  <c r="B54" i="12"/>
  <c r="B50" i="12"/>
  <c r="B46" i="12"/>
  <c r="B42" i="12"/>
  <c r="B38" i="12"/>
  <c r="B34" i="12"/>
  <c r="B30" i="12"/>
  <c r="B26" i="12"/>
  <c r="B22" i="12"/>
  <c r="B18" i="12"/>
  <c r="B14" i="12"/>
  <c r="B10" i="12"/>
  <c r="B6" i="12"/>
  <c r="A135" i="12"/>
  <c r="A131" i="12"/>
  <c r="A127" i="12"/>
  <c r="A123" i="12"/>
  <c r="A119" i="12"/>
  <c r="A115" i="12"/>
  <c r="A111" i="12"/>
  <c r="A107" i="12"/>
  <c r="A103" i="12"/>
  <c r="A99" i="12"/>
  <c r="A95" i="12"/>
  <c r="A91" i="12"/>
  <c r="A87" i="12"/>
  <c r="A83" i="12"/>
  <c r="A79" i="12"/>
  <c r="A75" i="12"/>
  <c r="A71" i="12"/>
  <c r="A67" i="12"/>
  <c r="A63" i="12"/>
  <c r="A59" i="12"/>
  <c r="A55" i="12"/>
  <c r="A51" i="12"/>
  <c r="A47" i="12"/>
  <c r="A43" i="12"/>
  <c r="A39" i="12"/>
  <c r="A35" i="12"/>
  <c r="A31" i="12"/>
  <c r="A27" i="12"/>
  <c r="A23" i="12"/>
  <c r="A19" i="12"/>
  <c r="A15" i="12"/>
  <c r="A11" i="12"/>
  <c r="A7" i="12"/>
  <c r="A3" i="12"/>
  <c r="A202" i="12"/>
  <c r="A198" i="12"/>
  <c r="A194" i="12"/>
  <c r="A190" i="12"/>
  <c r="A186" i="12"/>
  <c r="A182" i="12"/>
  <c r="A178" i="12"/>
  <c r="A174" i="12"/>
  <c r="A170" i="12"/>
  <c r="A166" i="12"/>
  <c r="A162" i="12"/>
  <c r="A158" i="12"/>
  <c r="A154" i="12"/>
  <c r="A150" i="12"/>
  <c r="A146" i="12"/>
  <c r="A142" i="12"/>
  <c r="A138" i="12"/>
  <c r="A134" i="12"/>
  <c r="A130" i="12"/>
  <c r="A126" i="12"/>
  <c r="A122" i="12"/>
  <c r="A118" i="12"/>
  <c r="A114" i="12"/>
  <c r="A110" i="12"/>
  <c r="A106" i="12"/>
  <c r="A102" i="12"/>
  <c r="A98" i="12"/>
  <c r="A94" i="12"/>
  <c r="A90" i="12"/>
  <c r="A86" i="12"/>
  <c r="A82" i="12"/>
  <c r="A78" i="12"/>
  <c r="A74" i="12"/>
  <c r="A70" i="12"/>
  <c r="A66" i="12"/>
  <c r="A62" i="12"/>
  <c r="A58" i="12"/>
  <c r="A54" i="12"/>
  <c r="A50" i="12"/>
  <c r="A46" i="12"/>
  <c r="A42" i="12"/>
  <c r="A38" i="12"/>
  <c r="A34" i="12"/>
  <c r="A30" i="12"/>
  <c r="A26" i="12"/>
  <c r="A22" i="12"/>
  <c r="A18" i="12"/>
  <c r="A14" i="12"/>
  <c r="A10" i="12"/>
  <c r="A6" i="12"/>
  <c r="B10" i="4"/>
  <c r="I3" i="4" s="1"/>
  <c r="B9" i="4"/>
  <c r="B6" i="4"/>
  <c r="B5" i="4"/>
  <c r="B11" i="4" l="1"/>
  <c r="M4" i="4"/>
  <c r="D1" i="13" s="1"/>
  <c r="B7" i="4"/>
  <c r="E3" i="4"/>
  <c r="M2" i="4" s="1"/>
  <c r="D2" i="17"/>
  <c r="D3" i="17" s="1"/>
  <c r="D4" i="17" s="1"/>
  <c r="D5" i="17" s="1"/>
  <c r="D6" i="17" s="1"/>
  <c r="D7" i="17" s="1"/>
  <c r="D8" i="17" s="1"/>
  <c r="D9" i="17" s="1"/>
  <c r="J3" i="4"/>
  <c r="T2" i="6" s="1"/>
  <c r="U2" i="6" s="1"/>
  <c r="D2" i="6" s="1"/>
  <c r="S2" i="6" l="1"/>
  <c r="F3" i="4"/>
  <c r="R4" i="13" s="1"/>
  <c r="B4" i="13" s="1"/>
  <c r="M5" i="4"/>
  <c r="D28" i="13" s="1"/>
  <c r="D2" i="13" s="1"/>
  <c r="E2" i="6"/>
  <c r="F2" i="6" s="1"/>
  <c r="I4" i="4"/>
  <c r="E4" i="4" l="1"/>
  <c r="Q2" i="6"/>
  <c r="R2" i="6" s="1"/>
  <c r="A2" i="6" s="1"/>
  <c r="M3" i="4"/>
  <c r="P2" i="6"/>
  <c r="N2" i="4"/>
  <c r="N4" i="4"/>
  <c r="E1" i="13" s="1"/>
  <c r="F4" i="4"/>
  <c r="J4" i="4"/>
  <c r="N5" i="4" s="1"/>
  <c r="E28" i="13" s="1"/>
  <c r="E2" i="13" s="1"/>
  <c r="S3" i="6" l="1"/>
  <c r="B2" i="6"/>
  <c r="C2" i="6" s="1"/>
  <c r="Q4" i="13"/>
  <c r="T3" i="6"/>
  <c r="U3" i="6" s="1"/>
  <c r="D3" i="6" s="1"/>
  <c r="N3" i="4"/>
  <c r="R5" i="13"/>
  <c r="B5" i="13" s="1"/>
  <c r="Q3" i="6"/>
  <c r="R3" i="6" s="1"/>
  <c r="A3" i="6" s="1"/>
  <c r="P3" i="6"/>
  <c r="E5" i="4"/>
  <c r="I5" i="4"/>
  <c r="E3" i="6" l="1"/>
  <c r="F3" i="6" s="1"/>
  <c r="Q5" i="13"/>
  <c r="B3" i="6"/>
  <c r="C3" i="6" s="1"/>
  <c r="O2" i="4"/>
  <c r="Q4" i="6"/>
  <c r="R4" i="6" s="1"/>
  <c r="A4" i="6" s="1"/>
  <c r="O4" i="4"/>
  <c r="F1" i="13" s="1"/>
  <c r="J5" i="4"/>
  <c r="O5" i="4" s="1"/>
  <c r="F28" i="13" s="1"/>
  <c r="F2" i="13" s="1"/>
  <c r="F5" i="4"/>
  <c r="T4" i="6" l="1"/>
  <c r="U4" i="6" s="1"/>
  <c r="D4" i="6" s="1"/>
  <c r="S4" i="6"/>
  <c r="Q6" i="13"/>
  <c r="B4" i="6"/>
  <c r="C4" i="6" s="1"/>
  <c r="O3" i="4"/>
  <c r="R6" i="13"/>
  <c r="B6" i="13" s="1"/>
  <c r="P4" i="6"/>
  <c r="I6" i="4"/>
  <c r="E6" i="4"/>
  <c r="E4" i="6" l="1"/>
  <c r="F4" i="6" s="1"/>
  <c r="J6" i="4"/>
  <c r="P5" i="4" s="1"/>
  <c r="G28" i="13" s="1"/>
  <c r="G2" i="13" s="1"/>
  <c r="P2" i="4"/>
  <c r="P4" i="4"/>
  <c r="G1" i="13" s="1"/>
  <c r="F6" i="4"/>
  <c r="T5" i="6" l="1"/>
  <c r="U5" i="6" s="1"/>
  <c r="D5" i="6" s="1"/>
  <c r="S5" i="6"/>
  <c r="I7" i="4"/>
  <c r="Q4" i="4" s="1"/>
  <c r="H1" i="13" s="1"/>
  <c r="P3" i="4"/>
  <c r="R7" i="13"/>
  <c r="B7" i="13" s="1"/>
  <c r="P5" i="6"/>
  <c r="Q5" i="6"/>
  <c r="R5" i="6" s="1"/>
  <c r="A5" i="6" s="1"/>
  <c r="E7" i="4"/>
  <c r="J7" i="4"/>
  <c r="E5" i="6" l="1"/>
  <c r="F5" i="6" s="1"/>
  <c r="T6" i="6"/>
  <c r="U6" i="6" s="1"/>
  <c r="D6" i="6" s="1"/>
  <c r="E6" i="6" s="1"/>
  <c r="F6" i="6" s="1"/>
  <c r="S6" i="6"/>
  <c r="Q7" i="13"/>
  <c r="B5" i="6"/>
  <c r="C5" i="6" s="1"/>
  <c r="Q2" i="4"/>
  <c r="F7" i="4"/>
  <c r="Q6" i="6" s="1"/>
  <c r="R6" i="6" s="1"/>
  <c r="A6" i="6" s="1"/>
  <c r="I8" i="4"/>
  <c r="Q5" i="4"/>
  <c r="H28" i="13" s="1"/>
  <c r="H2" i="13" s="1"/>
  <c r="Q3" i="4" l="1"/>
  <c r="R8" i="13"/>
  <c r="B8" i="13" s="1"/>
  <c r="Q8" i="13"/>
  <c r="B6" i="6"/>
  <c r="C6" i="6" s="1"/>
  <c r="P6" i="6"/>
  <c r="R4" i="4"/>
  <c r="I1" i="13" s="1"/>
  <c r="J8" i="4"/>
  <c r="I9" i="4" s="1"/>
  <c r="E8" i="4"/>
  <c r="S7" i="6" l="1"/>
  <c r="T7" i="6"/>
  <c r="U7" i="6" s="1"/>
  <c r="D7" i="6" s="1"/>
  <c r="E7" i="6" s="1"/>
  <c r="F7" i="6" s="1"/>
  <c r="R2" i="4"/>
  <c r="S4" i="4"/>
  <c r="J1" i="13" s="1"/>
  <c r="R5" i="4"/>
  <c r="I28" i="13" s="1"/>
  <c r="I2" i="13" s="1"/>
  <c r="F8" i="4"/>
  <c r="J9" i="4"/>
  <c r="T8" i="6" s="1"/>
  <c r="U8" i="6" s="1"/>
  <c r="D8" i="6" s="1"/>
  <c r="E8" i="6" l="1"/>
  <c r="F8" i="6" s="1"/>
  <c r="S8" i="6"/>
  <c r="R3" i="4"/>
  <c r="R9" i="13"/>
  <c r="B9" i="13" s="1"/>
  <c r="P7" i="6"/>
  <c r="Q7" i="6"/>
  <c r="R7" i="6" s="1"/>
  <c r="A7" i="6" s="1"/>
  <c r="E9" i="4"/>
  <c r="I10" i="4"/>
  <c r="S5" i="4"/>
  <c r="J28" i="13" s="1"/>
  <c r="J2" i="13" s="1"/>
  <c r="Q9" i="13" l="1"/>
  <c r="B7" i="6"/>
  <c r="C7" i="6" s="1"/>
  <c r="S2" i="4"/>
  <c r="F9" i="4"/>
  <c r="P8" i="6" s="1"/>
  <c r="T4" i="4"/>
  <c r="K1" i="13" s="1"/>
  <c r="J10" i="4"/>
  <c r="S9" i="6" l="1"/>
  <c r="T9" i="6"/>
  <c r="U9" i="6" s="1"/>
  <c r="D9" i="6" s="1"/>
  <c r="E9" i="6" s="1"/>
  <c r="F9" i="6" s="1"/>
  <c r="S3" i="4"/>
  <c r="R10" i="13"/>
  <c r="B10" i="13" s="1"/>
  <c r="Q8" i="6"/>
  <c r="R8" i="6" s="1"/>
  <c r="A8" i="6" s="1"/>
  <c r="E10" i="4"/>
  <c r="I11" i="4"/>
  <c r="T5" i="4"/>
  <c r="K28" i="13" s="1"/>
  <c r="K2" i="13" s="1"/>
  <c r="E13" i="8" a="1"/>
  <c r="Q10" i="13" l="1"/>
  <c r="B8" i="6"/>
  <c r="C8" i="6" s="1"/>
  <c r="T2" i="4"/>
  <c r="F10" i="4"/>
  <c r="U4" i="4"/>
  <c r="L1" i="13" s="1"/>
  <c r="J11" i="4"/>
  <c r="E21" i="8" s="1"/>
  <c r="E13" i="8"/>
  <c r="E14" i="8"/>
  <c r="K3" i="8" s="1"/>
  <c r="H1" i="25" s="1"/>
  <c r="E15" i="8"/>
  <c r="E16" i="8"/>
  <c r="M3" i="8" s="1"/>
  <c r="J1" i="25" s="1"/>
  <c r="E17" i="8"/>
  <c r="E18" i="8"/>
  <c r="O3" i="8" s="1"/>
  <c r="L1" i="25" s="1"/>
  <c r="E19" i="8"/>
  <c r="E20" i="8"/>
  <c r="Q3" i="8" s="1"/>
  <c r="N1" i="25" s="1"/>
  <c r="S10" i="6" l="1"/>
  <c r="T10" i="6"/>
  <c r="U10" i="6" s="1"/>
  <c r="D10" i="6" s="1"/>
  <c r="E10" i="6" s="1"/>
  <c r="F10" i="6" s="1"/>
  <c r="T3" i="4"/>
  <c r="R11" i="13"/>
  <c r="B11" i="13" s="1"/>
  <c r="Q9" i="6"/>
  <c r="R9" i="6" s="1"/>
  <c r="A9" i="6" s="1"/>
  <c r="P9" i="6"/>
  <c r="E11" i="4"/>
  <c r="P3" i="8"/>
  <c r="M1" i="25" s="1"/>
  <c r="L3" i="8"/>
  <c r="I1" i="25" s="1"/>
  <c r="I12" i="4"/>
  <c r="U5" i="4"/>
  <c r="L28" i="13" s="1"/>
  <c r="L2" i="13" s="1"/>
  <c r="R3" i="8"/>
  <c r="O1" i="25" s="1"/>
  <c r="N3" i="8"/>
  <c r="K1" i="25" s="1"/>
  <c r="J3" i="8"/>
  <c r="G1" i="25" s="1"/>
  <c r="Q11" i="13" l="1"/>
  <c r="B9" i="6"/>
  <c r="C9" i="6" s="1"/>
  <c r="U2" i="4"/>
  <c r="F11" i="4"/>
  <c r="P10" i="6" s="1"/>
  <c r="V4" i="4"/>
  <c r="M1" i="13" s="1"/>
  <c r="J12" i="4"/>
  <c r="E22" i="8" s="1"/>
  <c r="F13" i="8" s="1" a="1"/>
  <c r="T11" i="6" l="1"/>
  <c r="S11" i="6"/>
  <c r="U11" i="6" s="1"/>
  <c r="D11" i="6" s="1"/>
  <c r="U3" i="4"/>
  <c r="R12" i="13"/>
  <c r="B12" i="13" s="1"/>
  <c r="Q10" i="6"/>
  <c r="R10" i="6" s="1"/>
  <c r="A10" i="6" s="1"/>
  <c r="E12" i="4"/>
  <c r="S3" i="8"/>
  <c r="P1" i="25" s="1"/>
  <c r="V5" i="4"/>
  <c r="M28" i="13" s="1"/>
  <c r="M2" i="13" s="1"/>
  <c r="A4" i="13" a="1"/>
  <c r="E2" i="8" a="1"/>
  <c r="E11" i="6" l="1"/>
  <c r="F11" i="6" s="1"/>
  <c r="Q12" i="13"/>
  <c r="B10" i="6"/>
  <c r="C10" i="6" s="1"/>
  <c r="V2" i="4"/>
  <c r="D3" i="13" a="1"/>
  <c r="M3" i="13" s="1"/>
  <c r="F12" i="4"/>
  <c r="P11" i="6" s="1"/>
  <c r="R11" i="6" s="1"/>
  <c r="A11" i="6" s="1"/>
  <c r="A5" i="13"/>
  <c r="A9" i="13"/>
  <c r="A13" i="13"/>
  <c r="A6" i="13"/>
  <c r="A10" i="13"/>
  <c r="A7" i="13"/>
  <c r="A11" i="13"/>
  <c r="A4" i="13"/>
  <c r="A8" i="13"/>
  <c r="A12" i="13"/>
  <c r="E2" i="8"/>
  <c r="E3" i="8"/>
  <c r="E4" i="8"/>
  <c r="E5" i="8"/>
  <c r="E6" i="8"/>
  <c r="E7" i="8"/>
  <c r="E8" i="8"/>
  <c r="E9" i="8"/>
  <c r="E10" i="8"/>
  <c r="F10" i="25" s="1"/>
  <c r="Q11" i="6" l="1"/>
  <c r="B32" i="20"/>
  <c r="F5" i="25"/>
  <c r="B27" i="20"/>
  <c r="F8" i="25"/>
  <c r="B30" i="20"/>
  <c r="F4" i="25"/>
  <c r="B26" i="20"/>
  <c r="F7" i="25"/>
  <c r="B29" i="20"/>
  <c r="F3" i="25"/>
  <c r="B25" i="20"/>
  <c r="V3" i="4"/>
  <c r="R13" i="13"/>
  <c r="B13" i="13" s="1"/>
  <c r="F9" i="25"/>
  <c r="B31" i="20"/>
  <c r="Q13" i="13"/>
  <c r="B11" i="6"/>
  <c r="C11" i="6" s="1"/>
  <c r="F6" i="25"/>
  <c r="B28" i="20"/>
  <c r="F2" i="25"/>
  <c r="J2" i="8"/>
  <c r="B24" i="20"/>
  <c r="G3" i="13"/>
  <c r="K3" i="13"/>
  <c r="I3" i="13"/>
  <c r="E3" i="13"/>
  <c r="F3" i="13"/>
  <c r="H3" i="13"/>
  <c r="D3" i="13"/>
  <c r="L3" i="13"/>
  <c r="J3" i="13"/>
  <c r="E11" i="8"/>
  <c r="F11" i="25" s="1"/>
  <c r="D18" i="8"/>
  <c r="F18" i="8"/>
  <c r="D15" i="8"/>
  <c r="F15" i="8"/>
  <c r="D13" i="8"/>
  <c r="F13" i="8"/>
  <c r="D22" i="8"/>
  <c r="F22" i="8"/>
  <c r="F20" i="8"/>
  <c r="D20" i="8"/>
  <c r="F16" i="8"/>
  <c r="D16" i="8"/>
  <c r="D17" i="8"/>
  <c r="F17" i="8"/>
  <c r="D19" i="8"/>
  <c r="F19" i="8"/>
  <c r="D21" i="8"/>
  <c r="F21" i="8"/>
  <c r="D14" i="8"/>
  <c r="F14" i="8"/>
  <c r="R2" i="8"/>
  <c r="N2" i="8"/>
  <c r="K2" i="8"/>
  <c r="Q2" i="8"/>
  <c r="M2" i="8"/>
  <c r="O2" i="8"/>
  <c r="P2" i="8"/>
  <c r="L2" i="8"/>
  <c r="H4" i="13"/>
  <c r="I11" i="13"/>
  <c r="H13" i="13"/>
  <c r="K8" i="13"/>
  <c r="G7" i="13"/>
  <c r="K9" i="13"/>
  <c r="J10" i="13"/>
  <c r="D5" i="13"/>
  <c r="E6" i="13"/>
  <c r="H12" i="13"/>
  <c r="B13" i="8" l="1"/>
  <c r="B9" i="8"/>
  <c r="S2" i="8"/>
  <c r="B33" i="20"/>
  <c r="F2" i="8" a="1"/>
  <c r="F5" i="8" s="1"/>
  <c r="G13" i="8" a="1"/>
  <c r="G20" i="8" s="1"/>
  <c r="C4" i="13" a="1"/>
  <c r="F8" i="8"/>
  <c r="G13" i="13"/>
  <c r="D13" i="13"/>
  <c r="M13" i="13"/>
  <c r="K13" i="13"/>
  <c r="J13" i="13"/>
  <c r="I13" i="13"/>
  <c r="L13" i="13"/>
  <c r="F13" i="13"/>
  <c r="E13" i="13"/>
  <c r="D4" i="13"/>
  <c r="D11" i="8"/>
  <c r="L10" i="13"/>
  <c r="I6" i="13"/>
  <c r="F6" i="13"/>
  <c r="L4" i="13"/>
  <c r="D10" i="13"/>
  <c r="D7" i="13"/>
  <c r="H7" i="13"/>
  <c r="I7" i="13"/>
  <c r="G6" i="13"/>
  <c r="M4" i="13"/>
  <c r="K4" i="13"/>
  <c r="M10" i="13"/>
  <c r="F10" i="13"/>
  <c r="F7" i="13"/>
  <c r="D6" i="13"/>
  <c r="F4" i="13"/>
  <c r="L6" i="13"/>
  <c r="E4" i="13"/>
  <c r="G10" i="13"/>
  <c r="K7" i="13"/>
  <c r="M5" i="13"/>
  <c r="G5" i="13"/>
  <c r="I8" i="13"/>
  <c r="F8" i="13"/>
  <c r="L11" i="13"/>
  <c r="K11" i="13"/>
  <c r="E11" i="13"/>
  <c r="J9" i="13"/>
  <c r="M9" i="13"/>
  <c r="G9" i="13"/>
  <c r="M12" i="13"/>
  <c r="J12" i="13"/>
  <c r="K12" i="13"/>
  <c r="M6" i="13"/>
  <c r="J6" i="13"/>
  <c r="I4" i="13"/>
  <c r="G4" i="13"/>
  <c r="I5" i="13"/>
  <c r="J5" i="13"/>
  <c r="K10" i="13"/>
  <c r="H10" i="13"/>
  <c r="E10" i="13"/>
  <c r="E8" i="13"/>
  <c r="L8" i="13"/>
  <c r="D11" i="13"/>
  <c r="G11" i="13"/>
  <c r="H11" i="13"/>
  <c r="L9" i="13"/>
  <c r="I9" i="13"/>
  <c r="D9" i="13"/>
  <c r="L7" i="13"/>
  <c r="E7" i="13"/>
  <c r="I12" i="13"/>
  <c r="F12" i="13"/>
  <c r="D12" i="13"/>
  <c r="G8" i="13"/>
  <c r="J11" i="13"/>
  <c r="E12" i="13"/>
  <c r="L12" i="13"/>
  <c r="L5" i="13"/>
  <c r="E5" i="13"/>
  <c r="F5" i="13"/>
  <c r="D8" i="13"/>
  <c r="H8" i="13"/>
  <c r="M11" i="13"/>
  <c r="H9" i="13"/>
  <c r="E9" i="13"/>
  <c r="K6" i="13"/>
  <c r="H6" i="13"/>
  <c r="J4" i="13"/>
  <c r="H5" i="13"/>
  <c r="K5" i="13"/>
  <c r="I10" i="13"/>
  <c r="M8" i="13"/>
  <c r="J8" i="13"/>
  <c r="F11" i="13"/>
  <c r="F9" i="13"/>
  <c r="J7" i="13"/>
  <c r="M7" i="13"/>
  <c r="G12" i="13"/>
  <c r="D2" i="8"/>
  <c r="D6" i="8"/>
  <c r="F6" i="8"/>
  <c r="D4" i="8"/>
  <c r="D3" i="8"/>
  <c r="F3" i="8"/>
  <c r="D7" i="8"/>
  <c r="D9" i="8"/>
  <c r="F9" i="8"/>
  <c r="D8" i="8"/>
  <c r="D10" i="8"/>
  <c r="F10" i="8"/>
  <c r="G2" i="25" l="1" a="1"/>
  <c r="O5" i="13"/>
  <c r="P5" i="13" s="1"/>
  <c r="O6" i="13"/>
  <c r="P6" i="13" s="1"/>
  <c r="O11" i="13"/>
  <c r="P11" i="13" s="1"/>
  <c r="O7" i="13"/>
  <c r="P7" i="13" s="1"/>
  <c r="O10" i="13"/>
  <c r="P10" i="13" s="1"/>
  <c r="O9" i="13"/>
  <c r="P9" i="13" s="1"/>
  <c r="O8" i="13"/>
  <c r="P8" i="13" s="1"/>
  <c r="O12" i="13"/>
  <c r="P12" i="13" s="1"/>
  <c r="O4" i="13"/>
  <c r="O13" i="13"/>
  <c r="P13" i="13" s="1"/>
  <c r="G15" i="8"/>
  <c r="G14" i="8"/>
  <c r="G13" i="8"/>
  <c r="F7" i="8"/>
  <c r="F4" i="8"/>
  <c r="F2" i="8"/>
  <c r="C9" i="13"/>
  <c r="C7" i="13"/>
  <c r="C5" i="13"/>
  <c r="C12" i="13"/>
  <c r="C10" i="13"/>
  <c r="C8" i="13"/>
  <c r="C4" i="13"/>
  <c r="C6" i="13"/>
  <c r="C11" i="13"/>
  <c r="G21" i="8"/>
  <c r="C13" i="13"/>
  <c r="G19" i="8"/>
  <c r="G16" i="8"/>
  <c r="G17" i="8"/>
  <c r="G18" i="8"/>
  <c r="G22" i="8"/>
  <c r="D5" i="8"/>
  <c r="B7" i="8" s="1"/>
  <c r="F11" i="8"/>
  <c r="M14" i="13"/>
  <c r="K14" i="13"/>
  <c r="J14" i="13"/>
  <c r="F14" i="13"/>
  <c r="H14" i="13"/>
  <c r="L14" i="13"/>
  <c r="E14" i="13"/>
  <c r="G14" i="13"/>
  <c r="I14" i="13"/>
  <c r="D14" i="13"/>
  <c r="B10" i="8" l="1"/>
  <c r="B11" i="8" s="1"/>
  <c r="B12" i="8" s="1"/>
  <c r="N14" i="13"/>
  <c r="B3" i="8"/>
  <c r="B9" i="20" s="1"/>
  <c r="B3" i="23" a="1"/>
  <c r="B3" i="23" s="1"/>
  <c r="B5" i="23" s="1"/>
  <c r="E12" i="17" a="1"/>
  <c r="P4" i="13"/>
  <c r="B4" i="23" s="1"/>
  <c r="N10" i="13"/>
  <c r="N6" i="13"/>
  <c r="N11" i="13"/>
  <c r="N13" i="13"/>
  <c r="N9" i="13"/>
  <c r="N5" i="13"/>
  <c r="N12" i="13"/>
  <c r="N8" i="13"/>
  <c r="N4" i="13"/>
  <c r="N7" i="13"/>
  <c r="I2" i="25"/>
  <c r="J2" i="25"/>
  <c r="O2" i="25"/>
  <c r="J3" i="25"/>
  <c r="O3" i="25"/>
  <c r="J4" i="25"/>
  <c r="O4" i="25"/>
  <c r="J5" i="25"/>
  <c r="O5" i="25"/>
  <c r="J6" i="25"/>
  <c r="O6" i="25"/>
  <c r="J7" i="25"/>
  <c r="O7" i="25"/>
  <c r="J8" i="25"/>
  <c r="O8" i="25"/>
  <c r="J9" i="25"/>
  <c r="O9" i="25"/>
  <c r="J10" i="25"/>
  <c r="O10" i="25"/>
  <c r="J11" i="25"/>
  <c r="O11" i="25"/>
  <c r="K3" i="25"/>
  <c r="K4" i="25"/>
  <c r="K5" i="25"/>
  <c r="K6" i="25"/>
  <c r="P6" i="25"/>
  <c r="P7" i="25"/>
  <c r="K8" i="25"/>
  <c r="K9" i="25"/>
  <c r="K10" i="25"/>
  <c r="P10" i="25"/>
  <c r="P11" i="25"/>
  <c r="K2" i="25"/>
  <c r="P2" i="25"/>
  <c r="P3" i="25"/>
  <c r="P4" i="25"/>
  <c r="P5" i="25"/>
  <c r="K7" i="25"/>
  <c r="P8" i="25"/>
  <c r="P9" i="25"/>
  <c r="K11" i="25"/>
  <c r="G2" i="25"/>
  <c r="L2" i="25"/>
  <c r="G3" i="25"/>
  <c r="L3" i="25"/>
  <c r="G4" i="25"/>
  <c r="L4" i="25"/>
  <c r="G5" i="25"/>
  <c r="L5" i="25"/>
  <c r="G6" i="25"/>
  <c r="L6" i="25"/>
  <c r="G7" i="25"/>
  <c r="L7" i="25"/>
  <c r="G8" i="25"/>
  <c r="L8" i="25"/>
  <c r="G9" i="25"/>
  <c r="L9" i="25"/>
  <c r="G10" i="25"/>
  <c r="L10" i="25"/>
  <c r="G11" i="25"/>
  <c r="L11" i="25"/>
  <c r="H2" i="25"/>
  <c r="N2" i="25"/>
  <c r="H3" i="25"/>
  <c r="N3" i="25"/>
  <c r="H4" i="25"/>
  <c r="N4" i="25"/>
  <c r="H5" i="25"/>
  <c r="N5" i="25"/>
  <c r="H6" i="25"/>
  <c r="N6" i="25"/>
  <c r="H7" i="25"/>
  <c r="N7" i="25"/>
  <c r="H8" i="25"/>
  <c r="N8" i="25"/>
  <c r="H9" i="25"/>
  <c r="N9" i="25"/>
  <c r="H10" i="25"/>
  <c r="N10" i="25"/>
  <c r="H11" i="25"/>
  <c r="N11" i="25"/>
  <c r="M11" i="25"/>
  <c r="M9" i="25"/>
  <c r="M7" i="25"/>
  <c r="M5" i="25"/>
  <c r="M3" i="25"/>
  <c r="I11" i="25"/>
  <c r="I9" i="25"/>
  <c r="I7" i="25"/>
  <c r="I5" i="25"/>
  <c r="I3" i="25"/>
  <c r="I8" i="25"/>
  <c r="I4" i="25"/>
  <c r="M10" i="25"/>
  <c r="M8" i="25"/>
  <c r="M6" i="25"/>
  <c r="M4" i="25"/>
  <c r="M2" i="25"/>
  <c r="I10" i="25"/>
  <c r="I6" i="25"/>
  <c r="G2" i="8" a="1"/>
  <c r="G9" i="8" s="1"/>
  <c r="B34" i="20"/>
  <c r="B8" i="20"/>
  <c r="G6" i="8"/>
  <c r="G5" i="8"/>
  <c r="G8" i="8"/>
  <c r="G3" i="8"/>
  <c r="G4" i="8"/>
  <c r="G10" i="8"/>
  <c r="G2" i="8"/>
  <c r="G7" i="8"/>
  <c r="G11" i="8"/>
  <c r="B4" i="25" l="1"/>
  <c r="Q8" i="25"/>
  <c r="B4" i="8"/>
  <c r="B5" i="8" s="1"/>
  <c r="B2" i="18"/>
  <c r="B3" i="24"/>
  <c r="Q9" i="25"/>
  <c r="Q2" i="25"/>
  <c r="Q6" i="25"/>
  <c r="B36" i="20"/>
  <c r="B35" i="20"/>
  <c r="Q5" i="25"/>
  <c r="Q10" i="25"/>
  <c r="Q3" i="25"/>
  <c r="Q11" i="25"/>
  <c r="D12" i="17" a="1"/>
  <c r="B6" i="23"/>
  <c r="B7" i="23" s="1"/>
  <c r="Q4" i="25"/>
  <c r="Q7" i="25"/>
  <c r="E12" i="17"/>
  <c r="E13" i="17"/>
  <c r="E14" i="17"/>
  <c r="E20" i="17"/>
  <c r="E19" i="17"/>
  <c r="E21" i="17"/>
  <c r="E16" i="17"/>
  <c r="E15" i="17"/>
  <c r="E17" i="17"/>
  <c r="E18" i="17"/>
  <c r="B17" i="19" l="1"/>
  <c r="B20" i="19" s="1"/>
  <c r="B3" i="25"/>
  <c r="B19" i="20"/>
  <c r="B18" i="20"/>
  <c r="B2" i="25"/>
  <c r="B5" i="25" s="1"/>
  <c r="B3" i="18" s="1"/>
  <c r="B4" i="18" s="1"/>
  <c r="D12" i="17"/>
  <c r="D17" i="17"/>
  <c r="D18" i="17"/>
  <c r="D13" i="17"/>
  <c r="D14" i="17"/>
  <c r="D20" i="17"/>
  <c r="D19" i="17"/>
  <c r="D21" i="17"/>
  <c r="D16" i="17"/>
  <c r="D15" i="17"/>
  <c r="B6" i="8"/>
  <c r="B7" i="25" l="1"/>
  <c r="B9" i="25" s="1"/>
  <c r="B12" i="20"/>
  <c r="B14" i="20" s="1"/>
  <c r="L4" i="22"/>
  <c r="M4" i="22" s="1"/>
  <c r="N3" i="22" s="1"/>
  <c r="L6" i="22"/>
  <c r="M6" i="22" s="1"/>
  <c r="L7" i="22"/>
  <c r="M7" i="22" s="1"/>
  <c r="L5" i="22"/>
  <c r="M5" i="22" s="1"/>
  <c r="B6" i="25" l="1"/>
  <c r="E9" i="17" s="1"/>
  <c r="N4" i="22"/>
  <c r="O4" i="22" s="1"/>
  <c r="P4" i="22" s="1"/>
  <c r="N5" i="22"/>
  <c r="O5" i="22" s="1"/>
  <c r="P5" i="22" s="1"/>
  <c r="N6" i="22"/>
  <c r="O6" i="22" s="1"/>
  <c r="P6" i="22" s="1"/>
  <c r="N7" i="22"/>
  <c r="O7" i="22" s="1"/>
  <c r="P7" i="22" s="1"/>
  <c r="B13" i="20"/>
  <c r="O3" i="22"/>
  <c r="P3" i="22" s="1"/>
  <c r="E8" i="17" l="1"/>
  <c r="E3" i="17"/>
  <c r="E5" i="17"/>
  <c r="E7" i="17"/>
  <c r="B8" i="25"/>
  <c r="E2" i="17"/>
  <c r="E6" i="17"/>
  <c r="E4" i="17"/>
  <c r="N8" i="22"/>
  <c r="B2" i="22"/>
  <c r="B6" i="22" s="1"/>
</calcChain>
</file>

<file path=xl/sharedStrings.xml><?xml version="1.0" encoding="utf-8"?>
<sst xmlns="http://schemas.openxmlformats.org/spreadsheetml/2006/main" count="208" uniqueCount="110">
  <si>
    <t>№</t>
  </si>
  <si>
    <t>Рост</t>
  </si>
  <si>
    <t>Вес</t>
  </si>
  <si>
    <t>Рост (вариационный ряд)</t>
  </si>
  <si>
    <t>Вес (вариационный ряд)</t>
  </si>
  <si>
    <t>Метрика</t>
  </si>
  <si>
    <t>Значение</t>
  </si>
  <si>
    <t>Количество интервалов</t>
  </si>
  <si>
    <t>Размер интервалов</t>
  </si>
  <si>
    <t>Максимальное значение</t>
  </si>
  <si>
    <t>Минимальное значение</t>
  </si>
  <si>
    <t>Общее</t>
  </si>
  <si>
    <t>Начало интервала</t>
  </si>
  <si>
    <t>Конец интервала</t>
  </si>
  <si>
    <t>Частоты (Рост)</t>
  </si>
  <si>
    <t>Частоты (Вес)</t>
  </si>
  <si>
    <t>Рост:</t>
  </si>
  <si>
    <t>Выборочное среднее</t>
  </si>
  <si>
    <t>Выборочная дисперсия</t>
  </si>
  <si>
    <t>Исправленная дисперсия</t>
  </si>
  <si>
    <t>Исправленные выборочные средние квадратические отклонения</t>
  </si>
  <si>
    <t>Мода</t>
  </si>
  <si>
    <t>Интервалы сер. (Рост)</t>
  </si>
  <si>
    <t>Интервалы сер. * Частоты (Рост)</t>
  </si>
  <si>
    <t>(Интервалы сер.) ^ 2 * Частоты (Рост)</t>
  </si>
  <si>
    <t>Вес:</t>
  </si>
  <si>
    <t>Частоты (Рост) COPY</t>
  </si>
  <si>
    <t>Частоты (Вес) COPY</t>
  </si>
  <si>
    <t>Интервалы сер. (Вес)</t>
  </si>
  <si>
    <t>Интервалы сер. * Частоты (Вес)</t>
  </si>
  <si>
    <t>(Интервалы сер.) ^ 2 * Частоты (Вес)</t>
  </si>
  <si>
    <t>Медиана</t>
  </si>
  <si>
    <t>Вес COPY</t>
  </si>
  <si>
    <t>Рост COPY</t>
  </si>
  <si>
    <t>Середина интервала</t>
  </si>
  <si>
    <t>Начало интервала (Рост)</t>
  </si>
  <si>
    <t>Конец интервала (Рост)</t>
  </si>
  <si>
    <t>Начало интервала (Вес)</t>
  </si>
  <si>
    <t>Конец интервала (Вес)</t>
  </si>
  <si>
    <t>Горизонтальные варианты</t>
  </si>
  <si>
    <t>дисп</t>
  </si>
  <si>
    <t>Условные средние</t>
  </si>
  <si>
    <t>Надежность</t>
  </si>
  <si>
    <t>Пункт (a)</t>
  </si>
  <si>
    <t>Радиус доверительного интервала</t>
  </si>
  <si>
    <t>Пункт (б)</t>
  </si>
  <si>
    <t>Пункт (в)</t>
  </si>
  <si>
    <t>Пункт (г)</t>
  </si>
  <si>
    <t>Параметр "a"</t>
  </si>
  <si>
    <t>Частота * (Интервал сер. - "a") ^ 2</t>
  </si>
  <si>
    <t>Новый интервал (Рост)</t>
  </si>
  <si>
    <t>"Хи-квадрат" (набл.)</t>
  </si>
  <si>
    <t>Уровень значимости</t>
  </si>
  <si>
    <t>Число степеней свободы</t>
  </si>
  <si>
    <t>"Хи-квадрат" (теор.)</t>
  </si>
  <si>
    <t>Ответ</t>
  </si>
  <si>
    <t>Значения</t>
  </si>
  <si>
    <t>Внутрегрупповая дисперсия</t>
  </si>
  <si>
    <t>Межгрупповая дисперсия</t>
  </si>
  <si>
    <t>Статистика K</t>
  </si>
  <si>
    <t>Итого</t>
  </si>
  <si>
    <t>Выборочное корреляционное соотношение</t>
  </si>
  <si>
    <t>Коэффициент корреляции</t>
  </si>
  <si>
    <t>Значения распределения (Рост)</t>
  </si>
  <si>
    <t>Значения распределения (Вес)</t>
  </si>
  <si>
    <t>Количество данных</t>
  </si>
  <si>
    <t>Новые частоты (Рост)</t>
  </si>
  <si>
    <t>Интервал</t>
  </si>
  <si>
    <t>Средняя произведения XY</t>
  </si>
  <si>
    <t>Выборочная средняя квадратического отклонения (Рост)</t>
  </si>
  <si>
    <t>Выборочная средняя квадратического отклонения (Вес)</t>
  </si>
  <si>
    <t>Выборочный коэффициент линейной корреляции</t>
  </si>
  <si>
    <t>Уравнение</t>
  </si>
  <si>
    <t>X</t>
  </si>
  <si>
    <t>Y</t>
  </si>
  <si>
    <t>Шаг</t>
  </si>
  <si>
    <t>Интервалы (Рост) COPY</t>
  </si>
  <si>
    <t>Условные точки</t>
  </si>
  <si>
    <t>Результаты значений EXCEL ЛИНЕЙН</t>
  </si>
  <si>
    <t>Параметр "b"</t>
  </si>
  <si>
    <t>Стандартная ошибка параметра "a"</t>
  </si>
  <si>
    <t>Стандартная ошибка параметра "b"</t>
  </si>
  <si>
    <t>Коэффициент детерминации</t>
  </si>
  <si>
    <t>Стандартная ошибка регрессии</t>
  </si>
  <si>
    <t>F-статистика</t>
  </si>
  <si>
    <t>Степень свободы</t>
  </si>
  <si>
    <t>Дисперсия расчетных значений</t>
  </si>
  <si>
    <t>Рост для прогнозирования</t>
  </si>
  <si>
    <t>Предполагаемый вес</t>
  </si>
  <si>
    <t>Дисперсия ошибок</t>
  </si>
  <si>
    <t>t_кр</t>
  </si>
  <si>
    <t>Стандартная ошибка прогноза</t>
  </si>
  <si>
    <t>Доверительный интервал прогноза</t>
  </si>
  <si>
    <t>Уровень надежности</t>
  </si>
  <si>
    <t>Доверительный интервал коэффициентов линейной регрессии (параметр "a")</t>
  </si>
  <si>
    <t>Доверительный интервал коэффициентов линейной регрессии (параметр "b")</t>
  </si>
  <si>
    <t>F-статистика, посчитанная по формуле</t>
  </si>
  <si>
    <t>Сумма внутре- и меж-групповых дисперсий</t>
  </si>
  <si>
    <t>Условно-выборочная дисперсия</t>
  </si>
  <si>
    <t>Точность для сравнения нецелых чисел</t>
  </si>
  <si>
    <t>F-распределение</t>
  </si>
  <si>
    <t>Корр. Табл.</t>
  </si>
  <si>
    <t>Уравнение линейной регрессии</t>
  </si>
  <si>
    <t>t_гамма</t>
  </si>
  <si>
    <t>"Хи-квадрат", 1</t>
  </si>
  <si>
    <t>"Хи-квадрат", 2</t>
  </si>
  <si>
    <t>Параметр сигма</t>
  </si>
  <si>
    <t>Корень из сигма</t>
  </si>
  <si>
    <t>Очевидно, что поскольку условные средние растут, то можно предположить, что мы имеем прямую корреляцию роста от веса.</t>
  </si>
  <si>
    <t>Нулевая гипотеза отклоняется, принимается гипотеза о зависимости роста от веса.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</si>
</sst>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2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0" borderId="2" xfId="0" applyFont="1" applyBorder="1" applyAlignment="1">
      <alignment horizontal="right" vertical="center"/>
    </xf>
    <xf numFmtId="0" fontId="0" fillId="0" borderId="10" xfId="0" applyFont="1" applyBorder="1" applyAlignment="1">
      <alignment horizontal="left" vertical="center"/>
    </xf>
    <xf numFmtId="0" fontId="0" fillId="0" borderId="10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2" xfId="0" applyFont="1" applyBorder="1" applyAlignment="1">
      <alignment vertical="center"/>
    </xf>
    <xf numFmtId="164" fontId="0" fillId="0" borderId="2" xfId="0" applyNumberFormat="1" applyFont="1" applyBorder="1" applyAlignment="1">
      <alignment horizontal="right" vertical="center"/>
    </xf>
    <xf numFmtId="164" fontId="0" fillId="0" borderId="0" xfId="0" applyNumberFormat="1" applyFont="1" applyAlignment="1">
      <alignment horizontal="right" vertical="center"/>
    </xf>
    <xf numFmtId="0" fontId="0" fillId="0" borderId="0" xfId="0" quotePrefix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/>
    <xf numFmtId="2" fontId="0" fillId="0" borderId="0" xfId="0" applyNumberFormat="1" applyFont="1" applyAlignment="1">
      <alignment horizontal="right" vertical="center"/>
    </xf>
    <xf numFmtId="0" fontId="0" fillId="0" borderId="0" xfId="0" applyNumberFormat="1" applyFont="1" applyAlignment="1">
      <alignment horizontal="right" vertical="center"/>
    </xf>
    <xf numFmtId="0" fontId="0" fillId="0" borderId="0" xfId="0" quotePrefix="1" applyFont="1" applyAlignment="1">
      <alignment horizontal="right" vertical="center"/>
    </xf>
    <xf numFmtId="0" fontId="0" fillId="0" borderId="3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1" fontId="0" fillId="0" borderId="0" xfId="0" applyNumberFormat="1" applyFont="1" applyBorder="1" applyAlignment="1">
      <alignment vertical="center"/>
    </xf>
    <xf numFmtId="0" fontId="0" fillId="0" borderId="9" xfId="0" applyFont="1" applyBorder="1" applyAlignment="1">
      <alignment horizontal="right" vertical="center"/>
    </xf>
    <xf numFmtId="0" fontId="0" fillId="0" borderId="0" xfId="0" applyFont="1" applyAlignment="1">
      <alignment horizontal="right" vertical="center" wrapText="1"/>
    </xf>
    <xf numFmtId="0" fontId="0" fillId="0" borderId="6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0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Частоты (Рост)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№3!$A$2:$A$11</c:f>
              <c:numCache>
                <c:formatCode>General</c:formatCode>
                <c:ptCount val="10"/>
                <c:pt idx="0">
                  <c:v>8</c:v>
                </c:pt>
                <c:pt idx="1">
                  <c:v>14</c:v>
                </c:pt>
                <c:pt idx="2">
                  <c:v>27</c:v>
                </c:pt>
                <c:pt idx="3">
                  <c:v>38</c:v>
                </c:pt>
                <c:pt idx="4">
                  <c:v>48</c:v>
                </c:pt>
                <c:pt idx="5">
                  <c:v>28</c:v>
                </c:pt>
                <c:pt idx="6">
                  <c:v>15</c:v>
                </c:pt>
                <c:pt idx="7">
                  <c:v>13</c:v>
                </c:pt>
                <c:pt idx="8">
                  <c:v>2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F5-430F-A1FB-094D9EF0F18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№3!$B$2:$B$11</c:f>
            </c:numRef>
          </c:val>
          <c:extLst>
            <c:ext xmlns:c16="http://schemas.microsoft.com/office/drawing/2014/chart" uri="{C3380CC4-5D6E-409C-BE32-E72D297353CC}">
              <c16:uniqueId val="{00000001-C4F5-430F-A1FB-094D9EF0F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8558959"/>
        <c:axId val="1897700095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№3!$C$2:$C$11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0.04</c:v>
                      </c:pt>
                      <c:pt idx="1">
                        <c:v>0.11000000000000001</c:v>
                      </c:pt>
                      <c:pt idx="2">
                        <c:v>0.24500000000000002</c:v>
                      </c:pt>
                      <c:pt idx="3">
                        <c:v>0.43500000000000005</c:v>
                      </c:pt>
                      <c:pt idx="4">
                        <c:v>0.67500000000000004</c:v>
                      </c:pt>
                      <c:pt idx="5">
                        <c:v>0.81500000000000006</c:v>
                      </c:pt>
                      <c:pt idx="6">
                        <c:v>0.89</c:v>
                      </c:pt>
                      <c:pt idx="7">
                        <c:v>0.95500000000000007</c:v>
                      </c:pt>
                      <c:pt idx="8">
                        <c:v>0.96500000000000008</c:v>
                      </c:pt>
                      <c:pt idx="9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C4F5-430F-A1FB-094D9EF0F185}"/>
                  </c:ext>
                </c:extLst>
              </c15:ser>
            </c15:filteredBarSeries>
          </c:ext>
        </c:extLst>
      </c:barChart>
      <c:catAx>
        <c:axId val="17985589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7700095"/>
        <c:crosses val="autoZero"/>
        <c:auto val="1"/>
        <c:lblAlgn val="ctr"/>
        <c:lblOffset val="100"/>
        <c:noMultiLvlLbl val="0"/>
      </c:catAx>
      <c:valAx>
        <c:axId val="189770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855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Частоты (Рост)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частота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№3!$A$2:$A$11</c:f>
              <c:numCache>
                <c:formatCode>General</c:formatCode>
                <c:ptCount val="10"/>
                <c:pt idx="0">
                  <c:v>8</c:v>
                </c:pt>
                <c:pt idx="1">
                  <c:v>14</c:v>
                </c:pt>
                <c:pt idx="2">
                  <c:v>27</c:v>
                </c:pt>
                <c:pt idx="3">
                  <c:v>38</c:v>
                </c:pt>
                <c:pt idx="4">
                  <c:v>48</c:v>
                </c:pt>
                <c:pt idx="5">
                  <c:v>28</c:v>
                </c:pt>
                <c:pt idx="6">
                  <c:v>15</c:v>
                </c:pt>
                <c:pt idx="7">
                  <c:v>13</c:v>
                </c:pt>
                <c:pt idx="8">
                  <c:v>2</c:v>
                </c:pt>
                <c:pt idx="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E8-423F-9160-FDA50FA6B3E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№3!$B$2:$B$11</c:f>
            </c:numRef>
          </c:val>
          <c:smooth val="0"/>
          <c:extLst>
            <c:ext xmlns:c16="http://schemas.microsoft.com/office/drawing/2014/chart" uri="{C3380CC4-5D6E-409C-BE32-E72D297353CC}">
              <c16:uniqueId val="{00000001-C6E8-423F-9160-FDA50FA6B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6619887"/>
        <c:axId val="1882598943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№3!$C$2:$C$11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0.04</c:v>
                      </c:pt>
                      <c:pt idx="1">
                        <c:v>0.11000000000000001</c:v>
                      </c:pt>
                      <c:pt idx="2">
                        <c:v>0.24500000000000002</c:v>
                      </c:pt>
                      <c:pt idx="3">
                        <c:v>0.43500000000000005</c:v>
                      </c:pt>
                      <c:pt idx="4">
                        <c:v>0.67500000000000004</c:v>
                      </c:pt>
                      <c:pt idx="5">
                        <c:v>0.81500000000000006</c:v>
                      </c:pt>
                      <c:pt idx="6">
                        <c:v>0.89</c:v>
                      </c:pt>
                      <c:pt idx="7">
                        <c:v>0.95500000000000007</c:v>
                      </c:pt>
                      <c:pt idx="8">
                        <c:v>0.96500000000000008</c:v>
                      </c:pt>
                      <c:pt idx="9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C6E8-423F-9160-FDA50FA6B3ED}"/>
                  </c:ext>
                </c:extLst>
              </c15:ser>
            </c15:filteredLineSeries>
          </c:ext>
        </c:extLst>
      </c:lineChart>
      <c:catAx>
        <c:axId val="15566198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2598943"/>
        <c:crosses val="autoZero"/>
        <c:auto val="1"/>
        <c:lblAlgn val="ctr"/>
        <c:lblOffset val="100"/>
        <c:noMultiLvlLbl val="0"/>
      </c:catAx>
      <c:valAx>
        <c:axId val="188259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6619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Частоты (Рост)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№3!$B$2:$B$11</c:f>
            </c:numRef>
          </c:val>
          <c:smooth val="0"/>
          <c:extLst>
            <c:ext xmlns:c16="http://schemas.microsoft.com/office/drawing/2014/chart" uri="{C3380CC4-5D6E-409C-BE32-E72D297353CC}">
              <c16:uniqueId val="{00000001-5961-4891-84D8-179344F8DF7B}"/>
            </c:ext>
          </c:extLst>
        </c:ser>
        <c:ser>
          <c:idx val="2"/>
          <c:order val="2"/>
          <c:tx>
            <c:v>распределение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№3!$C$2:$C$11</c:f>
              <c:numCache>
                <c:formatCode>General</c:formatCode>
                <c:ptCount val="10"/>
                <c:pt idx="0">
                  <c:v>0.04</c:v>
                </c:pt>
                <c:pt idx="1">
                  <c:v>0.11000000000000001</c:v>
                </c:pt>
                <c:pt idx="2">
                  <c:v>0.24500000000000002</c:v>
                </c:pt>
                <c:pt idx="3">
                  <c:v>0.43500000000000005</c:v>
                </c:pt>
                <c:pt idx="4">
                  <c:v>0.67500000000000004</c:v>
                </c:pt>
                <c:pt idx="5">
                  <c:v>0.81500000000000006</c:v>
                </c:pt>
                <c:pt idx="6">
                  <c:v>0.89</c:v>
                </c:pt>
                <c:pt idx="7">
                  <c:v>0.95500000000000007</c:v>
                </c:pt>
                <c:pt idx="8">
                  <c:v>0.96500000000000008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61-4891-84D8-179344F8D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8019647"/>
        <c:axId val="188259228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№3!$A$2:$A$11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8</c:v>
                      </c:pt>
                      <c:pt idx="1">
                        <c:v>14</c:v>
                      </c:pt>
                      <c:pt idx="2">
                        <c:v>27</c:v>
                      </c:pt>
                      <c:pt idx="3">
                        <c:v>38</c:v>
                      </c:pt>
                      <c:pt idx="4">
                        <c:v>48</c:v>
                      </c:pt>
                      <c:pt idx="5">
                        <c:v>28</c:v>
                      </c:pt>
                      <c:pt idx="6">
                        <c:v>15</c:v>
                      </c:pt>
                      <c:pt idx="7">
                        <c:v>13</c:v>
                      </c:pt>
                      <c:pt idx="8">
                        <c:v>2</c:v>
                      </c:pt>
                      <c:pt idx="9">
                        <c:v>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961-4891-84D8-179344F8DF7B}"/>
                  </c:ext>
                </c:extLst>
              </c15:ser>
            </c15:filteredLineSeries>
          </c:ext>
        </c:extLst>
      </c:lineChart>
      <c:catAx>
        <c:axId val="19880196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2592287"/>
        <c:crosses val="autoZero"/>
        <c:auto val="1"/>
        <c:lblAlgn val="ctr"/>
        <c:lblOffset val="100"/>
        <c:noMultiLvlLbl val="0"/>
      </c:catAx>
      <c:valAx>
        <c:axId val="188259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8019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Корреляционное облако (вар. 1)</a:t>
            </a:r>
            <a:endParaRPr lang="ru-RU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№8!$A$2:$A$201</c:f>
              <c:numCache>
                <c:formatCode>General</c:formatCode>
                <c:ptCount val="200"/>
                <c:pt idx="0">
                  <c:v>178</c:v>
                </c:pt>
                <c:pt idx="1">
                  <c:v>163</c:v>
                </c:pt>
                <c:pt idx="2">
                  <c:v>170</c:v>
                </c:pt>
                <c:pt idx="3">
                  <c:v>164</c:v>
                </c:pt>
                <c:pt idx="4">
                  <c:v>164</c:v>
                </c:pt>
                <c:pt idx="5">
                  <c:v>168</c:v>
                </c:pt>
                <c:pt idx="6">
                  <c:v>167</c:v>
                </c:pt>
                <c:pt idx="7">
                  <c:v>166</c:v>
                </c:pt>
                <c:pt idx="8">
                  <c:v>162</c:v>
                </c:pt>
                <c:pt idx="9">
                  <c:v>171</c:v>
                </c:pt>
                <c:pt idx="10">
                  <c:v>168</c:v>
                </c:pt>
                <c:pt idx="11">
                  <c:v>173</c:v>
                </c:pt>
                <c:pt idx="12">
                  <c:v>167</c:v>
                </c:pt>
                <c:pt idx="13">
                  <c:v>170</c:v>
                </c:pt>
                <c:pt idx="14">
                  <c:v>171</c:v>
                </c:pt>
                <c:pt idx="15">
                  <c:v>173</c:v>
                </c:pt>
                <c:pt idx="16">
                  <c:v>187</c:v>
                </c:pt>
                <c:pt idx="17">
                  <c:v>166</c:v>
                </c:pt>
                <c:pt idx="18">
                  <c:v>170</c:v>
                </c:pt>
                <c:pt idx="19">
                  <c:v>178</c:v>
                </c:pt>
                <c:pt idx="20">
                  <c:v>173</c:v>
                </c:pt>
                <c:pt idx="21">
                  <c:v>179</c:v>
                </c:pt>
                <c:pt idx="22">
                  <c:v>171</c:v>
                </c:pt>
                <c:pt idx="23">
                  <c:v>174</c:v>
                </c:pt>
                <c:pt idx="24">
                  <c:v>164</c:v>
                </c:pt>
                <c:pt idx="25">
                  <c:v>173</c:v>
                </c:pt>
                <c:pt idx="26">
                  <c:v>168</c:v>
                </c:pt>
                <c:pt idx="27">
                  <c:v>166</c:v>
                </c:pt>
                <c:pt idx="28">
                  <c:v>177</c:v>
                </c:pt>
                <c:pt idx="29">
                  <c:v>170</c:v>
                </c:pt>
                <c:pt idx="30">
                  <c:v>167</c:v>
                </c:pt>
                <c:pt idx="31">
                  <c:v>174</c:v>
                </c:pt>
                <c:pt idx="32">
                  <c:v>164</c:v>
                </c:pt>
                <c:pt idx="33">
                  <c:v>164</c:v>
                </c:pt>
                <c:pt idx="34">
                  <c:v>178</c:v>
                </c:pt>
                <c:pt idx="35">
                  <c:v>173</c:v>
                </c:pt>
                <c:pt idx="36">
                  <c:v>179</c:v>
                </c:pt>
                <c:pt idx="37">
                  <c:v>165</c:v>
                </c:pt>
                <c:pt idx="38">
                  <c:v>171</c:v>
                </c:pt>
                <c:pt idx="39">
                  <c:v>171</c:v>
                </c:pt>
                <c:pt idx="40">
                  <c:v>170</c:v>
                </c:pt>
                <c:pt idx="41">
                  <c:v>170</c:v>
                </c:pt>
                <c:pt idx="42">
                  <c:v>165</c:v>
                </c:pt>
                <c:pt idx="43">
                  <c:v>156</c:v>
                </c:pt>
                <c:pt idx="44">
                  <c:v>164</c:v>
                </c:pt>
                <c:pt idx="45">
                  <c:v>158</c:v>
                </c:pt>
                <c:pt idx="46">
                  <c:v>165</c:v>
                </c:pt>
                <c:pt idx="47">
                  <c:v>172</c:v>
                </c:pt>
                <c:pt idx="48">
                  <c:v>178</c:v>
                </c:pt>
                <c:pt idx="49">
                  <c:v>159</c:v>
                </c:pt>
                <c:pt idx="50">
                  <c:v>182</c:v>
                </c:pt>
                <c:pt idx="51">
                  <c:v>170</c:v>
                </c:pt>
                <c:pt idx="52">
                  <c:v>168</c:v>
                </c:pt>
                <c:pt idx="53">
                  <c:v>171</c:v>
                </c:pt>
                <c:pt idx="54">
                  <c:v>172</c:v>
                </c:pt>
                <c:pt idx="55">
                  <c:v>169</c:v>
                </c:pt>
                <c:pt idx="56">
                  <c:v>167</c:v>
                </c:pt>
                <c:pt idx="57">
                  <c:v>170</c:v>
                </c:pt>
                <c:pt idx="58">
                  <c:v>170</c:v>
                </c:pt>
                <c:pt idx="59">
                  <c:v>168</c:v>
                </c:pt>
                <c:pt idx="60">
                  <c:v>174</c:v>
                </c:pt>
                <c:pt idx="61">
                  <c:v>167</c:v>
                </c:pt>
                <c:pt idx="62">
                  <c:v>165</c:v>
                </c:pt>
                <c:pt idx="63">
                  <c:v>171</c:v>
                </c:pt>
                <c:pt idx="64">
                  <c:v>170</c:v>
                </c:pt>
                <c:pt idx="65">
                  <c:v>169</c:v>
                </c:pt>
                <c:pt idx="66">
                  <c:v>171</c:v>
                </c:pt>
                <c:pt idx="67">
                  <c:v>161</c:v>
                </c:pt>
                <c:pt idx="68">
                  <c:v>167</c:v>
                </c:pt>
                <c:pt idx="69">
                  <c:v>174</c:v>
                </c:pt>
                <c:pt idx="70">
                  <c:v>171</c:v>
                </c:pt>
                <c:pt idx="71">
                  <c:v>172</c:v>
                </c:pt>
                <c:pt idx="72">
                  <c:v>171</c:v>
                </c:pt>
                <c:pt idx="73">
                  <c:v>173</c:v>
                </c:pt>
                <c:pt idx="74">
                  <c:v>180</c:v>
                </c:pt>
                <c:pt idx="75">
                  <c:v>172</c:v>
                </c:pt>
                <c:pt idx="76">
                  <c:v>173</c:v>
                </c:pt>
                <c:pt idx="77">
                  <c:v>171</c:v>
                </c:pt>
                <c:pt idx="78">
                  <c:v>169</c:v>
                </c:pt>
                <c:pt idx="79">
                  <c:v>161</c:v>
                </c:pt>
                <c:pt idx="80">
                  <c:v>176</c:v>
                </c:pt>
                <c:pt idx="81">
                  <c:v>175</c:v>
                </c:pt>
                <c:pt idx="82">
                  <c:v>158</c:v>
                </c:pt>
                <c:pt idx="83">
                  <c:v>174</c:v>
                </c:pt>
                <c:pt idx="84">
                  <c:v>171</c:v>
                </c:pt>
                <c:pt idx="85">
                  <c:v>176</c:v>
                </c:pt>
                <c:pt idx="86">
                  <c:v>167</c:v>
                </c:pt>
                <c:pt idx="87">
                  <c:v>161</c:v>
                </c:pt>
                <c:pt idx="88">
                  <c:v>161</c:v>
                </c:pt>
                <c:pt idx="89">
                  <c:v>168</c:v>
                </c:pt>
                <c:pt idx="90">
                  <c:v>159</c:v>
                </c:pt>
                <c:pt idx="91">
                  <c:v>163</c:v>
                </c:pt>
                <c:pt idx="92">
                  <c:v>168</c:v>
                </c:pt>
                <c:pt idx="93">
                  <c:v>172</c:v>
                </c:pt>
                <c:pt idx="94">
                  <c:v>186</c:v>
                </c:pt>
                <c:pt idx="95">
                  <c:v>171</c:v>
                </c:pt>
                <c:pt idx="96">
                  <c:v>187</c:v>
                </c:pt>
                <c:pt idx="97">
                  <c:v>170</c:v>
                </c:pt>
                <c:pt idx="98">
                  <c:v>160</c:v>
                </c:pt>
                <c:pt idx="99">
                  <c:v>172</c:v>
                </c:pt>
                <c:pt idx="100">
                  <c:v>164</c:v>
                </c:pt>
                <c:pt idx="101">
                  <c:v>176</c:v>
                </c:pt>
                <c:pt idx="102">
                  <c:v>163</c:v>
                </c:pt>
                <c:pt idx="103">
                  <c:v>164</c:v>
                </c:pt>
                <c:pt idx="104">
                  <c:v>170</c:v>
                </c:pt>
                <c:pt idx="105">
                  <c:v>177</c:v>
                </c:pt>
                <c:pt idx="106">
                  <c:v>180</c:v>
                </c:pt>
                <c:pt idx="107">
                  <c:v>175</c:v>
                </c:pt>
                <c:pt idx="108">
                  <c:v>168</c:v>
                </c:pt>
                <c:pt idx="109">
                  <c:v>175</c:v>
                </c:pt>
                <c:pt idx="110">
                  <c:v>171</c:v>
                </c:pt>
                <c:pt idx="111">
                  <c:v>170</c:v>
                </c:pt>
                <c:pt idx="112">
                  <c:v>168</c:v>
                </c:pt>
                <c:pt idx="113">
                  <c:v>160</c:v>
                </c:pt>
                <c:pt idx="114">
                  <c:v>171</c:v>
                </c:pt>
                <c:pt idx="115">
                  <c:v>180</c:v>
                </c:pt>
                <c:pt idx="116">
                  <c:v>165</c:v>
                </c:pt>
                <c:pt idx="117">
                  <c:v>176</c:v>
                </c:pt>
                <c:pt idx="118">
                  <c:v>167</c:v>
                </c:pt>
                <c:pt idx="119">
                  <c:v>163</c:v>
                </c:pt>
                <c:pt idx="120">
                  <c:v>170</c:v>
                </c:pt>
                <c:pt idx="121">
                  <c:v>174</c:v>
                </c:pt>
                <c:pt idx="122">
                  <c:v>167</c:v>
                </c:pt>
                <c:pt idx="123">
                  <c:v>172</c:v>
                </c:pt>
                <c:pt idx="124">
                  <c:v>173</c:v>
                </c:pt>
                <c:pt idx="125">
                  <c:v>164</c:v>
                </c:pt>
                <c:pt idx="126">
                  <c:v>170</c:v>
                </c:pt>
                <c:pt idx="127">
                  <c:v>168</c:v>
                </c:pt>
                <c:pt idx="128">
                  <c:v>176</c:v>
                </c:pt>
                <c:pt idx="129">
                  <c:v>168</c:v>
                </c:pt>
                <c:pt idx="130">
                  <c:v>179</c:v>
                </c:pt>
                <c:pt idx="131">
                  <c:v>168</c:v>
                </c:pt>
                <c:pt idx="132">
                  <c:v>176</c:v>
                </c:pt>
                <c:pt idx="133">
                  <c:v>184</c:v>
                </c:pt>
                <c:pt idx="134">
                  <c:v>165</c:v>
                </c:pt>
                <c:pt idx="135">
                  <c:v>176</c:v>
                </c:pt>
                <c:pt idx="136">
                  <c:v>163</c:v>
                </c:pt>
                <c:pt idx="137">
                  <c:v>167</c:v>
                </c:pt>
                <c:pt idx="138">
                  <c:v>160</c:v>
                </c:pt>
                <c:pt idx="139">
                  <c:v>186</c:v>
                </c:pt>
                <c:pt idx="140">
                  <c:v>172</c:v>
                </c:pt>
                <c:pt idx="141">
                  <c:v>166</c:v>
                </c:pt>
                <c:pt idx="142">
                  <c:v>170</c:v>
                </c:pt>
                <c:pt idx="143">
                  <c:v>173</c:v>
                </c:pt>
                <c:pt idx="144">
                  <c:v>166</c:v>
                </c:pt>
                <c:pt idx="145">
                  <c:v>171</c:v>
                </c:pt>
                <c:pt idx="146">
                  <c:v>169</c:v>
                </c:pt>
                <c:pt idx="147">
                  <c:v>162</c:v>
                </c:pt>
                <c:pt idx="148">
                  <c:v>185</c:v>
                </c:pt>
                <c:pt idx="149">
                  <c:v>178</c:v>
                </c:pt>
                <c:pt idx="150">
                  <c:v>163</c:v>
                </c:pt>
                <c:pt idx="151">
                  <c:v>170</c:v>
                </c:pt>
                <c:pt idx="152">
                  <c:v>158</c:v>
                </c:pt>
                <c:pt idx="153">
                  <c:v>172</c:v>
                </c:pt>
                <c:pt idx="154">
                  <c:v>167</c:v>
                </c:pt>
                <c:pt idx="155">
                  <c:v>167</c:v>
                </c:pt>
                <c:pt idx="156">
                  <c:v>172</c:v>
                </c:pt>
                <c:pt idx="157">
                  <c:v>175</c:v>
                </c:pt>
                <c:pt idx="158">
                  <c:v>173</c:v>
                </c:pt>
                <c:pt idx="159">
                  <c:v>166</c:v>
                </c:pt>
                <c:pt idx="160">
                  <c:v>170</c:v>
                </c:pt>
                <c:pt idx="161">
                  <c:v>176</c:v>
                </c:pt>
                <c:pt idx="162">
                  <c:v>159</c:v>
                </c:pt>
                <c:pt idx="163">
                  <c:v>173</c:v>
                </c:pt>
                <c:pt idx="164">
                  <c:v>166</c:v>
                </c:pt>
                <c:pt idx="165">
                  <c:v>166</c:v>
                </c:pt>
                <c:pt idx="166">
                  <c:v>170</c:v>
                </c:pt>
                <c:pt idx="167">
                  <c:v>161</c:v>
                </c:pt>
                <c:pt idx="168">
                  <c:v>167</c:v>
                </c:pt>
                <c:pt idx="169">
                  <c:v>176</c:v>
                </c:pt>
                <c:pt idx="170">
                  <c:v>179</c:v>
                </c:pt>
                <c:pt idx="171">
                  <c:v>171</c:v>
                </c:pt>
                <c:pt idx="172">
                  <c:v>164</c:v>
                </c:pt>
                <c:pt idx="173">
                  <c:v>184</c:v>
                </c:pt>
                <c:pt idx="174">
                  <c:v>166</c:v>
                </c:pt>
                <c:pt idx="175">
                  <c:v>165</c:v>
                </c:pt>
                <c:pt idx="176">
                  <c:v>159</c:v>
                </c:pt>
                <c:pt idx="177">
                  <c:v>168</c:v>
                </c:pt>
                <c:pt idx="178">
                  <c:v>171</c:v>
                </c:pt>
                <c:pt idx="179">
                  <c:v>183</c:v>
                </c:pt>
                <c:pt idx="180">
                  <c:v>169</c:v>
                </c:pt>
                <c:pt idx="181">
                  <c:v>165</c:v>
                </c:pt>
                <c:pt idx="182">
                  <c:v>171</c:v>
                </c:pt>
                <c:pt idx="183">
                  <c:v>168</c:v>
                </c:pt>
                <c:pt idx="184">
                  <c:v>168</c:v>
                </c:pt>
                <c:pt idx="185">
                  <c:v>178</c:v>
                </c:pt>
                <c:pt idx="186">
                  <c:v>170</c:v>
                </c:pt>
                <c:pt idx="187">
                  <c:v>161</c:v>
                </c:pt>
                <c:pt idx="188">
                  <c:v>163</c:v>
                </c:pt>
                <c:pt idx="189">
                  <c:v>163</c:v>
                </c:pt>
                <c:pt idx="190">
                  <c:v>162</c:v>
                </c:pt>
                <c:pt idx="191">
                  <c:v>167</c:v>
                </c:pt>
                <c:pt idx="192">
                  <c:v>171</c:v>
                </c:pt>
                <c:pt idx="193">
                  <c:v>173</c:v>
                </c:pt>
                <c:pt idx="194">
                  <c:v>161</c:v>
                </c:pt>
                <c:pt idx="195">
                  <c:v>169</c:v>
                </c:pt>
                <c:pt idx="196">
                  <c:v>161</c:v>
                </c:pt>
                <c:pt idx="197">
                  <c:v>169</c:v>
                </c:pt>
                <c:pt idx="198">
                  <c:v>165</c:v>
                </c:pt>
                <c:pt idx="199">
                  <c:v>170</c:v>
                </c:pt>
              </c:numCache>
            </c:numRef>
          </c:xVal>
          <c:yVal>
            <c:numRef>
              <c:f>№8!$B$2:$B$201</c:f>
              <c:numCache>
                <c:formatCode>General</c:formatCode>
                <c:ptCount val="200"/>
                <c:pt idx="0">
                  <c:v>73</c:v>
                </c:pt>
                <c:pt idx="1">
                  <c:v>63</c:v>
                </c:pt>
                <c:pt idx="2">
                  <c:v>75</c:v>
                </c:pt>
                <c:pt idx="3">
                  <c:v>60</c:v>
                </c:pt>
                <c:pt idx="4">
                  <c:v>56</c:v>
                </c:pt>
                <c:pt idx="5">
                  <c:v>59</c:v>
                </c:pt>
                <c:pt idx="6">
                  <c:v>61</c:v>
                </c:pt>
                <c:pt idx="7">
                  <c:v>62</c:v>
                </c:pt>
                <c:pt idx="8">
                  <c:v>65</c:v>
                </c:pt>
                <c:pt idx="9">
                  <c:v>60</c:v>
                </c:pt>
                <c:pt idx="10">
                  <c:v>62</c:v>
                </c:pt>
                <c:pt idx="11">
                  <c:v>70</c:v>
                </c:pt>
                <c:pt idx="12">
                  <c:v>61</c:v>
                </c:pt>
                <c:pt idx="13">
                  <c:v>74</c:v>
                </c:pt>
                <c:pt idx="14">
                  <c:v>60</c:v>
                </c:pt>
                <c:pt idx="15">
                  <c:v>66</c:v>
                </c:pt>
                <c:pt idx="16">
                  <c:v>84</c:v>
                </c:pt>
                <c:pt idx="17">
                  <c:v>58</c:v>
                </c:pt>
                <c:pt idx="18">
                  <c:v>75</c:v>
                </c:pt>
                <c:pt idx="19">
                  <c:v>69</c:v>
                </c:pt>
                <c:pt idx="20">
                  <c:v>64</c:v>
                </c:pt>
                <c:pt idx="21">
                  <c:v>71</c:v>
                </c:pt>
                <c:pt idx="22">
                  <c:v>64</c:v>
                </c:pt>
                <c:pt idx="23">
                  <c:v>74</c:v>
                </c:pt>
                <c:pt idx="24">
                  <c:v>70</c:v>
                </c:pt>
                <c:pt idx="25">
                  <c:v>69</c:v>
                </c:pt>
                <c:pt idx="26">
                  <c:v>64</c:v>
                </c:pt>
                <c:pt idx="27">
                  <c:v>55</c:v>
                </c:pt>
                <c:pt idx="28">
                  <c:v>67</c:v>
                </c:pt>
                <c:pt idx="29">
                  <c:v>61</c:v>
                </c:pt>
                <c:pt idx="30">
                  <c:v>63</c:v>
                </c:pt>
                <c:pt idx="31">
                  <c:v>75</c:v>
                </c:pt>
                <c:pt idx="32">
                  <c:v>59</c:v>
                </c:pt>
                <c:pt idx="33">
                  <c:v>62</c:v>
                </c:pt>
                <c:pt idx="34">
                  <c:v>60</c:v>
                </c:pt>
                <c:pt idx="35">
                  <c:v>66</c:v>
                </c:pt>
                <c:pt idx="36">
                  <c:v>63</c:v>
                </c:pt>
                <c:pt idx="37">
                  <c:v>62</c:v>
                </c:pt>
                <c:pt idx="38">
                  <c:v>66</c:v>
                </c:pt>
                <c:pt idx="39">
                  <c:v>63</c:v>
                </c:pt>
                <c:pt idx="40">
                  <c:v>70</c:v>
                </c:pt>
                <c:pt idx="41">
                  <c:v>67</c:v>
                </c:pt>
                <c:pt idx="42">
                  <c:v>59</c:v>
                </c:pt>
                <c:pt idx="43">
                  <c:v>53</c:v>
                </c:pt>
                <c:pt idx="44">
                  <c:v>60</c:v>
                </c:pt>
                <c:pt idx="45">
                  <c:v>57</c:v>
                </c:pt>
                <c:pt idx="46">
                  <c:v>68</c:v>
                </c:pt>
                <c:pt idx="47">
                  <c:v>67</c:v>
                </c:pt>
                <c:pt idx="48">
                  <c:v>75</c:v>
                </c:pt>
                <c:pt idx="49">
                  <c:v>61</c:v>
                </c:pt>
                <c:pt idx="50">
                  <c:v>66</c:v>
                </c:pt>
                <c:pt idx="51">
                  <c:v>63</c:v>
                </c:pt>
                <c:pt idx="52">
                  <c:v>65</c:v>
                </c:pt>
                <c:pt idx="53">
                  <c:v>66</c:v>
                </c:pt>
                <c:pt idx="54">
                  <c:v>67</c:v>
                </c:pt>
                <c:pt idx="55">
                  <c:v>64</c:v>
                </c:pt>
                <c:pt idx="56">
                  <c:v>59</c:v>
                </c:pt>
                <c:pt idx="57">
                  <c:v>62</c:v>
                </c:pt>
                <c:pt idx="58">
                  <c:v>69</c:v>
                </c:pt>
                <c:pt idx="59">
                  <c:v>65</c:v>
                </c:pt>
                <c:pt idx="60">
                  <c:v>69</c:v>
                </c:pt>
                <c:pt idx="61">
                  <c:v>61</c:v>
                </c:pt>
                <c:pt idx="62">
                  <c:v>61</c:v>
                </c:pt>
                <c:pt idx="63">
                  <c:v>66</c:v>
                </c:pt>
                <c:pt idx="64">
                  <c:v>69</c:v>
                </c:pt>
                <c:pt idx="65">
                  <c:v>66</c:v>
                </c:pt>
                <c:pt idx="66">
                  <c:v>76</c:v>
                </c:pt>
                <c:pt idx="67">
                  <c:v>51</c:v>
                </c:pt>
                <c:pt idx="68">
                  <c:v>60</c:v>
                </c:pt>
                <c:pt idx="69">
                  <c:v>74</c:v>
                </c:pt>
                <c:pt idx="70">
                  <c:v>70</c:v>
                </c:pt>
                <c:pt idx="71">
                  <c:v>64</c:v>
                </c:pt>
                <c:pt idx="72">
                  <c:v>70</c:v>
                </c:pt>
                <c:pt idx="73">
                  <c:v>64</c:v>
                </c:pt>
                <c:pt idx="74">
                  <c:v>76</c:v>
                </c:pt>
                <c:pt idx="75">
                  <c:v>63</c:v>
                </c:pt>
                <c:pt idx="76">
                  <c:v>75</c:v>
                </c:pt>
                <c:pt idx="77">
                  <c:v>57</c:v>
                </c:pt>
                <c:pt idx="78">
                  <c:v>62</c:v>
                </c:pt>
                <c:pt idx="79">
                  <c:v>58</c:v>
                </c:pt>
                <c:pt idx="80">
                  <c:v>81</c:v>
                </c:pt>
                <c:pt idx="81">
                  <c:v>67</c:v>
                </c:pt>
                <c:pt idx="82">
                  <c:v>57</c:v>
                </c:pt>
                <c:pt idx="83">
                  <c:v>68</c:v>
                </c:pt>
                <c:pt idx="84">
                  <c:v>73</c:v>
                </c:pt>
                <c:pt idx="85">
                  <c:v>60</c:v>
                </c:pt>
                <c:pt idx="86">
                  <c:v>57</c:v>
                </c:pt>
                <c:pt idx="87">
                  <c:v>52</c:v>
                </c:pt>
                <c:pt idx="88">
                  <c:v>59</c:v>
                </c:pt>
                <c:pt idx="89">
                  <c:v>71</c:v>
                </c:pt>
                <c:pt idx="90">
                  <c:v>55</c:v>
                </c:pt>
                <c:pt idx="91">
                  <c:v>63</c:v>
                </c:pt>
                <c:pt idx="92">
                  <c:v>50</c:v>
                </c:pt>
                <c:pt idx="93">
                  <c:v>70</c:v>
                </c:pt>
                <c:pt idx="94">
                  <c:v>72</c:v>
                </c:pt>
                <c:pt idx="95">
                  <c:v>67</c:v>
                </c:pt>
                <c:pt idx="96">
                  <c:v>84</c:v>
                </c:pt>
                <c:pt idx="97">
                  <c:v>68</c:v>
                </c:pt>
                <c:pt idx="98">
                  <c:v>61</c:v>
                </c:pt>
                <c:pt idx="99">
                  <c:v>73</c:v>
                </c:pt>
                <c:pt idx="100">
                  <c:v>70</c:v>
                </c:pt>
                <c:pt idx="101">
                  <c:v>67</c:v>
                </c:pt>
                <c:pt idx="102">
                  <c:v>58</c:v>
                </c:pt>
                <c:pt idx="103">
                  <c:v>62</c:v>
                </c:pt>
                <c:pt idx="104">
                  <c:v>68</c:v>
                </c:pt>
                <c:pt idx="105">
                  <c:v>60</c:v>
                </c:pt>
                <c:pt idx="106">
                  <c:v>75</c:v>
                </c:pt>
                <c:pt idx="107">
                  <c:v>75</c:v>
                </c:pt>
                <c:pt idx="108">
                  <c:v>55</c:v>
                </c:pt>
                <c:pt idx="109">
                  <c:v>67</c:v>
                </c:pt>
                <c:pt idx="110">
                  <c:v>63</c:v>
                </c:pt>
                <c:pt idx="111">
                  <c:v>65</c:v>
                </c:pt>
                <c:pt idx="112">
                  <c:v>64</c:v>
                </c:pt>
                <c:pt idx="113">
                  <c:v>57</c:v>
                </c:pt>
                <c:pt idx="114">
                  <c:v>66</c:v>
                </c:pt>
                <c:pt idx="115">
                  <c:v>65</c:v>
                </c:pt>
                <c:pt idx="116">
                  <c:v>57</c:v>
                </c:pt>
                <c:pt idx="117">
                  <c:v>77</c:v>
                </c:pt>
                <c:pt idx="118">
                  <c:v>68</c:v>
                </c:pt>
                <c:pt idx="119">
                  <c:v>54</c:v>
                </c:pt>
                <c:pt idx="120">
                  <c:v>75</c:v>
                </c:pt>
                <c:pt idx="121">
                  <c:v>67</c:v>
                </c:pt>
                <c:pt idx="122">
                  <c:v>65</c:v>
                </c:pt>
                <c:pt idx="123">
                  <c:v>73</c:v>
                </c:pt>
                <c:pt idx="124">
                  <c:v>69</c:v>
                </c:pt>
                <c:pt idx="125">
                  <c:v>65</c:v>
                </c:pt>
                <c:pt idx="126">
                  <c:v>58</c:v>
                </c:pt>
                <c:pt idx="127">
                  <c:v>58</c:v>
                </c:pt>
                <c:pt idx="128">
                  <c:v>67</c:v>
                </c:pt>
                <c:pt idx="129">
                  <c:v>60</c:v>
                </c:pt>
                <c:pt idx="130">
                  <c:v>71</c:v>
                </c:pt>
                <c:pt idx="131">
                  <c:v>67</c:v>
                </c:pt>
                <c:pt idx="132">
                  <c:v>65</c:v>
                </c:pt>
                <c:pt idx="133">
                  <c:v>68</c:v>
                </c:pt>
                <c:pt idx="134">
                  <c:v>60</c:v>
                </c:pt>
                <c:pt idx="135">
                  <c:v>72</c:v>
                </c:pt>
                <c:pt idx="136">
                  <c:v>65</c:v>
                </c:pt>
                <c:pt idx="137">
                  <c:v>60</c:v>
                </c:pt>
                <c:pt idx="138">
                  <c:v>57</c:v>
                </c:pt>
                <c:pt idx="139">
                  <c:v>72</c:v>
                </c:pt>
                <c:pt idx="140">
                  <c:v>67</c:v>
                </c:pt>
                <c:pt idx="141">
                  <c:v>62</c:v>
                </c:pt>
                <c:pt idx="142">
                  <c:v>61</c:v>
                </c:pt>
                <c:pt idx="143">
                  <c:v>72</c:v>
                </c:pt>
                <c:pt idx="144">
                  <c:v>67</c:v>
                </c:pt>
                <c:pt idx="145">
                  <c:v>59</c:v>
                </c:pt>
                <c:pt idx="146">
                  <c:v>67</c:v>
                </c:pt>
                <c:pt idx="147">
                  <c:v>66</c:v>
                </c:pt>
                <c:pt idx="148">
                  <c:v>82</c:v>
                </c:pt>
                <c:pt idx="149">
                  <c:v>71</c:v>
                </c:pt>
                <c:pt idx="150">
                  <c:v>54</c:v>
                </c:pt>
                <c:pt idx="151">
                  <c:v>65</c:v>
                </c:pt>
                <c:pt idx="152">
                  <c:v>56</c:v>
                </c:pt>
                <c:pt idx="153">
                  <c:v>66</c:v>
                </c:pt>
                <c:pt idx="154">
                  <c:v>65</c:v>
                </c:pt>
                <c:pt idx="155">
                  <c:v>61</c:v>
                </c:pt>
                <c:pt idx="156">
                  <c:v>67</c:v>
                </c:pt>
                <c:pt idx="157">
                  <c:v>64</c:v>
                </c:pt>
                <c:pt idx="158">
                  <c:v>63</c:v>
                </c:pt>
                <c:pt idx="159">
                  <c:v>78</c:v>
                </c:pt>
                <c:pt idx="160">
                  <c:v>65</c:v>
                </c:pt>
                <c:pt idx="161">
                  <c:v>65</c:v>
                </c:pt>
                <c:pt idx="162">
                  <c:v>48</c:v>
                </c:pt>
                <c:pt idx="163">
                  <c:v>64</c:v>
                </c:pt>
                <c:pt idx="164">
                  <c:v>62</c:v>
                </c:pt>
                <c:pt idx="165">
                  <c:v>71</c:v>
                </c:pt>
                <c:pt idx="166">
                  <c:v>76</c:v>
                </c:pt>
                <c:pt idx="167">
                  <c:v>66</c:v>
                </c:pt>
                <c:pt idx="168">
                  <c:v>61</c:v>
                </c:pt>
                <c:pt idx="169">
                  <c:v>65</c:v>
                </c:pt>
                <c:pt idx="170">
                  <c:v>77</c:v>
                </c:pt>
                <c:pt idx="171">
                  <c:v>73</c:v>
                </c:pt>
                <c:pt idx="172">
                  <c:v>65</c:v>
                </c:pt>
                <c:pt idx="173">
                  <c:v>68</c:v>
                </c:pt>
                <c:pt idx="174">
                  <c:v>62</c:v>
                </c:pt>
                <c:pt idx="175">
                  <c:v>67</c:v>
                </c:pt>
                <c:pt idx="176">
                  <c:v>48</c:v>
                </c:pt>
                <c:pt idx="177">
                  <c:v>58</c:v>
                </c:pt>
                <c:pt idx="178">
                  <c:v>66</c:v>
                </c:pt>
                <c:pt idx="179">
                  <c:v>73</c:v>
                </c:pt>
                <c:pt idx="180">
                  <c:v>74</c:v>
                </c:pt>
                <c:pt idx="181">
                  <c:v>66</c:v>
                </c:pt>
                <c:pt idx="182">
                  <c:v>70</c:v>
                </c:pt>
                <c:pt idx="183">
                  <c:v>61</c:v>
                </c:pt>
                <c:pt idx="184">
                  <c:v>67</c:v>
                </c:pt>
                <c:pt idx="185">
                  <c:v>80</c:v>
                </c:pt>
                <c:pt idx="186">
                  <c:v>65</c:v>
                </c:pt>
                <c:pt idx="187">
                  <c:v>56</c:v>
                </c:pt>
                <c:pt idx="188">
                  <c:v>61</c:v>
                </c:pt>
                <c:pt idx="189">
                  <c:v>66</c:v>
                </c:pt>
                <c:pt idx="190">
                  <c:v>52</c:v>
                </c:pt>
                <c:pt idx="191">
                  <c:v>59</c:v>
                </c:pt>
                <c:pt idx="192">
                  <c:v>62</c:v>
                </c:pt>
                <c:pt idx="193">
                  <c:v>69</c:v>
                </c:pt>
                <c:pt idx="194">
                  <c:v>58</c:v>
                </c:pt>
                <c:pt idx="195">
                  <c:v>62</c:v>
                </c:pt>
                <c:pt idx="196">
                  <c:v>66</c:v>
                </c:pt>
                <c:pt idx="197">
                  <c:v>70</c:v>
                </c:pt>
                <c:pt idx="198">
                  <c:v>60</c:v>
                </c:pt>
                <c:pt idx="199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CC-46A3-A4B5-723E43325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417215"/>
        <c:axId val="978563935"/>
      </c:scatterChart>
      <c:valAx>
        <c:axId val="978417215"/>
        <c:scaling>
          <c:orientation val="minMax"/>
          <c:min val="15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8563935"/>
        <c:crosses val="autoZero"/>
        <c:crossBetween val="midCat"/>
      </c:valAx>
      <c:valAx>
        <c:axId val="978563935"/>
        <c:scaling>
          <c:orientation val="minMax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8417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Корреляционное облако (вар. 2)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№8!$B$2:$B$201</c:f>
              <c:numCache>
                <c:formatCode>General</c:formatCode>
                <c:ptCount val="200"/>
                <c:pt idx="0">
                  <c:v>73</c:v>
                </c:pt>
                <c:pt idx="1">
                  <c:v>63</c:v>
                </c:pt>
                <c:pt idx="2">
                  <c:v>75</c:v>
                </c:pt>
                <c:pt idx="3">
                  <c:v>60</c:v>
                </c:pt>
                <c:pt idx="4">
                  <c:v>56</c:v>
                </c:pt>
                <c:pt idx="5">
                  <c:v>59</c:v>
                </c:pt>
                <c:pt idx="6">
                  <c:v>61</c:v>
                </c:pt>
                <c:pt idx="7">
                  <c:v>62</c:v>
                </c:pt>
                <c:pt idx="8">
                  <c:v>65</c:v>
                </c:pt>
                <c:pt idx="9">
                  <c:v>60</c:v>
                </c:pt>
                <c:pt idx="10">
                  <c:v>62</c:v>
                </c:pt>
                <c:pt idx="11">
                  <c:v>70</c:v>
                </c:pt>
                <c:pt idx="12">
                  <c:v>61</c:v>
                </c:pt>
                <c:pt idx="13">
                  <c:v>74</c:v>
                </c:pt>
                <c:pt idx="14">
                  <c:v>60</c:v>
                </c:pt>
                <c:pt idx="15">
                  <c:v>66</c:v>
                </c:pt>
                <c:pt idx="16">
                  <c:v>84</c:v>
                </c:pt>
                <c:pt idx="17">
                  <c:v>58</c:v>
                </c:pt>
                <c:pt idx="18">
                  <c:v>75</c:v>
                </c:pt>
                <c:pt idx="19">
                  <c:v>69</c:v>
                </c:pt>
                <c:pt idx="20">
                  <c:v>64</c:v>
                </c:pt>
                <c:pt idx="21">
                  <c:v>71</c:v>
                </c:pt>
                <c:pt idx="22">
                  <c:v>64</c:v>
                </c:pt>
                <c:pt idx="23">
                  <c:v>74</c:v>
                </c:pt>
                <c:pt idx="24">
                  <c:v>70</c:v>
                </c:pt>
                <c:pt idx="25">
                  <c:v>69</c:v>
                </c:pt>
                <c:pt idx="26">
                  <c:v>64</c:v>
                </c:pt>
                <c:pt idx="27">
                  <c:v>55</c:v>
                </c:pt>
                <c:pt idx="28">
                  <c:v>67</c:v>
                </c:pt>
                <c:pt idx="29">
                  <c:v>61</c:v>
                </c:pt>
                <c:pt idx="30">
                  <c:v>63</c:v>
                </c:pt>
                <c:pt idx="31">
                  <c:v>75</c:v>
                </c:pt>
                <c:pt idx="32">
                  <c:v>59</c:v>
                </c:pt>
                <c:pt idx="33">
                  <c:v>62</c:v>
                </c:pt>
                <c:pt idx="34">
                  <c:v>60</c:v>
                </c:pt>
                <c:pt idx="35">
                  <c:v>66</c:v>
                </c:pt>
                <c:pt idx="36">
                  <c:v>63</c:v>
                </c:pt>
                <c:pt idx="37">
                  <c:v>62</c:v>
                </c:pt>
                <c:pt idx="38">
                  <c:v>66</c:v>
                </c:pt>
                <c:pt idx="39">
                  <c:v>63</c:v>
                </c:pt>
                <c:pt idx="40">
                  <c:v>70</c:v>
                </c:pt>
                <c:pt idx="41">
                  <c:v>67</c:v>
                </c:pt>
                <c:pt idx="42">
                  <c:v>59</c:v>
                </c:pt>
                <c:pt idx="43">
                  <c:v>53</c:v>
                </c:pt>
                <c:pt idx="44">
                  <c:v>60</c:v>
                </c:pt>
                <c:pt idx="45">
                  <c:v>57</c:v>
                </c:pt>
                <c:pt idx="46">
                  <c:v>68</c:v>
                </c:pt>
                <c:pt idx="47">
                  <c:v>67</c:v>
                </c:pt>
                <c:pt idx="48">
                  <c:v>75</c:v>
                </c:pt>
                <c:pt idx="49">
                  <c:v>61</c:v>
                </c:pt>
                <c:pt idx="50">
                  <c:v>66</c:v>
                </c:pt>
                <c:pt idx="51">
                  <c:v>63</c:v>
                </c:pt>
                <c:pt idx="52">
                  <c:v>65</c:v>
                </c:pt>
                <c:pt idx="53">
                  <c:v>66</c:v>
                </c:pt>
                <c:pt idx="54">
                  <c:v>67</c:v>
                </c:pt>
                <c:pt idx="55">
                  <c:v>64</c:v>
                </c:pt>
                <c:pt idx="56">
                  <c:v>59</c:v>
                </c:pt>
                <c:pt idx="57">
                  <c:v>62</c:v>
                </c:pt>
                <c:pt idx="58">
                  <c:v>69</c:v>
                </c:pt>
                <c:pt idx="59">
                  <c:v>65</c:v>
                </c:pt>
                <c:pt idx="60">
                  <c:v>69</c:v>
                </c:pt>
                <c:pt idx="61">
                  <c:v>61</c:v>
                </c:pt>
                <c:pt idx="62">
                  <c:v>61</c:v>
                </c:pt>
                <c:pt idx="63">
                  <c:v>66</c:v>
                </c:pt>
                <c:pt idx="64">
                  <c:v>69</c:v>
                </c:pt>
                <c:pt idx="65">
                  <c:v>66</c:v>
                </c:pt>
                <c:pt idx="66">
                  <c:v>76</c:v>
                </c:pt>
                <c:pt idx="67">
                  <c:v>51</c:v>
                </c:pt>
                <c:pt idx="68">
                  <c:v>60</c:v>
                </c:pt>
                <c:pt idx="69">
                  <c:v>74</c:v>
                </c:pt>
                <c:pt idx="70">
                  <c:v>70</c:v>
                </c:pt>
                <c:pt idx="71">
                  <c:v>64</c:v>
                </c:pt>
                <c:pt idx="72">
                  <c:v>70</c:v>
                </c:pt>
                <c:pt idx="73">
                  <c:v>64</c:v>
                </c:pt>
                <c:pt idx="74">
                  <c:v>76</c:v>
                </c:pt>
                <c:pt idx="75">
                  <c:v>63</c:v>
                </c:pt>
                <c:pt idx="76">
                  <c:v>75</c:v>
                </c:pt>
                <c:pt idx="77">
                  <c:v>57</c:v>
                </c:pt>
                <c:pt idx="78">
                  <c:v>62</c:v>
                </c:pt>
                <c:pt idx="79">
                  <c:v>58</c:v>
                </c:pt>
                <c:pt idx="80">
                  <c:v>81</c:v>
                </c:pt>
                <c:pt idx="81">
                  <c:v>67</c:v>
                </c:pt>
                <c:pt idx="82">
                  <c:v>57</c:v>
                </c:pt>
                <c:pt idx="83">
                  <c:v>68</c:v>
                </c:pt>
                <c:pt idx="84">
                  <c:v>73</c:v>
                </c:pt>
                <c:pt idx="85">
                  <c:v>60</c:v>
                </c:pt>
                <c:pt idx="86">
                  <c:v>57</c:v>
                </c:pt>
                <c:pt idx="87">
                  <c:v>52</c:v>
                </c:pt>
                <c:pt idx="88">
                  <c:v>59</c:v>
                </c:pt>
                <c:pt idx="89">
                  <c:v>71</c:v>
                </c:pt>
                <c:pt idx="90">
                  <c:v>55</c:v>
                </c:pt>
                <c:pt idx="91">
                  <c:v>63</c:v>
                </c:pt>
                <c:pt idx="92">
                  <c:v>50</c:v>
                </c:pt>
                <c:pt idx="93">
                  <c:v>70</c:v>
                </c:pt>
                <c:pt idx="94">
                  <c:v>72</c:v>
                </c:pt>
                <c:pt idx="95">
                  <c:v>67</c:v>
                </c:pt>
                <c:pt idx="96">
                  <c:v>84</c:v>
                </c:pt>
                <c:pt idx="97">
                  <c:v>68</c:v>
                </c:pt>
                <c:pt idx="98">
                  <c:v>61</c:v>
                </c:pt>
                <c:pt idx="99">
                  <c:v>73</c:v>
                </c:pt>
                <c:pt idx="100">
                  <c:v>70</c:v>
                </c:pt>
                <c:pt idx="101">
                  <c:v>67</c:v>
                </c:pt>
                <c:pt idx="102">
                  <c:v>58</c:v>
                </c:pt>
                <c:pt idx="103">
                  <c:v>62</c:v>
                </c:pt>
                <c:pt idx="104">
                  <c:v>68</c:v>
                </c:pt>
                <c:pt idx="105">
                  <c:v>60</c:v>
                </c:pt>
                <c:pt idx="106">
                  <c:v>75</c:v>
                </c:pt>
                <c:pt idx="107">
                  <c:v>75</c:v>
                </c:pt>
                <c:pt idx="108">
                  <c:v>55</c:v>
                </c:pt>
                <c:pt idx="109">
                  <c:v>67</c:v>
                </c:pt>
                <c:pt idx="110">
                  <c:v>63</c:v>
                </c:pt>
                <c:pt idx="111">
                  <c:v>65</c:v>
                </c:pt>
                <c:pt idx="112">
                  <c:v>64</c:v>
                </c:pt>
                <c:pt idx="113">
                  <c:v>57</c:v>
                </c:pt>
                <c:pt idx="114">
                  <c:v>66</c:v>
                </c:pt>
                <c:pt idx="115">
                  <c:v>65</c:v>
                </c:pt>
                <c:pt idx="116">
                  <c:v>57</c:v>
                </c:pt>
                <c:pt idx="117">
                  <c:v>77</c:v>
                </c:pt>
                <c:pt idx="118">
                  <c:v>68</c:v>
                </c:pt>
                <c:pt idx="119">
                  <c:v>54</c:v>
                </c:pt>
                <c:pt idx="120">
                  <c:v>75</c:v>
                </c:pt>
                <c:pt idx="121">
                  <c:v>67</c:v>
                </c:pt>
                <c:pt idx="122">
                  <c:v>65</c:v>
                </c:pt>
                <c:pt idx="123">
                  <c:v>73</c:v>
                </c:pt>
                <c:pt idx="124">
                  <c:v>69</c:v>
                </c:pt>
                <c:pt idx="125">
                  <c:v>65</c:v>
                </c:pt>
                <c:pt idx="126">
                  <c:v>58</c:v>
                </c:pt>
                <c:pt idx="127">
                  <c:v>58</c:v>
                </c:pt>
                <c:pt idx="128">
                  <c:v>67</c:v>
                </c:pt>
                <c:pt idx="129">
                  <c:v>60</c:v>
                </c:pt>
                <c:pt idx="130">
                  <c:v>71</c:v>
                </c:pt>
                <c:pt idx="131">
                  <c:v>67</c:v>
                </c:pt>
                <c:pt idx="132">
                  <c:v>65</c:v>
                </c:pt>
                <c:pt idx="133">
                  <c:v>68</c:v>
                </c:pt>
                <c:pt idx="134">
                  <c:v>60</c:v>
                </c:pt>
                <c:pt idx="135">
                  <c:v>72</c:v>
                </c:pt>
                <c:pt idx="136">
                  <c:v>65</c:v>
                </c:pt>
                <c:pt idx="137">
                  <c:v>60</c:v>
                </c:pt>
                <c:pt idx="138">
                  <c:v>57</c:v>
                </c:pt>
                <c:pt idx="139">
                  <c:v>72</c:v>
                </c:pt>
                <c:pt idx="140">
                  <c:v>67</c:v>
                </c:pt>
                <c:pt idx="141">
                  <c:v>62</c:v>
                </c:pt>
                <c:pt idx="142">
                  <c:v>61</c:v>
                </c:pt>
                <c:pt idx="143">
                  <c:v>72</c:v>
                </c:pt>
                <c:pt idx="144">
                  <c:v>67</c:v>
                </c:pt>
                <c:pt idx="145">
                  <c:v>59</c:v>
                </c:pt>
                <c:pt idx="146">
                  <c:v>67</c:v>
                </c:pt>
                <c:pt idx="147">
                  <c:v>66</c:v>
                </c:pt>
                <c:pt idx="148">
                  <c:v>82</c:v>
                </c:pt>
                <c:pt idx="149">
                  <c:v>71</c:v>
                </c:pt>
                <c:pt idx="150">
                  <c:v>54</c:v>
                </c:pt>
                <c:pt idx="151">
                  <c:v>65</c:v>
                </c:pt>
                <c:pt idx="152">
                  <c:v>56</c:v>
                </c:pt>
                <c:pt idx="153">
                  <c:v>66</c:v>
                </c:pt>
                <c:pt idx="154">
                  <c:v>65</c:v>
                </c:pt>
                <c:pt idx="155">
                  <c:v>61</c:v>
                </c:pt>
                <c:pt idx="156">
                  <c:v>67</c:v>
                </c:pt>
                <c:pt idx="157">
                  <c:v>64</c:v>
                </c:pt>
                <c:pt idx="158">
                  <c:v>63</c:v>
                </c:pt>
                <c:pt idx="159">
                  <c:v>78</c:v>
                </c:pt>
                <c:pt idx="160">
                  <c:v>65</c:v>
                </c:pt>
                <c:pt idx="161">
                  <c:v>65</c:v>
                </c:pt>
                <c:pt idx="162">
                  <c:v>48</c:v>
                </c:pt>
                <c:pt idx="163">
                  <c:v>64</c:v>
                </c:pt>
                <c:pt idx="164">
                  <c:v>62</c:v>
                </c:pt>
                <c:pt idx="165">
                  <c:v>71</c:v>
                </c:pt>
                <c:pt idx="166">
                  <c:v>76</c:v>
                </c:pt>
                <c:pt idx="167">
                  <c:v>66</c:v>
                </c:pt>
                <c:pt idx="168">
                  <c:v>61</c:v>
                </c:pt>
                <c:pt idx="169">
                  <c:v>65</c:v>
                </c:pt>
                <c:pt idx="170">
                  <c:v>77</c:v>
                </c:pt>
                <c:pt idx="171">
                  <c:v>73</c:v>
                </c:pt>
                <c:pt idx="172">
                  <c:v>65</c:v>
                </c:pt>
                <c:pt idx="173">
                  <c:v>68</c:v>
                </c:pt>
                <c:pt idx="174">
                  <c:v>62</c:v>
                </c:pt>
                <c:pt idx="175">
                  <c:v>67</c:v>
                </c:pt>
                <c:pt idx="176">
                  <c:v>48</c:v>
                </c:pt>
                <c:pt idx="177">
                  <c:v>58</c:v>
                </c:pt>
                <c:pt idx="178">
                  <c:v>66</c:v>
                </c:pt>
                <c:pt idx="179">
                  <c:v>73</c:v>
                </c:pt>
                <c:pt idx="180">
                  <c:v>74</c:v>
                </c:pt>
                <c:pt idx="181">
                  <c:v>66</c:v>
                </c:pt>
                <c:pt idx="182">
                  <c:v>70</c:v>
                </c:pt>
                <c:pt idx="183">
                  <c:v>61</c:v>
                </c:pt>
                <c:pt idx="184">
                  <c:v>67</c:v>
                </c:pt>
                <c:pt idx="185">
                  <c:v>80</c:v>
                </c:pt>
                <c:pt idx="186">
                  <c:v>65</c:v>
                </c:pt>
                <c:pt idx="187">
                  <c:v>56</c:v>
                </c:pt>
                <c:pt idx="188">
                  <c:v>61</c:v>
                </c:pt>
                <c:pt idx="189">
                  <c:v>66</c:v>
                </c:pt>
                <c:pt idx="190">
                  <c:v>52</c:v>
                </c:pt>
                <c:pt idx="191">
                  <c:v>59</c:v>
                </c:pt>
                <c:pt idx="192">
                  <c:v>62</c:v>
                </c:pt>
                <c:pt idx="193">
                  <c:v>69</c:v>
                </c:pt>
                <c:pt idx="194">
                  <c:v>58</c:v>
                </c:pt>
                <c:pt idx="195">
                  <c:v>62</c:v>
                </c:pt>
                <c:pt idx="196">
                  <c:v>66</c:v>
                </c:pt>
                <c:pt idx="197">
                  <c:v>70</c:v>
                </c:pt>
                <c:pt idx="198">
                  <c:v>60</c:v>
                </c:pt>
                <c:pt idx="199">
                  <c:v>61</c:v>
                </c:pt>
              </c:numCache>
            </c:numRef>
          </c:xVal>
          <c:yVal>
            <c:numRef>
              <c:f>№8!$A$2:$A$201</c:f>
              <c:numCache>
                <c:formatCode>General</c:formatCode>
                <c:ptCount val="200"/>
                <c:pt idx="0">
                  <c:v>178</c:v>
                </c:pt>
                <c:pt idx="1">
                  <c:v>163</c:v>
                </c:pt>
                <c:pt idx="2">
                  <c:v>170</c:v>
                </c:pt>
                <c:pt idx="3">
                  <c:v>164</c:v>
                </c:pt>
                <c:pt idx="4">
                  <c:v>164</c:v>
                </c:pt>
                <c:pt idx="5">
                  <c:v>168</c:v>
                </c:pt>
                <c:pt idx="6">
                  <c:v>167</c:v>
                </c:pt>
                <c:pt idx="7">
                  <c:v>166</c:v>
                </c:pt>
                <c:pt idx="8">
                  <c:v>162</c:v>
                </c:pt>
                <c:pt idx="9">
                  <c:v>171</c:v>
                </c:pt>
                <c:pt idx="10">
                  <c:v>168</c:v>
                </c:pt>
                <c:pt idx="11">
                  <c:v>173</c:v>
                </c:pt>
                <c:pt idx="12">
                  <c:v>167</c:v>
                </c:pt>
                <c:pt idx="13">
                  <c:v>170</c:v>
                </c:pt>
                <c:pt idx="14">
                  <c:v>171</c:v>
                </c:pt>
                <c:pt idx="15">
                  <c:v>173</c:v>
                </c:pt>
                <c:pt idx="16">
                  <c:v>187</c:v>
                </c:pt>
                <c:pt idx="17">
                  <c:v>166</c:v>
                </c:pt>
                <c:pt idx="18">
                  <c:v>170</c:v>
                </c:pt>
                <c:pt idx="19">
                  <c:v>178</c:v>
                </c:pt>
                <c:pt idx="20">
                  <c:v>173</c:v>
                </c:pt>
                <c:pt idx="21">
                  <c:v>179</c:v>
                </c:pt>
                <c:pt idx="22">
                  <c:v>171</c:v>
                </c:pt>
                <c:pt idx="23">
                  <c:v>174</c:v>
                </c:pt>
                <c:pt idx="24">
                  <c:v>164</c:v>
                </c:pt>
                <c:pt idx="25">
                  <c:v>173</c:v>
                </c:pt>
                <c:pt idx="26">
                  <c:v>168</c:v>
                </c:pt>
                <c:pt idx="27">
                  <c:v>166</c:v>
                </c:pt>
                <c:pt idx="28">
                  <c:v>177</c:v>
                </c:pt>
                <c:pt idx="29">
                  <c:v>170</c:v>
                </c:pt>
                <c:pt idx="30">
                  <c:v>167</c:v>
                </c:pt>
                <c:pt idx="31">
                  <c:v>174</c:v>
                </c:pt>
                <c:pt idx="32">
                  <c:v>164</c:v>
                </c:pt>
                <c:pt idx="33">
                  <c:v>164</c:v>
                </c:pt>
                <c:pt idx="34">
                  <c:v>178</c:v>
                </c:pt>
                <c:pt idx="35">
                  <c:v>173</c:v>
                </c:pt>
                <c:pt idx="36">
                  <c:v>179</c:v>
                </c:pt>
                <c:pt idx="37">
                  <c:v>165</c:v>
                </c:pt>
                <c:pt idx="38">
                  <c:v>171</c:v>
                </c:pt>
                <c:pt idx="39">
                  <c:v>171</c:v>
                </c:pt>
                <c:pt idx="40">
                  <c:v>170</c:v>
                </c:pt>
                <c:pt idx="41">
                  <c:v>170</c:v>
                </c:pt>
                <c:pt idx="42">
                  <c:v>165</c:v>
                </c:pt>
                <c:pt idx="43">
                  <c:v>156</c:v>
                </c:pt>
                <c:pt idx="44">
                  <c:v>164</c:v>
                </c:pt>
                <c:pt idx="45">
                  <c:v>158</c:v>
                </c:pt>
                <c:pt idx="46">
                  <c:v>165</c:v>
                </c:pt>
                <c:pt idx="47">
                  <c:v>172</c:v>
                </c:pt>
                <c:pt idx="48">
                  <c:v>178</c:v>
                </c:pt>
                <c:pt idx="49">
                  <c:v>159</c:v>
                </c:pt>
                <c:pt idx="50">
                  <c:v>182</c:v>
                </c:pt>
                <c:pt idx="51">
                  <c:v>170</c:v>
                </c:pt>
                <c:pt idx="52">
                  <c:v>168</c:v>
                </c:pt>
                <c:pt idx="53">
                  <c:v>171</c:v>
                </c:pt>
                <c:pt idx="54">
                  <c:v>172</c:v>
                </c:pt>
                <c:pt idx="55">
                  <c:v>169</c:v>
                </c:pt>
                <c:pt idx="56">
                  <c:v>167</c:v>
                </c:pt>
                <c:pt idx="57">
                  <c:v>170</c:v>
                </c:pt>
                <c:pt idx="58">
                  <c:v>170</c:v>
                </c:pt>
                <c:pt idx="59">
                  <c:v>168</c:v>
                </c:pt>
                <c:pt idx="60">
                  <c:v>174</c:v>
                </c:pt>
                <c:pt idx="61">
                  <c:v>167</c:v>
                </c:pt>
                <c:pt idx="62">
                  <c:v>165</c:v>
                </c:pt>
                <c:pt idx="63">
                  <c:v>171</c:v>
                </c:pt>
                <c:pt idx="64">
                  <c:v>170</c:v>
                </c:pt>
                <c:pt idx="65">
                  <c:v>169</c:v>
                </c:pt>
                <c:pt idx="66">
                  <c:v>171</c:v>
                </c:pt>
                <c:pt idx="67">
                  <c:v>161</c:v>
                </c:pt>
                <c:pt idx="68">
                  <c:v>167</c:v>
                </c:pt>
                <c:pt idx="69">
                  <c:v>174</c:v>
                </c:pt>
                <c:pt idx="70">
                  <c:v>171</c:v>
                </c:pt>
                <c:pt idx="71">
                  <c:v>172</c:v>
                </c:pt>
                <c:pt idx="72">
                  <c:v>171</c:v>
                </c:pt>
                <c:pt idx="73">
                  <c:v>173</c:v>
                </c:pt>
                <c:pt idx="74">
                  <c:v>180</c:v>
                </c:pt>
                <c:pt idx="75">
                  <c:v>172</c:v>
                </c:pt>
                <c:pt idx="76">
                  <c:v>173</c:v>
                </c:pt>
                <c:pt idx="77">
                  <c:v>171</c:v>
                </c:pt>
                <c:pt idx="78">
                  <c:v>169</c:v>
                </c:pt>
                <c:pt idx="79">
                  <c:v>161</c:v>
                </c:pt>
                <c:pt idx="80">
                  <c:v>176</c:v>
                </c:pt>
                <c:pt idx="81">
                  <c:v>175</c:v>
                </c:pt>
                <c:pt idx="82">
                  <c:v>158</c:v>
                </c:pt>
                <c:pt idx="83">
                  <c:v>174</c:v>
                </c:pt>
                <c:pt idx="84">
                  <c:v>171</c:v>
                </c:pt>
                <c:pt idx="85">
                  <c:v>176</c:v>
                </c:pt>
                <c:pt idx="86">
                  <c:v>167</c:v>
                </c:pt>
                <c:pt idx="87">
                  <c:v>161</c:v>
                </c:pt>
                <c:pt idx="88">
                  <c:v>161</c:v>
                </c:pt>
                <c:pt idx="89">
                  <c:v>168</c:v>
                </c:pt>
                <c:pt idx="90">
                  <c:v>159</c:v>
                </c:pt>
                <c:pt idx="91">
                  <c:v>163</c:v>
                </c:pt>
                <c:pt idx="92">
                  <c:v>168</c:v>
                </c:pt>
                <c:pt idx="93">
                  <c:v>172</c:v>
                </c:pt>
                <c:pt idx="94">
                  <c:v>186</c:v>
                </c:pt>
                <c:pt idx="95">
                  <c:v>171</c:v>
                </c:pt>
                <c:pt idx="96">
                  <c:v>187</c:v>
                </c:pt>
                <c:pt idx="97">
                  <c:v>170</c:v>
                </c:pt>
                <c:pt idx="98">
                  <c:v>160</c:v>
                </c:pt>
                <c:pt idx="99">
                  <c:v>172</c:v>
                </c:pt>
                <c:pt idx="100">
                  <c:v>164</c:v>
                </c:pt>
                <c:pt idx="101">
                  <c:v>176</c:v>
                </c:pt>
                <c:pt idx="102">
                  <c:v>163</c:v>
                </c:pt>
                <c:pt idx="103">
                  <c:v>164</c:v>
                </c:pt>
                <c:pt idx="104">
                  <c:v>170</c:v>
                </c:pt>
                <c:pt idx="105">
                  <c:v>177</c:v>
                </c:pt>
                <c:pt idx="106">
                  <c:v>180</c:v>
                </c:pt>
                <c:pt idx="107">
                  <c:v>175</c:v>
                </c:pt>
                <c:pt idx="108">
                  <c:v>168</c:v>
                </c:pt>
                <c:pt idx="109">
                  <c:v>175</c:v>
                </c:pt>
                <c:pt idx="110">
                  <c:v>171</c:v>
                </c:pt>
                <c:pt idx="111">
                  <c:v>170</c:v>
                </c:pt>
                <c:pt idx="112">
                  <c:v>168</c:v>
                </c:pt>
                <c:pt idx="113">
                  <c:v>160</c:v>
                </c:pt>
                <c:pt idx="114">
                  <c:v>171</c:v>
                </c:pt>
                <c:pt idx="115">
                  <c:v>180</c:v>
                </c:pt>
                <c:pt idx="116">
                  <c:v>165</c:v>
                </c:pt>
                <c:pt idx="117">
                  <c:v>176</c:v>
                </c:pt>
                <c:pt idx="118">
                  <c:v>167</c:v>
                </c:pt>
                <c:pt idx="119">
                  <c:v>163</c:v>
                </c:pt>
                <c:pt idx="120">
                  <c:v>170</c:v>
                </c:pt>
                <c:pt idx="121">
                  <c:v>174</c:v>
                </c:pt>
                <c:pt idx="122">
                  <c:v>167</c:v>
                </c:pt>
                <c:pt idx="123">
                  <c:v>172</c:v>
                </c:pt>
                <c:pt idx="124">
                  <c:v>173</c:v>
                </c:pt>
                <c:pt idx="125">
                  <c:v>164</c:v>
                </c:pt>
                <c:pt idx="126">
                  <c:v>170</c:v>
                </c:pt>
                <c:pt idx="127">
                  <c:v>168</c:v>
                </c:pt>
                <c:pt idx="128">
                  <c:v>176</c:v>
                </c:pt>
                <c:pt idx="129">
                  <c:v>168</c:v>
                </c:pt>
                <c:pt idx="130">
                  <c:v>179</c:v>
                </c:pt>
                <c:pt idx="131">
                  <c:v>168</c:v>
                </c:pt>
                <c:pt idx="132">
                  <c:v>176</c:v>
                </c:pt>
                <c:pt idx="133">
                  <c:v>184</c:v>
                </c:pt>
                <c:pt idx="134">
                  <c:v>165</c:v>
                </c:pt>
                <c:pt idx="135">
                  <c:v>176</c:v>
                </c:pt>
                <c:pt idx="136">
                  <c:v>163</c:v>
                </c:pt>
                <c:pt idx="137">
                  <c:v>167</c:v>
                </c:pt>
                <c:pt idx="138">
                  <c:v>160</c:v>
                </c:pt>
                <c:pt idx="139">
                  <c:v>186</c:v>
                </c:pt>
                <c:pt idx="140">
                  <c:v>172</c:v>
                </c:pt>
                <c:pt idx="141">
                  <c:v>166</c:v>
                </c:pt>
                <c:pt idx="142">
                  <c:v>170</c:v>
                </c:pt>
                <c:pt idx="143">
                  <c:v>173</c:v>
                </c:pt>
                <c:pt idx="144">
                  <c:v>166</c:v>
                </c:pt>
                <c:pt idx="145">
                  <c:v>171</c:v>
                </c:pt>
                <c:pt idx="146">
                  <c:v>169</c:v>
                </c:pt>
                <c:pt idx="147">
                  <c:v>162</c:v>
                </c:pt>
                <c:pt idx="148">
                  <c:v>185</c:v>
                </c:pt>
                <c:pt idx="149">
                  <c:v>178</c:v>
                </c:pt>
                <c:pt idx="150">
                  <c:v>163</c:v>
                </c:pt>
                <c:pt idx="151">
                  <c:v>170</c:v>
                </c:pt>
                <c:pt idx="152">
                  <c:v>158</c:v>
                </c:pt>
                <c:pt idx="153">
                  <c:v>172</c:v>
                </c:pt>
                <c:pt idx="154">
                  <c:v>167</c:v>
                </c:pt>
                <c:pt idx="155">
                  <c:v>167</c:v>
                </c:pt>
                <c:pt idx="156">
                  <c:v>172</c:v>
                </c:pt>
                <c:pt idx="157">
                  <c:v>175</c:v>
                </c:pt>
                <c:pt idx="158">
                  <c:v>173</c:v>
                </c:pt>
                <c:pt idx="159">
                  <c:v>166</c:v>
                </c:pt>
                <c:pt idx="160">
                  <c:v>170</c:v>
                </c:pt>
                <c:pt idx="161">
                  <c:v>176</c:v>
                </c:pt>
                <c:pt idx="162">
                  <c:v>159</c:v>
                </c:pt>
                <c:pt idx="163">
                  <c:v>173</c:v>
                </c:pt>
                <c:pt idx="164">
                  <c:v>166</c:v>
                </c:pt>
                <c:pt idx="165">
                  <c:v>166</c:v>
                </c:pt>
                <c:pt idx="166">
                  <c:v>170</c:v>
                </c:pt>
                <c:pt idx="167">
                  <c:v>161</c:v>
                </c:pt>
                <c:pt idx="168">
                  <c:v>167</c:v>
                </c:pt>
                <c:pt idx="169">
                  <c:v>176</c:v>
                </c:pt>
                <c:pt idx="170">
                  <c:v>179</c:v>
                </c:pt>
                <c:pt idx="171">
                  <c:v>171</c:v>
                </c:pt>
                <c:pt idx="172">
                  <c:v>164</c:v>
                </c:pt>
                <c:pt idx="173">
                  <c:v>184</c:v>
                </c:pt>
                <c:pt idx="174">
                  <c:v>166</c:v>
                </c:pt>
                <c:pt idx="175">
                  <c:v>165</c:v>
                </c:pt>
                <c:pt idx="176">
                  <c:v>159</c:v>
                </c:pt>
                <c:pt idx="177">
                  <c:v>168</c:v>
                </c:pt>
                <c:pt idx="178">
                  <c:v>171</c:v>
                </c:pt>
                <c:pt idx="179">
                  <c:v>183</c:v>
                </c:pt>
                <c:pt idx="180">
                  <c:v>169</c:v>
                </c:pt>
                <c:pt idx="181">
                  <c:v>165</c:v>
                </c:pt>
                <c:pt idx="182">
                  <c:v>171</c:v>
                </c:pt>
                <c:pt idx="183">
                  <c:v>168</c:v>
                </c:pt>
                <c:pt idx="184">
                  <c:v>168</c:v>
                </c:pt>
                <c:pt idx="185">
                  <c:v>178</c:v>
                </c:pt>
                <c:pt idx="186">
                  <c:v>170</c:v>
                </c:pt>
                <c:pt idx="187">
                  <c:v>161</c:v>
                </c:pt>
                <c:pt idx="188">
                  <c:v>163</c:v>
                </c:pt>
                <c:pt idx="189">
                  <c:v>163</c:v>
                </c:pt>
                <c:pt idx="190">
                  <c:v>162</c:v>
                </c:pt>
                <c:pt idx="191">
                  <c:v>167</c:v>
                </c:pt>
                <c:pt idx="192">
                  <c:v>171</c:v>
                </c:pt>
                <c:pt idx="193">
                  <c:v>173</c:v>
                </c:pt>
                <c:pt idx="194">
                  <c:v>161</c:v>
                </c:pt>
                <c:pt idx="195">
                  <c:v>169</c:v>
                </c:pt>
                <c:pt idx="196">
                  <c:v>161</c:v>
                </c:pt>
                <c:pt idx="197">
                  <c:v>169</c:v>
                </c:pt>
                <c:pt idx="198">
                  <c:v>165</c:v>
                </c:pt>
                <c:pt idx="199">
                  <c:v>170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42-44A6-A4D9-6A8BC0497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418415"/>
        <c:axId val="655159967"/>
      </c:scatterChart>
      <c:valAx>
        <c:axId val="978418415"/>
        <c:scaling>
          <c:orientation val="minMax"/>
          <c:min val="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5159967"/>
        <c:crosses val="autoZero"/>
        <c:crossBetween val="midCat"/>
      </c:valAx>
      <c:valAx>
        <c:axId val="655159967"/>
        <c:scaling>
          <c:orientation val="minMax"/>
          <c:min val="1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8418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Линейная регрессия и условные точки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№13!$D$12:$D$21</c:f>
              <c:numCache>
                <c:formatCode>General</c:formatCode>
                <c:ptCount val="10"/>
                <c:pt idx="0">
                  <c:v>160.64999999999998</c:v>
                </c:pt>
                <c:pt idx="1">
                  <c:v>162.19999999999999</c:v>
                </c:pt>
                <c:pt idx="2">
                  <c:v>163.20294117647057</c:v>
                </c:pt>
                <c:pt idx="3">
                  <c:v>166.99090909090907</c:v>
                </c:pt>
                <c:pt idx="4">
                  <c:v>169.95</c:v>
                </c:pt>
                <c:pt idx="5">
                  <c:v>171.23043478260868</c:v>
                </c:pt>
                <c:pt idx="6">
                  <c:v>173.43749999999994</c:v>
                </c:pt>
                <c:pt idx="7">
                  <c:v>173.04999999999993</c:v>
                </c:pt>
                <c:pt idx="8">
                  <c:v>175.37499999999994</c:v>
                </c:pt>
                <c:pt idx="9">
                  <c:v>183.12499999999994</c:v>
                </c:pt>
              </c:numCache>
            </c:numRef>
          </c:xVal>
          <c:yVal>
            <c:numRef>
              <c:f>№13!$E$12:$E$21</c:f>
              <c:numCache>
                <c:formatCode>General</c:formatCode>
                <c:ptCount val="10"/>
                <c:pt idx="0">
                  <c:v>54.75</c:v>
                </c:pt>
                <c:pt idx="1">
                  <c:v>59.314285714285717</c:v>
                </c:pt>
                <c:pt idx="2">
                  <c:v>62.2</c:v>
                </c:pt>
                <c:pt idx="3">
                  <c:v>62.021052631578947</c:v>
                </c:pt>
                <c:pt idx="4">
                  <c:v>66.75</c:v>
                </c:pt>
                <c:pt idx="5">
                  <c:v>68.699999999999989</c:v>
                </c:pt>
                <c:pt idx="6">
                  <c:v>68.28</c:v>
                </c:pt>
                <c:pt idx="7">
                  <c:v>71.123076923076908</c:v>
                </c:pt>
                <c:pt idx="8">
                  <c:v>69.599999999999994</c:v>
                </c:pt>
                <c:pt idx="9">
                  <c:v>74.999999999999986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D0-41D0-BBC5-5EBDC61B4A6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№13!$D$2:$D$9</c:f>
              <c:numCache>
                <c:formatCode>General</c:formatCode>
                <c:ptCount val="8"/>
                <c:pt idx="0">
                  <c:v>156</c:v>
                </c:pt>
                <c:pt idx="1">
                  <c:v>161</c:v>
                </c:pt>
                <c:pt idx="2">
                  <c:v>166</c:v>
                </c:pt>
                <c:pt idx="3">
                  <c:v>171</c:v>
                </c:pt>
                <c:pt idx="4">
                  <c:v>176</c:v>
                </c:pt>
                <c:pt idx="5">
                  <c:v>181</c:v>
                </c:pt>
                <c:pt idx="6">
                  <c:v>186</c:v>
                </c:pt>
                <c:pt idx="7">
                  <c:v>191</c:v>
                </c:pt>
              </c:numCache>
            </c:numRef>
          </c:xVal>
          <c:yVal>
            <c:numRef>
              <c:f>№13!$E$2:$E$9</c:f>
              <c:numCache>
                <c:formatCode>General</c:formatCode>
                <c:ptCount val="8"/>
                <c:pt idx="0">
                  <c:v>56.229643095643823</c:v>
                </c:pt>
                <c:pt idx="1">
                  <c:v>59.550067139475004</c:v>
                </c:pt>
                <c:pt idx="2">
                  <c:v>62.870491183306186</c:v>
                </c:pt>
                <c:pt idx="3">
                  <c:v>66.190915227137353</c:v>
                </c:pt>
                <c:pt idx="4">
                  <c:v>69.511339270968534</c:v>
                </c:pt>
                <c:pt idx="5">
                  <c:v>72.831763314799716</c:v>
                </c:pt>
                <c:pt idx="6">
                  <c:v>76.152187358630897</c:v>
                </c:pt>
                <c:pt idx="7">
                  <c:v>79.472611402462078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D0-41D0-BBC5-5EBDC61B4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899472"/>
        <c:axId val="615797136"/>
      </c:scatterChart>
      <c:valAx>
        <c:axId val="612899472"/>
        <c:scaling>
          <c:orientation val="minMax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5797136"/>
        <c:crosses val="autoZero"/>
        <c:crossBetween val="midCat"/>
      </c:valAx>
      <c:valAx>
        <c:axId val="615797136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289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182880</xdr:colOff>
      <xdr:row>0</xdr:row>
      <xdr:rowOff>140970</xdr:rowOff>
    </xdr:from>
    <xdr:to>
      <xdr:col>13</xdr:col>
      <xdr:colOff>487680</xdr:colOff>
      <xdr:row>15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711540C-6765-4EE9-A614-A99AF315E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30480</xdr:colOff>
      <xdr:row>11</xdr:row>
      <xdr:rowOff>34290</xdr:rowOff>
    </xdr:from>
    <xdr:to>
      <xdr:col>5</xdr:col>
      <xdr:colOff>1173480</xdr:colOff>
      <xdr:row>26</xdr:row>
      <xdr:rowOff>34290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539C149-0817-4CCB-BBD2-C777B94885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160020</xdr:colOff>
      <xdr:row>14</xdr:row>
      <xdr:rowOff>3810</xdr:rowOff>
    </xdr:from>
    <xdr:to>
      <xdr:col>24</xdr:col>
      <xdr:colOff>464820</xdr:colOff>
      <xdr:row>29</xdr:row>
      <xdr:rowOff>3810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F3F8310-392C-4D14-A041-C71901D84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243840</xdr:colOff>
      <xdr:row>1</xdr:row>
      <xdr:rowOff>26670</xdr:rowOff>
    </xdr:from>
    <xdr:ext cx="1559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E7DD3CD-D50A-4BEA-8218-A7E87C6445FE}"/>
                </a:ext>
              </a:extLst>
            </xdr:cNvPr>
            <xdr:cNvSpPr txBox="1"/>
          </xdr:nvSpPr>
          <xdr:spPr>
            <a:xfrm>
              <a:off x="9360723" y="216492"/>
              <a:ext cx="1559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E7DD3CD-D50A-4BEA-8218-A7E87C6445FE}"/>
                </a:ext>
              </a:extLst>
            </xdr:cNvPr>
            <xdr:cNvSpPr txBox="1"/>
          </xdr:nvSpPr>
          <xdr:spPr>
            <a:xfrm>
              <a:off x="9360723" y="216492"/>
              <a:ext cx="1559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141058</xdr:colOff>
      <xdr:row>1</xdr:row>
      <xdr:rowOff>23126</xdr:rowOff>
    </xdr:from>
    <xdr:ext cx="33579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ECDB073-E21C-41B2-B11E-795B30EC8703}"/>
                </a:ext>
              </a:extLst>
            </xdr:cNvPr>
            <xdr:cNvSpPr txBox="1"/>
          </xdr:nvSpPr>
          <xdr:spPr>
            <a:xfrm>
              <a:off x="9862001" y="213626"/>
              <a:ext cx="3357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+ 1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ECDB073-E21C-41B2-B11E-795B30EC8703}"/>
                </a:ext>
              </a:extLst>
            </xdr:cNvPr>
            <xdr:cNvSpPr txBox="1"/>
          </xdr:nvSpPr>
          <xdr:spPr>
            <a:xfrm>
              <a:off x="9862001" y="213626"/>
              <a:ext cx="3357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r>
                <a:rPr lang="ru-RU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𝑖 + 1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11</xdr:col>
      <xdr:colOff>197686</xdr:colOff>
      <xdr:row>0</xdr:row>
      <xdr:rowOff>33626</xdr:rowOff>
    </xdr:from>
    <xdr:ext cx="480580" cy="3671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1428889-FBD0-4E4D-9582-1609F21BE5F0}"/>
                </a:ext>
              </a:extLst>
            </xdr:cNvPr>
            <xdr:cNvSpPr txBox="1"/>
          </xdr:nvSpPr>
          <xdr:spPr>
            <a:xfrm>
              <a:off x="10534853" y="33626"/>
              <a:ext cx="480580" cy="3671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− </m:t>
                        </m:r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acc>
                      </m:num>
                      <m:den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1428889-FBD0-4E4D-9582-1609F21BE5F0}"/>
                </a:ext>
              </a:extLst>
            </xdr:cNvPr>
            <xdr:cNvSpPr txBox="1"/>
          </xdr:nvSpPr>
          <xdr:spPr>
            <a:xfrm>
              <a:off x="10534853" y="33626"/>
              <a:ext cx="480580" cy="3671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  − 𝑋 ̅</a:t>
              </a:r>
              <a:r>
                <a:rPr lang="ru-RU" sz="1100" b="0" i="0">
                  <a:latin typeface="Cambria Math" panose="02040503050406030204" pitchFamily="18" charset="0"/>
                </a:rPr>
                <a:t>)/</a:t>
              </a:r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7863</xdr:colOff>
      <xdr:row>0</xdr:row>
      <xdr:rowOff>33626</xdr:rowOff>
    </xdr:from>
    <xdr:ext cx="802079" cy="3835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EBF2D50-8BD5-45F5-A0C0-548CDA9C9B6C}"/>
                </a:ext>
              </a:extLst>
            </xdr:cNvPr>
            <xdr:cNvSpPr txBox="1"/>
          </xdr:nvSpPr>
          <xdr:spPr>
            <a:xfrm>
              <a:off x="11212788" y="33626"/>
              <a:ext cx="802079" cy="3835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− </m:t>
                            </m:r>
                            <m:acc>
                              <m:accPr>
                                <m:chr m:val="̅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</m:acc>
                          </m:num>
                          <m:den>
                            <m:sSub>
                              <m:sSubPr>
                                <m:ctrlP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sub>
                            </m:sSub>
                          </m:den>
                        </m:f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EBF2D50-8BD5-45F5-A0C0-548CDA9C9B6C}"/>
                </a:ext>
              </a:extLst>
            </xdr:cNvPr>
            <xdr:cNvSpPr txBox="1"/>
          </xdr:nvSpPr>
          <xdr:spPr>
            <a:xfrm>
              <a:off x="11212788" y="33626"/>
              <a:ext cx="802079" cy="3835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𝐹_0 (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  − 𝑋 ̅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358276</xdr:colOff>
      <xdr:row>0</xdr:row>
      <xdr:rowOff>113988</xdr:rowOff>
    </xdr:from>
    <xdr:ext cx="15151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989EA09-CAA0-44B8-A4A4-FBA117F23E5B}"/>
                </a:ext>
              </a:extLst>
            </xdr:cNvPr>
            <xdr:cNvSpPr txBox="1"/>
          </xdr:nvSpPr>
          <xdr:spPr>
            <a:xfrm>
              <a:off x="12384860" y="113988"/>
              <a:ext cx="1515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989EA09-CAA0-44B8-A4A4-FBA117F23E5B}"/>
                </a:ext>
              </a:extLst>
            </xdr:cNvPr>
            <xdr:cNvSpPr txBox="1"/>
          </xdr:nvSpPr>
          <xdr:spPr>
            <a:xfrm>
              <a:off x="12384860" y="113988"/>
              <a:ext cx="1515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𝑝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14</xdr:col>
      <xdr:colOff>151586</xdr:colOff>
      <xdr:row>0</xdr:row>
      <xdr:rowOff>136672</xdr:rowOff>
    </xdr:from>
    <xdr:ext cx="56842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EB4E9E5-F313-485A-9074-6D44C02ABC61}"/>
                </a:ext>
              </a:extLst>
            </xdr:cNvPr>
            <xdr:cNvSpPr txBox="1"/>
          </xdr:nvSpPr>
          <xdr:spPr>
            <a:xfrm>
              <a:off x="12999828" y="136672"/>
              <a:ext cx="5684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𝑁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EB4E9E5-F313-485A-9074-6D44C02ABC61}"/>
                </a:ext>
              </a:extLst>
            </xdr:cNvPr>
            <xdr:cNvSpPr txBox="1"/>
          </xdr:nvSpPr>
          <xdr:spPr>
            <a:xfrm>
              <a:off x="12999828" y="136672"/>
              <a:ext cx="5684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′=𝑁𝑝_𝑖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15</xdr:col>
      <xdr:colOff>51251</xdr:colOff>
      <xdr:row>0</xdr:row>
      <xdr:rowOff>39049</xdr:rowOff>
    </xdr:from>
    <xdr:ext cx="697306" cy="3786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90A4030D-5EB2-45C2-AA00-2F1B438642C0}"/>
                </a:ext>
              </a:extLst>
            </xdr:cNvPr>
            <xdr:cNvSpPr txBox="1"/>
          </xdr:nvSpPr>
          <xdr:spPr>
            <a:xfrm>
              <a:off x="13721151" y="39049"/>
              <a:ext cx="697306" cy="3786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ru-RU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 − 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′</m:t>
                                    </m:r>
                                  </m:sup>
                                </m:sSubSup>
                              </m:e>
                            </m:d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bSup>
                          <m:sSub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90A4030D-5EB2-45C2-AA00-2F1B438642C0}"/>
                </a:ext>
              </a:extLst>
            </xdr:cNvPr>
            <xdr:cNvSpPr txBox="1"/>
          </xdr:nvSpPr>
          <xdr:spPr>
            <a:xfrm>
              <a:off x="13721151" y="39049"/>
              <a:ext cx="697306" cy="3786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  − 𝑛_𝑖^′</a:t>
              </a:r>
              <a:r>
                <a:rPr lang="ru-RU" sz="1100" b="0" i="0">
                  <a:latin typeface="Cambria Math" panose="02040503050406030204" pitchFamily="18" charset="0"/>
                </a:rPr>
                <a:t> )^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/(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</a:t>
              </a:r>
              <a:r>
                <a:rPr lang="ru-RU" sz="1100" b="0" i="0">
                  <a:latin typeface="Cambria Math" panose="02040503050406030204" pitchFamily="18" charset="0"/>
                </a:rPr>
                <a:t>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352350</xdr:colOff>
      <xdr:row>2</xdr:row>
      <xdr:rowOff>11923</xdr:rowOff>
    </xdr:from>
    <xdr:ext cx="2572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49448D1-D9D6-4A53-B2E5-857527C40F56}"/>
                </a:ext>
              </a:extLst>
            </xdr:cNvPr>
            <xdr:cNvSpPr txBox="1"/>
          </xdr:nvSpPr>
          <xdr:spPr>
            <a:xfrm>
              <a:off x="9464600" y="469123"/>
              <a:ext cx="2572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∞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49448D1-D9D6-4A53-B2E5-857527C40F56}"/>
                </a:ext>
              </a:extLst>
            </xdr:cNvPr>
            <xdr:cNvSpPr txBox="1"/>
          </xdr:nvSpPr>
          <xdr:spPr>
            <a:xfrm>
              <a:off x="9464600" y="469123"/>
              <a:ext cx="2572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−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∞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352350</xdr:colOff>
      <xdr:row>6</xdr:row>
      <xdr:rowOff>11923</xdr:rowOff>
    </xdr:from>
    <xdr:ext cx="2572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5F7D45C-C100-4A5E-A056-14CBC738EF19}"/>
                </a:ext>
              </a:extLst>
            </xdr:cNvPr>
            <xdr:cNvSpPr txBox="1"/>
          </xdr:nvSpPr>
          <xdr:spPr>
            <a:xfrm>
              <a:off x="10074200" y="1212073"/>
              <a:ext cx="2572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+mn-ea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∞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5F7D45C-C100-4A5E-A056-14CBC738EF19}"/>
                </a:ext>
              </a:extLst>
            </xdr:cNvPr>
            <xdr:cNvSpPr txBox="1"/>
          </xdr:nvSpPr>
          <xdr:spPr>
            <a:xfrm>
              <a:off x="10074200" y="1212073"/>
              <a:ext cx="2572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+mn-ea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∞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11</xdr:col>
      <xdr:colOff>611430</xdr:colOff>
      <xdr:row>2</xdr:row>
      <xdr:rowOff>11923</xdr:rowOff>
    </xdr:from>
    <xdr:ext cx="2572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04732CF-C89E-4C8D-BB40-7AF5019A2B0B}"/>
                </a:ext>
              </a:extLst>
            </xdr:cNvPr>
            <xdr:cNvSpPr txBox="1"/>
          </xdr:nvSpPr>
          <xdr:spPr>
            <a:xfrm>
              <a:off x="11088930" y="469123"/>
              <a:ext cx="2572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∞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04732CF-C89E-4C8D-BB40-7AF5019A2B0B}"/>
                </a:ext>
              </a:extLst>
            </xdr:cNvPr>
            <xdr:cNvSpPr txBox="1"/>
          </xdr:nvSpPr>
          <xdr:spPr>
            <a:xfrm>
              <a:off x="11088930" y="469123"/>
              <a:ext cx="2572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−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∞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289560</xdr:colOff>
      <xdr:row>0</xdr:row>
      <xdr:rowOff>64770</xdr:rowOff>
    </xdr:from>
    <xdr:to>
      <xdr:col>12</xdr:col>
      <xdr:colOff>304800</xdr:colOff>
      <xdr:row>21</xdr:row>
      <xdr:rowOff>121920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7AB7752-7252-4AD6-A2C6-05121D9105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358140</xdr:colOff>
      <xdr:row>0</xdr:row>
      <xdr:rowOff>72390</xdr:rowOff>
    </xdr:from>
    <xdr:to>
      <xdr:col>22</xdr:col>
      <xdr:colOff>381000</xdr:colOff>
      <xdr:row>21</xdr:row>
      <xdr:rowOff>137160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4117EF1-5984-4436-B8B7-2C60F2BDCE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1005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7F6809A-BFB2-4362-9A86-4B6EDD910CBA}"/>
                </a:ext>
              </a:extLst>
            </xdr:cNvPr>
            <xdr:cNvSpPr txBox="1"/>
          </xdr:nvSpPr>
          <xdr:spPr>
            <a:xfrm>
              <a:off x="0" y="2724000"/>
              <a:ext cx="10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𝜀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7F6809A-BFB2-4362-9A86-4B6EDD910CBA}"/>
                </a:ext>
              </a:extLst>
            </xdr:cNvPr>
            <xdr:cNvSpPr txBox="1"/>
          </xdr:nvSpPr>
          <xdr:spPr>
            <a:xfrm>
              <a:off x="0" y="2724000"/>
              <a:ext cx="10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223800</xdr:colOff>
      <xdr:row>1</xdr:row>
      <xdr:rowOff>175800</xdr:rowOff>
    </xdr:from>
    <xdr:ext cx="17504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57AFB6F-8664-4C7A-B52E-0B74209F7BF4}"/>
                </a:ext>
              </a:extLst>
            </xdr:cNvPr>
            <xdr:cNvSpPr txBox="1"/>
          </xdr:nvSpPr>
          <xdr:spPr>
            <a:xfrm>
              <a:off x="11105160" y="358680"/>
              <a:ext cx="1750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57AFB6F-8664-4C7A-B52E-0B74209F7BF4}"/>
                </a:ext>
              </a:extLst>
            </xdr:cNvPr>
            <xdr:cNvSpPr txBox="1"/>
          </xdr:nvSpPr>
          <xdr:spPr>
            <a:xfrm>
              <a:off x="11105160" y="358680"/>
              <a:ext cx="1750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14</xdr:col>
      <xdr:colOff>217800</xdr:colOff>
      <xdr:row>1</xdr:row>
      <xdr:rowOff>175800</xdr:rowOff>
    </xdr:from>
    <xdr:ext cx="179152" cy="1829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03E7821-9619-4018-8626-FA9934A644E7}"/>
                </a:ext>
              </a:extLst>
            </xdr:cNvPr>
            <xdr:cNvSpPr txBox="1"/>
          </xdr:nvSpPr>
          <xdr:spPr>
            <a:xfrm>
              <a:off x="11708760" y="358680"/>
              <a:ext cx="179152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03E7821-9619-4018-8626-FA9934A644E7}"/>
                </a:ext>
              </a:extLst>
            </xdr:cNvPr>
            <xdr:cNvSpPr txBox="1"/>
          </xdr:nvSpPr>
          <xdr:spPr>
            <a:xfrm>
              <a:off x="11708760" y="358680"/>
              <a:ext cx="179152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586740</xdr:colOff>
      <xdr:row>2</xdr:row>
      <xdr:rowOff>65810</xdr:rowOff>
    </xdr:from>
    <xdr:to>
      <xdr:col>18</xdr:col>
      <xdr:colOff>233795</xdr:colOff>
      <xdr:row>26</xdr:row>
      <xdr:rowOff>34637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AC0AEBD-8C6A-42BD-A0F6-D35752768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C290-6B47-44A9-B5E4-9FB9BFFB994C}">
  <dimension ref="A1:L51"/>
  <sheetViews>
    <sheetView topLeftCell="B1" workbookViewId="0">
      <selection activeCell="M45" sqref="M45"/>
    </sheetView>
  </sheetViews>
  <sheetFormatPr defaultRowHeight="14.4" x14ac:dyDescent="0.3"/>
  <cols>
    <col min="1" max="16384" width="8.88671875" style="27"/>
  </cols>
  <sheetData>
    <row r="1" spans="1:12" x14ac:dyDescent="0.3">
      <c r="A1" s="48" t="s">
        <v>0</v>
      </c>
      <c r="B1" s="48" t="s">
        <v>1</v>
      </c>
      <c r="C1" s="48" t="s">
        <v>2</v>
      </c>
      <c r="D1" s="48" t="s">
        <v>0</v>
      </c>
      <c r="E1" s="48" t="s">
        <v>1</v>
      </c>
      <c r="F1" s="48" t="s">
        <v>2</v>
      </c>
      <c r="G1" s="48" t="s">
        <v>0</v>
      </c>
      <c r="H1" s="48" t="s">
        <v>1</v>
      </c>
      <c r="I1" s="48" t="s">
        <v>2</v>
      </c>
      <c r="J1" s="48" t="s">
        <v>0</v>
      </c>
      <c r="K1" s="48" t="s">
        <v>1</v>
      </c>
      <c r="L1" s="48" t="s">
        <v>2</v>
      </c>
    </row>
    <row r="2" spans="1:12" x14ac:dyDescent="0.3">
      <c r="A2" s="49">
        <v>1</v>
      </c>
      <c r="B2" s="49">
        <v>178</v>
      </c>
      <c r="C2" s="49">
        <v>73</v>
      </c>
      <c r="D2" s="49">
        <v>51</v>
      </c>
      <c r="E2" s="49">
        <v>182</v>
      </c>
      <c r="F2" s="49">
        <v>66</v>
      </c>
      <c r="G2" s="49">
        <v>101</v>
      </c>
      <c r="H2" s="49">
        <v>164</v>
      </c>
      <c r="I2" s="49">
        <v>70</v>
      </c>
      <c r="J2" s="49">
        <v>151</v>
      </c>
      <c r="K2" s="49">
        <v>163</v>
      </c>
      <c r="L2" s="49">
        <v>54</v>
      </c>
    </row>
    <row r="3" spans="1:12" x14ac:dyDescent="0.3">
      <c r="A3" s="49">
        <v>2</v>
      </c>
      <c r="B3" s="49">
        <v>163</v>
      </c>
      <c r="C3" s="49">
        <v>63</v>
      </c>
      <c r="D3" s="49">
        <v>52</v>
      </c>
      <c r="E3" s="49">
        <v>170</v>
      </c>
      <c r="F3" s="49">
        <v>63</v>
      </c>
      <c r="G3" s="49">
        <v>102</v>
      </c>
      <c r="H3" s="49">
        <v>176</v>
      </c>
      <c r="I3" s="49">
        <v>67</v>
      </c>
      <c r="J3" s="49">
        <v>152</v>
      </c>
      <c r="K3" s="49">
        <v>170</v>
      </c>
      <c r="L3" s="49">
        <v>65</v>
      </c>
    </row>
    <row r="4" spans="1:12" x14ac:dyDescent="0.3">
      <c r="A4" s="49">
        <v>3</v>
      </c>
      <c r="B4" s="49">
        <v>170</v>
      </c>
      <c r="C4" s="49">
        <v>75</v>
      </c>
      <c r="D4" s="49">
        <v>53</v>
      </c>
      <c r="E4" s="49">
        <v>168</v>
      </c>
      <c r="F4" s="49">
        <v>65</v>
      </c>
      <c r="G4" s="49">
        <v>103</v>
      </c>
      <c r="H4" s="49">
        <v>163</v>
      </c>
      <c r="I4" s="49">
        <v>58</v>
      </c>
      <c r="J4" s="49">
        <v>153</v>
      </c>
      <c r="K4" s="49">
        <v>158</v>
      </c>
      <c r="L4" s="49">
        <v>56</v>
      </c>
    </row>
    <row r="5" spans="1:12" x14ac:dyDescent="0.3">
      <c r="A5" s="49">
        <v>4</v>
      </c>
      <c r="B5" s="49">
        <v>164</v>
      </c>
      <c r="C5" s="49">
        <v>60</v>
      </c>
      <c r="D5" s="49">
        <v>54</v>
      </c>
      <c r="E5" s="49">
        <v>171</v>
      </c>
      <c r="F5" s="49">
        <v>66</v>
      </c>
      <c r="G5" s="49">
        <v>104</v>
      </c>
      <c r="H5" s="49">
        <v>164</v>
      </c>
      <c r="I5" s="49">
        <v>62</v>
      </c>
      <c r="J5" s="49">
        <v>154</v>
      </c>
      <c r="K5" s="49">
        <v>172</v>
      </c>
      <c r="L5" s="49">
        <v>66</v>
      </c>
    </row>
    <row r="6" spans="1:12" x14ac:dyDescent="0.3">
      <c r="A6" s="49">
        <v>5</v>
      </c>
      <c r="B6" s="49">
        <v>164</v>
      </c>
      <c r="C6" s="49">
        <v>56</v>
      </c>
      <c r="D6" s="49">
        <v>55</v>
      </c>
      <c r="E6" s="49">
        <v>172</v>
      </c>
      <c r="F6" s="49">
        <v>67</v>
      </c>
      <c r="G6" s="49">
        <v>105</v>
      </c>
      <c r="H6" s="49">
        <v>170</v>
      </c>
      <c r="I6" s="49">
        <v>68</v>
      </c>
      <c r="J6" s="49">
        <v>155</v>
      </c>
      <c r="K6" s="49">
        <v>167</v>
      </c>
      <c r="L6" s="49">
        <v>65</v>
      </c>
    </row>
    <row r="7" spans="1:12" x14ac:dyDescent="0.3">
      <c r="A7" s="49">
        <v>6</v>
      </c>
      <c r="B7" s="49">
        <v>168</v>
      </c>
      <c r="C7" s="49">
        <v>59</v>
      </c>
      <c r="D7" s="49">
        <v>56</v>
      </c>
      <c r="E7" s="49">
        <v>169</v>
      </c>
      <c r="F7" s="49">
        <v>64</v>
      </c>
      <c r="G7" s="49">
        <v>106</v>
      </c>
      <c r="H7" s="49">
        <v>177</v>
      </c>
      <c r="I7" s="49">
        <v>60</v>
      </c>
      <c r="J7" s="49">
        <v>156</v>
      </c>
      <c r="K7" s="49">
        <v>167</v>
      </c>
      <c r="L7" s="49">
        <v>61</v>
      </c>
    </row>
    <row r="8" spans="1:12" x14ac:dyDescent="0.3">
      <c r="A8" s="49">
        <v>7</v>
      </c>
      <c r="B8" s="49">
        <v>167</v>
      </c>
      <c r="C8" s="49">
        <v>61</v>
      </c>
      <c r="D8" s="49">
        <v>57</v>
      </c>
      <c r="E8" s="49">
        <v>167</v>
      </c>
      <c r="F8" s="49">
        <v>59</v>
      </c>
      <c r="G8" s="49">
        <v>107</v>
      </c>
      <c r="H8" s="49">
        <v>180</v>
      </c>
      <c r="I8" s="49">
        <v>75</v>
      </c>
      <c r="J8" s="49">
        <v>157</v>
      </c>
      <c r="K8" s="49">
        <v>172</v>
      </c>
      <c r="L8" s="49">
        <v>67</v>
      </c>
    </row>
    <row r="9" spans="1:12" x14ac:dyDescent="0.3">
      <c r="A9" s="49">
        <v>8</v>
      </c>
      <c r="B9" s="49">
        <v>166</v>
      </c>
      <c r="C9" s="49">
        <v>62</v>
      </c>
      <c r="D9" s="49">
        <v>58</v>
      </c>
      <c r="E9" s="49">
        <v>170</v>
      </c>
      <c r="F9" s="49">
        <v>62</v>
      </c>
      <c r="G9" s="49">
        <v>108</v>
      </c>
      <c r="H9" s="49">
        <v>175</v>
      </c>
      <c r="I9" s="49">
        <v>75</v>
      </c>
      <c r="J9" s="49">
        <v>158</v>
      </c>
      <c r="K9" s="49">
        <v>175</v>
      </c>
      <c r="L9" s="49">
        <v>64</v>
      </c>
    </row>
    <row r="10" spans="1:12" x14ac:dyDescent="0.3">
      <c r="A10" s="49">
        <v>9</v>
      </c>
      <c r="B10" s="49">
        <v>162</v>
      </c>
      <c r="C10" s="49">
        <v>65</v>
      </c>
      <c r="D10" s="49">
        <v>59</v>
      </c>
      <c r="E10" s="49">
        <v>170</v>
      </c>
      <c r="F10" s="49">
        <v>69</v>
      </c>
      <c r="G10" s="49">
        <v>109</v>
      </c>
      <c r="H10" s="49">
        <v>168</v>
      </c>
      <c r="I10" s="49">
        <v>55</v>
      </c>
      <c r="J10" s="49">
        <v>159</v>
      </c>
      <c r="K10" s="49">
        <v>173</v>
      </c>
      <c r="L10" s="49">
        <v>63</v>
      </c>
    </row>
    <row r="11" spans="1:12" x14ac:dyDescent="0.3">
      <c r="A11" s="49">
        <v>10</v>
      </c>
      <c r="B11" s="49">
        <v>171</v>
      </c>
      <c r="C11" s="49">
        <v>60</v>
      </c>
      <c r="D11" s="49">
        <v>60</v>
      </c>
      <c r="E11" s="49">
        <v>168</v>
      </c>
      <c r="F11" s="49">
        <v>65</v>
      </c>
      <c r="G11" s="49">
        <v>110</v>
      </c>
      <c r="H11" s="49">
        <v>175</v>
      </c>
      <c r="I11" s="49">
        <v>67</v>
      </c>
      <c r="J11" s="49">
        <v>160</v>
      </c>
      <c r="K11" s="49">
        <v>166</v>
      </c>
      <c r="L11" s="49">
        <v>78</v>
      </c>
    </row>
    <row r="12" spans="1:12" x14ac:dyDescent="0.3">
      <c r="A12" s="49">
        <v>11</v>
      </c>
      <c r="B12" s="49">
        <v>168</v>
      </c>
      <c r="C12" s="49">
        <v>62</v>
      </c>
      <c r="D12" s="49">
        <v>61</v>
      </c>
      <c r="E12" s="49">
        <v>174</v>
      </c>
      <c r="F12" s="49">
        <v>69</v>
      </c>
      <c r="G12" s="49">
        <v>111</v>
      </c>
      <c r="H12" s="49">
        <v>171</v>
      </c>
      <c r="I12" s="49">
        <v>63</v>
      </c>
      <c r="J12" s="49">
        <v>161</v>
      </c>
      <c r="K12" s="49">
        <v>170</v>
      </c>
      <c r="L12" s="49">
        <v>65</v>
      </c>
    </row>
    <row r="13" spans="1:12" x14ac:dyDescent="0.3">
      <c r="A13" s="49">
        <v>12</v>
      </c>
      <c r="B13" s="49">
        <v>173</v>
      </c>
      <c r="C13" s="49">
        <v>70</v>
      </c>
      <c r="D13" s="49">
        <v>62</v>
      </c>
      <c r="E13" s="49">
        <v>167</v>
      </c>
      <c r="F13" s="49">
        <v>61</v>
      </c>
      <c r="G13" s="49">
        <v>112</v>
      </c>
      <c r="H13" s="49">
        <v>170</v>
      </c>
      <c r="I13" s="49">
        <v>65</v>
      </c>
      <c r="J13" s="49">
        <v>162</v>
      </c>
      <c r="K13" s="49">
        <v>176</v>
      </c>
      <c r="L13" s="49">
        <v>65</v>
      </c>
    </row>
    <row r="14" spans="1:12" x14ac:dyDescent="0.3">
      <c r="A14" s="49">
        <v>13</v>
      </c>
      <c r="B14" s="49">
        <v>167</v>
      </c>
      <c r="C14" s="49">
        <v>61</v>
      </c>
      <c r="D14" s="49">
        <v>63</v>
      </c>
      <c r="E14" s="49">
        <v>165</v>
      </c>
      <c r="F14" s="49">
        <v>61</v>
      </c>
      <c r="G14" s="49">
        <v>113</v>
      </c>
      <c r="H14" s="49">
        <v>168</v>
      </c>
      <c r="I14" s="49">
        <v>64</v>
      </c>
      <c r="J14" s="49">
        <v>163</v>
      </c>
      <c r="K14" s="49">
        <v>159</v>
      </c>
      <c r="L14" s="49">
        <v>48</v>
      </c>
    </row>
    <row r="15" spans="1:12" x14ac:dyDescent="0.3">
      <c r="A15" s="49">
        <v>14</v>
      </c>
      <c r="B15" s="49">
        <v>170</v>
      </c>
      <c r="C15" s="49">
        <v>74</v>
      </c>
      <c r="D15" s="49">
        <v>64</v>
      </c>
      <c r="E15" s="49">
        <v>171</v>
      </c>
      <c r="F15" s="49">
        <v>66</v>
      </c>
      <c r="G15" s="49">
        <v>114</v>
      </c>
      <c r="H15" s="49">
        <v>160</v>
      </c>
      <c r="I15" s="49">
        <v>57</v>
      </c>
      <c r="J15" s="49">
        <v>164</v>
      </c>
      <c r="K15" s="49">
        <v>173</v>
      </c>
      <c r="L15" s="49">
        <v>64</v>
      </c>
    </row>
    <row r="16" spans="1:12" x14ac:dyDescent="0.3">
      <c r="A16" s="49">
        <v>15</v>
      </c>
      <c r="B16" s="49">
        <v>171</v>
      </c>
      <c r="C16" s="49">
        <v>60</v>
      </c>
      <c r="D16" s="49">
        <v>65</v>
      </c>
      <c r="E16" s="49">
        <v>170</v>
      </c>
      <c r="F16" s="49">
        <v>69</v>
      </c>
      <c r="G16" s="49">
        <v>115</v>
      </c>
      <c r="H16" s="49">
        <v>171</v>
      </c>
      <c r="I16" s="49">
        <v>66</v>
      </c>
      <c r="J16" s="49">
        <v>165</v>
      </c>
      <c r="K16" s="49">
        <v>166</v>
      </c>
      <c r="L16" s="49">
        <v>62</v>
      </c>
    </row>
    <row r="17" spans="1:12" x14ac:dyDescent="0.3">
      <c r="A17" s="49">
        <v>16</v>
      </c>
      <c r="B17" s="49">
        <v>173</v>
      </c>
      <c r="C17" s="49">
        <v>66</v>
      </c>
      <c r="D17" s="49">
        <v>66</v>
      </c>
      <c r="E17" s="49">
        <v>169</v>
      </c>
      <c r="F17" s="49">
        <v>66</v>
      </c>
      <c r="G17" s="49">
        <v>116</v>
      </c>
      <c r="H17" s="49">
        <v>180</v>
      </c>
      <c r="I17" s="49">
        <v>65</v>
      </c>
      <c r="J17" s="49">
        <v>166</v>
      </c>
      <c r="K17" s="49">
        <v>166</v>
      </c>
      <c r="L17" s="49">
        <v>71</v>
      </c>
    </row>
    <row r="18" spans="1:12" x14ac:dyDescent="0.3">
      <c r="A18" s="49">
        <v>17</v>
      </c>
      <c r="B18" s="49">
        <v>187</v>
      </c>
      <c r="C18" s="49">
        <v>84</v>
      </c>
      <c r="D18" s="49">
        <v>67</v>
      </c>
      <c r="E18" s="49">
        <v>171</v>
      </c>
      <c r="F18" s="49">
        <v>76</v>
      </c>
      <c r="G18" s="49">
        <v>117</v>
      </c>
      <c r="H18" s="49">
        <v>165</v>
      </c>
      <c r="I18" s="49">
        <v>57</v>
      </c>
      <c r="J18" s="49">
        <v>167</v>
      </c>
      <c r="K18" s="49">
        <v>170</v>
      </c>
      <c r="L18" s="49">
        <v>76</v>
      </c>
    </row>
    <row r="19" spans="1:12" x14ac:dyDescent="0.3">
      <c r="A19" s="49">
        <v>18</v>
      </c>
      <c r="B19" s="49">
        <v>166</v>
      </c>
      <c r="C19" s="49">
        <v>58</v>
      </c>
      <c r="D19" s="49">
        <v>68</v>
      </c>
      <c r="E19" s="49">
        <v>161</v>
      </c>
      <c r="F19" s="49">
        <v>51</v>
      </c>
      <c r="G19" s="49">
        <v>118</v>
      </c>
      <c r="H19" s="49">
        <v>176</v>
      </c>
      <c r="I19" s="49">
        <v>77</v>
      </c>
      <c r="J19" s="49">
        <v>168</v>
      </c>
      <c r="K19" s="49">
        <v>161</v>
      </c>
      <c r="L19" s="49">
        <v>66</v>
      </c>
    </row>
    <row r="20" spans="1:12" x14ac:dyDescent="0.3">
      <c r="A20" s="49">
        <v>19</v>
      </c>
      <c r="B20" s="49">
        <v>170</v>
      </c>
      <c r="C20" s="49">
        <v>75</v>
      </c>
      <c r="D20" s="49">
        <v>69</v>
      </c>
      <c r="E20" s="49">
        <v>167</v>
      </c>
      <c r="F20" s="49">
        <v>60</v>
      </c>
      <c r="G20" s="49">
        <v>119</v>
      </c>
      <c r="H20" s="49">
        <v>167</v>
      </c>
      <c r="I20" s="49">
        <v>68</v>
      </c>
      <c r="J20" s="49">
        <v>169</v>
      </c>
      <c r="K20" s="49">
        <v>167</v>
      </c>
      <c r="L20" s="49">
        <v>61</v>
      </c>
    </row>
    <row r="21" spans="1:12" x14ac:dyDescent="0.3">
      <c r="A21" s="49">
        <v>20</v>
      </c>
      <c r="B21" s="49">
        <v>178</v>
      </c>
      <c r="C21" s="49">
        <v>69</v>
      </c>
      <c r="D21" s="49">
        <v>70</v>
      </c>
      <c r="E21" s="49">
        <v>174</v>
      </c>
      <c r="F21" s="49">
        <v>74</v>
      </c>
      <c r="G21" s="49">
        <v>120</v>
      </c>
      <c r="H21" s="49">
        <v>163</v>
      </c>
      <c r="I21" s="49">
        <v>54</v>
      </c>
      <c r="J21" s="49">
        <v>170</v>
      </c>
      <c r="K21" s="49">
        <v>176</v>
      </c>
      <c r="L21" s="49">
        <v>65</v>
      </c>
    </row>
    <row r="22" spans="1:12" x14ac:dyDescent="0.3">
      <c r="A22" s="49">
        <v>21</v>
      </c>
      <c r="B22" s="49">
        <v>173</v>
      </c>
      <c r="C22" s="49">
        <v>64</v>
      </c>
      <c r="D22" s="49">
        <v>71</v>
      </c>
      <c r="E22" s="49">
        <v>171</v>
      </c>
      <c r="F22" s="49">
        <v>70</v>
      </c>
      <c r="G22" s="49">
        <v>121</v>
      </c>
      <c r="H22" s="49">
        <v>170</v>
      </c>
      <c r="I22" s="49">
        <v>75</v>
      </c>
      <c r="J22" s="49">
        <v>171</v>
      </c>
      <c r="K22" s="49">
        <v>179</v>
      </c>
      <c r="L22" s="49">
        <v>77</v>
      </c>
    </row>
    <row r="23" spans="1:12" x14ac:dyDescent="0.3">
      <c r="A23" s="49">
        <v>22</v>
      </c>
      <c r="B23" s="49">
        <v>179</v>
      </c>
      <c r="C23" s="49">
        <v>71</v>
      </c>
      <c r="D23" s="49">
        <v>72</v>
      </c>
      <c r="E23" s="49">
        <v>172</v>
      </c>
      <c r="F23" s="49">
        <v>64</v>
      </c>
      <c r="G23" s="49">
        <v>122</v>
      </c>
      <c r="H23" s="49">
        <v>174</v>
      </c>
      <c r="I23" s="49">
        <v>67</v>
      </c>
      <c r="J23" s="49">
        <v>172</v>
      </c>
      <c r="K23" s="49">
        <v>171</v>
      </c>
      <c r="L23" s="49">
        <v>73</v>
      </c>
    </row>
    <row r="24" spans="1:12" x14ac:dyDescent="0.3">
      <c r="A24" s="49">
        <v>23</v>
      </c>
      <c r="B24" s="49">
        <v>171</v>
      </c>
      <c r="C24" s="49">
        <v>64</v>
      </c>
      <c r="D24" s="49">
        <v>73</v>
      </c>
      <c r="E24" s="49">
        <v>171</v>
      </c>
      <c r="F24" s="49">
        <v>70</v>
      </c>
      <c r="G24" s="49">
        <v>123</v>
      </c>
      <c r="H24" s="49">
        <v>167</v>
      </c>
      <c r="I24" s="49">
        <v>65</v>
      </c>
      <c r="J24" s="49">
        <v>173</v>
      </c>
      <c r="K24" s="49">
        <v>164</v>
      </c>
      <c r="L24" s="49">
        <v>65</v>
      </c>
    </row>
    <row r="25" spans="1:12" x14ac:dyDescent="0.3">
      <c r="A25" s="49">
        <v>24</v>
      </c>
      <c r="B25" s="49">
        <v>174</v>
      </c>
      <c r="C25" s="49">
        <v>74</v>
      </c>
      <c r="D25" s="49">
        <v>74</v>
      </c>
      <c r="E25" s="49">
        <v>173</v>
      </c>
      <c r="F25" s="49">
        <v>64</v>
      </c>
      <c r="G25" s="49">
        <v>124</v>
      </c>
      <c r="H25" s="49">
        <v>172</v>
      </c>
      <c r="I25" s="49">
        <v>73</v>
      </c>
      <c r="J25" s="49">
        <v>174</v>
      </c>
      <c r="K25" s="49">
        <v>184</v>
      </c>
      <c r="L25" s="49">
        <v>68</v>
      </c>
    </row>
    <row r="26" spans="1:12" x14ac:dyDescent="0.3">
      <c r="A26" s="49">
        <v>25</v>
      </c>
      <c r="B26" s="49">
        <v>164</v>
      </c>
      <c r="C26" s="49">
        <v>70</v>
      </c>
      <c r="D26" s="49">
        <v>75</v>
      </c>
      <c r="E26" s="49">
        <v>180</v>
      </c>
      <c r="F26" s="49">
        <v>76</v>
      </c>
      <c r="G26" s="49">
        <v>125</v>
      </c>
      <c r="H26" s="49">
        <v>173</v>
      </c>
      <c r="I26" s="49">
        <v>69</v>
      </c>
      <c r="J26" s="49">
        <v>175</v>
      </c>
      <c r="K26" s="49">
        <v>166</v>
      </c>
      <c r="L26" s="49">
        <v>62</v>
      </c>
    </row>
    <row r="27" spans="1:12" x14ac:dyDescent="0.3">
      <c r="A27" s="49">
        <v>26</v>
      </c>
      <c r="B27" s="49">
        <v>173</v>
      </c>
      <c r="C27" s="49">
        <v>69</v>
      </c>
      <c r="D27" s="49">
        <v>76</v>
      </c>
      <c r="E27" s="49">
        <v>172</v>
      </c>
      <c r="F27" s="49">
        <v>63</v>
      </c>
      <c r="G27" s="49">
        <v>126</v>
      </c>
      <c r="H27" s="49">
        <v>164</v>
      </c>
      <c r="I27" s="49">
        <v>65</v>
      </c>
      <c r="J27" s="49">
        <v>176</v>
      </c>
      <c r="K27" s="49">
        <v>165</v>
      </c>
      <c r="L27" s="49">
        <v>67</v>
      </c>
    </row>
    <row r="28" spans="1:12" x14ac:dyDescent="0.3">
      <c r="A28" s="49">
        <v>27</v>
      </c>
      <c r="B28" s="49">
        <v>168</v>
      </c>
      <c r="C28" s="49">
        <v>64</v>
      </c>
      <c r="D28" s="49">
        <v>77</v>
      </c>
      <c r="E28" s="49">
        <v>173</v>
      </c>
      <c r="F28" s="49">
        <v>75</v>
      </c>
      <c r="G28" s="49">
        <v>127</v>
      </c>
      <c r="H28" s="49">
        <v>170</v>
      </c>
      <c r="I28" s="49">
        <v>58</v>
      </c>
      <c r="J28" s="49">
        <v>177</v>
      </c>
      <c r="K28" s="49">
        <v>159</v>
      </c>
      <c r="L28" s="49">
        <v>48</v>
      </c>
    </row>
    <row r="29" spans="1:12" x14ac:dyDescent="0.3">
      <c r="A29" s="49">
        <v>28</v>
      </c>
      <c r="B29" s="49">
        <v>166</v>
      </c>
      <c r="C29" s="49">
        <v>55</v>
      </c>
      <c r="D29" s="49">
        <v>78</v>
      </c>
      <c r="E29" s="49">
        <v>171</v>
      </c>
      <c r="F29" s="49">
        <v>57</v>
      </c>
      <c r="G29" s="49">
        <v>128</v>
      </c>
      <c r="H29" s="49">
        <v>168</v>
      </c>
      <c r="I29" s="49">
        <v>58</v>
      </c>
      <c r="J29" s="49">
        <v>178</v>
      </c>
      <c r="K29" s="49">
        <v>168</v>
      </c>
      <c r="L29" s="49">
        <v>58</v>
      </c>
    </row>
    <row r="30" spans="1:12" x14ac:dyDescent="0.3">
      <c r="A30" s="49">
        <v>29</v>
      </c>
      <c r="B30" s="49">
        <v>177</v>
      </c>
      <c r="C30" s="49">
        <v>67</v>
      </c>
      <c r="D30" s="49">
        <v>79</v>
      </c>
      <c r="E30" s="49">
        <v>169</v>
      </c>
      <c r="F30" s="49">
        <v>62</v>
      </c>
      <c r="G30" s="49">
        <v>129</v>
      </c>
      <c r="H30" s="49">
        <v>176</v>
      </c>
      <c r="I30" s="49">
        <v>67</v>
      </c>
      <c r="J30" s="49">
        <v>179</v>
      </c>
      <c r="K30" s="49">
        <v>171</v>
      </c>
      <c r="L30" s="49">
        <v>66</v>
      </c>
    </row>
    <row r="31" spans="1:12" x14ac:dyDescent="0.3">
      <c r="A31" s="49">
        <v>30</v>
      </c>
      <c r="B31" s="49">
        <v>170</v>
      </c>
      <c r="C31" s="49">
        <v>61</v>
      </c>
      <c r="D31" s="49">
        <v>80</v>
      </c>
      <c r="E31" s="49">
        <v>161</v>
      </c>
      <c r="F31" s="49">
        <v>58</v>
      </c>
      <c r="G31" s="49">
        <v>130</v>
      </c>
      <c r="H31" s="49">
        <v>168</v>
      </c>
      <c r="I31" s="49">
        <v>60</v>
      </c>
      <c r="J31" s="49">
        <v>180</v>
      </c>
      <c r="K31" s="49">
        <v>183</v>
      </c>
      <c r="L31" s="49">
        <v>73</v>
      </c>
    </row>
    <row r="32" spans="1:12" x14ac:dyDescent="0.3">
      <c r="A32" s="49">
        <v>31</v>
      </c>
      <c r="B32" s="49">
        <v>167</v>
      </c>
      <c r="C32" s="49">
        <v>63</v>
      </c>
      <c r="D32" s="49">
        <v>81</v>
      </c>
      <c r="E32" s="49">
        <v>176</v>
      </c>
      <c r="F32" s="49">
        <v>81</v>
      </c>
      <c r="G32" s="49">
        <v>131</v>
      </c>
      <c r="H32" s="49">
        <v>179</v>
      </c>
      <c r="I32" s="49">
        <v>71</v>
      </c>
      <c r="J32" s="49">
        <v>181</v>
      </c>
      <c r="K32" s="49">
        <v>169</v>
      </c>
      <c r="L32" s="49">
        <v>74</v>
      </c>
    </row>
    <row r="33" spans="1:12" x14ac:dyDescent="0.3">
      <c r="A33" s="49">
        <v>32</v>
      </c>
      <c r="B33" s="49">
        <v>174</v>
      </c>
      <c r="C33" s="49">
        <v>75</v>
      </c>
      <c r="D33" s="49">
        <v>82</v>
      </c>
      <c r="E33" s="49">
        <v>175</v>
      </c>
      <c r="F33" s="49">
        <v>67</v>
      </c>
      <c r="G33" s="49">
        <v>132</v>
      </c>
      <c r="H33" s="49">
        <v>168</v>
      </c>
      <c r="I33" s="49">
        <v>67</v>
      </c>
      <c r="J33" s="49">
        <v>182</v>
      </c>
      <c r="K33" s="49">
        <v>165</v>
      </c>
      <c r="L33" s="49">
        <v>66</v>
      </c>
    </row>
    <row r="34" spans="1:12" x14ac:dyDescent="0.3">
      <c r="A34" s="49">
        <v>33</v>
      </c>
      <c r="B34" s="49">
        <v>164</v>
      </c>
      <c r="C34" s="49">
        <v>59</v>
      </c>
      <c r="D34" s="49">
        <v>83</v>
      </c>
      <c r="E34" s="49">
        <v>158</v>
      </c>
      <c r="F34" s="49">
        <v>57</v>
      </c>
      <c r="G34" s="49">
        <v>133</v>
      </c>
      <c r="H34" s="49">
        <v>176</v>
      </c>
      <c r="I34" s="49">
        <v>65</v>
      </c>
      <c r="J34" s="49">
        <v>183</v>
      </c>
      <c r="K34" s="49">
        <v>171</v>
      </c>
      <c r="L34" s="49">
        <v>70</v>
      </c>
    </row>
    <row r="35" spans="1:12" x14ac:dyDescent="0.3">
      <c r="A35" s="49">
        <v>34</v>
      </c>
      <c r="B35" s="49">
        <v>164</v>
      </c>
      <c r="C35" s="49">
        <v>62</v>
      </c>
      <c r="D35" s="49">
        <v>84</v>
      </c>
      <c r="E35" s="49">
        <v>174</v>
      </c>
      <c r="F35" s="49">
        <v>68</v>
      </c>
      <c r="G35" s="49">
        <v>134</v>
      </c>
      <c r="H35" s="49">
        <v>184</v>
      </c>
      <c r="I35" s="49">
        <v>68</v>
      </c>
      <c r="J35" s="49">
        <v>184</v>
      </c>
      <c r="K35" s="49">
        <v>168</v>
      </c>
      <c r="L35" s="49">
        <v>61</v>
      </c>
    </row>
    <row r="36" spans="1:12" x14ac:dyDescent="0.3">
      <c r="A36" s="49">
        <v>35</v>
      </c>
      <c r="B36" s="49">
        <v>178</v>
      </c>
      <c r="C36" s="49">
        <v>60</v>
      </c>
      <c r="D36" s="49">
        <v>85</v>
      </c>
      <c r="E36" s="49">
        <v>171</v>
      </c>
      <c r="F36" s="49">
        <v>73</v>
      </c>
      <c r="G36" s="49">
        <v>135</v>
      </c>
      <c r="H36" s="49">
        <v>165</v>
      </c>
      <c r="I36" s="49">
        <v>60</v>
      </c>
      <c r="J36" s="49">
        <v>185</v>
      </c>
      <c r="K36" s="49">
        <v>168</v>
      </c>
      <c r="L36" s="49">
        <v>67</v>
      </c>
    </row>
    <row r="37" spans="1:12" x14ac:dyDescent="0.3">
      <c r="A37" s="49">
        <v>36</v>
      </c>
      <c r="B37" s="49">
        <v>173</v>
      </c>
      <c r="C37" s="49">
        <v>66</v>
      </c>
      <c r="D37" s="49">
        <v>86</v>
      </c>
      <c r="E37" s="49">
        <v>176</v>
      </c>
      <c r="F37" s="49">
        <v>60</v>
      </c>
      <c r="G37" s="49">
        <v>136</v>
      </c>
      <c r="H37" s="49">
        <v>176</v>
      </c>
      <c r="I37" s="49">
        <v>72</v>
      </c>
      <c r="J37" s="49">
        <v>186</v>
      </c>
      <c r="K37" s="49">
        <v>178</v>
      </c>
      <c r="L37" s="49">
        <v>80</v>
      </c>
    </row>
    <row r="38" spans="1:12" x14ac:dyDescent="0.3">
      <c r="A38" s="49">
        <v>37</v>
      </c>
      <c r="B38" s="49">
        <v>179</v>
      </c>
      <c r="C38" s="49">
        <v>63</v>
      </c>
      <c r="D38" s="49">
        <v>87</v>
      </c>
      <c r="E38" s="49">
        <v>167</v>
      </c>
      <c r="F38" s="49">
        <v>57</v>
      </c>
      <c r="G38" s="49">
        <v>137</v>
      </c>
      <c r="H38" s="49">
        <v>163</v>
      </c>
      <c r="I38" s="49">
        <v>65</v>
      </c>
      <c r="J38" s="49">
        <v>187</v>
      </c>
      <c r="K38" s="49">
        <v>170</v>
      </c>
      <c r="L38" s="49">
        <v>65</v>
      </c>
    </row>
    <row r="39" spans="1:12" x14ac:dyDescent="0.3">
      <c r="A39" s="49">
        <v>38</v>
      </c>
      <c r="B39" s="49">
        <v>165</v>
      </c>
      <c r="C39" s="49">
        <v>62</v>
      </c>
      <c r="D39" s="49">
        <v>88</v>
      </c>
      <c r="E39" s="49">
        <v>161</v>
      </c>
      <c r="F39" s="49">
        <v>52</v>
      </c>
      <c r="G39" s="49">
        <v>138</v>
      </c>
      <c r="H39" s="49">
        <v>167</v>
      </c>
      <c r="I39" s="49">
        <v>60</v>
      </c>
      <c r="J39" s="49">
        <v>188</v>
      </c>
      <c r="K39" s="49">
        <v>161</v>
      </c>
      <c r="L39" s="49">
        <v>56</v>
      </c>
    </row>
    <row r="40" spans="1:12" x14ac:dyDescent="0.3">
      <c r="A40" s="49">
        <v>39</v>
      </c>
      <c r="B40" s="49">
        <v>171</v>
      </c>
      <c r="C40" s="49">
        <v>66</v>
      </c>
      <c r="D40" s="49">
        <v>89</v>
      </c>
      <c r="E40" s="49">
        <v>161</v>
      </c>
      <c r="F40" s="49">
        <v>59</v>
      </c>
      <c r="G40" s="49">
        <v>139</v>
      </c>
      <c r="H40" s="49">
        <v>160</v>
      </c>
      <c r="I40" s="49">
        <v>57</v>
      </c>
      <c r="J40" s="49">
        <v>189</v>
      </c>
      <c r="K40" s="49">
        <v>163</v>
      </c>
      <c r="L40" s="49">
        <v>61</v>
      </c>
    </row>
    <row r="41" spans="1:12" x14ac:dyDescent="0.3">
      <c r="A41" s="49">
        <v>40</v>
      </c>
      <c r="B41" s="49">
        <v>171</v>
      </c>
      <c r="C41" s="49">
        <v>63</v>
      </c>
      <c r="D41" s="49">
        <v>90</v>
      </c>
      <c r="E41" s="49">
        <v>168</v>
      </c>
      <c r="F41" s="49">
        <v>71</v>
      </c>
      <c r="G41" s="49">
        <v>140</v>
      </c>
      <c r="H41" s="49">
        <v>186</v>
      </c>
      <c r="I41" s="49">
        <v>72</v>
      </c>
      <c r="J41" s="49">
        <v>190</v>
      </c>
      <c r="K41" s="49">
        <v>163</v>
      </c>
      <c r="L41" s="49">
        <v>66</v>
      </c>
    </row>
    <row r="42" spans="1:12" x14ac:dyDescent="0.3">
      <c r="A42" s="49">
        <v>41</v>
      </c>
      <c r="B42" s="49">
        <v>170</v>
      </c>
      <c r="C42" s="49">
        <v>70</v>
      </c>
      <c r="D42" s="49">
        <v>91</v>
      </c>
      <c r="E42" s="49">
        <v>159</v>
      </c>
      <c r="F42" s="49">
        <v>55</v>
      </c>
      <c r="G42" s="49">
        <v>141</v>
      </c>
      <c r="H42" s="49">
        <v>172</v>
      </c>
      <c r="I42" s="49">
        <v>67</v>
      </c>
      <c r="J42" s="49">
        <v>191</v>
      </c>
      <c r="K42" s="49">
        <v>162</v>
      </c>
      <c r="L42" s="49">
        <v>52</v>
      </c>
    </row>
    <row r="43" spans="1:12" x14ac:dyDescent="0.3">
      <c r="A43" s="49">
        <v>42</v>
      </c>
      <c r="B43" s="49">
        <v>170</v>
      </c>
      <c r="C43" s="49">
        <v>67</v>
      </c>
      <c r="D43" s="49">
        <v>92</v>
      </c>
      <c r="E43" s="49">
        <v>163</v>
      </c>
      <c r="F43" s="49">
        <v>63</v>
      </c>
      <c r="G43" s="49">
        <v>142</v>
      </c>
      <c r="H43" s="49">
        <v>166</v>
      </c>
      <c r="I43" s="49">
        <v>62</v>
      </c>
      <c r="J43" s="49">
        <v>192</v>
      </c>
      <c r="K43" s="49">
        <v>167</v>
      </c>
      <c r="L43" s="49">
        <v>59</v>
      </c>
    </row>
    <row r="44" spans="1:12" x14ac:dyDescent="0.3">
      <c r="A44" s="49">
        <v>43</v>
      </c>
      <c r="B44" s="49">
        <v>165</v>
      </c>
      <c r="C44" s="49">
        <v>59</v>
      </c>
      <c r="D44" s="49">
        <v>93</v>
      </c>
      <c r="E44" s="49">
        <v>168</v>
      </c>
      <c r="F44" s="49">
        <v>50</v>
      </c>
      <c r="G44" s="49">
        <v>143</v>
      </c>
      <c r="H44" s="49">
        <v>170</v>
      </c>
      <c r="I44" s="49">
        <v>61</v>
      </c>
      <c r="J44" s="49">
        <v>193</v>
      </c>
      <c r="K44" s="49">
        <v>171</v>
      </c>
      <c r="L44" s="49">
        <v>62</v>
      </c>
    </row>
    <row r="45" spans="1:12" x14ac:dyDescent="0.3">
      <c r="A45" s="49">
        <v>44</v>
      </c>
      <c r="B45" s="49">
        <v>156</v>
      </c>
      <c r="C45" s="49">
        <v>53</v>
      </c>
      <c r="D45" s="49">
        <v>94</v>
      </c>
      <c r="E45" s="49">
        <v>172</v>
      </c>
      <c r="F45" s="49">
        <v>70</v>
      </c>
      <c r="G45" s="49">
        <v>144</v>
      </c>
      <c r="H45" s="49">
        <v>173</v>
      </c>
      <c r="I45" s="49">
        <v>72</v>
      </c>
      <c r="J45" s="49">
        <v>194</v>
      </c>
      <c r="K45" s="49">
        <v>173</v>
      </c>
      <c r="L45" s="49">
        <v>69</v>
      </c>
    </row>
    <row r="46" spans="1:12" x14ac:dyDescent="0.3">
      <c r="A46" s="49">
        <v>45</v>
      </c>
      <c r="B46" s="49">
        <v>164</v>
      </c>
      <c r="C46" s="49">
        <v>60</v>
      </c>
      <c r="D46" s="49">
        <v>95</v>
      </c>
      <c r="E46" s="49">
        <v>186</v>
      </c>
      <c r="F46" s="49">
        <v>72</v>
      </c>
      <c r="G46" s="49">
        <v>145</v>
      </c>
      <c r="H46" s="49">
        <v>166</v>
      </c>
      <c r="I46" s="49">
        <v>67</v>
      </c>
      <c r="J46" s="49">
        <v>195</v>
      </c>
      <c r="K46" s="49">
        <v>161</v>
      </c>
      <c r="L46" s="49">
        <v>58</v>
      </c>
    </row>
    <row r="47" spans="1:12" x14ac:dyDescent="0.3">
      <c r="A47" s="49">
        <v>46</v>
      </c>
      <c r="B47" s="49">
        <v>158</v>
      </c>
      <c r="C47" s="49">
        <v>57</v>
      </c>
      <c r="D47" s="49">
        <v>96</v>
      </c>
      <c r="E47" s="49">
        <v>171</v>
      </c>
      <c r="F47" s="49">
        <v>67</v>
      </c>
      <c r="G47" s="49">
        <v>146</v>
      </c>
      <c r="H47" s="49">
        <v>171</v>
      </c>
      <c r="I47" s="49">
        <v>59</v>
      </c>
      <c r="J47" s="49">
        <v>196</v>
      </c>
      <c r="K47" s="49">
        <v>169</v>
      </c>
      <c r="L47" s="49">
        <v>62</v>
      </c>
    </row>
    <row r="48" spans="1:12" x14ac:dyDescent="0.3">
      <c r="A48" s="49">
        <v>47</v>
      </c>
      <c r="B48" s="49">
        <v>165</v>
      </c>
      <c r="C48" s="49">
        <v>68</v>
      </c>
      <c r="D48" s="49">
        <v>97</v>
      </c>
      <c r="E48" s="49">
        <v>187</v>
      </c>
      <c r="F48" s="49">
        <v>84</v>
      </c>
      <c r="G48" s="49">
        <v>147</v>
      </c>
      <c r="H48" s="49">
        <v>169</v>
      </c>
      <c r="I48" s="49">
        <v>67</v>
      </c>
      <c r="J48" s="49">
        <v>197</v>
      </c>
      <c r="K48" s="49">
        <v>161</v>
      </c>
      <c r="L48" s="49">
        <v>66</v>
      </c>
    </row>
    <row r="49" spans="1:12" x14ac:dyDescent="0.3">
      <c r="A49" s="49">
        <v>48</v>
      </c>
      <c r="B49" s="49">
        <v>172</v>
      </c>
      <c r="C49" s="49">
        <v>67</v>
      </c>
      <c r="D49" s="49">
        <v>98</v>
      </c>
      <c r="E49" s="49">
        <v>170</v>
      </c>
      <c r="F49" s="49">
        <v>68</v>
      </c>
      <c r="G49" s="49">
        <v>148</v>
      </c>
      <c r="H49" s="49">
        <v>162</v>
      </c>
      <c r="I49" s="49">
        <v>66</v>
      </c>
      <c r="J49" s="49">
        <v>198</v>
      </c>
      <c r="K49" s="49">
        <v>169</v>
      </c>
      <c r="L49" s="49">
        <v>70</v>
      </c>
    </row>
    <row r="50" spans="1:12" x14ac:dyDescent="0.3">
      <c r="A50" s="49">
        <v>49</v>
      </c>
      <c r="B50" s="49">
        <v>178</v>
      </c>
      <c r="C50" s="49">
        <v>75</v>
      </c>
      <c r="D50" s="49">
        <v>99</v>
      </c>
      <c r="E50" s="49">
        <v>160</v>
      </c>
      <c r="F50" s="49">
        <v>61</v>
      </c>
      <c r="G50" s="49">
        <v>149</v>
      </c>
      <c r="H50" s="49">
        <v>185</v>
      </c>
      <c r="I50" s="49">
        <v>82</v>
      </c>
      <c r="J50" s="49">
        <v>199</v>
      </c>
      <c r="K50" s="49">
        <v>165</v>
      </c>
      <c r="L50" s="49">
        <v>60</v>
      </c>
    </row>
    <row r="51" spans="1:12" x14ac:dyDescent="0.3">
      <c r="A51" s="49">
        <v>50</v>
      </c>
      <c r="B51" s="49">
        <v>159</v>
      </c>
      <c r="C51" s="49">
        <v>61</v>
      </c>
      <c r="D51" s="49">
        <v>100</v>
      </c>
      <c r="E51" s="49">
        <v>172</v>
      </c>
      <c r="F51" s="49">
        <v>73</v>
      </c>
      <c r="G51" s="49">
        <v>150</v>
      </c>
      <c r="H51" s="49">
        <v>178</v>
      </c>
      <c r="I51" s="49">
        <v>71</v>
      </c>
      <c r="J51" s="49">
        <v>200</v>
      </c>
      <c r="K51" s="49">
        <v>170</v>
      </c>
      <c r="L51" s="49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43CB-FB48-4A25-B4CA-B8BF5FB053D9}">
  <dimension ref="A1:F201"/>
  <sheetViews>
    <sheetView workbookViewId="0">
      <selection activeCell="F16" sqref="F16"/>
    </sheetView>
  </sheetViews>
  <sheetFormatPr defaultRowHeight="14.4" x14ac:dyDescent="0.3"/>
  <cols>
    <col min="1" max="4" width="8.88671875" style="23"/>
    <col min="5" max="5" width="19.5546875" style="23" bestFit="1" customWidth="1"/>
    <col min="6" max="16384" width="8.88671875" style="23"/>
  </cols>
  <sheetData>
    <row r="1" spans="1:6" ht="15" thickBot="1" x14ac:dyDescent="0.35">
      <c r="A1" s="50" t="s">
        <v>0</v>
      </c>
      <c r="B1" s="50" t="s">
        <v>1</v>
      </c>
      <c r="C1" s="50" t="s">
        <v>2</v>
      </c>
      <c r="E1" s="51" t="s">
        <v>65</v>
      </c>
      <c r="F1" s="52">
        <f>COUNT(ДАННЫЕ_РОСТ)</f>
        <v>200</v>
      </c>
    </row>
    <row r="2" spans="1:6" x14ac:dyDescent="0.3">
      <c r="A2" s="24">
        <v>1</v>
      </c>
      <c r="B2" s="26">
        <v>178</v>
      </c>
      <c r="C2" s="26">
        <v>73</v>
      </c>
    </row>
    <row r="3" spans="1:6" x14ac:dyDescent="0.3">
      <c r="A3" s="24">
        <v>2</v>
      </c>
      <c r="B3" s="26">
        <v>163</v>
      </c>
      <c r="C3" s="26">
        <v>63</v>
      </c>
    </row>
    <row r="4" spans="1:6" x14ac:dyDescent="0.3">
      <c r="A4" s="24">
        <v>3</v>
      </c>
      <c r="B4" s="26">
        <v>170</v>
      </c>
      <c r="C4" s="26">
        <v>75</v>
      </c>
    </row>
    <row r="5" spans="1:6" x14ac:dyDescent="0.3">
      <c r="A5" s="24">
        <v>4</v>
      </c>
      <c r="B5" s="26">
        <v>164</v>
      </c>
      <c r="C5" s="26">
        <v>60</v>
      </c>
    </row>
    <row r="6" spans="1:6" x14ac:dyDescent="0.3">
      <c r="A6" s="24">
        <v>5</v>
      </c>
      <c r="B6" s="26">
        <v>164</v>
      </c>
      <c r="C6" s="26">
        <v>56</v>
      </c>
    </row>
    <row r="7" spans="1:6" x14ac:dyDescent="0.3">
      <c r="A7" s="24">
        <v>6</v>
      </c>
      <c r="B7" s="26">
        <v>168</v>
      </c>
      <c r="C7" s="26">
        <v>59</v>
      </c>
    </row>
    <row r="8" spans="1:6" x14ac:dyDescent="0.3">
      <c r="A8" s="24">
        <v>7</v>
      </c>
      <c r="B8" s="26">
        <v>167</v>
      </c>
      <c r="C8" s="26">
        <v>61</v>
      </c>
    </row>
    <row r="9" spans="1:6" x14ac:dyDescent="0.3">
      <c r="A9" s="24">
        <v>8</v>
      </c>
      <c r="B9" s="26">
        <v>166</v>
      </c>
      <c r="C9" s="26">
        <v>62</v>
      </c>
    </row>
    <row r="10" spans="1:6" x14ac:dyDescent="0.3">
      <c r="A10" s="24">
        <v>9</v>
      </c>
      <c r="B10" s="26">
        <v>162</v>
      </c>
      <c r="C10" s="26">
        <v>65</v>
      </c>
    </row>
    <row r="11" spans="1:6" x14ac:dyDescent="0.3">
      <c r="A11" s="24">
        <v>10</v>
      </c>
      <c r="B11" s="26">
        <v>171</v>
      </c>
      <c r="C11" s="26">
        <v>60</v>
      </c>
    </row>
    <row r="12" spans="1:6" x14ac:dyDescent="0.3">
      <c r="A12" s="24">
        <v>11</v>
      </c>
      <c r="B12" s="26">
        <v>168</v>
      </c>
      <c r="C12" s="26">
        <v>62</v>
      </c>
    </row>
    <row r="13" spans="1:6" x14ac:dyDescent="0.3">
      <c r="A13" s="24">
        <v>12</v>
      </c>
      <c r="B13" s="26">
        <v>173</v>
      </c>
      <c r="C13" s="26">
        <v>70</v>
      </c>
    </row>
    <row r="14" spans="1:6" x14ac:dyDescent="0.3">
      <c r="A14" s="24">
        <v>13</v>
      </c>
      <c r="B14" s="26">
        <v>167</v>
      </c>
      <c r="C14" s="26">
        <v>61</v>
      </c>
    </row>
    <row r="15" spans="1:6" x14ac:dyDescent="0.3">
      <c r="A15" s="24">
        <v>14</v>
      </c>
      <c r="B15" s="26">
        <v>170</v>
      </c>
      <c r="C15" s="26">
        <v>74</v>
      </c>
    </row>
    <row r="16" spans="1:6" x14ac:dyDescent="0.3">
      <c r="A16" s="24">
        <v>15</v>
      </c>
      <c r="B16" s="26">
        <v>171</v>
      </c>
      <c r="C16" s="26">
        <v>60</v>
      </c>
    </row>
    <row r="17" spans="1:3" x14ac:dyDescent="0.3">
      <c r="A17" s="24">
        <v>16</v>
      </c>
      <c r="B17" s="26">
        <v>173</v>
      </c>
      <c r="C17" s="26">
        <v>66</v>
      </c>
    </row>
    <row r="18" spans="1:3" x14ac:dyDescent="0.3">
      <c r="A18" s="24">
        <v>17</v>
      </c>
      <c r="B18" s="26">
        <v>187</v>
      </c>
      <c r="C18" s="26">
        <v>84</v>
      </c>
    </row>
    <row r="19" spans="1:3" x14ac:dyDescent="0.3">
      <c r="A19" s="24">
        <v>18</v>
      </c>
      <c r="B19" s="26">
        <v>166</v>
      </c>
      <c r="C19" s="26">
        <v>58</v>
      </c>
    </row>
    <row r="20" spans="1:3" x14ac:dyDescent="0.3">
      <c r="A20" s="24">
        <v>19</v>
      </c>
      <c r="B20" s="26">
        <v>170</v>
      </c>
      <c r="C20" s="26">
        <v>75</v>
      </c>
    </row>
    <row r="21" spans="1:3" x14ac:dyDescent="0.3">
      <c r="A21" s="24">
        <v>20</v>
      </c>
      <c r="B21" s="26">
        <v>178</v>
      </c>
      <c r="C21" s="26">
        <v>69</v>
      </c>
    </row>
    <row r="22" spans="1:3" x14ac:dyDescent="0.3">
      <c r="A22" s="24">
        <v>21</v>
      </c>
      <c r="B22" s="26">
        <v>173</v>
      </c>
      <c r="C22" s="26">
        <v>64</v>
      </c>
    </row>
    <row r="23" spans="1:3" x14ac:dyDescent="0.3">
      <c r="A23" s="24">
        <v>22</v>
      </c>
      <c r="B23" s="26">
        <v>179</v>
      </c>
      <c r="C23" s="26">
        <v>71</v>
      </c>
    </row>
    <row r="24" spans="1:3" x14ac:dyDescent="0.3">
      <c r="A24" s="24">
        <v>23</v>
      </c>
      <c r="B24" s="26">
        <v>171</v>
      </c>
      <c r="C24" s="26">
        <v>64</v>
      </c>
    </row>
    <row r="25" spans="1:3" x14ac:dyDescent="0.3">
      <c r="A25" s="24">
        <v>24</v>
      </c>
      <c r="B25" s="26">
        <v>174</v>
      </c>
      <c r="C25" s="26">
        <v>74</v>
      </c>
    </row>
    <row r="26" spans="1:3" x14ac:dyDescent="0.3">
      <c r="A26" s="24">
        <v>25</v>
      </c>
      <c r="B26" s="26">
        <v>164</v>
      </c>
      <c r="C26" s="26">
        <v>70</v>
      </c>
    </row>
    <row r="27" spans="1:3" x14ac:dyDescent="0.3">
      <c r="A27" s="24">
        <v>26</v>
      </c>
      <c r="B27" s="26">
        <v>173</v>
      </c>
      <c r="C27" s="26">
        <v>69</v>
      </c>
    </row>
    <row r="28" spans="1:3" x14ac:dyDescent="0.3">
      <c r="A28" s="24">
        <v>27</v>
      </c>
      <c r="B28" s="26">
        <v>168</v>
      </c>
      <c r="C28" s="26">
        <v>64</v>
      </c>
    </row>
    <row r="29" spans="1:3" x14ac:dyDescent="0.3">
      <c r="A29" s="24">
        <v>28</v>
      </c>
      <c r="B29" s="26">
        <v>166</v>
      </c>
      <c r="C29" s="26">
        <v>55</v>
      </c>
    </row>
    <row r="30" spans="1:3" x14ac:dyDescent="0.3">
      <c r="A30" s="24">
        <v>29</v>
      </c>
      <c r="B30" s="26">
        <v>177</v>
      </c>
      <c r="C30" s="26">
        <v>67</v>
      </c>
    </row>
    <row r="31" spans="1:3" x14ac:dyDescent="0.3">
      <c r="A31" s="24">
        <v>30</v>
      </c>
      <c r="B31" s="26">
        <v>170</v>
      </c>
      <c r="C31" s="26">
        <v>61</v>
      </c>
    </row>
    <row r="32" spans="1:3" x14ac:dyDescent="0.3">
      <c r="A32" s="24">
        <v>31</v>
      </c>
      <c r="B32" s="26">
        <v>167</v>
      </c>
      <c r="C32" s="26">
        <v>63</v>
      </c>
    </row>
    <row r="33" spans="1:3" x14ac:dyDescent="0.3">
      <c r="A33" s="24">
        <v>32</v>
      </c>
      <c r="B33" s="26">
        <v>174</v>
      </c>
      <c r="C33" s="26">
        <v>75</v>
      </c>
    </row>
    <row r="34" spans="1:3" x14ac:dyDescent="0.3">
      <c r="A34" s="24">
        <v>33</v>
      </c>
      <c r="B34" s="26">
        <v>164</v>
      </c>
      <c r="C34" s="26">
        <v>59</v>
      </c>
    </row>
    <row r="35" spans="1:3" x14ac:dyDescent="0.3">
      <c r="A35" s="24">
        <v>34</v>
      </c>
      <c r="B35" s="26">
        <v>164</v>
      </c>
      <c r="C35" s="26">
        <v>62</v>
      </c>
    </row>
    <row r="36" spans="1:3" x14ac:dyDescent="0.3">
      <c r="A36" s="24">
        <v>35</v>
      </c>
      <c r="B36" s="26">
        <v>178</v>
      </c>
      <c r="C36" s="26">
        <v>60</v>
      </c>
    </row>
    <row r="37" spans="1:3" x14ac:dyDescent="0.3">
      <c r="A37" s="24">
        <v>36</v>
      </c>
      <c r="B37" s="26">
        <v>173</v>
      </c>
      <c r="C37" s="26">
        <v>66</v>
      </c>
    </row>
    <row r="38" spans="1:3" x14ac:dyDescent="0.3">
      <c r="A38" s="24">
        <v>37</v>
      </c>
      <c r="B38" s="26">
        <v>179</v>
      </c>
      <c r="C38" s="26">
        <v>63</v>
      </c>
    </row>
    <row r="39" spans="1:3" x14ac:dyDescent="0.3">
      <c r="A39" s="24">
        <v>38</v>
      </c>
      <c r="B39" s="26">
        <v>165</v>
      </c>
      <c r="C39" s="26">
        <v>62</v>
      </c>
    </row>
    <row r="40" spans="1:3" x14ac:dyDescent="0.3">
      <c r="A40" s="24">
        <v>39</v>
      </c>
      <c r="B40" s="26">
        <v>171</v>
      </c>
      <c r="C40" s="26">
        <v>66</v>
      </c>
    </row>
    <row r="41" spans="1:3" x14ac:dyDescent="0.3">
      <c r="A41" s="24">
        <v>40</v>
      </c>
      <c r="B41" s="26">
        <v>171</v>
      </c>
      <c r="C41" s="26">
        <v>63</v>
      </c>
    </row>
    <row r="42" spans="1:3" x14ac:dyDescent="0.3">
      <c r="A42" s="24">
        <v>41</v>
      </c>
      <c r="B42" s="26">
        <v>170</v>
      </c>
      <c r="C42" s="26">
        <v>70</v>
      </c>
    </row>
    <row r="43" spans="1:3" x14ac:dyDescent="0.3">
      <c r="A43" s="24">
        <v>42</v>
      </c>
      <c r="B43" s="26">
        <v>170</v>
      </c>
      <c r="C43" s="26">
        <v>67</v>
      </c>
    </row>
    <row r="44" spans="1:3" x14ac:dyDescent="0.3">
      <c r="A44" s="24">
        <v>43</v>
      </c>
      <c r="B44" s="26">
        <v>165</v>
      </c>
      <c r="C44" s="26">
        <v>59</v>
      </c>
    </row>
    <row r="45" spans="1:3" x14ac:dyDescent="0.3">
      <c r="A45" s="24">
        <v>44</v>
      </c>
      <c r="B45" s="26">
        <v>156</v>
      </c>
      <c r="C45" s="26">
        <v>53</v>
      </c>
    </row>
    <row r="46" spans="1:3" x14ac:dyDescent="0.3">
      <c r="A46" s="24">
        <v>45</v>
      </c>
      <c r="B46" s="26">
        <v>164</v>
      </c>
      <c r="C46" s="26">
        <v>60</v>
      </c>
    </row>
    <row r="47" spans="1:3" x14ac:dyDescent="0.3">
      <c r="A47" s="24">
        <v>46</v>
      </c>
      <c r="B47" s="26">
        <v>158</v>
      </c>
      <c r="C47" s="26">
        <v>57</v>
      </c>
    </row>
    <row r="48" spans="1:3" x14ac:dyDescent="0.3">
      <c r="A48" s="24">
        <v>47</v>
      </c>
      <c r="B48" s="26">
        <v>165</v>
      </c>
      <c r="C48" s="26">
        <v>68</v>
      </c>
    </row>
    <row r="49" spans="1:3" x14ac:dyDescent="0.3">
      <c r="A49" s="24">
        <v>48</v>
      </c>
      <c r="B49" s="26">
        <v>172</v>
      </c>
      <c r="C49" s="26">
        <v>67</v>
      </c>
    </row>
    <row r="50" spans="1:3" x14ac:dyDescent="0.3">
      <c r="A50" s="24">
        <v>49</v>
      </c>
      <c r="B50" s="26">
        <v>178</v>
      </c>
      <c r="C50" s="26">
        <v>75</v>
      </c>
    </row>
    <row r="51" spans="1:3" x14ac:dyDescent="0.3">
      <c r="A51" s="24">
        <v>50</v>
      </c>
      <c r="B51" s="26">
        <v>159</v>
      </c>
      <c r="C51" s="26">
        <v>61</v>
      </c>
    </row>
    <row r="52" spans="1:3" x14ac:dyDescent="0.3">
      <c r="A52" s="24">
        <v>51</v>
      </c>
      <c r="B52" s="26">
        <v>182</v>
      </c>
      <c r="C52" s="26">
        <v>66</v>
      </c>
    </row>
    <row r="53" spans="1:3" x14ac:dyDescent="0.3">
      <c r="A53" s="24">
        <v>52</v>
      </c>
      <c r="B53" s="26">
        <v>170</v>
      </c>
      <c r="C53" s="26">
        <v>63</v>
      </c>
    </row>
    <row r="54" spans="1:3" x14ac:dyDescent="0.3">
      <c r="A54" s="24">
        <v>53</v>
      </c>
      <c r="B54" s="26">
        <v>168</v>
      </c>
      <c r="C54" s="26">
        <v>65</v>
      </c>
    </row>
    <row r="55" spans="1:3" x14ac:dyDescent="0.3">
      <c r="A55" s="24">
        <v>54</v>
      </c>
      <c r="B55" s="26">
        <v>171</v>
      </c>
      <c r="C55" s="26">
        <v>66</v>
      </c>
    </row>
    <row r="56" spans="1:3" x14ac:dyDescent="0.3">
      <c r="A56" s="24">
        <v>55</v>
      </c>
      <c r="B56" s="26">
        <v>172</v>
      </c>
      <c r="C56" s="26">
        <v>67</v>
      </c>
    </row>
    <row r="57" spans="1:3" x14ac:dyDescent="0.3">
      <c r="A57" s="24">
        <v>56</v>
      </c>
      <c r="B57" s="26">
        <v>169</v>
      </c>
      <c r="C57" s="26">
        <v>64</v>
      </c>
    </row>
    <row r="58" spans="1:3" x14ac:dyDescent="0.3">
      <c r="A58" s="24">
        <v>57</v>
      </c>
      <c r="B58" s="26">
        <v>167</v>
      </c>
      <c r="C58" s="26">
        <v>59</v>
      </c>
    </row>
    <row r="59" spans="1:3" x14ac:dyDescent="0.3">
      <c r="A59" s="24">
        <v>58</v>
      </c>
      <c r="B59" s="26">
        <v>170</v>
      </c>
      <c r="C59" s="26">
        <v>62</v>
      </c>
    </row>
    <row r="60" spans="1:3" x14ac:dyDescent="0.3">
      <c r="A60" s="24">
        <v>59</v>
      </c>
      <c r="B60" s="26">
        <v>170</v>
      </c>
      <c r="C60" s="26">
        <v>69</v>
      </c>
    </row>
    <row r="61" spans="1:3" x14ac:dyDescent="0.3">
      <c r="A61" s="24">
        <v>60</v>
      </c>
      <c r="B61" s="26">
        <v>168</v>
      </c>
      <c r="C61" s="26">
        <v>65</v>
      </c>
    </row>
    <row r="62" spans="1:3" x14ac:dyDescent="0.3">
      <c r="A62" s="24">
        <v>61</v>
      </c>
      <c r="B62" s="26">
        <v>174</v>
      </c>
      <c r="C62" s="26">
        <v>69</v>
      </c>
    </row>
    <row r="63" spans="1:3" x14ac:dyDescent="0.3">
      <c r="A63" s="24">
        <v>62</v>
      </c>
      <c r="B63" s="26">
        <v>167</v>
      </c>
      <c r="C63" s="26">
        <v>61</v>
      </c>
    </row>
    <row r="64" spans="1:3" x14ac:dyDescent="0.3">
      <c r="A64" s="24">
        <v>63</v>
      </c>
      <c r="B64" s="26">
        <v>165</v>
      </c>
      <c r="C64" s="26">
        <v>61</v>
      </c>
    </row>
    <row r="65" spans="1:3" x14ac:dyDescent="0.3">
      <c r="A65" s="24">
        <v>64</v>
      </c>
      <c r="B65" s="26">
        <v>171</v>
      </c>
      <c r="C65" s="26">
        <v>66</v>
      </c>
    </row>
    <row r="66" spans="1:3" x14ac:dyDescent="0.3">
      <c r="A66" s="24">
        <v>65</v>
      </c>
      <c r="B66" s="26">
        <v>170</v>
      </c>
      <c r="C66" s="26">
        <v>69</v>
      </c>
    </row>
    <row r="67" spans="1:3" x14ac:dyDescent="0.3">
      <c r="A67" s="24">
        <v>66</v>
      </c>
      <c r="B67" s="26">
        <v>169</v>
      </c>
      <c r="C67" s="26">
        <v>66</v>
      </c>
    </row>
    <row r="68" spans="1:3" x14ac:dyDescent="0.3">
      <c r="A68" s="24">
        <v>67</v>
      </c>
      <c r="B68" s="26">
        <v>171</v>
      </c>
      <c r="C68" s="26">
        <v>76</v>
      </c>
    </row>
    <row r="69" spans="1:3" x14ac:dyDescent="0.3">
      <c r="A69" s="24">
        <v>68</v>
      </c>
      <c r="B69" s="26">
        <v>161</v>
      </c>
      <c r="C69" s="26">
        <v>51</v>
      </c>
    </row>
    <row r="70" spans="1:3" x14ac:dyDescent="0.3">
      <c r="A70" s="24">
        <v>69</v>
      </c>
      <c r="B70" s="26">
        <v>167</v>
      </c>
      <c r="C70" s="26">
        <v>60</v>
      </c>
    </row>
    <row r="71" spans="1:3" x14ac:dyDescent="0.3">
      <c r="A71" s="24">
        <v>70</v>
      </c>
      <c r="B71" s="26">
        <v>174</v>
      </c>
      <c r="C71" s="26">
        <v>74</v>
      </c>
    </row>
    <row r="72" spans="1:3" x14ac:dyDescent="0.3">
      <c r="A72" s="24">
        <v>71</v>
      </c>
      <c r="B72" s="26">
        <v>171</v>
      </c>
      <c r="C72" s="26">
        <v>70</v>
      </c>
    </row>
    <row r="73" spans="1:3" x14ac:dyDescent="0.3">
      <c r="A73" s="24">
        <v>72</v>
      </c>
      <c r="B73" s="26">
        <v>172</v>
      </c>
      <c r="C73" s="26">
        <v>64</v>
      </c>
    </row>
    <row r="74" spans="1:3" x14ac:dyDescent="0.3">
      <c r="A74" s="24">
        <v>73</v>
      </c>
      <c r="B74" s="26">
        <v>171</v>
      </c>
      <c r="C74" s="26">
        <v>70</v>
      </c>
    </row>
    <row r="75" spans="1:3" x14ac:dyDescent="0.3">
      <c r="A75" s="24">
        <v>74</v>
      </c>
      <c r="B75" s="26">
        <v>173</v>
      </c>
      <c r="C75" s="26">
        <v>64</v>
      </c>
    </row>
    <row r="76" spans="1:3" x14ac:dyDescent="0.3">
      <c r="A76" s="24">
        <v>75</v>
      </c>
      <c r="B76" s="26">
        <v>180</v>
      </c>
      <c r="C76" s="26">
        <v>76</v>
      </c>
    </row>
    <row r="77" spans="1:3" x14ac:dyDescent="0.3">
      <c r="A77" s="24">
        <v>76</v>
      </c>
      <c r="B77" s="26">
        <v>172</v>
      </c>
      <c r="C77" s="26">
        <v>63</v>
      </c>
    </row>
    <row r="78" spans="1:3" x14ac:dyDescent="0.3">
      <c r="A78" s="24">
        <v>77</v>
      </c>
      <c r="B78" s="26">
        <v>173</v>
      </c>
      <c r="C78" s="26">
        <v>75</v>
      </c>
    </row>
    <row r="79" spans="1:3" x14ac:dyDescent="0.3">
      <c r="A79" s="24">
        <v>78</v>
      </c>
      <c r="B79" s="26">
        <v>171</v>
      </c>
      <c r="C79" s="26">
        <v>57</v>
      </c>
    </row>
    <row r="80" spans="1:3" x14ac:dyDescent="0.3">
      <c r="A80" s="24">
        <v>79</v>
      </c>
      <c r="B80" s="26">
        <v>169</v>
      </c>
      <c r="C80" s="26">
        <v>62</v>
      </c>
    </row>
    <row r="81" spans="1:3" x14ac:dyDescent="0.3">
      <c r="A81" s="24">
        <v>80</v>
      </c>
      <c r="B81" s="26">
        <v>161</v>
      </c>
      <c r="C81" s="26">
        <v>58</v>
      </c>
    </row>
    <row r="82" spans="1:3" x14ac:dyDescent="0.3">
      <c r="A82" s="24">
        <v>81</v>
      </c>
      <c r="B82" s="26">
        <v>176</v>
      </c>
      <c r="C82" s="26">
        <v>81</v>
      </c>
    </row>
    <row r="83" spans="1:3" x14ac:dyDescent="0.3">
      <c r="A83" s="24">
        <v>82</v>
      </c>
      <c r="B83" s="26">
        <v>175</v>
      </c>
      <c r="C83" s="26">
        <v>67</v>
      </c>
    </row>
    <row r="84" spans="1:3" x14ac:dyDescent="0.3">
      <c r="A84" s="24">
        <v>83</v>
      </c>
      <c r="B84" s="26">
        <v>158</v>
      </c>
      <c r="C84" s="26">
        <v>57</v>
      </c>
    </row>
    <row r="85" spans="1:3" x14ac:dyDescent="0.3">
      <c r="A85" s="24">
        <v>84</v>
      </c>
      <c r="B85" s="26">
        <v>174</v>
      </c>
      <c r="C85" s="26">
        <v>68</v>
      </c>
    </row>
    <row r="86" spans="1:3" x14ac:dyDescent="0.3">
      <c r="A86" s="24">
        <v>85</v>
      </c>
      <c r="B86" s="26">
        <v>171</v>
      </c>
      <c r="C86" s="26">
        <v>73</v>
      </c>
    </row>
    <row r="87" spans="1:3" x14ac:dyDescent="0.3">
      <c r="A87" s="24">
        <v>86</v>
      </c>
      <c r="B87" s="26">
        <v>176</v>
      </c>
      <c r="C87" s="26">
        <v>60</v>
      </c>
    </row>
    <row r="88" spans="1:3" x14ac:dyDescent="0.3">
      <c r="A88" s="24">
        <v>87</v>
      </c>
      <c r="B88" s="26">
        <v>167</v>
      </c>
      <c r="C88" s="26">
        <v>57</v>
      </c>
    </row>
    <row r="89" spans="1:3" x14ac:dyDescent="0.3">
      <c r="A89" s="24">
        <v>88</v>
      </c>
      <c r="B89" s="26">
        <v>161</v>
      </c>
      <c r="C89" s="26">
        <v>52</v>
      </c>
    </row>
    <row r="90" spans="1:3" x14ac:dyDescent="0.3">
      <c r="A90" s="24">
        <v>89</v>
      </c>
      <c r="B90" s="26">
        <v>161</v>
      </c>
      <c r="C90" s="26">
        <v>59</v>
      </c>
    </row>
    <row r="91" spans="1:3" x14ac:dyDescent="0.3">
      <c r="A91" s="24">
        <v>90</v>
      </c>
      <c r="B91" s="26">
        <v>168</v>
      </c>
      <c r="C91" s="26">
        <v>71</v>
      </c>
    </row>
    <row r="92" spans="1:3" x14ac:dyDescent="0.3">
      <c r="A92" s="24">
        <v>91</v>
      </c>
      <c r="B92" s="26">
        <v>159</v>
      </c>
      <c r="C92" s="26">
        <v>55</v>
      </c>
    </row>
    <row r="93" spans="1:3" x14ac:dyDescent="0.3">
      <c r="A93" s="24">
        <v>92</v>
      </c>
      <c r="B93" s="26">
        <v>163</v>
      </c>
      <c r="C93" s="26">
        <v>63</v>
      </c>
    </row>
    <row r="94" spans="1:3" x14ac:dyDescent="0.3">
      <c r="A94" s="24">
        <v>93</v>
      </c>
      <c r="B94" s="26">
        <v>168</v>
      </c>
      <c r="C94" s="26">
        <v>50</v>
      </c>
    </row>
    <row r="95" spans="1:3" x14ac:dyDescent="0.3">
      <c r="A95" s="24">
        <v>94</v>
      </c>
      <c r="B95" s="26">
        <v>172</v>
      </c>
      <c r="C95" s="26">
        <v>70</v>
      </c>
    </row>
    <row r="96" spans="1:3" x14ac:dyDescent="0.3">
      <c r="A96" s="24">
        <v>95</v>
      </c>
      <c r="B96" s="26">
        <v>186</v>
      </c>
      <c r="C96" s="26">
        <v>72</v>
      </c>
    </row>
    <row r="97" spans="1:3" x14ac:dyDescent="0.3">
      <c r="A97" s="24">
        <v>96</v>
      </c>
      <c r="B97" s="26">
        <v>171</v>
      </c>
      <c r="C97" s="26">
        <v>67</v>
      </c>
    </row>
    <row r="98" spans="1:3" x14ac:dyDescent="0.3">
      <c r="A98" s="24">
        <v>97</v>
      </c>
      <c r="B98" s="26">
        <v>187</v>
      </c>
      <c r="C98" s="26">
        <v>84</v>
      </c>
    </row>
    <row r="99" spans="1:3" x14ac:dyDescent="0.3">
      <c r="A99" s="24">
        <v>98</v>
      </c>
      <c r="B99" s="26">
        <v>170</v>
      </c>
      <c r="C99" s="26">
        <v>68</v>
      </c>
    </row>
    <row r="100" spans="1:3" x14ac:dyDescent="0.3">
      <c r="A100" s="24">
        <v>99</v>
      </c>
      <c r="B100" s="26">
        <v>160</v>
      </c>
      <c r="C100" s="26">
        <v>61</v>
      </c>
    </row>
    <row r="101" spans="1:3" x14ac:dyDescent="0.3">
      <c r="A101" s="24">
        <v>100</v>
      </c>
      <c r="B101" s="26">
        <v>172</v>
      </c>
      <c r="C101" s="26">
        <v>73</v>
      </c>
    </row>
    <row r="102" spans="1:3" x14ac:dyDescent="0.3">
      <c r="A102" s="24">
        <v>101</v>
      </c>
      <c r="B102" s="26">
        <v>164</v>
      </c>
      <c r="C102" s="26">
        <v>70</v>
      </c>
    </row>
    <row r="103" spans="1:3" x14ac:dyDescent="0.3">
      <c r="A103" s="24">
        <v>102</v>
      </c>
      <c r="B103" s="26">
        <v>176</v>
      </c>
      <c r="C103" s="26">
        <v>67</v>
      </c>
    </row>
    <row r="104" spans="1:3" x14ac:dyDescent="0.3">
      <c r="A104" s="24">
        <v>103</v>
      </c>
      <c r="B104" s="26">
        <v>163</v>
      </c>
      <c r="C104" s="26">
        <v>58</v>
      </c>
    </row>
    <row r="105" spans="1:3" x14ac:dyDescent="0.3">
      <c r="A105" s="24">
        <v>104</v>
      </c>
      <c r="B105" s="26">
        <v>164</v>
      </c>
      <c r="C105" s="26">
        <v>62</v>
      </c>
    </row>
    <row r="106" spans="1:3" x14ac:dyDescent="0.3">
      <c r="A106" s="24">
        <v>105</v>
      </c>
      <c r="B106" s="26">
        <v>170</v>
      </c>
      <c r="C106" s="26">
        <v>68</v>
      </c>
    </row>
    <row r="107" spans="1:3" x14ac:dyDescent="0.3">
      <c r="A107" s="24">
        <v>106</v>
      </c>
      <c r="B107" s="26">
        <v>177</v>
      </c>
      <c r="C107" s="26">
        <v>60</v>
      </c>
    </row>
    <row r="108" spans="1:3" x14ac:dyDescent="0.3">
      <c r="A108" s="24">
        <v>107</v>
      </c>
      <c r="B108" s="26">
        <v>180</v>
      </c>
      <c r="C108" s="26">
        <v>75</v>
      </c>
    </row>
    <row r="109" spans="1:3" x14ac:dyDescent="0.3">
      <c r="A109" s="24">
        <v>108</v>
      </c>
      <c r="B109" s="26">
        <v>175</v>
      </c>
      <c r="C109" s="26">
        <v>75</v>
      </c>
    </row>
    <row r="110" spans="1:3" x14ac:dyDescent="0.3">
      <c r="A110" s="24">
        <v>109</v>
      </c>
      <c r="B110" s="26">
        <v>168</v>
      </c>
      <c r="C110" s="26">
        <v>55</v>
      </c>
    </row>
    <row r="111" spans="1:3" x14ac:dyDescent="0.3">
      <c r="A111" s="24">
        <v>110</v>
      </c>
      <c r="B111" s="26">
        <v>175</v>
      </c>
      <c r="C111" s="26">
        <v>67</v>
      </c>
    </row>
    <row r="112" spans="1:3" x14ac:dyDescent="0.3">
      <c r="A112" s="24">
        <v>111</v>
      </c>
      <c r="B112" s="26">
        <v>171</v>
      </c>
      <c r="C112" s="26">
        <v>63</v>
      </c>
    </row>
    <row r="113" spans="1:3" x14ac:dyDescent="0.3">
      <c r="A113" s="24">
        <v>112</v>
      </c>
      <c r="B113" s="26">
        <v>170</v>
      </c>
      <c r="C113" s="26">
        <v>65</v>
      </c>
    </row>
    <row r="114" spans="1:3" x14ac:dyDescent="0.3">
      <c r="A114" s="24">
        <v>113</v>
      </c>
      <c r="B114" s="26">
        <v>168</v>
      </c>
      <c r="C114" s="26">
        <v>64</v>
      </c>
    </row>
    <row r="115" spans="1:3" x14ac:dyDescent="0.3">
      <c r="A115" s="24">
        <v>114</v>
      </c>
      <c r="B115" s="26">
        <v>160</v>
      </c>
      <c r="C115" s="26">
        <v>57</v>
      </c>
    </row>
    <row r="116" spans="1:3" x14ac:dyDescent="0.3">
      <c r="A116" s="24">
        <v>115</v>
      </c>
      <c r="B116" s="26">
        <v>171</v>
      </c>
      <c r="C116" s="26">
        <v>66</v>
      </c>
    </row>
    <row r="117" spans="1:3" x14ac:dyDescent="0.3">
      <c r="A117" s="24">
        <v>116</v>
      </c>
      <c r="B117" s="26">
        <v>180</v>
      </c>
      <c r="C117" s="26">
        <v>65</v>
      </c>
    </row>
    <row r="118" spans="1:3" x14ac:dyDescent="0.3">
      <c r="A118" s="24">
        <v>117</v>
      </c>
      <c r="B118" s="26">
        <v>165</v>
      </c>
      <c r="C118" s="26">
        <v>57</v>
      </c>
    </row>
    <row r="119" spans="1:3" x14ac:dyDescent="0.3">
      <c r="A119" s="24">
        <v>118</v>
      </c>
      <c r="B119" s="26">
        <v>176</v>
      </c>
      <c r="C119" s="26">
        <v>77</v>
      </c>
    </row>
    <row r="120" spans="1:3" x14ac:dyDescent="0.3">
      <c r="A120" s="24">
        <v>119</v>
      </c>
      <c r="B120" s="26">
        <v>167</v>
      </c>
      <c r="C120" s="26">
        <v>68</v>
      </c>
    </row>
    <row r="121" spans="1:3" x14ac:dyDescent="0.3">
      <c r="A121" s="24">
        <v>120</v>
      </c>
      <c r="B121" s="26">
        <v>163</v>
      </c>
      <c r="C121" s="26">
        <v>54</v>
      </c>
    </row>
    <row r="122" spans="1:3" x14ac:dyDescent="0.3">
      <c r="A122" s="24">
        <v>121</v>
      </c>
      <c r="B122" s="26">
        <v>170</v>
      </c>
      <c r="C122" s="26">
        <v>75</v>
      </c>
    </row>
    <row r="123" spans="1:3" x14ac:dyDescent="0.3">
      <c r="A123" s="24">
        <v>122</v>
      </c>
      <c r="B123" s="26">
        <v>174</v>
      </c>
      <c r="C123" s="26">
        <v>67</v>
      </c>
    </row>
    <row r="124" spans="1:3" x14ac:dyDescent="0.3">
      <c r="A124" s="24">
        <v>123</v>
      </c>
      <c r="B124" s="26">
        <v>167</v>
      </c>
      <c r="C124" s="26">
        <v>65</v>
      </c>
    </row>
    <row r="125" spans="1:3" x14ac:dyDescent="0.3">
      <c r="A125" s="24">
        <v>124</v>
      </c>
      <c r="B125" s="26">
        <v>172</v>
      </c>
      <c r="C125" s="26">
        <v>73</v>
      </c>
    </row>
    <row r="126" spans="1:3" x14ac:dyDescent="0.3">
      <c r="A126" s="24">
        <v>125</v>
      </c>
      <c r="B126" s="26">
        <v>173</v>
      </c>
      <c r="C126" s="26">
        <v>69</v>
      </c>
    </row>
    <row r="127" spans="1:3" x14ac:dyDescent="0.3">
      <c r="A127" s="24">
        <v>126</v>
      </c>
      <c r="B127" s="26">
        <v>164</v>
      </c>
      <c r="C127" s="26">
        <v>65</v>
      </c>
    </row>
    <row r="128" spans="1:3" x14ac:dyDescent="0.3">
      <c r="A128" s="24">
        <v>127</v>
      </c>
      <c r="B128" s="26">
        <v>170</v>
      </c>
      <c r="C128" s="26">
        <v>58</v>
      </c>
    </row>
    <row r="129" spans="1:3" x14ac:dyDescent="0.3">
      <c r="A129" s="24">
        <v>128</v>
      </c>
      <c r="B129" s="26">
        <v>168</v>
      </c>
      <c r="C129" s="26">
        <v>58</v>
      </c>
    </row>
    <row r="130" spans="1:3" x14ac:dyDescent="0.3">
      <c r="A130" s="24">
        <v>129</v>
      </c>
      <c r="B130" s="26">
        <v>176</v>
      </c>
      <c r="C130" s="26">
        <v>67</v>
      </c>
    </row>
    <row r="131" spans="1:3" x14ac:dyDescent="0.3">
      <c r="A131" s="24">
        <v>130</v>
      </c>
      <c r="B131" s="26">
        <v>168</v>
      </c>
      <c r="C131" s="26">
        <v>60</v>
      </c>
    </row>
    <row r="132" spans="1:3" x14ac:dyDescent="0.3">
      <c r="A132" s="24">
        <v>131</v>
      </c>
      <c r="B132" s="26">
        <v>179</v>
      </c>
      <c r="C132" s="26">
        <v>71</v>
      </c>
    </row>
    <row r="133" spans="1:3" x14ac:dyDescent="0.3">
      <c r="A133" s="24">
        <v>132</v>
      </c>
      <c r="B133" s="26">
        <v>168</v>
      </c>
      <c r="C133" s="26">
        <v>67</v>
      </c>
    </row>
    <row r="134" spans="1:3" x14ac:dyDescent="0.3">
      <c r="A134" s="24">
        <v>133</v>
      </c>
      <c r="B134" s="26">
        <v>176</v>
      </c>
      <c r="C134" s="26">
        <v>65</v>
      </c>
    </row>
    <row r="135" spans="1:3" x14ac:dyDescent="0.3">
      <c r="A135" s="24">
        <v>134</v>
      </c>
      <c r="B135" s="26">
        <v>184</v>
      </c>
      <c r="C135" s="26">
        <v>68</v>
      </c>
    </row>
    <row r="136" spans="1:3" x14ac:dyDescent="0.3">
      <c r="A136" s="24">
        <v>135</v>
      </c>
      <c r="B136" s="26">
        <v>165</v>
      </c>
      <c r="C136" s="26">
        <v>60</v>
      </c>
    </row>
    <row r="137" spans="1:3" x14ac:dyDescent="0.3">
      <c r="A137" s="24">
        <v>136</v>
      </c>
      <c r="B137" s="26">
        <v>176</v>
      </c>
      <c r="C137" s="26">
        <v>72</v>
      </c>
    </row>
    <row r="138" spans="1:3" x14ac:dyDescent="0.3">
      <c r="A138" s="24">
        <v>137</v>
      </c>
      <c r="B138" s="26">
        <v>163</v>
      </c>
      <c r="C138" s="26">
        <v>65</v>
      </c>
    </row>
    <row r="139" spans="1:3" x14ac:dyDescent="0.3">
      <c r="A139" s="24">
        <v>138</v>
      </c>
      <c r="B139" s="26">
        <v>167</v>
      </c>
      <c r="C139" s="26">
        <v>60</v>
      </c>
    </row>
    <row r="140" spans="1:3" x14ac:dyDescent="0.3">
      <c r="A140" s="24">
        <v>139</v>
      </c>
      <c r="B140" s="26">
        <v>160</v>
      </c>
      <c r="C140" s="26">
        <v>57</v>
      </c>
    </row>
    <row r="141" spans="1:3" x14ac:dyDescent="0.3">
      <c r="A141" s="24">
        <v>140</v>
      </c>
      <c r="B141" s="26">
        <v>186</v>
      </c>
      <c r="C141" s="26">
        <v>72</v>
      </c>
    </row>
    <row r="142" spans="1:3" x14ac:dyDescent="0.3">
      <c r="A142" s="24">
        <v>141</v>
      </c>
      <c r="B142" s="26">
        <v>172</v>
      </c>
      <c r="C142" s="26">
        <v>67</v>
      </c>
    </row>
    <row r="143" spans="1:3" x14ac:dyDescent="0.3">
      <c r="A143" s="24">
        <v>142</v>
      </c>
      <c r="B143" s="26">
        <v>166</v>
      </c>
      <c r="C143" s="26">
        <v>62</v>
      </c>
    </row>
    <row r="144" spans="1:3" x14ac:dyDescent="0.3">
      <c r="A144" s="24">
        <v>143</v>
      </c>
      <c r="B144" s="26">
        <v>170</v>
      </c>
      <c r="C144" s="26">
        <v>61</v>
      </c>
    </row>
    <row r="145" spans="1:3" x14ac:dyDescent="0.3">
      <c r="A145" s="24">
        <v>144</v>
      </c>
      <c r="B145" s="26">
        <v>173</v>
      </c>
      <c r="C145" s="26">
        <v>72</v>
      </c>
    </row>
    <row r="146" spans="1:3" x14ac:dyDescent="0.3">
      <c r="A146" s="24">
        <v>145</v>
      </c>
      <c r="B146" s="26">
        <v>166</v>
      </c>
      <c r="C146" s="26">
        <v>67</v>
      </c>
    </row>
    <row r="147" spans="1:3" x14ac:dyDescent="0.3">
      <c r="A147" s="24">
        <v>146</v>
      </c>
      <c r="B147" s="26">
        <v>171</v>
      </c>
      <c r="C147" s="26">
        <v>59</v>
      </c>
    </row>
    <row r="148" spans="1:3" x14ac:dyDescent="0.3">
      <c r="A148" s="24">
        <v>147</v>
      </c>
      <c r="B148" s="26">
        <v>169</v>
      </c>
      <c r="C148" s="26">
        <v>67</v>
      </c>
    </row>
    <row r="149" spans="1:3" x14ac:dyDescent="0.3">
      <c r="A149" s="24">
        <v>148</v>
      </c>
      <c r="B149" s="26">
        <v>162</v>
      </c>
      <c r="C149" s="26">
        <v>66</v>
      </c>
    </row>
    <row r="150" spans="1:3" x14ac:dyDescent="0.3">
      <c r="A150" s="24">
        <v>149</v>
      </c>
      <c r="B150" s="26">
        <v>185</v>
      </c>
      <c r="C150" s="26">
        <v>82</v>
      </c>
    </row>
    <row r="151" spans="1:3" x14ac:dyDescent="0.3">
      <c r="A151" s="24">
        <v>150</v>
      </c>
      <c r="B151" s="26">
        <v>178</v>
      </c>
      <c r="C151" s="26">
        <v>71</v>
      </c>
    </row>
    <row r="152" spans="1:3" x14ac:dyDescent="0.3">
      <c r="A152" s="24">
        <v>151</v>
      </c>
      <c r="B152" s="26">
        <v>163</v>
      </c>
      <c r="C152" s="26">
        <v>54</v>
      </c>
    </row>
    <row r="153" spans="1:3" x14ac:dyDescent="0.3">
      <c r="A153" s="24">
        <v>152</v>
      </c>
      <c r="B153" s="26">
        <v>170</v>
      </c>
      <c r="C153" s="26">
        <v>65</v>
      </c>
    </row>
    <row r="154" spans="1:3" x14ac:dyDescent="0.3">
      <c r="A154" s="24">
        <v>153</v>
      </c>
      <c r="B154" s="26">
        <v>158</v>
      </c>
      <c r="C154" s="26">
        <v>56</v>
      </c>
    </row>
    <row r="155" spans="1:3" x14ac:dyDescent="0.3">
      <c r="A155" s="24">
        <v>154</v>
      </c>
      <c r="B155" s="26">
        <v>172</v>
      </c>
      <c r="C155" s="26">
        <v>66</v>
      </c>
    </row>
    <row r="156" spans="1:3" x14ac:dyDescent="0.3">
      <c r="A156" s="24">
        <v>155</v>
      </c>
      <c r="B156" s="26">
        <v>167</v>
      </c>
      <c r="C156" s="26">
        <v>65</v>
      </c>
    </row>
    <row r="157" spans="1:3" x14ac:dyDescent="0.3">
      <c r="A157" s="24">
        <v>156</v>
      </c>
      <c r="B157" s="26">
        <v>167</v>
      </c>
      <c r="C157" s="26">
        <v>61</v>
      </c>
    </row>
    <row r="158" spans="1:3" x14ac:dyDescent="0.3">
      <c r="A158" s="24">
        <v>157</v>
      </c>
      <c r="B158" s="26">
        <v>172</v>
      </c>
      <c r="C158" s="26">
        <v>67</v>
      </c>
    </row>
    <row r="159" spans="1:3" x14ac:dyDescent="0.3">
      <c r="A159" s="24">
        <v>158</v>
      </c>
      <c r="B159" s="26">
        <v>175</v>
      </c>
      <c r="C159" s="26">
        <v>64</v>
      </c>
    </row>
    <row r="160" spans="1:3" x14ac:dyDescent="0.3">
      <c r="A160" s="24">
        <v>159</v>
      </c>
      <c r="B160" s="26">
        <v>173</v>
      </c>
      <c r="C160" s="26">
        <v>63</v>
      </c>
    </row>
    <row r="161" spans="1:3" x14ac:dyDescent="0.3">
      <c r="A161" s="24">
        <v>160</v>
      </c>
      <c r="B161" s="26">
        <v>166</v>
      </c>
      <c r="C161" s="26">
        <v>78</v>
      </c>
    </row>
    <row r="162" spans="1:3" x14ac:dyDescent="0.3">
      <c r="A162" s="24">
        <v>161</v>
      </c>
      <c r="B162" s="26">
        <v>170</v>
      </c>
      <c r="C162" s="26">
        <v>65</v>
      </c>
    </row>
    <row r="163" spans="1:3" x14ac:dyDescent="0.3">
      <c r="A163" s="24">
        <v>162</v>
      </c>
      <c r="B163" s="26">
        <v>176</v>
      </c>
      <c r="C163" s="26">
        <v>65</v>
      </c>
    </row>
    <row r="164" spans="1:3" x14ac:dyDescent="0.3">
      <c r="A164" s="24">
        <v>163</v>
      </c>
      <c r="B164" s="26">
        <v>159</v>
      </c>
      <c r="C164" s="26">
        <v>48</v>
      </c>
    </row>
    <row r="165" spans="1:3" x14ac:dyDescent="0.3">
      <c r="A165" s="24">
        <v>164</v>
      </c>
      <c r="B165" s="26">
        <v>173</v>
      </c>
      <c r="C165" s="26">
        <v>64</v>
      </c>
    </row>
    <row r="166" spans="1:3" x14ac:dyDescent="0.3">
      <c r="A166" s="24">
        <v>165</v>
      </c>
      <c r="B166" s="26">
        <v>166</v>
      </c>
      <c r="C166" s="26">
        <v>62</v>
      </c>
    </row>
    <row r="167" spans="1:3" x14ac:dyDescent="0.3">
      <c r="A167" s="24">
        <v>166</v>
      </c>
      <c r="B167" s="26">
        <v>166</v>
      </c>
      <c r="C167" s="26">
        <v>71</v>
      </c>
    </row>
    <row r="168" spans="1:3" x14ac:dyDescent="0.3">
      <c r="A168" s="24">
        <v>167</v>
      </c>
      <c r="B168" s="26">
        <v>170</v>
      </c>
      <c r="C168" s="26">
        <v>76</v>
      </c>
    </row>
    <row r="169" spans="1:3" x14ac:dyDescent="0.3">
      <c r="A169" s="24">
        <v>168</v>
      </c>
      <c r="B169" s="26">
        <v>161</v>
      </c>
      <c r="C169" s="26">
        <v>66</v>
      </c>
    </row>
    <row r="170" spans="1:3" x14ac:dyDescent="0.3">
      <c r="A170" s="24">
        <v>169</v>
      </c>
      <c r="B170" s="26">
        <v>167</v>
      </c>
      <c r="C170" s="26">
        <v>61</v>
      </c>
    </row>
    <row r="171" spans="1:3" x14ac:dyDescent="0.3">
      <c r="A171" s="24">
        <v>170</v>
      </c>
      <c r="B171" s="26">
        <v>176</v>
      </c>
      <c r="C171" s="26">
        <v>65</v>
      </c>
    </row>
    <row r="172" spans="1:3" x14ac:dyDescent="0.3">
      <c r="A172" s="24">
        <v>171</v>
      </c>
      <c r="B172" s="26">
        <v>179</v>
      </c>
      <c r="C172" s="26">
        <v>77</v>
      </c>
    </row>
    <row r="173" spans="1:3" x14ac:dyDescent="0.3">
      <c r="A173" s="24">
        <v>172</v>
      </c>
      <c r="B173" s="26">
        <v>171</v>
      </c>
      <c r="C173" s="26">
        <v>73</v>
      </c>
    </row>
    <row r="174" spans="1:3" x14ac:dyDescent="0.3">
      <c r="A174" s="24">
        <v>173</v>
      </c>
      <c r="B174" s="26">
        <v>164</v>
      </c>
      <c r="C174" s="26">
        <v>65</v>
      </c>
    </row>
    <row r="175" spans="1:3" x14ac:dyDescent="0.3">
      <c r="A175" s="24">
        <v>174</v>
      </c>
      <c r="B175" s="26">
        <v>184</v>
      </c>
      <c r="C175" s="26">
        <v>68</v>
      </c>
    </row>
    <row r="176" spans="1:3" x14ac:dyDescent="0.3">
      <c r="A176" s="24">
        <v>175</v>
      </c>
      <c r="B176" s="26">
        <v>166</v>
      </c>
      <c r="C176" s="26">
        <v>62</v>
      </c>
    </row>
    <row r="177" spans="1:3" x14ac:dyDescent="0.3">
      <c r="A177" s="24">
        <v>176</v>
      </c>
      <c r="B177" s="26">
        <v>165</v>
      </c>
      <c r="C177" s="26">
        <v>67</v>
      </c>
    </row>
    <row r="178" spans="1:3" x14ac:dyDescent="0.3">
      <c r="A178" s="24">
        <v>177</v>
      </c>
      <c r="B178" s="26">
        <v>159</v>
      </c>
      <c r="C178" s="26">
        <v>48</v>
      </c>
    </row>
    <row r="179" spans="1:3" x14ac:dyDescent="0.3">
      <c r="A179" s="24">
        <v>178</v>
      </c>
      <c r="B179" s="26">
        <v>168</v>
      </c>
      <c r="C179" s="26">
        <v>58</v>
      </c>
    </row>
    <row r="180" spans="1:3" x14ac:dyDescent="0.3">
      <c r="A180" s="24">
        <v>179</v>
      </c>
      <c r="B180" s="26">
        <v>171</v>
      </c>
      <c r="C180" s="26">
        <v>66</v>
      </c>
    </row>
    <row r="181" spans="1:3" x14ac:dyDescent="0.3">
      <c r="A181" s="24">
        <v>180</v>
      </c>
      <c r="B181" s="26">
        <v>183</v>
      </c>
      <c r="C181" s="26">
        <v>73</v>
      </c>
    </row>
    <row r="182" spans="1:3" x14ac:dyDescent="0.3">
      <c r="A182" s="24">
        <v>181</v>
      </c>
      <c r="B182" s="26">
        <v>169</v>
      </c>
      <c r="C182" s="26">
        <v>74</v>
      </c>
    </row>
    <row r="183" spans="1:3" x14ac:dyDescent="0.3">
      <c r="A183" s="24">
        <v>182</v>
      </c>
      <c r="B183" s="26">
        <v>165</v>
      </c>
      <c r="C183" s="26">
        <v>66</v>
      </c>
    </row>
    <row r="184" spans="1:3" x14ac:dyDescent="0.3">
      <c r="A184" s="24">
        <v>183</v>
      </c>
      <c r="B184" s="26">
        <v>171</v>
      </c>
      <c r="C184" s="26">
        <v>70</v>
      </c>
    </row>
    <row r="185" spans="1:3" x14ac:dyDescent="0.3">
      <c r="A185" s="24">
        <v>184</v>
      </c>
      <c r="B185" s="26">
        <v>168</v>
      </c>
      <c r="C185" s="26">
        <v>61</v>
      </c>
    </row>
    <row r="186" spans="1:3" x14ac:dyDescent="0.3">
      <c r="A186" s="24">
        <v>185</v>
      </c>
      <c r="B186" s="26">
        <v>168</v>
      </c>
      <c r="C186" s="26">
        <v>67</v>
      </c>
    </row>
    <row r="187" spans="1:3" x14ac:dyDescent="0.3">
      <c r="A187" s="24">
        <v>186</v>
      </c>
      <c r="B187" s="26">
        <v>178</v>
      </c>
      <c r="C187" s="26">
        <v>80</v>
      </c>
    </row>
    <row r="188" spans="1:3" x14ac:dyDescent="0.3">
      <c r="A188" s="24">
        <v>187</v>
      </c>
      <c r="B188" s="26">
        <v>170</v>
      </c>
      <c r="C188" s="26">
        <v>65</v>
      </c>
    </row>
    <row r="189" spans="1:3" x14ac:dyDescent="0.3">
      <c r="A189" s="24">
        <v>188</v>
      </c>
      <c r="B189" s="26">
        <v>161</v>
      </c>
      <c r="C189" s="26">
        <v>56</v>
      </c>
    </row>
    <row r="190" spans="1:3" x14ac:dyDescent="0.3">
      <c r="A190" s="24">
        <v>189</v>
      </c>
      <c r="B190" s="26">
        <v>163</v>
      </c>
      <c r="C190" s="26">
        <v>61</v>
      </c>
    </row>
    <row r="191" spans="1:3" x14ac:dyDescent="0.3">
      <c r="A191" s="24">
        <v>190</v>
      </c>
      <c r="B191" s="26">
        <v>163</v>
      </c>
      <c r="C191" s="26">
        <v>66</v>
      </c>
    </row>
    <row r="192" spans="1:3" x14ac:dyDescent="0.3">
      <c r="A192" s="24">
        <v>191</v>
      </c>
      <c r="B192" s="26">
        <v>162</v>
      </c>
      <c r="C192" s="26">
        <v>52</v>
      </c>
    </row>
    <row r="193" spans="1:3" x14ac:dyDescent="0.3">
      <c r="A193" s="24">
        <v>192</v>
      </c>
      <c r="B193" s="26">
        <v>167</v>
      </c>
      <c r="C193" s="26">
        <v>59</v>
      </c>
    </row>
    <row r="194" spans="1:3" x14ac:dyDescent="0.3">
      <c r="A194" s="24">
        <v>193</v>
      </c>
      <c r="B194" s="26">
        <v>171</v>
      </c>
      <c r="C194" s="26">
        <v>62</v>
      </c>
    </row>
    <row r="195" spans="1:3" x14ac:dyDescent="0.3">
      <c r="A195" s="24">
        <v>194</v>
      </c>
      <c r="B195" s="26">
        <v>173</v>
      </c>
      <c r="C195" s="26">
        <v>69</v>
      </c>
    </row>
    <row r="196" spans="1:3" x14ac:dyDescent="0.3">
      <c r="A196" s="24">
        <v>195</v>
      </c>
      <c r="B196" s="26">
        <v>161</v>
      </c>
      <c r="C196" s="26">
        <v>58</v>
      </c>
    </row>
    <row r="197" spans="1:3" x14ac:dyDescent="0.3">
      <c r="A197" s="24">
        <v>196</v>
      </c>
      <c r="B197" s="26">
        <v>169</v>
      </c>
      <c r="C197" s="26">
        <v>62</v>
      </c>
    </row>
    <row r="198" spans="1:3" x14ac:dyDescent="0.3">
      <c r="A198" s="24">
        <v>197</v>
      </c>
      <c r="B198" s="26">
        <v>161</v>
      </c>
      <c r="C198" s="26">
        <v>66</v>
      </c>
    </row>
    <row r="199" spans="1:3" x14ac:dyDescent="0.3">
      <c r="A199" s="24">
        <v>198</v>
      </c>
      <c r="B199" s="26">
        <v>169</v>
      </c>
      <c r="C199" s="26">
        <v>70</v>
      </c>
    </row>
    <row r="200" spans="1:3" x14ac:dyDescent="0.3">
      <c r="A200" s="24">
        <v>199</v>
      </c>
      <c r="B200" s="26">
        <v>165</v>
      </c>
      <c r="C200" s="26">
        <v>60</v>
      </c>
    </row>
    <row r="201" spans="1:3" x14ac:dyDescent="0.3">
      <c r="A201" s="24">
        <v>200</v>
      </c>
      <c r="B201" s="26">
        <v>170</v>
      </c>
      <c r="C201" s="26">
        <v>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CAC53-6877-482D-8A99-E267EDF9A101}">
  <dimension ref="A1:E201"/>
  <sheetViews>
    <sheetView workbookViewId="0">
      <selection activeCell="E15" sqref="E15"/>
    </sheetView>
  </sheetViews>
  <sheetFormatPr defaultRowHeight="14.4" x14ac:dyDescent="0.3"/>
  <cols>
    <col min="1" max="1" width="8.88671875" style="27"/>
    <col min="2" max="2" width="25" style="27" bestFit="1" customWidth="1"/>
    <col min="3" max="4" width="8.88671875" style="27"/>
    <col min="5" max="5" width="24.109375" style="27" bestFit="1" customWidth="1"/>
    <col min="6" max="16384" width="8.88671875" style="27"/>
  </cols>
  <sheetData>
    <row r="1" spans="1:5" x14ac:dyDescent="0.3">
      <c r="A1" s="25" t="s">
        <v>0</v>
      </c>
      <c r="B1" s="25" t="s">
        <v>3</v>
      </c>
      <c r="D1" s="25" t="s">
        <v>0</v>
      </c>
      <c r="E1" s="25" t="s">
        <v>4</v>
      </c>
    </row>
    <row r="2" spans="1:5" x14ac:dyDescent="0.3">
      <c r="A2" s="24">
        <v>44</v>
      </c>
      <c r="B2" s="26">
        <v>156</v>
      </c>
      <c r="D2" s="24">
        <v>163</v>
      </c>
      <c r="E2" s="26">
        <v>48</v>
      </c>
    </row>
    <row r="3" spans="1:5" x14ac:dyDescent="0.3">
      <c r="A3" s="24">
        <v>46</v>
      </c>
      <c r="B3" s="26">
        <v>158</v>
      </c>
      <c r="D3" s="24">
        <v>177</v>
      </c>
      <c r="E3" s="26">
        <v>48</v>
      </c>
    </row>
    <row r="4" spans="1:5" x14ac:dyDescent="0.3">
      <c r="A4" s="24">
        <v>83</v>
      </c>
      <c r="B4" s="26">
        <v>158</v>
      </c>
      <c r="D4" s="24">
        <v>93</v>
      </c>
      <c r="E4" s="26">
        <v>50</v>
      </c>
    </row>
    <row r="5" spans="1:5" x14ac:dyDescent="0.3">
      <c r="A5" s="24">
        <v>153</v>
      </c>
      <c r="B5" s="26">
        <v>158</v>
      </c>
      <c r="D5" s="24">
        <v>68</v>
      </c>
      <c r="E5" s="26">
        <v>51</v>
      </c>
    </row>
    <row r="6" spans="1:5" x14ac:dyDescent="0.3">
      <c r="A6" s="24">
        <v>50</v>
      </c>
      <c r="B6" s="26">
        <v>159</v>
      </c>
      <c r="D6" s="24">
        <v>88</v>
      </c>
      <c r="E6" s="26">
        <v>52</v>
      </c>
    </row>
    <row r="7" spans="1:5" x14ac:dyDescent="0.3">
      <c r="A7" s="24">
        <v>91</v>
      </c>
      <c r="B7" s="26">
        <v>159</v>
      </c>
      <c r="D7" s="24">
        <v>191</v>
      </c>
      <c r="E7" s="26">
        <v>52</v>
      </c>
    </row>
    <row r="8" spans="1:5" x14ac:dyDescent="0.3">
      <c r="A8" s="24">
        <v>163</v>
      </c>
      <c r="B8" s="26">
        <v>159</v>
      </c>
      <c r="D8" s="24">
        <v>44</v>
      </c>
      <c r="E8" s="26">
        <v>53</v>
      </c>
    </row>
    <row r="9" spans="1:5" x14ac:dyDescent="0.3">
      <c r="A9" s="24">
        <v>177</v>
      </c>
      <c r="B9" s="26">
        <v>159</v>
      </c>
      <c r="D9" s="24">
        <v>120</v>
      </c>
      <c r="E9" s="26">
        <v>54</v>
      </c>
    </row>
    <row r="10" spans="1:5" x14ac:dyDescent="0.3">
      <c r="A10" s="24">
        <v>99</v>
      </c>
      <c r="B10" s="26">
        <v>160</v>
      </c>
      <c r="D10" s="24">
        <v>151</v>
      </c>
      <c r="E10" s="26">
        <v>54</v>
      </c>
    </row>
    <row r="11" spans="1:5" x14ac:dyDescent="0.3">
      <c r="A11" s="24">
        <v>114</v>
      </c>
      <c r="B11" s="26">
        <v>160</v>
      </c>
      <c r="D11" s="24">
        <v>28</v>
      </c>
      <c r="E11" s="26">
        <v>55</v>
      </c>
    </row>
    <row r="12" spans="1:5" x14ac:dyDescent="0.3">
      <c r="A12" s="24">
        <v>139</v>
      </c>
      <c r="B12" s="26">
        <v>160</v>
      </c>
      <c r="D12" s="24">
        <v>91</v>
      </c>
      <c r="E12" s="26">
        <v>55</v>
      </c>
    </row>
    <row r="13" spans="1:5" x14ac:dyDescent="0.3">
      <c r="A13" s="24">
        <v>68</v>
      </c>
      <c r="B13" s="26">
        <v>161</v>
      </c>
      <c r="D13" s="24">
        <v>109</v>
      </c>
      <c r="E13" s="26">
        <v>55</v>
      </c>
    </row>
    <row r="14" spans="1:5" x14ac:dyDescent="0.3">
      <c r="A14" s="24">
        <v>80</v>
      </c>
      <c r="B14" s="26">
        <v>161</v>
      </c>
      <c r="D14" s="24">
        <v>5</v>
      </c>
      <c r="E14" s="26">
        <v>56</v>
      </c>
    </row>
    <row r="15" spans="1:5" x14ac:dyDescent="0.3">
      <c r="A15" s="24">
        <v>88</v>
      </c>
      <c r="B15" s="26">
        <v>161</v>
      </c>
      <c r="D15" s="24">
        <v>153</v>
      </c>
      <c r="E15" s="26">
        <v>56</v>
      </c>
    </row>
    <row r="16" spans="1:5" x14ac:dyDescent="0.3">
      <c r="A16" s="24">
        <v>89</v>
      </c>
      <c r="B16" s="26">
        <v>161</v>
      </c>
      <c r="D16" s="24">
        <v>188</v>
      </c>
      <c r="E16" s="26">
        <v>56</v>
      </c>
    </row>
    <row r="17" spans="1:5" x14ac:dyDescent="0.3">
      <c r="A17" s="24">
        <v>168</v>
      </c>
      <c r="B17" s="26">
        <v>161</v>
      </c>
      <c r="D17" s="24">
        <v>46</v>
      </c>
      <c r="E17" s="26">
        <v>57</v>
      </c>
    </row>
    <row r="18" spans="1:5" x14ac:dyDescent="0.3">
      <c r="A18" s="24">
        <v>188</v>
      </c>
      <c r="B18" s="26">
        <v>161</v>
      </c>
      <c r="D18" s="24">
        <v>78</v>
      </c>
      <c r="E18" s="26">
        <v>57</v>
      </c>
    </row>
    <row r="19" spans="1:5" x14ac:dyDescent="0.3">
      <c r="A19" s="24">
        <v>195</v>
      </c>
      <c r="B19" s="26">
        <v>161</v>
      </c>
      <c r="D19" s="24">
        <v>83</v>
      </c>
      <c r="E19" s="26">
        <v>57</v>
      </c>
    </row>
    <row r="20" spans="1:5" x14ac:dyDescent="0.3">
      <c r="A20" s="24">
        <v>197</v>
      </c>
      <c r="B20" s="26">
        <v>161</v>
      </c>
      <c r="D20" s="24">
        <v>87</v>
      </c>
      <c r="E20" s="26">
        <v>57</v>
      </c>
    </row>
    <row r="21" spans="1:5" x14ac:dyDescent="0.3">
      <c r="A21" s="24">
        <v>9</v>
      </c>
      <c r="B21" s="26">
        <v>162</v>
      </c>
      <c r="D21" s="24">
        <v>114</v>
      </c>
      <c r="E21" s="26">
        <v>57</v>
      </c>
    </row>
    <row r="22" spans="1:5" x14ac:dyDescent="0.3">
      <c r="A22" s="24">
        <v>148</v>
      </c>
      <c r="B22" s="26">
        <v>162</v>
      </c>
      <c r="D22" s="24">
        <v>117</v>
      </c>
      <c r="E22" s="26">
        <v>57</v>
      </c>
    </row>
    <row r="23" spans="1:5" x14ac:dyDescent="0.3">
      <c r="A23" s="24">
        <v>191</v>
      </c>
      <c r="B23" s="26">
        <v>162</v>
      </c>
      <c r="D23" s="24">
        <v>139</v>
      </c>
      <c r="E23" s="26">
        <v>57</v>
      </c>
    </row>
    <row r="24" spans="1:5" x14ac:dyDescent="0.3">
      <c r="A24" s="24">
        <v>2</v>
      </c>
      <c r="B24" s="26">
        <v>163</v>
      </c>
      <c r="D24" s="24">
        <v>18</v>
      </c>
      <c r="E24" s="26">
        <v>58</v>
      </c>
    </row>
    <row r="25" spans="1:5" x14ac:dyDescent="0.3">
      <c r="A25" s="24">
        <v>92</v>
      </c>
      <c r="B25" s="26">
        <v>163</v>
      </c>
      <c r="D25" s="24">
        <v>80</v>
      </c>
      <c r="E25" s="26">
        <v>58</v>
      </c>
    </row>
    <row r="26" spans="1:5" x14ac:dyDescent="0.3">
      <c r="A26" s="24">
        <v>103</v>
      </c>
      <c r="B26" s="26">
        <v>163</v>
      </c>
      <c r="D26" s="24">
        <v>103</v>
      </c>
      <c r="E26" s="26">
        <v>58</v>
      </c>
    </row>
    <row r="27" spans="1:5" x14ac:dyDescent="0.3">
      <c r="A27" s="24">
        <v>120</v>
      </c>
      <c r="B27" s="26">
        <v>163</v>
      </c>
      <c r="D27" s="24">
        <v>127</v>
      </c>
      <c r="E27" s="26">
        <v>58</v>
      </c>
    </row>
    <row r="28" spans="1:5" x14ac:dyDescent="0.3">
      <c r="A28" s="24">
        <v>137</v>
      </c>
      <c r="B28" s="26">
        <v>163</v>
      </c>
      <c r="D28" s="24">
        <v>128</v>
      </c>
      <c r="E28" s="26">
        <v>58</v>
      </c>
    </row>
    <row r="29" spans="1:5" x14ac:dyDescent="0.3">
      <c r="A29" s="24">
        <v>151</v>
      </c>
      <c r="B29" s="26">
        <v>163</v>
      </c>
      <c r="D29" s="24">
        <v>178</v>
      </c>
      <c r="E29" s="26">
        <v>58</v>
      </c>
    </row>
    <row r="30" spans="1:5" x14ac:dyDescent="0.3">
      <c r="A30" s="24">
        <v>189</v>
      </c>
      <c r="B30" s="26">
        <v>163</v>
      </c>
      <c r="D30" s="24">
        <v>195</v>
      </c>
      <c r="E30" s="26">
        <v>58</v>
      </c>
    </row>
    <row r="31" spans="1:5" x14ac:dyDescent="0.3">
      <c r="A31" s="24">
        <v>190</v>
      </c>
      <c r="B31" s="26">
        <v>163</v>
      </c>
      <c r="D31" s="24">
        <v>6</v>
      </c>
      <c r="E31" s="26">
        <v>59</v>
      </c>
    </row>
    <row r="32" spans="1:5" x14ac:dyDescent="0.3">
      <c r="A32" s="24">
        <v>4</v>
      </c>
      <c r="B32" s="26">
        <v>164</v>
      </c>
      <c r="D32" s="24">
        <v>33</v>
      </c>
      <c r="E32" s="26">
        <v>59</v>
      </c>
    </row>
    <row r="33" spans="1:5" x14ac:dyDescent="0.3">
      <c r="A33" s="24">
        <v>5</v>
      </c>
      <c r="B33" s="26">
        <v>164</v>
      </c>
      <c r="D33" s="24">
        <v>43</v>
      </c>
      <c r="E33" s="26">
        <v>59</v>
      </c>
    </row>
    <row r="34" spans="1:5" x14ac:dyDescent="0.3">
      <c r="A34" s="24">
        <v>25</v>
      </c>
      <c r="B34" s="26">
        <v>164</v>
      </c>
      <c r="D34" s="24">
        <v>57</v>
      </c>
      <c r="E34" s="26">
        <v>59</v>
      </c>
    </row>
    <row r="35" spans="1:5" x14ac:dyDescent="0.3">
      <c r="A35" s="24">
        <v>33</v>
      </c>
      <c r="B35" s="26">
        <v>164</v>
      </c>
      <c r="D35" s="24">
        <v>89</v>
      </c>
      <c r="E35" s="26">
        <v>59</v>
      </c>
    </row>
    <row r="36" spans="1:5" x14ac:dyDescent="0.3">
      <c r="A36" s="24">
        <v>34</v>
      </c>
      <c r="B36" s="26">
        <v>164</v>
      </c>
      <c r="D36" s="24">
        <v>146</v>
      </c>
      <c r="E36" s="26">
        <v>59</v>
      </c>
    </row>
    <row r="37" spans="1:5" x14ac:dyDescent="0.3">
      <c r="A37" s="24">
        <v>45</v>
      </c>
      <c r="B37" s="26">
        <v>164</v>
      </c>
      <c r="D37" s="24">
        <v>192</v>
      </c>
      <c r="E37" s="26">
        <v>59</v>
      </c>
    </row>
    <row r="38" spans="1:5" x14ac:dyDescent="0.3">
      <c r="A38" s="24">
        <v>101</v>
      </c>
      <c r="B38" s="26">
        <v>164</v>
      </c>
      <c r="D38" s="24">
        <v>4</v>
      </c>
      <c r="E38" s="26">
        <v>60</v>
      </c>
    </row>
    <row r="39" spans="1:5" x14ac:dyDescent="0.3">
      <c r="A39" s="24">
        <v>104</v>
      </c>
      <c r="B39" s="26">
        <v>164</v>
      </c>
      <c r="D39" s="24">
        <v>10</v>
      </c>
      <c r="E39" s="26">
        <v>60</v>
      </c>
    </row>
    <row r="40" spans="1:5" x14ac:dyDescent="0.3">
      <c r="A40" s="24">
        <v>126</v>
      </c>
      <c r="B40" s="26">
        <v>164</v>
      </c>
      <c r="D40" s="24">
        <v>15</v>
      </c>
      <c r="E40" s="26">
        <v>60</v>
      </c>
    </row>
    <row r="41" spans="1:5" x14ac:dyDescent="0.3">
      <c r="A41" s="24">
        <v>173</v>
      </c>
      <c r="B41" s="26">
        <v>164</v>
      </c>
      <c r="D41" s="24">
        <v>35</v>
      </c>
      <c r="E41" s="26">
        <v>60</v>
      </c>
    </row>
    <row r="42" spans="1:5" x14ac:dyDescent="0.3">
      <c r="A42" s="24">
        <v>38</v>
      </c>
      <c r="B42" s="26">
        <v>165</v>
      </c>
      <c r="D42" s="24">
        <v>45</v>
      </c>
      <c r="E42" s="26">
        <v>60</v>
      </c>
    </row>
    <row r="43" spans="1:5" x14ac:dyDescent="0.3">
      <c r="A43" s="24">
        <v>43</v>
      </c>
      <c r="B43" s="26">
        <v>165</v>
      </c>
      <c r="D43" s="24">
        <v>69</v>
      </c>
      <c r="E43" s="26">
        <v>60</v>
      </c>
    </row>
    <row r="44" spans="1:5" x14ac:dyDescent="0.3">
      <c r="A44" s="24">
        <v>47</v>
      </c>
      <c r="B44" s="26">
        <v>165</v>
      </c>
      <c r="D44" s="24">
        <v>86</v>
      </c>
      <c r="E44" s="26">
        <v>60</v>
      </c>
    </row>
    <row r="45" spans="1:5" x14ac:dyDescent="0.3">
      <c r="A45" s="24">
        <v>63</v>
      </c>
      <c r="B45" s="26">
        <v>165</v>
      </c>
      <c r="D45" s="24">
        <v>106</v>
      </c>
      <c r="E45" s="26">
        <v>60</v>
      </c>
    </row>
    <row r="46" spans="1:5" x14ac:dyDescent="0.3">
      <c r="A46" s="24">
        <v>117</v>
      </c>
      <c r="B46" s="26">
        <v>165</v>
      </c>
      <c r="D46" s="24">
        <v>130</v>
      </c>
      <c r="E46" s="26">
        <v>60</v>
      </c>
    </row>
    <row r="47" spans="1:5" x14ac:dyDescent="0.3">
      <c r="A47" s="24">
        <v>135</v>
      </c>
      <c r="B47" s="26">
        <v>165</v>
      </c>
      <c r="D47" s="24">
        <v>135</v>
      </c>
      <c r="E47" s="26">
        <v>60</v>
      </c>
    </row>
    <row r="48" spans="1:5" x14ac:dyDescent="0.3">
      <c r="A48" s="24">
        <v>176</v>
      </c>
      <c r="B48" s="26">
        <v>165</v>
      </c>
      <c r="D48" s="24">
        <v>138</v>
      </c>
      <c r="E48" s="26">
        <v>60</v>
      </c>
    </row>
    <row r="49" spans="1:5" x14ac:dyDescent="0.3">
      <c r="A49" s="24">
        <v>182</v>
      </c>
      <c r="B49" s="26">
        <v>165</v>
      </c>
      <c r="D49" s="24">
        <v>199</v>
      </c>
      <c r="E49" s="26">
        <v>60</v>
      </c>
    </row>
    <row r="50" spans="1:5" x14ac:dyDescent="0.3">
      <c r="A50" s="24">
        <v>199</v>
      </c>
      <c r="B50" s="26">
        <v>165</v>
      </c>
      <c r="D50" s="24">
        <v>7</v>
      </c>
      <c r="E50" s="26">
        <v>61</v>
      </c>
    </row>
    <row r="51" spans="1:5" x14ac:dyDescent="0.3">
      <c r="A51" s="24">
        <v>8</v>
      </c>
      <c r="B51" s="26">
        <v>166</v>
      </c>
      <c r="D51" s="24">
        <v>13</v>
      </c>
      <c r="E51" s="26">
        <v>61</v>
      </c>
    </row>
    <row r="52" spans="1:5" x14ac:dyDescent="0.3">
      <c r="A52" s="24">
        <v>18</v>
      </c>
      <c r="B52" s="26">
        <v>166</v>
      </c>
      <c r="D52" s="24">
        <v>30</v>
      </c>
      <c r="E52" s="26">
        <v>61</v>
      </c>
    </row>
    <row r="53" spans="1:5" x14ac:dyDescent="0.3">
      <c r="A53" s="24">
        <v>28</v>
      </c>
      <c r="B53" s="26">
        <v>166</v>
      </c>
      <c r="D53" s="24">
        <v>50</v>
      </c>
      <c r="E53" s="26">
        <v>61</v>
      </c>
    </row>
    <row r="54" spans="1:5" x14ac:dyDescent="0.3">
      <c r="A54" s="24">
        <v>142</v>
      </c>
      <c r="B54" s="26">
        <v>166</v>
      </c>
      <c r="D54" s="24">
        <v>62</v>
      </c>
      <c r="E54" s="26">
        <v>61</v>
      </c>
    </row>
    <row r="55" spans="1:5" x14ac:dyDescent="0.3">
      <c r="A55" s="24">
        <v>145</v>
      </c>
      <c r="B55" s="26">
        <v>166</v>
      </c>
      <c r="D55" s="24">
        <v>63</v>
      </c>
      <c r="E55" s="26">
        <v>61</v>
      </c>
    </row>
    <row r="56" spans="1:5" x14ac:dyDescent="0.3">
      <c r="A56" s="24">
        <v>160</v>
      </c>
      <c r="B56" s="26">
        <v>166</v>
      </c>
      <c r="D56" s="24">
        <v>99</v>
      </c>
      <c r="E56" s="26">
        <v>61</v>
      </c>
    </row>
    <row r="57" spans="1:5" x14ac:dyDescent="0.3">
      <c r="A57" s="24">
        <v>165</v>
      </c>
      <c r="B57" s="26">
        <v>166</v>
      </c>
      <c r="D57" s="24">
        <v>143</v>
      </c>
      <c r="E57" s="26">
        <v>61</v>
      </c>
    </row>
    <row r="58" spans="1:5" x14ac:dyDescent="0.3">
      <c r="A58" s="24">
        <v>166</v>
      </c>
      <c r="B58" s="26">
        <v>166</v>
      </c>
      <c r="D58" s="24">
        <v>156</v>
      </c>
      <c r="E58" s="26">
        <v>61</v>
      </c>
    </row>
    <row r="59" spans="1:5" x14ac:dyDescent="0.3">
      <c r="A59" s="24">
        <v>175</v>
      </c>
      <c r="B59" s="26">
        <v>166</v>
      </c>
      <c r="D59" s="24">
        <v>169</v>
      </c>
      <c r="E59" s="26">
        <v>61</v>
      </c>
    </row>
    <row r="60" spans="1:5" x14ac:dyDescent="0.3">
      <c r="A60" s="24">
        <v>7</v>
      </c>
      <c r="B60" s="26">
        <v>167</v>
      </c>
      <c r="D60" s="24">
        <v>184</v>
      </c>
      <c r="E60" s="26">
        <v>61</v>
      </c>
    </row>
    <row r="61" spans="1:5" x14ac:dyDescent="0.3">
      <c r="A61" s="24">
        <v>13</v>
      </c>
      <c r="B61" s="26">
        <v>167</v>
      </c>
      <c r="D61" s="24">
        <v>189</v>
      </c>
      <c r="E61" s="26">
        <v>61</v>
      </c>
    </row>
    <row r="62" spans="1:5" x14ac:dyDescent="0.3">
      <c r="A62" s="24">
        <v>31</v>
      </c>
      <c r="B62" s="26">
        <v>167</v>
      </c>
      <c r="D62" s="24">
        <v>200</v>
      </c>
      <c r="E62" s="26">
        <v>61</v>
      </c>
    </row>
    <row r="63" spans="1:5" x14ac:dyDescent="0.3">
      <c r="A63" s="24">
        <v>57</v>
      </c>
      <c r="B63" s="26">
        <v>167</v>
      </c>
      <c r="D63" s="24">
        <v>8</v>
      </c>
      <c r="E63" s="26">
        <v>62</v>
      </c>
    </row>
    <row r="64" spans="1:5" x14ac:dyDescent="0.3">
      <c r="A64" s="24">
        <v>62</v>
      </c>
      <c r="B64" s="26">
        <v>167</v>
      </c>
      <c r="D64" s="24">
        <v>11</v>
      </c>
      <c r="E64" s="26">
        <v>62</v>
      </c>
    </row>
    <row r="65" spans="1:5" x14ac:dyDescent="0.3">
      <c r="A65" s="24">
        <v>69</v>
      </c>
      <c r="B65" s="26">
        <v>167</v>
      </c>
      <c r="D65" s="24">
        <v>34</v>
      </c>
      <c r="E65" s="26">
        <v>62</v>
      </c>
    </row>
    <row r="66" spans="1:5" x14ac:dyDescent="0.3">
      <c r="A66" s="24">
        <v>87</v>
      </c>
      <c r="B66" s="26">
        <v>167</v>
      </c>
      <c r="D66" s="24">
        <v>38</v>
      </c>
      <c r="E66" s="26">
        <v>62</v>
      </c>
    </row>
    <row r="67" spans="1:5" x14ac:dyDescent="0.3">
      <c r="A67" s="24">
        <v>119</v>
      </c>
      <c r="B67" s="26">
        <v>167</v>
      </c>
      <c r="D67" s="24">
        <v>58</v>
      </c>
      <c r="E67" s="26">
        <v>62</v>
      </c>
    </row>
    <row r="68" spans="1:5" x14ac:dyDescent="0.3">
      <c r="A68" s="24">
        <v>123</v>
      </c>
      <c r="B68" s="26">
        <v>167</v>
      </c>
      <c r="D68" s="24">
        <v>79</v>
      </c>
      <c r="E68" s="26">
        <v>62</v>
      </c>
    </row>
    <row r="69" spans="1:5" x14ac:dyDescent="0.3">
      <c r="A69" s="24">
        <v>138</v>
      </c>
      <c r="B69" s="26">
        <v>167</v>
      </c>
      <c r="D69" s="24">
        <v>104</v>
      </c>
      <c r="E69" s="26">
        <v>62</v>
      </c>
    </row>
    <row r="70" spans="1:5" x14ac:dyDescent="0.3">
      <c r="A70" s="24">
        <v>155</v>
      </c>
      <c r="B70" s="26">
        <v>167</v>
      </c>
      <c r="D70" s="24">
        <v>142</v>
      </c>
      <c r="E70" s="26">
        <v>62</v>
      </c>
    </row>
    <row r="71" spans="1:5" x14ac:dyDescent="0.3">
      <c r="A71" s="24">
        <v>156</v>
      </c>
      <c r="B71" s="26">
        <v>167</v>
      </c>
      <c r="D71" s="24">
        <v>165</v>
      </c>
      <c r="E71" s="26">
        <v>62</v>
      </c>
    </row>
    <row r="72" spans="1:5" x14ac:dyDescent="0.3">
      <c r="A72" s="24">
        <v>169</v>
      </c>
      <c r="B72" s="26">
        <v>167</v>
      </c>
      <c r="D72" s="24">
        <v>175</v>
      </c>
      <c r="E72" s="26">
        <v>62</v>
      </c>
    </row>
    <row r="73" spans="1:5" x14ac:dyDescent="0.3">
      <c r="A73" s="24">
        <v>192</v>
      </c>
      <c r="B73" s="26">
        <v>167</v>
      </c>
      <c r="D73" s="24">
        <v>193</v>
      </c>
      <c r="E73" s="26">
        <v>62</v>
      </c>
    </row>
    <row r="74" spans="1:5" x14ac:dyDescent="0.3">
      <c r="A74" s="24">
        <v>6</v>
      </c>
      <c r="B74" s="26">
        <v>168</v>
      </c>
      <c r="D74" s="24">
        <v>196</v>
      </c>
      <c r="E74" s="26">
        <v>62</v>
      </c>
    </row>
    <row r="75" spans="1:5" x14ac:dyDescent="0.3">
      <c r="A75" s="24">
        <v>11</v>
      </c>
      <c r="B75" s="26">
        <v>168</v>
      </c>
      <c r="D75" s="24">
        <v>2</v>
      </c>
      <c r="E75" s="26">
        <v>63</v>
      </c>
    </row>
    <row r="76" spans="1:5" x14ac:dyDescent="0.3">
      <c r="A76" s="24">
        <v>27</v>
      </c>
      <c r="B76" s="26">
        <v>168</v>
      </c>
      <c r="D76" s="24">
        <v>31</v>
      </c>
      <c r="E76" s="26">
        <v>63</v>
      </c>
    </row>
    <row r="77" spans="1:5" x14ac:dyDescent="0.3">
      <c r="A77" s="24">
        <v>53</v>
      </c>
      <c r="B77" s="26">
        <v>168</v>
      </c>
      <c r="D77" s="24">
        <v>37</v>
      </c>
      <c r="E77" s="26">
        <v>63</v>
      </c>
    </row>
    <row r="78" spans="1:5" x14ac:dyDescent="0.3">
      <c r="A78" s="24">
        <v>60</v>
      </c>
      <c r="B78" s="26">
        <v>168</v>
      </c>
      <c r="D78" s="24">
        <v>40</v>
      </c>
      <c r="E78" s="26">
        <v>63</v>
      </c>
    </row>
    <row r="79" spans="1:5" x14ac:dyDescent="0.3">
      <c r="A79" s="24">
        <v>90</v>
      </c>
      <c r="B79" s="26">
        <v>168</v>
      </c>
      <c r="D79" s="24">
        <v>52</v>
      </c>
      <c r="E79" s="26">
        <v>63</v>
      </c>
    </row>
    <row r="80" spans="1:5" x14ac:dyDescent="0.3">
      <c r="A80" s="24">
        <v>93</v>
      </c>
      <c r="B80" s="26">
        <v>168</v>
      </c>
      <c r="D80" s="24">
        <v>76</v>
      </c>
      <c r="E80" s="26">
        <v>63</v>
      </c>
    </row>
    <row r="81" spans="1:5" x14ac:dyDescent="0.3">
      <c r="A81" s="24">
        <v>109</v>
      </c>
      <c r="B81" s="26">
        <v>168</v>
      </c>
      <c r="D81" s="24">
        <v>92</v>
      </c>
      <c r="E81" s="26">
        <v>63</v>
      </c>
    </row>
    <row r="82" spans="1:5" x14ac:dyDescent="0.3">
      <c r="A82" s="24">
        <v>113</v>
      </c>
      <c r="B82" s="26">
        <v>168</v>
      </c>
      <c r="D82" s="24">
        <v>111</v>
      </c>
      <c r="E82" s="26">
        <v>63</v>
      </c>
    </row>
    <row r="83" spans="1:5" x14ac:dyDescent="0.3">
      <c r="A83" s="24">
        <v>128</v>
      </c>
      <c r="B83" s="26">
        <v>168</v>
      </c>
      <c r="D83" s="24">
        <v>159</v>
      </c>
      <c r="E83" s="26">
        <v>63</v>
      </c>
    </row>
    <row r="84" spans="1:5" x14ac:dyDescent="0.3">
      <c r="A84" s="24">
        <v>130</v>
      </c>
      <c r="B84" s="26">
        <v>168</v>
      </c>
      <c r="D84" s="24">
        <v>21</v>
      </c>
      <c r="E84" s="26">
        <v>64</v>
      </c>
    </row>
    <row r="85" spans="1:5" x14ac:dyDescent="0.3">
      <c r="A85" s="24">
        <v>132</v>
      </c>
      <c r="B85" s="26">
        <v>168</v>
      </c>
      <c r="D85" s="24">
        <v>23</v>
      </c>
      <c r="E85" s="26">
        <v>64</v>
      </c>
    </row>
    <row r="86" spans="1:5" x14ac:dyDescent="0.3">
      <c r="A86" s="24">
        <v>178</v>
      </c>
      <c r="B86" s="26">
        <v>168</v>
      </c>
      <c r="D86" s="24">
        <v>27</v>
      </c>
      <c r="E86" s="26">
        <v>64</v>
      </c>
    </row>
    <row r="87" spans="1:5" x14ac:dyDescent="0.3">
      <c r="A87" s="24">
        <v>184</v>
      </c>
      <c r="B87" s="26">
        <v>168</v>
      </c>
      <c r="D87" s="24">
        <v>56</v>
      </c>
      <c r="E87" s="26">
        <v>64</v>
      </c>
    </row>
    <row r="88" spans="1:5" x14ac:dyDescent="0.3">
      <c r="A88" s="24">
        <v>185</v>
      </c>
      <c r="B88" s="26">
        <v>168</v>
      </c>
      <c r="D88" s="24">
        <v>72</v>
      </c>
      <c r="E88" s="26">
        <v>64</v>
      </c>
    </row>
    <row r="89" spans="1:5" x14ac:dyDescent="0.3">
      <c r="A89" s="24">
        <v>56</v>
      </c>
      <c r="B89" s="26">
        <v>169</v>
      </c>
      <c r="D89" s="24">
        <v>74</v>
      </c>
      <c r="E89" s="26">
        <v>64</v>
      </c>
    </row>
    <row r="90" spans="1:5" x14ac:dyDescent="0.3">
      <c r="A90" s="24">
        <v>66</v>
      </c>
      <c r="B90" s="26">
        <v>169</v>
      </c>
      <c r="D90" s="24">
        <v>113</v>
      </c>
      <c r="E90" s="26">
        <v>64</v>
      </c>
    </row>
    <row r="91" spans="1:5" x14ac:dyDescent="0.3">
      <c r="A91" s="24">
        <v>79</v>
      </c>
      <c r="B91" s="26">
        <v>169</v>
      </c>
      <c r="D91" s="24">
        <v>158</v>
      </c>
      <c r="E91" s="26">
        <v>64</v>
      </c>
    </row>
    <row r="92" spans="1:5" x14ac:dyDescent="0.3">
      <c r="A92" s="24">
        <v>147</v>
      </c>
      <c r="B92" s="26">
        <v>169</v>
      </c>
      <c r="D92" s="24">
        <v>164</v>
      </c>
      <c r="E92" s="26">
        <v>64</v>
      </c>
    </row>
    <row r="93" spans="1:5" x14ac:dyDescent="0.3">
      <c r="A93" s="24">
        <v>181</v>
      </c>
      <c r="B93" s="26">
        <v>169</v>
      </c>
      <c r="D93" s="24">
        <v>9</v>
      </c>
      <c r="E93" s="26">
        <v>65</v>
      </c>
    </row>
    <row r="94" spans="1:5" x14ac:dyDescent="0.3">
      <c r="A94" s="24">
        <v>196</v>
      </c>
      <c r="B94" s="26">
        <v>169</v>
      </c>
      <c r="D94" s="24">
        <v>53</v>
      </c>
      <c r="E94" s="26">
        <v>65</v>
      </c>
    </row>
    <row r="95" spans="1:5" x14ac:dyDescent="0.3">
      <c r="A95" s="24">
        <v>198</v>
      </c>
      <c r="B95" s="26">
        <v>169</v>
      </c>
      <c r="D95" s="24">
        <v>60</v>
      </c>
      <c r="E95" s="26">
        <v>65</v>
      </c>
    </row>
    <row r="96" spans="1:5" x14ac:dyDescent="0.3">
      <c r="A96" s="24">
        <v>3</v>
      </c>
      <c r="B96" s="26">
        <v>170</v>
      </c>
      <c r="D96" s="24">
        <v>112</v>
      </c>
      <c r="E96" s="26">
        <v>65</v>
      </c>
    </row>
    <row r="97" spans="1:5" x14ac:dyDescent="0.3">
      <c r="A97" s="24">
        <v>14</v>
      </c>
      <c r="B97" s="26">
        <v>170</v>
      </c>
      <c r="D97" s="24">
        <v>116</v>
      </c>
      <c r="E97" s="26">
        <v>65</v>
      </c>
    </row>
    <row r="98" spans="1:5" x14ac:dyDescent="0.3">
      <c r="A98" s="24">
        <v>19</v>
      </c>
      <c r="B98" s="26">
        <v>170</v>
      </c>
      <c r="D98" s="24">
        <v>123</v>
      </c>
      <c r="E98" s="26">
        <v>65</v>
      </c>
    </row>
    <row r="99" spans="1:5" x14ac:dyDescent="0.3">
      <c r="A99" s="24">
        <v>30</v>
      </c>
      <c r="B99" s="26">
        <v>170</v>
      </c>
      <c r="D99" s="24">
        <v>126</v>
      </c>
      <c r="E99" s="26">
        <v>65</v>
      </c>
    </row>
    <row r="100" spans="1:5" x14ac:dyDescent="0.3">
      <c r="A100" s="24">
        <v>41</v>
      </c>
      <c r="B100" s="26">
        <v>170</v>
      </c>
      <c r="D100" s="24">
        <v>133</v>
      </c>
      <c r="E100" s="26">
        <v>65</v>
      </c>
    </row>
    <row r="101" spans="1:5" x14ac:dyDescent="0.3">
      <c r="A101" s="24">
        <v>42</v>
      </c>
      <c r="B101" s="26">
        <v>170</v>
      </c>
      <c r="D101" s="24">
        <v>137</v>
      </c>
      <c r="E101" s="26">
        <v>65</v>
      </c>
    </row>
    <row r="102" spans="1:5" x14ac:dyDescent="0.3">
      <c r="A102" s="24">
        <v>52</v>
      </c>
      <c r="B102" s="26">
        <v>170</v>
      </c>
      <c r="D102" s="24">
        <v>152</v>
      </c>
      <c r="E102" s="26">
        <v>65</v>
      </c>
    </row>
    <row r="103" spans="1:5" x14ac:dyDescent="0.3">
      <c r="A103" s="24">
        <v>58</v>
      </c>
      <c r="B103" s="26">
        <v>170</v>
      </c>
      <c r="D103" s="24">
        <v>155</v>
      </c>
      <c r="E103" s="26">
        <v>65</v>
      </c>
    </row>
    <row r="104" spans="1:5" x14ac:dyDescent="0.3">
      <c r="A104" s="24">
        <v>59</v>
      </c>
      <c r="B104" s="26">
        <v>170</v>
      </c>
      <c r="D104" s="24">
        <v>161</v>
      </c>
      <c r="E104" s="26">
        <v>65</v>
      </c>
    </row>
    <row r="105" spans="1:5" x14ac:dyDescent="0.3">
      <c r="A105" s="24">
        <v>65</v>
      </c>
      <c r="B105" s="26">
        <v>170</v>
      </c>
      <c r="D105" s="24">
        <v>162</v>
      </c>
      <c r="E105" s="26">
        <v>65</v>
      </c>
    </row>
    <row r="106" spans="1:5" x14ac:dyDescent="0.3">
      <c r="A106" s="24">
        <v>98</v>
      </c>
      <c r="B106" s="26">
        <v>170</v>
      </c>
      <c r="D106" s="24">
        <v>170</v>
      </c>
      <c r="E106" s="26">
        <v>65</v>
      </c>
    </row>
    <row r="107" spans="1:5" x14ac:dyDescent="0.3">
      <c r="A107" s="24">
        <v>105</v>
      </c>
      <c r="B107" s="26">
        <v>170</v>
      </c>
      <c r="D107" s="24">
        <v>173</v>
      </c>
      <c r="E107" s="26">
        <v>65</v>
      </c>
    </row>
    <row r="108" spans="1:5" x14ac:dyDescent="0.3">
      <c r="A108" s="24">
        <v>112</v>
      </c>
      <c r="B108" s="26">
        <v>170</v>
      </c>
      <c r="D108" s="24">
        <v>187</v>
      </c>
      <c r="E108" s="26">
        <v>65</v>
      </c>
    </row>
    <row r="109" spans="1:5" x14ac:dyDescent="0.3">
      <c r="A109" s="24">
        <v>121</v>
      </c>
      <c r="B109" s="26">
        <v>170</v>
      </c>
      <c r="D109" s="24">
        <v>16</v>
      </c>
      <c r="E109" s="26">
        <v>66</v>
      </c>
    </row>
    <row r="110" spans="1:5" x14ac:dyDescent="0.3">
      <c r="A110" s="24">
        <v>127</v>
      </c>
      <c r="B110" s="26">
        <v>170</v>
      </c>
      <c r="D110" s="24">
        <v>36</v>
      </c>
      <c r="E110" s="26">
        <v>66</v>
      </c>
    </row>
    <row r="111" spans="1:5" x14ac:dyDescent="0.3">
      <c r="A111" s="24">
        <v>143</v>
      </c>
      <c r="B111" s="26">
        <v>170</v>
      </c>
      <c r="D111" s="24">
        <v>39</v>
      </c>
      <c r="E111" s="26">
        <v>66</v>
      </c>
    </row>
    <row r="112" spans="1:5" x14ac:dyDescent="0.3">
      <c r="A112" s="24">
        <v>152</v>
      </c>
      <c r="B112" s="26">
        <v>170</v>
      </c>
      <c r="D112" s="24">
        <v>51</v>
      </c>
      <c r="E112" s="26">
        <v>66</v>
      </c>
    </row>
    <row r="113" spans="1:5" x14ac:dyDescent="0.3">
      <c r="A113" s="24">
        <v>161</v>
      </c>
      <c r="B113" s="26">
        <v>170</v>
      </c>
      <c r="D113" s="24">
        <v>54</v>
      </c>
      <c r="E113" s="26">
        <v>66</v>
      </c>
    </row>
    <row r="114" spans="1:5" x14ac:dyDescent="0.3">
      <c r="A114" s="24">
        <v>167</v>
      </c>
      <c r="B114" s="26">
        <v>170</v>
      </c>
      <c r="D114" s="24">
        <v>64</v>
      </c>
      <c r="E114" s="26">
        <v>66</v>
      </c>
    </row>
    <row r="115" spans="1:5" x14ac:dyDescent="0.3">
      <c r="A115" s="24">
        <v>187</v>
      </c>
      <c r="B115" s="26">
        <v>170</v>
      </c>
      <c r="D115" s="24">
        <v>66</v>
      </c>
      <c r="E115" s="26">
        <v>66</v>
      </c>
    </row>
    <row r="116" spans="1:5" x14ac:dyDescent="0.3">
      <c r="A116" s="24">
        <v>200</v>
      </c>
      <c r="B116" s="26">
        <v>170</v>
      </c>
      <c r="D116" s="24">
        <v>115</v>
      </c>
      <c r="E116" s="26">
        <v>66</v>
      </c>
    </row>
    <row r="117" spans="1:5" x14ac:dyDescent="0.3">
      <c r="A117" s="24">
        <v>10</v>
      </c>
      <c r="B117" s="26">
        <v>171</v>
      </c>
      <c r="D117" s="24">
        <v>148</v>
      </c>
      <c r="E117" s="26">
        <v>66</v>
      </c>
    </row>
    <row r="118" spans="1:5" x14ac:dyDescent="0.3">
      <c r="A118" s="24">
        <v>15</v>
      </c>
      <c r="B118" s="26">
        <v>171</v>
      </c>
      <c r="D118" s="24">
        <v>154</v>
      </c>
      <c r="E118" s="26">
        <v>66</v>
      </c>
    </row>
    <row r="119" spans="1:5" x14ac:dyDescent="0.3">
      <c r="A119" s="24">
        <v>23</v>
      </c>
      <c r="B119" s="26">
        <v>171</v>
      </c>
      <c r="D119" s="24">
        <v>168</v>
      </c>
      <c r="E119" s="26">
        <v>66</v>
      </c>
    </row>
    <row r="120" spans="1:5" x14ac:dyDescent="0.3">
      <c r="A120" s="24">
        <v>39</v>
      </c>
      <c r="B120" s="26">
        <v>171</v>
      </c>
      <c r="D120" s="24">
        <v>179</v>
      </c>
      <c r="E120" s="26">
        <v>66</v>
      </c>
    </row>
    <row r="121" spans="1:5" x14ac:dyDescent="0.3">
      <c r="A121" s="24">
        <v>40</v>
      </c>
      <c r="B121" s="26">
        <v>171</v>
      </c>
      <c r="D121" s="24">
        <v>182</v>
      </c>
      <c r="E121" s="26">
        <v>66</v>
      </c>
    </row>
    <row r="122" spans="1:5" x14ac:dyDescent="0.3">
      <c r="A122" s="24">
        <v>54</v>
      </c>
      <c r="B122" s="26">
        <v>171</v>
      </c>
      <c r="D122" s="24">
        <v>190</v>
      </c>
      <c r="E122" s="26">
        <v>66</v>
      </c>
    </row>
    <row r="123" spans="1:5" x14ac:dyDescent="0.3">
      <c r="A123" s="24">
        <v>64</v>
      </c>
      <c r="B123" s="26">
        <v>171</v>
      </c>
      <c r="D123" s="24">
        <v>197</v>
      </c>
      <c r="E123" s="26">
        <v>66</v>
      </c>
    </row>
    <row r="124" spans="1:5" x14ac:dyDescent="0.3">
      <c r="A124" s="24">
        <v>67</v>
      </c>
      <c r="B124" s="26">
        <v>171</v>
      </c>
      <c r="D124" s="24">
        <v>29</v>
      </c>
      <c r="E124" s="26">
        <v>67</v>
      </c>
    </row>
    <row r="125" spans="1:5" x14ac:dyDescent="0.3">
      <c r="A125" s="24">
        <v>71</v>
      </c>
      <c r="B125" s="26">
        <v>171</v>
      </c>
      <c r="D125" s="24">
        <v>42</v>
      </c>
      <c r="E125" s="26">
        <v>67</v>
      </c>
    </row>
    <row r="126" spans="1:5" x14ac:dyDescent="0.3">
      <c r="A126" s="24">
        <v>73</v>
      </c>
      <c r="B126" s="26">
        <v>171</v>
      </c>
      <c r="D126" s="24">
        <v>48</v>
      </c>
      <c r="E126" s="26">
        <v>67</v>
      </c>
    </row>
    <row r="127" spans="1:5" x14ac:dyDescent="0.3">
      <c r="A127" s="24">
        <v>78</v>
      </c>
      <c r="B127" s="26">
        <v>171</v>
      </c>
      <c r="D127" s="24">
        <v>55</v>
      </c>
      <c r="E127" s="26">
        <v>67</v>
      </c>
    </row>
    <row r="128" spans="1:5" x14ac:dyDescent="0.3">
      <c r="A128" s="24">
        <v>85</v>
      </c>
      <c r="B128" s="26">
        <v>171</v>
      </c>
      <c r="D128" s="24">
        <v>82</v>
      </c>
      <c r="E128" s="26">
        <v>67</v>
      </c>
    </row>
    <row r="129" spans="1:5" x14ac:dyDescent="0.3">
      <c r="A129" s="24">
        <v>96</v>
      </c>
      <c r="B129" s="26">
        <v>171</v>
      </c>
      <c r="D129" s="24">
        <v>96</v>
      </c>
      <c r="E129" s="26">
        <v>67</v>
      </c>
    </row>
    <row r="130" spans="1:5" x14ac:dyDescent="0.3">
      <c r="A130" s="24">
        <v>111</v>
      </c>
      <c r="B130" s="26">
        <v>171</v>
      </c>
      <c r="D130" s="24">
        <v>102</v>
      </c>
      <c r="E130" s="26">
        <v>67</v>
      </c>
    </row>
    <row r="131" spans="1:5" x14ac:dyDescent="0.3">
      <c r="A131" s="24">
        <v>115</v>
      </c>
      <c r="B131" s="26">
        <v>171</v>
      </c>
      <c r="D131" s="24">
        <v>110</v>
      </c>
      <c r="E131" s="26">
        <v>67</v>
      </c>
    </row>
    <row r="132" spans="1:5" x14ac:dyDescent="0.3">
      <c r="A132" s="24">
        <v>146</v>
      </c>
      <c r="B132" s="26">
        <v>171</v>
      </c>
      <c r="D132" s="24">
        <v>122</v>
      </c>
      <c r="E132" s="26">
        <v>67</v>
      </c>
    </row>
    <row r="133" spans="1:5" x14ac:dyDescent="0.3">
      <c r="A133" s="24">
        <v>172</v>
      </c>
      <c r="B133" s="26">
        <v>171</v>
      </c>
      <c r="D133" s="24">
        <v>129</v>
      </c>
      <c r="E133" s="26">
        <v>67</v>
      </c>
    </row>
    <row r="134" spans="1:5" x14ac:dyDescent="0.3">
      <c r="A134" s="24">
        <v>179</v>
      </c>
      <c r="B134" s="26">
        <v>171</v>
      </c>
      <c r="D134" s="24">
        <v>132</v>
      </c>
      <c r="E134" s="26">
        <v>67</v>
      </c>
    </row>
    <row r="135" spans="1:5" x14ac:dyDescent="0.3">
      <c r="A135" s="24">
        <v>183</v>
      </c>
      <c r="B135" s="26">
        <v>171</v>
      </c>
      <c r="D135" s="24">
        <v>141</v>
      </c>
      <c r="E135" s="26">
        <v>67</v>
      </c>
    </row>
    <row r="136" spans="1:5" x14ac:dyDescent="0.3">
      <c r="A136" s="24">
        <v>193</v>
      </c>
      <c r="B136" s="26">
        <v>171</v>
      </c>
      <c r="D136" s="24">
        <v>145</v>
      </c>
      <c r="E136" s="26">
        <v>67</v>
      </c>
    </row>
    <row r="137" spans="1:5" x14ac:dyDescent="0.3">
      <c r="A137" s="24">
        <v>48</v>
      </c>
      <c r="B137" s="26">
        <v>172</v>
      </c>
      <c r="D137" s="24">
        <v>147</v>
      </c>
      <c r="E137" s="26">
        <v>67</v>
      </c>
    </row>
    <row r="138" spans="1:5" x14ac:dyDescent="0.3">
      <c r="A138" s="24">
        <v>55</v>
      </c>
      <c r="B138" s="26">
        <v>172</v>
      </c>
      <c r="D138" s="24">
        <v>157</v>
      </c>
      <c r="E138" s="26">
        <v>67</v>
      </c>
    </row>
    <row r="139" spans="1:5" x14ac:dyDescent="0.3">
      <c r="A139" s="24">
        <v>72</v>
      </c>
      <c r="B139" s="26">
        <v>172</v>
      </c>
      <c r="D139" s="24">
        <v>176</v>
      </c>
      <c r="E139" s="26">
        <v>67</v>
      </c>
    </row>
    <row r="140" spans="1:5" x14ac:dyDescent="0.3">
      <c r="A140" s="24">
        <v>76</v>
      </c>
      <c r="B140" s="26">
        <v>172</v>
      </c>
      <c r="D140" s="24">
        <v>185</v>
      </c>
      <c r="E140" s="26">
        <v>67</v>
      </c>
    </row>
    <row r="141" spans="1:5" x14ac:dyDescent="0.3">
      <c r="A141" s="24">
        <v>94</v>
      </c>
      <c r="B141" s="26">
        <v>172</v>
      </c>
      <c r="D141" s="24">
        <v>47</v>
      </c>
      <c r="E141" s="26">
        <v>68</v>
      </c>
    </row>
    <row r="142" spans="1:5" x14ac:dyDescent="0.3">
      <c r="A142" s="24">
        <v>100</v>
      </c>
      <c r="B142" s="26">
        <v>172</v>
      </c>
      <c r="D142" s="24">
        <v>84</v>
      </c>
      <c r="E142" s="26">
        <v>68</v>
      </c>
    </row>
    <row r="143" spans="1:5" x14ac:dyDescent="0.3">
      <c r="A143" s="24">
        <v>124</v>
      </c>
      <c r="B143" s="26">
        <v>172</v>
      </c>
      <c r="D143" s="24">
        <v>98</v>
      </c>
      <c r="E143" s="26">
        <v>68</v>
      </c>
    </row>
    <row r="144" spans="1:5" x14ac:dyDescent="0.3">
      <c r="A144" s="24">
        <v>141</v>
      </c>
      <c r="B144" s="26">
        <v>172</v>
      </c>
      <c r="D144" s="24">
        <v>105</v>
      </c>
      <c r="E144" s="26">
        <v>68</v>
      </c>
    </row>
    <row r="145" spans="1:5" x14ac:dyDescent="0.3">
      <c r="A145" s="24">
        <v>154</v>
      </c>
      <c r="B145" s="26">
        <v>172</v>
      </c>
      <c r="D145" s="24">
        <v>119</v>
      </c>
      <c r="E145" s="26">
        <v>68</v>
      </c>
    </row>
    <row r="146" spans="1:5" x14ac:dyDescent="0.3">
      <c r="A146" s="24">
        <v>157</v>
      </c>
      <c r="B146" s="26">
        <v>172</v>
      </c>
      <c r="D146" s="24">
        <v>134</v>
      </c>
      <c r="E146" s="26">
        <v>68</v>
      </c>
    </row>
    <row r="147" spans="1:5" x14ac:dyDescent="0.3">
      <c r="A147" s="24">
        <v>12</v>
      </c>
      <c r="B147" s="26">
        <v>173</v>
      </c>
      <c r="D147" s="24">
        <v>174</v>
      </c>
      <c r="E147" s="26">
        <v>68</v>
      </c>
    </row>
    <row r="148" spans="1:5" x14ac:dyDescent="0.3">
      <c r="A148" s="24">
        <v>16</v>
      </c>
      <c r="B148" s="26">
        <v>173</v>
      </c>
      <c r="D148" s="24">
        <v>20</v>
      </c>
      <c r="E148" s="26">
        <v>69</v>
      </c>
    </row>
    <row r="149" spans="1:5" x14ac:dyDescent="0.3">
      <c r="A149" s="24">
        <v>21</v>
      </c>
      <c r="B149" s="26">
        <v>173</v>
      </c>
      <c r="D149" s="24">
        <v>26</v>
      </c>
      <c r="E149" s="26">
        <v>69</v>
      </c>
    </row>
    <row r="150" spans="1:5" x14ac:dyDescent="0.3">
      <c r="A150" s="24">
        <v>26</v>
      </c>
      <c r="B150" s="26">
        <v>173</v>
      </c>
      <c r="D150" s="24">
        <v>59</v>
      </c>
      <c r="E150" s="26">
        <v>69</v>
      </c>
    </row>
    <row r="151" spans="1:5" x14ac:dyDescent="0.3">
      <c r="A151" s="24">
        <v>36</v>
      </c>
      <c r="B151" s="26">
        <v>173</v>
      </c>
      <c r="D151" s="24">
        <v>61</v>
      </c>
      <c r="E151" s="26">
        <v>69</v>
      </c>
    </row>
    <row r="152" spans="1:5" x14ac:dyDescent="0.3">
      <c r="A152" s="24">
        <v>74</v>
      </c>
      <c r="B152" s="26">
        <v>173</v>
      </c>
      <c r="D152" s="24">
        <v>65</v>
      </c>
      <c r="E152" s="26">
        <v>69</v>
      </c>
    </row>
    <row r="153" spans="1:5" x14ac:dyDescent="0.3">
      <c r="A153" s="24">
        <v>77</v>
      </c>
      <c r="B153" s="26">
        <v>173</v>
      </c>
      <c r="D153" s="24">
        <v>125</v>
      </c>
      <c r="E153" s="26">
        <v>69</v>
      </c>
    </row>
    <row r="154" spans="1:5" x14ac:dyDescent="0.3">
      <c r="A154" s="24">
        <v>125</v>
      </c>
      <c r="B154" s="26">
        <v>173</v>
      </c>
      <c r="D154" s="24">
        <v>194</v>
      </c>
      <c r="E154" s="26">
        <v>69</v>
      </c>
    </row>
    <row r="155" spans="1:5" x14ac:dyDescent="0.3">
      <c r="A155" s="24">
        <v>144</v>
      </c>
      <c r="B155" s="26">
        <v>173</v>
      </c>
      <c r="D155" s="24">
        <v>12</v>
      </c>
      <c r="E155" s="26">
        <v>70</v>
      </c>
    </row>
    <row r="156" spans="1:5" x14ac:dyDescent="0.3">
      <c r="A156" s="24">
        <v>159</v>
      </c>
      <c r="B156" s="26">
        <v>173</v>
      </c>
      <c r="D156" s="24">
        <v>25</v>
      </c>
      <c r="E156" s="26">
        <v>70</v>
      </c>
    </row>
    <row r="157" spans="1:5" x14ac:dyDescent="0.3">
      <c r="A157" s="24">
        <v>164</v>
      </c>
      <c r="B157" s="26">
        <v>173</v>
      </c>
      <c r="D157" s="24">
        <v>41</v>
      </c>
      <c r="E157" s="26">
        <v>70</v>
      </c>
    </row>
    <row r="158" spans="1:5" x14ac:dyDescent="0.3">
      <c r="A158" s="24">
        <v>194</v>
      </c>
      <c r="B158" s="26">
        <v>173</v>
      </c>
      <c r="D158" s="24">
        <v>71</v>
      </c>
      <c r="E158" s="26">
        <v>70</v>
      </c>
    </row>
    <row r="159" spans="1:5" x14ac:dyDescent="0.3">
      <c r="A159" s="24">
        <v>24</v>
      </c>
      <c r="B159" s="26">
        <v>174</v>
      </c>
      <c r="D159" s="24">
        <v>73</v>
      </c>
      <c r="E159" s="26">
        <v>70</v>
      </c>
    </row>
    <row r="160" spans="1:5" x14ac:dyDescent="0.3">
      <c r="A160" s="24">
        <v>32</v>
      </c>
      <c r="B160" s="26">
        <v>174</v>
      </c>
      <c r="D160" s="24">
        <v>94</v>
      </c>
      <c r="E160" s="26">
        <v>70</v>
      </c>
    </row>
    <row r="161" spans="1:5" x14ac:dyDescent="0.3">
      <c r="A161" s="24">
        <v>61</v>
      </c>
      <c r="B161" s="26">
        <v>174</v>
      </c>
      <c r="D161" s="24">
        <v>101</v>
      </c>
      <c r="E161" s="26">
        <v>70</v>
      </c>
    </row>
    <row r="162" spans="1:5" x14ac:dyDescent="0.3">
      <c r="A162" s="24">
        <v>70</v>
      </c>
      <c r="B162" s="26">
        <v>174</v>
      </c>
      <c r="D162" s="24">
        <v>183</v>
      </c>
      <c r="E162" s="26">
        <v>70</v>
      </c>
    </row>
    <row r="163" spans="1:5" x14ac:dyDescent="0.3">
      <c r="A163" s="24">
        <v>84</v>
      </c>
      <c r="B163" s="26">
        <v>174</v>
      </c>
      <c r="D163" s="24">
        <v>198</v>
      </c>
      <c r="E163" s="26">
        <v>70</v>
      </c>
    </row>
    <row r="164" spans="1:5" x14ac:dyDescent="0.3">
      <c r="A164" s="24">
        <v>122</v>
      </c>
      <c r="B164" s="26">
        <v>174</v>
      </c>
      <c r="D164" s="24">
        <v>22</v>
      </c>
      <c r="E164" s="26">
        <v>71</v>
      </c>
    </row>
    <row r="165" spans="1:5" x14ac:dyDescent="0.3">
      <c r="A165" s="24">
        <v>82</v>
      </c>
      <c r="B165" s="26">
        <v>175</v>
      </c>
      <c r="D165" s="24">
        <v>90</v>
      </c>
      <c r="E165" s="26">
        <v>71</v>
      </c>
    </row>
    <row r="166" spans="1:5" x14ac:dyDescent="0.3">
      <c r="A166" s="24">
        <v>108</v>
      </c>
      <c r="B166" s="26">
        <v>175</v>
      </c>
      <c r="D166" s="24">
        <v>131</v>
      </c>
      <c r="E166" s="26">
        <v>71</v>
      </c>
    </row>
    <row r="167" spans="1:5" x14ac:dyDescent="0.3">
      <c r="A167" s="24">
        <v>110</v>
      </c>
      <c r="B167" s="26">
        <v>175</v>
      </c>
      <c r="D167" s="24">
        <v>150</v>
      </c>
      <c r="E167" s="26">
        <v>71</v>
      </c>
    </row>
    <row r="168" spans="1:5" x14ac:dyDescent="0.3">
      <c r="A168" s="24">
        <v>158</v>
      </c>
      <c r="B168" s="26">
        <v>175</v>
      </c>
      <c r="D168" s="24">
        <v>166</v>
      </c>
      <c r="E168" s="26">
        <v>71</v>
      </c>
    </row>
    <row r="169" spans="1:5" x14ac:dyDescent="0.3">
      <c r="A169" s="24">
        <v>81</v>
      </c>
      <c r="B169" s="26">
        <v>176</v>
      </c>
      <c r="D169" s="24">
        <v>95</v>
      </c>
      <c r="E169" s="26">
        <v>72</v>
      </c>
    </row>
    <row r="170" spans="1:5" x14ac:dyDescent="0.3">
      <c r="A170" s="24">
        <v>86</v>
      </c>
      <c r="B170" s="26">
        <v>176</v>
      </c>
      <c r="D170" s="24">
        <v>136</v>
      </c>
      <c r="E170" s="26">
        <v>72</v>
      </c>
    </row>
    <row r="171" spans="1:5" x14ac:dyDescent="0.3">
      <c r="A171" s="24">
        <v>102</v>
      </c>
      <c r="B171" s="26">
        <v>176</v>
      </c>
      <c r="D171" s="24">
        <v>140</v>
      </c>
      <c r="E171" s="26">
        <v>72</v>
      </c>
    </row>
    <row r="172" spans="1:5" x14ac:dyDescent="0.3">
      <c r="A172" s="24">
        <v>118</v>
      </c>
      <c r="B172" s="26">
        <v>176</v>
      </c>
      <c r="D172" s="24">
        <v>144</v>
      </c>
      <c r="E172" s="26">
        <v>72</v>
      </c>
    </row>
    <row r="173" spans="1:5" x14ac:dyDescent="0.3">
      <c r="A173" s="24">
        <v>129</v>
      </c>
      <c r="B173" s="26">
        <v>176</v>
      </c>
      <c r="D173" s="24">
        <v>1</v>
      </c>
      <c r="E173" s="26">
        <v>73</v>
      </c>
    </row>
    <row r="174" spans="1:5" x14ac:dyDescent="0.3">
      <c r="A174" s="24">
        <v>133</v>
      </c>
      <c r="B174" s="26">
        <v>176</v>
      </c>
      <c r="D174" s="24">
        <v>85</v>
      </c>
      <c r="E174" s="26">
        <v>73</v>
      </c>
    </row>
    <row r="175" spans="1:5" x14ac:dyDescent="0.3">
      <c r="A175" s="24">
        <v>136</v>
      </c>
      <c r="B175" s="26">
        <v>176</v>
      </c>
      <c r="D175" s="24">
        <v>100</v>
      </c>
      <c r="E175" s="26">
        <v>73</v>
      </c>
    </row>
    <row r="176" spans="1:5" x14ac:dyDescent="0.3">
      <c r="A176" s="24">
        <v>162</v>
      </c>
      <c r="B176" s="26">
        <v>176</v>
      </c>
      <c r="D176" s="24">
        <v>124</v>
      </c>
      <c r="E176" s="26">
        <v>73</v>
      </c>
    </row>
    <row r="177" spans="1:5" x14ac:dyDescent="0.3">
      <c r="A177" s="24">
        <v>170</v>
      </c>
      <c r="B177" s="26">
        <v>176</v>
      </c>
      <c r="D177" s="24">
        <v>172</v>
      </c>
      <c r="E177" s="26">
        <v>73</v>
      </c>
    </row>
    <row r="178" spans="1:5" x14ac:dyDescent="0.3">
      <c r="A178" s="24">
        <v>29</v>
      </c>
      <c r="B178" s="26">
        <v>177</v>
      </c>
      <c r="D178" s="24">
        <v>180</v>
      </c>
      <c r="E178" s="26">
        <v>73</v>
      </c>
    </row>
    <row r="179" spans="1:5" x14ac:dyDescent="0.3">
      <c r="A179" s="24">
        <v>106</v>
      </c>
      <c r="B179" s="26">
        <v>177</v>
      </c>
      <c r="D179" s="24">
        <v>14</v>
      </c>
      <c r="E179" s="26">
        <v>74</v>
      </c>
    </row>
    <row r="180" spans="1:5" x14ac:dyDescent="0.3">
      <c r="A180" s="24">
        <v>1</v>
      </c>
      <c r="B180" s="26">
        <v>178</v>
      </c>
      <c r="D180" s="24">
        <v>24</v>
      </c>
      <c r="E180" s="26">
        <v>74</v>
      </c>
    </row>
    <row r="181" spans="1:5" x14ac:dyDescent="0.3">
      <c r="A181" s="24">
        <v>20</v>
      </c>
      <c r="B181" s="26">
        <v>178</v>
      </c>
      <c r="D181" s="24">
        <v>70</v>
      </c>
      <c r="E181" s="26">
        <v>74</v>
      </c>
    </row>
    <row r="182" spans="1:5" x14ac:dyDescent="0.3">
      <c r="A182" s="24">
        <v>35</v>
      </c>
      <c r="B182" s="26">
        <v>178</v>
      </c>
      <c r="D182" s="24">
        <v>181</v>
      </c>
      <c r="E182" s="26">
        <v>74</v>
      </c>
    </row>
    <row r="183" spans="1:5" x14ac:dyDescent="0.3">
      <c r="A183" s="24">
        <v>49</v>
      </c>
      <c r="B183" s="26">
        <v>178</v>
      </c>
      <c r="D183" s="24">
        <v>3</v>
      </c>
      <c r="E183" s="26">
        <v>75</v>
      </c>
    </row>
    <row r="184" spans="1:5" x14ac:dyDescent="0.3">
      <c r="A184" s="24">
        <v>150</v>
      </c>
      <c r="B184" s="26">
        <v>178</v>
      </c>
      <c r="D184" s="24">
        <v>19</v>
      </c>
      <c r="E184" s="26">
        <v>75</v>
      </c>
    </row>
    <row r="185" spans="1:5" x14ac:dyDescent="0.3">
      <c r="A185" s="24">
        <v>186</v>
      </c>
      <c r="B185" s="26">
        <v>178</v>
      </c>
      <c r="D185" s="24">
        <v>32</v>
      </c>
      <c r="E185" s="26">
        <v>75</v>
      </c>
    </row>
    <row r="186" spans="1:5" x14ac:dyDescent="0.3">
      <c r="A186" s="24">
        <v>22</v>
      </c>
      <c r="B186" s="26">
        <v>179</v>
      </c>
      <c r="D186" s="24">
        <v>49</v>
      </c>
      <c r="E186" s="26">
        <v>75</v>
      </c>
    </row>
    <row r="187" spans="1:5" x14ac:dyDescent="0.3">
      <c r="A187" s="24">
        <v>37</v>
      </c>
      <c r="B187" s="26">
        <v>179</v>
      </c>
      <c r="D187" s="24">
        <v>77</v>
      </c>
      <c r="E187" s="26">
        <v>75</v>
      </c>
    </row>
    <row r="188" spans="1:5" x14ac:dyDescent="0.3">
      <c r="A188" s="24">
        <v>131</v>
      </c>
      <c r="B188" s="26">
        <v>179</v>
      </c>
      <c r="D188" s="24">
        <v>107</v>
      </c>
      <c r="E188" s="26">
        <v>75</v>
      </c>
    </row>
    <row r="189" spans="1:5" x14ac:dyDescent="0.3">
      <c r="A189" s="24">
        <v>171</v>
      </c>
      <c r="B189" s="26">
        <v>179</v>
      </c>
      <c r="D189" s="24">
        <v>108</v>
      </c>
      <c r="E189" s="26">
        <v>75</v>
      </c>
    </row>
    <row r="190" spans="1:5" x14ac:dyDescent="0.3">
      <c r="A190" s="24">
        <v>75</v>
      </c>
      <c r="B190" s="26">
        <v>180</v>
      </c>
      <c r="D190" s="24">
        <v>121</v>
      </c>
      <c r="E190" s="26">
        <v>75</v>
      </c>
    </row>
    <row r="191" spans="1:5" x14ac:dyDescent="0.3">
      <c r="A191" s="24">
        <v>107</v>
      </c>
      <c r="B191" s="26">
        <v>180</v>
      </c>
      <c r="D191" s="24">
        <v>67</v>
      </c>
      <c r="E191" s="26">
        <v>76</v>
      </c>
    </row>
    <row r="192" spans="1:5" x14ac:dyDescent="0.3">
      <c r="A192" s="24">
        <v>116</v>
      </c>
      <c r="B192" s="26">
        <v>180</v>
      </c>
      <c r="D192" s="24">
        <v>75</v>
      </c>
      <c r="E192" s="26">
        <v>76</v>
      </c>
    </row>
    <row r="193" spans="1:5" x14ac:dyDescent="0.3">
      <c r="A193" s="24">
        <v>51</v>
      </c>
      <c r="B193" s="26">
        <v>182</v>
      </c>
      <c r="D193" s="24">
        <v>167</v>
      </c>
      <c r="E193" s="26">
        <v>76</v>
      </c>
    </row>
    <row r="194" spans="1:5" x14ac:dyDescent="0.3">
      <c r="A194" s="24">
        <v>180</v>
      </c>
      <c r="B194" s="26">
        <v>183</v>
      </c>
      <c r="D194" s="24">
        <v>118</v>
      </c>
      <c r="E194" s="26">
        <v>77</v>
      </c>
    </row>
    <row r="195" spans="1:5" x14ac:dyDescent="0.3">
      <c r="A195" s="24">
        <v>134</v>
      </c>
      <c r="B195" s="26">
        <v>184</v>
      </c>
      <c r="D195" s="24">
        <v>171</v>
      </c>
      <c r="E195" s="26">
        <v>77</v>
      </c>
    </row>
    <row r="196" spans="1:5" x14ac:dyDescent="0.3">
      <c r="A196" s="24">
        <v>174</v>
      </c>
      <c r="B196" s="26">
        <v>184</v>
      </c>
      <c r="D196" s="24">
        <v>160</v>
      </c>
      <c r="E196" s="26">
        <v>78</v>
      </c>
    </row>
    <row r="197" spans="1:5" x14ac:dyDescent="0.3">
      <c r="A197" s="24">
        <v>149</v>
      </c>
      <c r="B197" s="26">
        <v>185</v>
      </c>
      <c r="D197" s="24">
        <v>186</v>
      </c>
      <c r="E197" s="26">
        <v>80</v>
      </c>
    </row>
    <row r="198" spans="1:5" x14ac:dyDescent="0.3">
      <c r="A198" s="24">
        <v>95</v>
      </c>
      <c r="B198" s="26">
        <v>186</v>
      </c>
      <c r="D198" s="24">
        <v>81</v>
      </c>
      <c r="E198" s="26">
        <v>81</v>
      </c>
    </row>
    <row r="199" spans="1:5" x14ac:dyDescent="0.3">
      <c r="A199" s="24">
        <v>140</v>
      </c>
      <c r="B199" s="26">
        <v>186</v>
      </c>
      <c r="D199" s="24">
        <v>149</v>
      </c>
      <c r="E199" s="26">
        <v>82</v>
      </c>
    </row>
    <row r="200" spans="1:5" x14ac:dyDescent="0.3">
      <c r="A200" s="24">
        <v>17</v>
      </c>
      <c r="B200" s="26">
        <v>187</v>
      </c>
      <c r="D200" s="24">
        <v>17</v>
      </c>
      <c r="E200" s="26">
        <v>84</v>
      </c>
    </row>
    <row r="201" spans="1:5" x14ac:dyDescent="0.3">
      <c r="A201" s="24">
        <v>97</v>
      </c>
      <c r="B201" s="26">
        <v>187</v>
      </c>
      <c r="D201" s="24">
        <v>97</v>
      </c>
      <c r="E201" s="26">
        <v>84</v>
      </c>
    </row>
  </sheetData>
  <sortState xmlns:xlrd2="http://schemas.microsoft.com/office/spreadsheetml/2017/richdata2" ref="D2:E204">
    <sortCondition ref="E2:E20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06B8-9AA8-45B8-A7B5-B4C67A71B335}">
  <dimension ref="A1:V12"/>
  <sheetViews>
    <sheetView workbookViewId="0">
      <selection activeCell="E13" sqref="E13"/>
    </sheetView>
  </sheetViews>
  <sheetFormatPr defaultRowHeight="14.4" x14ac:dyDescent="0.3"/>
  <cols>
    <col min="1" max="1" width="22.88671875" style="28" bestFit="1" customWidth="1"/>
    <col min="2" max="2" width="9.33203125" style="28" bestFit="1" customWidth="1"/>
    <col min="3" max="4" width="8.88671875" style="28"/>
    <col min="5" max="5" width="16.77734375" style="28" bestFit="1" customWidth="1"/>
    <col min="6" max="6" width="16" style="28" bestFit="1" customWidth="1"/>
    <col min="7" max="8" width="8.88671875" style="28"/>
    <col min="9" max="9" width="18" style="28" bestFit="1" customWidth="1"/>
    <col min="10" max="10" width="17" style="28" bestFit="1" customWidth="1"/>
    <col min="11" max="11" width="8.88671875" style="28"/>
    <col min="12" max="12" width="24" style="28" bestFit="1" customWidth="1"/>
    <col min="13" max="16384" width="8.88671875" style="28"/>
  </cols>
  <sheetData>
    <row r="1" spans="1:22" ht="15" thickBot="1" x14ac:dyDescent="0.35">
      <c r="A1" s="20" t="s">
        <v>5</v>
      </c>
      <c r="B1" s="20" t="s">
        <v>6</v>
      </c>
      <c r="D1" s="55" t="s">
        <v>1</v>
      </c>
      <c r="E1" s="55"/>
      <c r="F1" s="55"/>
      <c r="H1" s="55" t="s">
        <v>2</v>
      </c>
      <c r="I1" s="55"/>
      <c r="J1" s="55"/>
      <c r="L1" s="53" t="s">
        <v>39</v>
      </c>
      <c r="M1" s="53"/>
      <c r="N1" s="53"/>
      <c r="O1" s="53"/>
      <c r="P1" s="53"/>
      <c r="Q1" s="53"/>
      <c r="R1" s="53"/>
      <c r="S1" s="53"/>
      <c r="T1" s="53"/>
      <c r="U1" s="53"/>
      <c r="V1" s="53"/>
    </row>
    <row r="2" spans="1:22" ht="15" thickBot="1" x14ac:dyDescent="0.35">
      <c r="A2" s="54" t="s">
        <v>11</v>
      </c>
      <c r="B2" s="54"/>
      <c r="D2" s="12" t="s">
        <v>0</v>
      </c>
      <c r="E2" s="12" t="s">
        <v>12</v>
      </c>
      <c r="F2" s="12" t="s">
        <v>13</v>
      </c>
      <c r="H2" s="12" t="s">
        <v>0</v>
      </c>
      <c r="I2" s="12" t="s">
        <v>12</v>
      </c>
      <c r="J2" s="12" t="s">
        <v>13</v>
      </c>
      <c r="L2" s="11" t="s">
        <v>35</v>
      </c>
      <c r="M2" s="29">
        <f>$E$3</f>
        <v>156</v>
      </c>
      <c r="N2" s="29">
        <f>$E$4</f>
        <v>159.1</v>
      </c>
      <c r="O2" s="29">
        <f>$E$5</f>
        <v>162.19999999999999</v>
      </c>
      <c r="P2" s="29">
        <f>$E$6</f>
        <v>165.29999999999998</v>
      </c>
      <c r="Q2" s="29">
        <f>$E$7</f>
        <v>168.39999999999998</v>
      </c>
      <c r="R2" s="29">
        <f>$E$8</f>
        <v>171.49999999999997</v>
      </c>
      <c r="S2" s="29">
        <f>$E$9</f>
        <v>174.59999999999997</v>
      </c>
      <c r="T2" s="29">
        <f>$E$10</f>
        <v>177.69999999999996</v>
      </c>
      <c r="U2" s="29">
        <f>$E$11</f>
        <v>180.79999999999995</v>
      </c>
      <c r="V2" s="29">
        <f>$E$12</f>
        <v>183.89999999999995</v>
      </c>
    </row>
    <row r="3" spans="1:22" ht="15" thickBot="1" x14ac:dyDescent="0.35">
      <c r="A3" s="10" t="s">
        <v>7</v>
      </c>
      <c r="B3" s="17">
        <v>10</v>
      </c>
      <c r="D3" s="28">
        <v>1</v>
      </c>
      <c r="E3" s="30">
        <f>РОСТ_МИН</f>
        <v>156</v>
      </c>
      <c r="F3" s="30">
        <f>E3+РОСТ_РАЗМЕР_ИНТЕРВАЛА</f>
        <v>159.1</v>
      </c>
      <c r="H3" s="28">
        <v>1</v>
      </c>
      <c r="I3" s="28">
        <f>ВЕС_МИН</f>
        <v>48</v>
      </c>
      <c r="J3" s="28">
        <f t="shared" ref="J3:J12" si="0">I3 + ВЕС_РАЗМЕР_ИНТЕРВАЛА</f>
        <v>51.6</v>
      </c>
      <c r="L3" s="11" t="s">
        <v>36</v>
      </c>
      <c r="M3" s="29">
        <f>$F$3</f>
        <v>159.1</v>
      </c>
      <c r="N3" s="29">
        <f>$F$4</f>
        <v>162.19999999999999</v>
      </c>
      <c r="O3" s="29">
        <f>$F$5</f>
        <v>165.29999999999998</v>
      </c>
      <c r="P3" s="29">
        <f>$F$6</f>
        <v>168.39999999999998</v>
      </c>
      <c r="Q3" s="29">
        <f>$F$7</f>
        <v>171.49999999999997</v>
      </c>
      <c r="R3" s="29">
        <f>$F$8</f>
        <v>174.59999999999997</v>
      </c>
      <c r="S3" s="29">
        <f>$F$9</f>
        <v>177.69999999999996</v>
      </c>
      <c r="T3" s="29">
        <f>$F$10</f>
        <v>180.79999999999995</v>
      </c>
      <c r="U3" s="29">
        <f>$F$11</f>
        <v>183.89999999999995</v>
      </c>
      <c r="V3" s="29">
        <f>$F$12</f>
        <v>186.99999999999994</v>
      </c>
    </row>
    <row r="4" spans="1:22" x14ac:dyDescent="0.3">
      <c r="A4" s="54" t="s">
        <v>1</v>
      </c>
      <c r="B4" s="54"/>
      <c r="D4" s="28">
        <v>2</v>
      </c>
      <c r="E4" s="30">
        <f>F3</f>
        <v>159.1</v>
      </c>
      <c r="F4" s="30">
        <f>E4+РОСТ_РАЗМЕР_ИНТЕРВАЛА</f>
        <v>162.19999999999999</v>
      </c>
      <c r="H4" s="28">
        <v>2</v>
      </c>
      <c r="I4" s="28">
        <f>J3</f>
        <v>51.6</v>
      </c>
      <c r="J4" s="28">
        <f t="shared" si="0"/>
        <v>55.2</v>
      </c>
      <c r="L4" s="11" t="s">
        <v>37</v>
      </c>
      <c r="M4" s="29">
        <f>$I$3</f>
        <v>48</v>
      </c>
      <c r="N4" s="29">
        <f>$I$4</f>
        <v>51.6</v>
      </c>
      <c r="O4" s="29">
        <f>$I$5</f>
        <v>55.2</v>
      </c>
      <c r="P4" s="29">
        <f>$I$6</f>
        <v>58.800000000000004</v>
      </c>
      <c r="Q4" s="29">
        <f>$I$7</f>
        <v>62.400000000000006</v>
      </c>
      <c r="R4" s="29">
        <f>$I$8</f>
        <v>66</v>
      </c>
      <c r="S4" s="29">
        <f>$I$9</f>
        <v>69.599999999999994</v>
      </c>
      <c r="T4" s="29">
        <f>$I$10</f>
        <v>73.199999999999989</v>
      </c>
      <c r="U4" s="29">
        <f>$I$11</f>
        <v>76.799999999999983</v>
      </c>
      <c r="V4" s="29">
        <f>$I$12</f>
        <v>80.399999999999977</v>
      </c>
    </row>
    <row r="5" spans="1:22" x14ac:dyDescent="0.3">
      <c r="A5" s="28" t="s">
        <v>9</v>
      </c>
      <c r="B5" s="31">
        <f>MAX(ДАННЫЕ_РОСТ)</f>
        <v>187</v>
      </c>
      <c r="D5" s="28">
        <v>3</v>
      </c>
      <c r="E5" s="30">
        <f t="shared" ref="E5:E12" si="1">F4</f>
        <v>162.19999999999999</v>
      </c>
      <c r="F5" s="30">
        <f t="shared" ref="F5:F12" si="2">E5+РОСТ_РАЗМЕР_ИНТЕРВАЛА</f>
        <v>165.29999999999998</v>
      </c>
      <c r="H5" s="28">
        <v>3</v>
      </c>
      <c r="I5" s="28">
        <f t="shared" ref="I5:I12" si="3">J4</f>
        <v>55.2</v>
      </c>
      <c r="J5" s="28">
        <f t="shared" si="0"/>
        <v>58.800000000000004</v>
      </c>
      <c r="L5" s="11" t="s">
        <v>38</v>
      </c>
      <c r="M5" s="29">
        <f>$J$3</f>
        <v>51.6</v>
      </c>
      <c r="N5" s="29">
        <f>$J$4</f>
        <v>55.2</v>
      </c>
      <c r="O5" s="29">
        <f>$J$5</f>
        <v>58.800000000000004</v>
      </c>
      <c r="P5" s="29">
        <f>$J$6</f>
        <v>62.400000000000006</v>
      </c>
      <c r="Q5" s="29">
        <f>$J$7</f>
        <v>66</v>
      </c>
      <c r="R5" s="29">
        <f>$J$8</f>
        <v>69.599999999999994</v>
      </c>
      <c r="S5" s="29">
        <f>$J$9</f>
        <v>73.199999999999989</v>
      </c>
      <c r="T5" s="29">
        <f>$J$10</f>
        <v>76.799999999999983</v>
      </c>
      <c r="U5" s="29">
        <f>$J$11</f>
        <v>80.399999999999977</v>
      </c>
      <c r="V5" s="29">
        <f>$J$12</f>
        <v>83.999999999999972</v>
      </c>
    </row>
    <row r="6" spans="1:22" x14ac:dyDescent="0.3">
      <c r="A6" s="28" t="s">
        <v>10</v>
      </c>
      <c r="B6" s="31">
        <f>MIN(ДАННЫЕ_РОСТ)</f>
        <v>156</v>
      </c>
      <c r="D6" s="28">
        <v>4</v>
      </c>
      <c r="E6" s="30">
        <f t="shared" si="1"/>
        <v>165.29999999999998</v>
      </c>
      <c r="F6" s="30">
        <f t="shared" si="2"/>
        <v>168.39999999999998</v>
      </c>
      <c r="H6" s="28">
        <v>4</v>
      </c>
      <c r="I6" s="28">
        <f t="shared" si="3"/>
        <v>58.800000000000004</v>
      </c>
      <c r="J6" s="28">
        <f t="shared" si="0"/>
        <v>62.400000000000006</v>
      </c>
    </row>
    <row r="7" spans="1:22" ht="15" thickBot="1" x14ac:dyDescent="0.35">
      <c r="A7" s="32" t="s">
        <v>8</v>
      </c>
      <c r="B7" s="33">
        <f>(РОСТ_МАКС - РОСТ_МИН) / ОБЩЕЕ_КОЛИЧЕСТВО_ИНТЕРВАЛОВ</f>
        <v>3.1</v>
      </c>
      <c r="D7" s="28">
        <v>5</v>
      </c>
      <c r="E7" s="30">
        <f t="shared" si="1"/>
        <v>168.39999999999998</v>
      </c>
      <c r="F7" s="30">
        <f t="shared" si="2"/>
        <v>171.49999999999997</v>
      </c>
      <c r="H7" s="28">
        <v>5</v>
      </c>
      <c r="I7" s="28">
        <f t="shared" si="3"/>
        <v>62.400000000000006</v>
      </c>
      <c r="J7" s="28">
        <f t="shared" si="0"/>
        <v>66</v>
      </c>
    </row>
    <row r="8" spans="1:22" x14ac:dyDescent="0.3">
      <c r="A8" s="54" t="s">
        <v>2</v>
      </c>
      <c r="B8" s="54"/>
      <c r="D8" s="28">
        <v>6</v>
      </c>
      <c r="E8" s="30">
        <f t="shared" si="1"/>
        <v>171.49999999999997</v>
      </c>
      <c r="F8" s="30">
        <f t="shared" si="2"/>
        <v>174.59999999999997</v>
      </c>
      <c r="H8" s="28">
        <v>6</v>
      </c>
      <c r="I8" s="28">
        <f t="shared" si="3"/>
        <v>66</v>
      </c>
      <c r="J8" s="28">
        <f t="shared" si="0"/>
        <v>69.599999999999994</v>
      </c>
    </row>
    <row r="9" spans="1:22" x14ac:dyDescent="0.3">
      <c r="A9" s="28" t="s">
        <v>9</v>
      </c>
      <c r="B9" s="31">
        <f>MAX(ДАННЫЕ_ВЕС)</f>
        <v>84</v>
      </c>
      <c r="D9" s="28">
        <v>7</v>
      </c>
      <c r="E9" s="30">
        <f t="shared" si="1"/>
        <v>174.59999999999997</v>
      </c>
      <c r="F9" s="30">
        <f t="shared" si="2"/>
        <v>177.69999999999996</v>
      </c>
      <c r="H9" s="28">
        <v>7</v>
      </c>
      <c r="I9" s="28">
        <f t="shared" si="3"/>
        <v>69.599999999999994</v>
      </c>
      <c r="J9" s="28">
        <f t="shared" si="0"/>
        <v>73.199999999999989</v>
      </c>
    </row>
    <row r="10" spans="1:22" x14ac:dyDescent="0.3">
      <c r="A10" s="28" t="s">
        <v>10</v>
      </c>
      <c r="B10" s="31">
        <f>MIN(ДАННЫЕ_ВЕС)</f>
        <v>48</v>
      </c>
      <c r="D10" s="28">
        <v>8</v>
      </c>
      <c r="E10" s="30">
        <f t="shared" si="1"/>
        <v>177.69999999999996</v>
      </c>
      <c r="F10" s="30">
        <f t="shared" si="2"/>
        <v>180.79999999999995</v>
      </c>
      <c r="H10" s="28">
        <v>8</v>
      </c>
      <c r="I10" s="28">
        <f t="shared" si="3"/>
        <v>73.199999999999989</v>
      </c>
      <c r="J10" s="28">
        <f t="shared" si="0"/>
        <v>76.799999999999983</v>
      </c>
    </row>
    <row r="11" spans="1:22" x14ac:dyDescent="0.3">
      <c r="A11" s="28" t="s">
        <v>8</v>
      </c>
      <c r="B11" s="34">
        <f>(ВЕС_МАКС - ВЕС_МИН) / ОБЩЕЕ_КОЛИЧЕСТВО_ИНТЕРВАЛОВ</f>
        <v>3.6</v>
      </c>
      <c r="D11" s="28">
        <v>9</v>
      </c>
      <c r="E11" s="30">
        <f t="shared" si="1"/>
        <v>180.79999999999995</v>
      </c>
      <c r="F11" s="30">
        <f t="shared" si="2"/>
        <v>183.89999999999995</v>
      </c>
      <c r="H11" s="28">
        <v>9</v>
      </c>
      <c r="I11" s="28">
        <f t="shared" si="3"/>
        <v>76.799999999999983</v>
      </c>
      <c r="J11" s="28">
        <f t="shared" si="0"/>
        <v>80.399999999999977</v>
      </c>
    </row>
    <row r="12" spans="1:22" x14ac:dyDescent="0.3">
      <c r="D12" s="28">
        <v>10</v>
      </c>
      <c r="E12" s="30">
        <f t="shared" si="1"/>
        <v>183.89999999999995</v>
      </c>
      <c r="F12" s="30">
        <f t="shared" si="2"/>
        <v>186.99999999999994</v>
      </c>
      <c r="H12" s="28">
        <v>10</v>
      </c>
      <c r="I12" s="28">
        <f t="shared" si="3"/>
        <v>80.399999999999977</v>
      </c>
      <c r="J12" s="28">
        <f t="shared" si="0"/>
        <v>83.999999999999972</v>
      </c>
    </row>
  </sheetData>
  <mergeCells count="6">
    <mergeCell ref="L1:V1"/>
    <mergeCell ref="A4:B4"/>
    <mergeCell ref="A2:B2"/>
    <mergeCell ref="A8:B8"/>
    <mergeCell ref="D1:F1"/>
    <mergeCell ref="H1: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5CC0-B014-44EC-A708-394A33C5AEAA}">
  <dimension ref="A1:U201"/>
  <sheetViews>
    <sheetView workbookViewId="0">
      <selection activeCell="G12" sqref="G12"/>
    </sheetView>
  </sheetViews>
  <sheetFormatPr defaultRowHeight="14.4" x14ac:dyDescent="0.3"/>
  <cols>
    <col min="1" max="1" width="13.88671875" style="28" bestFit="1" customWidth="1"/>
    <col min="2" max="2" width="6" style="28" hidden="1" customWidth="1"/>
    <col min="3" max="3" width="29.5546875" style="28" bestFit="1" customWidth="1"/>
    <col min="4" max="4" width="12.88671875" style="28" bestFit="1" customWidth="1"/>
    <col min="5" max="5" width="0" style="28" hidden="1" customWidth="1"/>
    <col min="6" max="6" width="28.5546875" style="28" bestFit="1" customWidth="1"/>
    <col min="7" max="15" width="8.88671875" style="28"/>
    <col min="16" max="21" width="3" style="28" hidden="1" customWidth="1"/>
    <col min="22" max="16384" width="8.88671875" style="28"/>
  </cols>
  <sheetData>
    <row r="1" spans="1:21" ht="15" thickBot="1" x14ac:dyDescent="0.35">
      <c r="A1" s="20" t="s">
        <v>14</v>
      </c>
      <c r="B1" s="20"/>
      <c r="C1" s="13" t="s">
        <v>63</v>
      </c>
      <c r="D1" s="20" t="s">
        <v>15</v>
      </c>
      <c r="E1" s="32"/>
      <c r="F1" s="20" t="s">
        <v>64</v>
      </c>
    </row>
    <row r="2" spans="1:21" x14ac:dyDescent="0.3">
      <c r="A2" s="35">
        <f>R2</f>
        <v>8</v>
      </c>
      <c r="B2" s="36">
        <f>A2 / 200</f>
        <v>0.04</v>
      </c>
      <c r="C2" s="36">
        <f>B2</f>
        <v>0.04</v>
      </c>
      <c r="D2" s="36">
        <f>U2</f>
        <v>4</v>
      </c>
      <c r="E2" s="36">
        <f>D2/200</f>
        <v>0.02</v>
      </c>
      <c r="F2" s="36">
        <f>E2</f>
        <v>0.02</v>
      </c>
      <c r="P2" s="28">
        <f t="array" ref="P2:P11">COUNTIFS(ДАННЫЕ_РОСТ, "&gt;=" &amp;РОСТ_ВАРИАЦИОННЫЙ_РЯД_НАЧАЛО, ДАННЫЕ_РОСТ, "&lt;=" &amp;РОСТ_ВАРИАЦИОННЫЙ_РЯД_КОНЕЦ)</f>
        <v>8</v>
      </c>
      <c r="Q2" s="28">
        <f t="array" ref="Q2:Q11">COUNTIFS(ДАННЫЕ_РОСТ, "&gt;=" &amp;РОСТ_ВАРИАЦИОННЫЙ_РЯД_НАЧАЛО, ДАННЫЕ_РОСТ, "&lt;" &amp;РОСТ_ВАРИАЦИОННЫЙ_РЯД_КОНЕЦ)</f>
        <v>8</v>
      </c>
      <c r="R2" s="28">
        <f>Q2</f>
        <v>8</v>
      </c>
      <c r="S2" s="28">
        <f t="array" ref="S2:S11">COUNTIFS(ДАННЫЕ_ВЕС, "&gt;=" &amp;ВЕС_ВАРИАЦИОННЫЙ_РЯД_НАЧАЛО, ДАННЫЕ_ВЕС, "&lt;=" &amp;ВЕС_ВАРИАЦИОННЫЙ_РЯД_КОНЕЦ)</f>
        <v>4</v>
      </c>
      <c r="T2" s="28">
        <f t="array" ref="T2:T11">COUNTIFS(ДАННЫЕ_ВЕС, "&gt;=" &amp;ВЕС_ВАРИАЦИОННЫЙ_РЯД_НАЧАЛО, ДАННЫЕ_ВЕС, "&lt;" &amp;ВЕС_ВАРИАЦИОННЫЙ_РЯД_КОНЕЦ)</f>
        <v>4</v>
      </c>
      <c r="U2" s="28">
        <f>T2</f>
        <v>4</v>
      </c>
    </row>
    <row r="3" spans="1:21" x14ac:dyDescent="0.3">
      <c r="A3" s="35">
        <f t="shared" ref="A3:A10" si="0">R3</f>
        <v>14</v>
      </c>
      <c r="B3" s="36">
        <f t="shared" ref="B3:B11" si="1">A3 / 200</f>
        <v>7.0000000000000007E-2</v>
      </c>
      <c r="C3" s="36">
        <f>C2+B3</f>
        <v>0.11000000000000001</v>
      </c>
      <c r="D3" s="36">
        <f t="shared" ref="D3:D11" si="2">U3</f>
        <v>8</v>
      </c>
      <c r="E3" s="36">
        <f t="shared" ref="E3:E11" si="3">D3/200</f>
        <v>0.04</v>
      </c>
      <c r="F3" s="36">
        <f>F2+E3</f>
        <v>0.06</v>
      </c>
      <c r="P3" s="28">
        <v>14</v>
      </c>
      <c r="Q3" s="28">
        <v>14</v>
      </c>
      <c r="R3" s="28">
        <f t="shared" ref="R3:R10" si="4">Q3</f>
        <v>14</v>
      </c>
      <c r="S3" s="28">
        <v>8</v>
      </c>
      <c r="T3" s="28">
        <v>8</v>
      </c>
      <c r="U3" s="28">
        <f t="shared" ref="U3:U10" si="5">T3</f>
        <v>8</v>
      </c>
    </row>
    <row r="4" spans="1:21" x14ac:dyDescent="0.3">
      <c r="A4" s="35">
        <f t="shared" si="0"/>
        <v>27</v>
      </c>
      <c r="B4" s="36">
        <f t="shared" si="1"/>
        <v>0.13500000000000001</v>
      </c>
      <c r="C4" s="36">
        <f t="shared" ref="C4:C11" si="6">C3+B4</f>
        <v>0.24500000000000002</v>
      </c>
      <c r="D4" s="36">
        <f t="shared" si="2"/>
        <v>17</v>
      </c>
      <c r="E4" s="36">
        <f t="shared" si="3"/>
        <v>8.5000000000000006E-2</v>
      </c>
      <c r="F4" s="36">
        <f t="shared" ref="F4:F11" si="7">F3+E4</f>
        <v>0.14500000000000002</v>
      </c>
      <c r="P4" s="28">
        <v>27</v>
      </c>
      <c r="Q4" s="28">
        <v>27</v>
      </c>
      <c r="R4" s="28">
        <f t="shared" si="4"/>
        <v>27</v>
      </c>
      <c r="S4" s="28">
        <v>17</v>
      </c>
      <c r="T4" s="28">
        <v>17</v>
      </c>
      <c r="U4" s="28">
        <f t="shared" si="5"/>
        <v>17</v>
      </c>
    </row>
    <row r="5" spans="1:21" x14ac:dyDescent="0.3">
      <c r="A5" s="35">
        <f t="shared" si="0"/>
        <v>38</v>
      </c>
      <c r="B5" s="36">
        <f t="shared" si="1"/>
        <v>0.19</v>
      </c>
      <c r="C5" s="36">
        <f t="shared" si="6"/>
        <v>0.43500000000000005</v>
      </c>
      <c r="D5" s="36">
        <f t="shared" si="2"/>
        <v>44</v>
      </c>
      <c r="E5" s="36">
        <f t="shared" si="3"/>
        <v>0.22</v>
      </c>
      <c r="F5" s="36">
        <f t="shared" si="7"/>
        <v>0.36499999999999999</v>
      </c>
      <c r="P5" s="28">
        <v>38</v>
      </c>
      <c r="Q5" s="28">
        <v>38</v>
      </c>
      <c r="R5" s="28">
        <f t="shared" si="4"/>
        <v>38</v>
      </c>
      <c r="S5" s="28">
        <v>44</v>
      </c>
      <c r="T5" s="28">
        <v>44</v>
      </c>
      <c r="U5" s="28">
        <f t="shared" si="5"/>
        <v>44</v>
      </c>
    </row>
    <row r="6" spans="1:21" x14ac:dyDescent="0.3">
      <c r="A6" s="35">
        <f t="shared" si="0"/>
        <v>48</v>
      </c>
      <c r="B6" s="36">
        <f t="shared" si="1"/>
        <v>0.24</v>
      </c>
      <c r="C6" s="36">
        <f t="shared" si="6"/>
        <v>0.67500000000000004</v>
      </c>
      <c r="D6" s="36">
        <f t="shared" si="2"/>
        <v>34</v>
      </c>
      <c r="E6" s="36">
        <f t="shared" si="3"/>
        <v>0.17</v>
      </c>
      <c r="F6" s="36">
        <f t="shared" si="7"/>
        <v>0.53500000000000003</v>
      </c>
      <c r="P6" s="28">
        <v>48</v>
      </c>
      <c r="Q6" s="28">
        <v>48</v>
      </c>
      <c r="R6" s="28">
        <f t="shared" si="4"/>
        <v>48</v>
      </c>
      <c r="S6" s="28">
        <v>49</v>
      </c>
      <c r="T6" s="28">
        <v>34</v>
      </c>
      <c r="U6" s="28">
        <f t="shared" si="5"/>
        <v>34</v>
      </c>
    </row>
    <row r="7" spans="1:21" x14ac:dyDescent="0.3">
      <c r="A7" s="35">
        <f t="shared" si="0"/>
        <v>28</v>
      </c>
      <c r="B7" s="36">
        <f t="shared" si="1"/>
        <v>0.14000000000000001</v>
      </c>
      <c r="C7" s="36">
        <f t="shared" si="6"/>
        <v>0.81500000000000006</v>
      </c>
      <c r="D7" s="36">
        <f t="shared" si="2"/>
        <v>46</v>
      </c>
      <c r="E7" s="36">
        <f t="shared" si="3"/>
        <v>0.23</v>
      </c>
      <c r="F7" s="36">
        <f t="shared" si="7"/>
        <v>0.76500000000000001</v>
      </c>
      <c r="P7" s="28">
        <v>28</v>
      </c>
      <c r="Q7" s="28">
        <v>28</v>
      </c>
      <c r="R7" s="28">
        <f t="shared" si="4"/>
        <v>28</v>
      </c>
      <c r="S7" s="28">
        <v>46</v>
      </c>
      <c r="T7" s="28">
        <v>46</v>
      </c>
      <c r="U7" s="28">
        <f t="shared" si="5"/>
        <v>46</v>
      </c>
    </row>
    <row r="8" spans="1:21" x14ac:dyDescent="0.3">
      <c r="A8" s="35">
        <f t="shared" si="0"/>
        <v>15</v>
      </c>
      <c r="B8" s="36">
        <f t="shared" si="1"/>
        <v>7.4999999999999997E-2</v>
      </c>
      <c r="C8" s="36">
        <f t="shared" si="6"/>
        <v>0.89</v>
      </c>
      <c r="D8" s="36">
        <f t="shared" si="2"/>
        <v>24</v>
      </c>
      <c r="E8" s="36">
        <f t="shared" si="3"/>
        <v>0.12</v>
      </c>
      <c r="F8" s="36">
        <f t="shared" si="7"/>
        <v>0.88500000000000001</v>
      </c>
      <c r="P8" s="28">
        <v>15</v>
      </c>
      <c r="Q8" s="28">
        <v>15</v>
      </c>
      <c r="R8" s="28">
        <f t="shared" si="4"/>
        <v>15</v>
      </c>
      <c r="S8" s="28">
        <v>24</v>
      </c>
      <c r="T8" s="28">
        <v>24</v>
      </c>
      <c r="U8" s="28">
        <f t="shared" si="5"/>
        <v>24</v>
      </c>
    </row>
    <row r="9" spans="1:21" x14ac:dyDescent="0.3">
      <c r="A9" s="35">
        <f t="shared" si="0"/>
        <v>13</v>
      </c>
      <c r="B9" s="36">
        <f t="shared" si="1"/>
        <v>6.5000000000000002E-2</v>
      </c>
      <c r="C9" s="36">
        <f t="shared" si="6"/>
        <v>0.95500000000000007</v>
      </c>
      <c r="D9" s="36">
        <f t="shared" si="2"/>
        <v>15</v>
      </c>
      <c r="E9" s="36">
        <f t="shared" si="3"/>
        <v>7.4999999999999997E-2</v>
      </c>
      <c r="F9" s="36">
        <f t="shared" si="7"/>
        <v>0.96</v>
      </c>
      <c r="P9" s="28">
        <v>13</v>
      </c>
      <c r="Q9" s="28">
        <v>13</v>
      </c>
      <c r="R9" s="28">
        <f t="shared" si="4"/>
        <v>13</v>
      </c>
      <c r="S9" s="28">
        <v>15</v>
      </c>
      <c r="T9" s="28">
        <v>15</v>
      </c>
      <c r="U9" s="28">
        <f t="shared" si="5"/>
        <v>15</v>
      </c>
    </row>
    <row r="10" spans="1:21" x14ac:dyDescent="0.3">
      <c r="A10" s="35">
        <f t="shared" si="0"/>
        <v>2</v>
      </c>
      <c r="B10" s="36">
        <f t="shared" si="1"/>
        <v>0.01</v>
      </c>
      <c r="C10" s="36">
        <f t="shared" si="6"/>
        <v>0.96500000000000008</v>
      </c>
      <c r="D10" s="36">
        <f t="shared" si="2"/>
        <v>4</v>
      </c>
      <c r="E10" s="36">
        <f t="shared" si="3"/>
        <v>0.02</v>
      </c>
      <c r="F10" s="36">
        <f t="shared" si="7"/>
        <v>0.98</v>
      </c>
      <c r="P10" s="28">
        <v>2</v>
      </c>
      <c r="Q10" s="28">
        <v>2</v>
      </c>
      <c r="R10" s="28">
        <f t="shared" si="4"/>
        <v>2</v>
      </c>
      <c r="S10" s="28">
        <v>4</v>
      </c>
      <c r="T10" s="28">
        <v>4</v>
      </c>
      <c r="U10" s="28">
        <f t="shared" si="5"/>
        <v>4</v>
      </c>
    </row>
    <row r="11" spans="1:21" x14ac:dyDescent="0.3">
      <c r="A11" s="35">
        <f>R11</f>
        <v>7</v>
      </c>
      <c r="B11" s="36">
        <f t="shared" si="1"/>
        <v>3.5000000000000003E-2</v>
      </c>
      <c r="C11" s="36">
        <f t="shared" si="6"/>
        <v>1</v>
      </c>
      <c r="D11" s="36">
        <f t="shared" si="2"/>
        <v>4</v>
      </c>
      <c r="E11" s="36">
        <f t="shared" si="3"/>
        <v>0.02</v>
      </c>
      <c r="F11" s="36">
        <f t="shared" si="7"/>
        <v>1</v>
      </c>
      <c r="P11" s="28">
        <v>7</v>
      </c>
      <c r="Q11" s="28">
        <v>5</v>
      </c>
      <c r="R11" s="28">
        <f>P11</f>
        <v>7</v>
      </c>
      <c r="S11" s="28">
        <v>4</v>
      </c>
      <c r="T11" s="28">
        <v>2</v>
      </c>
      <c r="U11" s="28">
        <f>S11</f>
        <v>4</v>
      </c>
    </row>
    <row r="12" spans="1:21" x14ac:dyDescent="0.3">
      <c r="U12" s="26"/>
    </row>
    <row r="13" spans="1:21" x14ac:dyDescent="0.3">
      <c r="U13" s="26"/>
    </row>
    <row r="14" spans="1:21" x14ac:dyDescent="0.3">
      <c r="U14" s="26"/>
    </row>
    <row r="15" spans="1:21" x14ac:dyDescent="0.3">
      <c r="U15" s="26"/>
    </row>
    <row r="16" spans="1:21" x14ac:dyDescent="0.3">
      <c r="U16" s="26"/>
    </row>
    <row r="17" spans="21:21" x14ac:dyDescent="0.3">
      <c r="U17" s="26"/>
    </row>
    <row r="18" spans="21:21" x14ac:dyDescent="0.3">
      <c r="U18" s="26"/>
    </row>
    <row r="19" spans="21:21" x14ac:dyDescent="0.3">
      <c r="U19" s="26"/>
    </row>
    <row r="20" spans="21:21" x14ac:dyDescent="0.3">
      <c r="U20" s="26"/>
    </row>
    <row r="21" spans="21:21" x14ac:dyDescent="0.3">
      <c r="U21" s="26"/>
    </row>
    <row r="22" spans="21:21" x14ac:dyDescent="0.3">
      <c r="U22" s="26"/>
    </row>
    <row r="23" spans="21:21" x14ac:dyDescent="0.3">
      <c r="U23" s="26"/>
    </row>
    <row r="24" spans="21:21" x14ac:dyDescent="0.3">
      <c r="U24" s="26"/>
    </row>
    <row r="25" spans="21:21" x14ac:dyDescent="0.3">
      <c r="U25" s="26"/>
    </row>
    <row r="26" spans="21:21" x14ac:dyDescent="0.3">
      <c r="U26" s="26"/>
    </row>
    <row r="27" spans="21:21" x14ac:dyDescent="0.3">
      <c r="U27" s="26"/>
    </row>
    <row r="28" spans="21:21" x14ac:dyDescent="0.3">
      <c r="U28" s="26"/>
    </row>
    <row r="29" spans="21:21" x14ac:dyDescent="0.3">
      <c r="U29" s="26"/>
    </row>
    <row r="30" spans="21:21" x14ac:dyDescent="0.3">
      <c r="U30" s="26"/>
    </row>
    <row r="31" spans="21:21" x14ac:dyDescent="0.3">
      <c r="U31" s="26"/>
    </row>
    <row r="32" spans="21:21" x14ac:dyDescent="0.3">
      <c r="U32" s="26"/>
    </row>
    <row r="33" spans="21:21" x14ac:dyDescent="0.3">
      <c r="U33" s="26"/>
    </row>
    <row r="34" spans="21:21" x14ac:dyDescent="0.3">
      <c r="U34" s="26"/>
    </row>
    <row r="35" spans="21:21" x14ac:dyDescent="0.3">
      <c r="U35" s="26"/>
    </row>
    <row r="36" spans="21:21" x14ac:dyDescent="0.3">
      <c r="U36" s="26"/>
    </row>
    <row r="37" spans="21:21" x14ac:dyDescent="0.3">
      <c r="U37" s="26"/>
    </row>
    <row r="38" spans="21:21" x14ac:dyDescent="0.3">
      <c r="U38" s="26"/>
    </row>
    <row r="39" spans="21:21" x14ac:dyDescent="0.3">
      <c r="U39" s="26"/>
    </row>
    <row r="40" spans="21:21" x14ac:dyDescent="0.3">
      <c r="U40" s="26"/>
    </row>
    <row r="41" spans="21:21" x14ac:dyDescent="0.3">
      <c r="U41" s="26"/>
    </row>
    <row r="42" spans="21:21" x14ac:dyDescent="0.3">
      <c r="U42" s="26"/>
    </row>
    <row r="43" spans="21:21" x14ac:dyDescent="0.3">
      <c r="U43" s="26"/>
    </row>
    <row r="44" spans="21:21" x14ac:dyDescent="0.3">
      <c r="U44" s="26"/>
    </row>
    <row r="45" spans="21:21" x14ac:dyDescent="0.3">
      <c r="U45" s="26"/>
    </row>
    <row r="46" spans="21:21" x14ac:dyDescent="0.3">
      <c r="U46" s="26"/>
    </row>
    <row r="47" spans="21:21" x14ac:dyDescent="0.3">
      <c r="U47" s="26"/>
    </row>
    <row r="48" spans="21:21" x14ac:dyDescent="0.3">
      <c r="U48" s="26"/>
    </row>
    <row r="49" spans="21:21" x14ac:dyDescent="0.3">
      <c r="U49" s="26"/>
    </row>
    <row r="50" spans="21:21" x14ac:dyDescent="0.3">
      <c r="U50" s="26"/>
    </row>
    <row r="51" spans="21:21" x14ac:dyDescent="0.3">
      <c r="U51" s="26"/>
    </row>
    <row r="52" spans="21:21" x14ac:dyDescent="0.3">
      <c r="U52" s="26"/>
    </row>
    <row r="53" spans="21:21" x14ac:dyDescent="0.3">
      <c r="U53" s="26"/>
    </row>
    <row r="54" spans="21:21" x14ac:dyDescent="0.3">
      <c r="U54" s="26"/>
    </row>
    <row r="55" spans="21:21" x14ac:dyDescent="0.3">
      <c r="U55" s="26"/>
    </row>
    <row r="56" spans="21:21" x14ac:dyDescent="0.3">
      <c r="U56" s="26"/>
    </row>
    <row r="57" spans="21:21" x14ac:dyDescent="0.3">
      <c r="U57" s="26"/>
    </row>
    <row r="58" spans="21:21" x14ac:dyDescent="0.3">
      <c r="U58" s="26"/>
    </row>
    <row r="59" spans="21:21" x14ac:dyDescent="0.3">
      <c r="U59" s="26"/>
    </row>
    <row r="60" spans="21:21" x14ac:dyDescent="0.3">
      <c r="U60" s="26"/>
    </row>
    <row r="61" spans="21:21" x14ac:dyDescent="0.3">
      <c r="U61" s="26"/>
    </row>
    <row r="62" spans="21:21" x14ac:dyDescent="0.3">
      <c r="U62" s="26"/>
    </row>
    <row r="63" spans="21:21" x14ac:dyDescent="0.3">
      <c r="U63" s="26"/>
    </row>
    <row r="64" spans="21:21" x14ac:dyDescent="0.3">
      <c r="U64" s="26"/>
    </row>
    <row r="65" spans="21:21" x14ac:dyDescent="0.3">
      <c r="U65" s="26"/>
    </row>
    <row r="66" spans="21:21" x14ac:dyDescent="0.3">
      <c r="U66" s="26"/>
    </row>
    <row r="67" spans="21:21" x14ac:dyDescent="0.3">
      <c r="U67" s="26"/>
    </row>
    <row r="68" spans="21:21" x14ac:dyDescent="0.3">
      <c r="U68" s="26"/>
    </row>
    <row r="69" spans="21:21" x14ac:dyDescent="0.3">
      <c r="U69" s="26"/>
    </row>
    <row r="70" spans="21:21" x14ac:dyDescent="0.3">
      <c r="U70" s="26"/>
    </row>
    <row r="71" spans="21:21" x14ac:dyDescent="0.3">
      <c r="U71" s="26"/>
    </row>
    <row r="72" spans="21:21" x14ac:dyDescent="0.3">
      <c r="U72" s="26"/>
    </row>
    <row r="73" spans="21:21" x14ac:dyDescent="0.3">
      <c r="U73" s="26"/>
    </row>
    <row r="74" spans="21:21" x14ac:dyDescent="0.3">
      <c r="U74" s="26"/>
    </row>
    <row r="75" spans="21:21" x14ac:dyDescent="0.3">
      <c r="U75" s="26"/>
    </row>
    <row r="76" spans="21:21" x14ac:dyDescent="0.3">
      <c r="U76" s="26"/>
    </row>
    <row r="77" spans="21:21" x14ac:dyDescent="0.3">
      <c r="U77" s="26"/>
    </row>
    <row r="78" spans="21:21" x14ac:dyDescent="0.3">
      <c r="U78" s="26"/>
    </row>
    <row r="79" spans="21:21" x14ac:dyDescent="0.3">
      <c r="U79" s="26"/>
    </row>
    <row r="80" spans="21:21" x14ac:dyDescent="0.3">
      <c r="U80" s="26"/>
    </row>
    <row r="81" spans="21:21" x14ac:dyDescent="0.3">
      <c r="U81" s="26"/>
    </row>
    <row r="82" spans="21:21" x14ac:dyDescent="0.3">
      <c r="U82" s="26"/>
    </row>
    <row r="83" spans="21:21" x14ac:dyDescent="0.3">
      <c r="U83" s="26"/>
    </row>
    <row r="84" spans="21:21" x14ac:dyDescent="0.3">
      <c r="U84" s="26"/>
    </row>
    <row r="85" spans="21:21" x14ac:dyDescent="0.3">
      <c r="U85" s="26"/>
    </row>
    <row r="86" spans="21:21" x14ac:dyDescent="0.3">
      <c r="U86" s="26"/>
    </row>
    <row r="87" spans="21:21" x14ac:dyDescent="0.3">
      <c r="U87" s="26"/>
    </row>
    <row r="88" spans="21:21" x14ac:dyDescent="0.3">
      <c r="U88" s="26"/>
    </row>
    <row r="89" spans="21:21" x14ac:dyDescent="0.3">
      <c r="U89" s="26"/>
    </row>
    <row r="90" spans="21:21" x14ac:dyDescent="0.3">
      <c r="U90" s="26"/>
    </row>
    <row r="91" spans="21:21" x14ac:dyDescent="0.3">
      <c r="U91" s="26"/>
    </row>
    <row r="92" spans="21:21" x14ac:dyDescent="0.3">
      <c r="U92" s="26"/>
    </row>
    <row r="93" spans="21:21" x14ac:dyDescent="0.3">
      <c r="U93" s="26"/>
    </row>
    <row r="94" spans="21:21" x14ac:dyDescent="0.3">
      <c r="U94" s="26"/>
    </row>
    <row r="95" spans="21:21" x14ac:dyDescent="0.3">
      <c r="U95" s="26"/>
    </row>
    <row r="96" spans="21:21" x14ac:dyDescent="0.3">
      <c r="U96" s="26"/>
    </row>
    <row r="97" spans="21:21" x14ac:dyDescent="0.3">
      <c r="U97" s="26"/>
    </row>
    <row r="98" spans="21:21" x14ac:dyDescent="0.3">
      <c r="U98" s="26"/>
    </row>
    <row r="99" spans="21:21" x14ac:dyDescent="0.3">
      <c r="U99" s="26"/>
    </row>
    <row r="100" spans="21:21" x14ac:dyDescent="0.3">
      <c r="U100" s="26"/>
    </row>
    <row r="101" spans="21:21" x14ac:dyDescent="0.3">
      <c r="U101" s="26"/>
    </row>
    <row r="102" spans="21:21" x14ac:dyDescent="0.3">
      <c r="U102" s="26"/>
    </row>
    <row r="103" spans="21:21" x14ac:dyDescent="0.3">
      <c r="U103" s="26"/>
    </row>
    <row r="104" spans="21:21" x14ac:dyDescent="0.3">
      <c r="U104" s="26"/>
    </row>
    <row r="105" spans="21:21" x14ac:dyDescent="0.3">
      <c r="U105" s="26"/>
    </row>
    <row r="106" spans="21:21" x14ac:dyDescent="0.3">
      <c r="U106" s="26"/>
    </row>
    <row r="107" spans="21:21" x14ac:dyDescent="0.3">
      <c r="U107" s="26"/>
    </row>
    <row r="108" spans="21:21" x14ac:dyDescent="0.3">
      <c r="U108" s="26"/>
    </row>
    <row r="109" spans="21:21" x14ac:dyDescent="0.3">
      <c r="U109" s="26"/>
    </row>
    <row r="110" spans="21:21" x14ac:dyDescent="0.3">
      <c r="U110" s="26"/>
    </row>
    <row r="111" spans="21:21" x14ac:dyDescent="0.3">
      <c r="U111" s="26"/>
    </row>
    <row r="112" spans="21:21" x14ac:dyDescent="0.3">
      <c r="U112" s="26"/>
    </row>
    <row r="113" spans="21:21" x14ac:dyDescent="0.3">
      <c r="U113" s="26"/>
    </row>
    <row r="114" spans="21:21" x14ac:dyDescent="0.3">
      <c r="U114" s="26"/>
    </row>
    <row r="115" spans="21:21" x14ac:dyDescent="0.3">
      <c r="U115" s="26"/>
    </row>
    <row r="116" spans="21:21" x14ac:dyDescent="0.3">
      <c r="U116" s="26"/>
    </row>
    <row r="117" spans="21:21" x14ac:dyDescent="0.3">
      <c r="U117" s="26"/>
    </row>
    <row r="118" spans="21:21" x14ac:dyDescent="0.3">
      <c r="U118" s="26"/>
    </row>
    <row r="119" spans="21:21" x14ac:dyDescent="0.3">
      <c r="U119" s="26"/>
    </row>
    <row r="120" spans="21:21" x14ac:dyDescent="0.3">
      <c r="U120" s="26"/>
    </row>
    <row r="121" spans="21:21" x14ac:dyDescent="0.3">
      <c r="U121" s="26"/>
    </row>
    <row r="122" spans="21:21" x14ac:dyDescent="0.3">
      <c r="U122" s="26"/>
    </row>
    <row r="123" spans="21:21" x14ac:dyDescent="0.3">
      <c r="U123" s="26"/>
    </row>
    <row r="124" spans="21:21" x14ac:dyDescent="0.3">
      <c r="U124" s="26"/>
    </row>
    <row r="125" spans="21:21" x14ac:dyDescent="0.3">
      <c r="U125" s="26"/>
    </row>
    <row r="126" spans="21:21" x14ac:dyDescent="0.3">
      <c r="U126" s="26"/>
    </row>
    <row r="127" spans="21:21" x14ac:dyDescent="0.3">
      <c r="U127" s="26"/>
    </row>
    <row r="128" spans="21:21" x14ac:dyDescent="0.3">
      <c r="U128" s="26"/>
    </row>
    <row r="129" spans="21:21" x14ac:dyDescent="0.3">
      <c r="U129" s="26"/>
    </row>
    <row r="130" spans="21:21" x14ac:dyDescent="0.3">
      <c r="U130" s="26"/>
    </row>
    <row r="131" spans="21:21" x14ac:dyDescent="0.3">
      <c r="U131" s="26"/>
    </row>
    <row r="132" spans="21:21" x14ac:dyDescent="0.3">
      <c r="U132" s="26"/>
    </row>
    <row r="133" spans="21:21" x14ac:dyDescent="0.3">
      <c r="U133" s="26"/>
    </row>
    <row r="134" spans="21:21" x14ac:dyDescent="0.3">
      <c r="U134" s="26"/>
    </row>
    <row r="135" spans="21:21" x14ac:dyDescent="0.3">
      <c r="U135" s="26"/>
    </row>
    <row r="136" spans="21:21" x14ac:dyDescent="0.3">
      <c r="U136" s="26"/>
    </row>
    <row r="137" spans="21:21" x14ac:dyDescent="0.3">
      <c r="U137" s="26"/>
    </row>
    <row r="138" spans="21:21" x14ac:dyDescent="0.3">
      <c r="U138" s="26"/>
    </row>
    <row r="139" spans="21:21" x14ac:dyDescent="0.3">
      <c r="U139" s="26"/>
    </row>
    <row r="140" spans="21:21" x14ac:dyDescent="0.3">
      <c r="U140" s="26"/>
    </row>
    <row r="141" spans="21:21" x14ac:dyDescent="0.3">
      <c r="U141" s="26"/>
    </row>
    <row r="142" spans="21:21" x14ac:dyDescent="0.3">
      <c r="U142" s="26"/>
    </row>
    <row r="143" spans="21:21" x14ac:dyDescent="0.3">
      <c r="U143" s="26"/>
    </row>
    <row r="144" spans="21:21" x14ac:dyDescent="0.3">
      <c r="U144" s="26"/>
    </row>
    <row r="145" spans="21:21" x14ac:dyDescent="0.3">
      <c r="U145" s="26"/>
    </row>
    <row r="146" spans="21:21" x14ac:dyDescent="0.3">
      <c r="U146" s="26"/>
    </row>
    <row r="147" spans="21:21" x14ac:dyDescent="0.3">
      <c r="U147" s="26"/>
    </row>
    <row r="148" spans="21:21" x14ac:dyDescent="0.3">
      <c r="U148" s="26"/>
    </row>
    <row r="149" spans="21:21" x14ac:dyDescent="0.3">
      <c r="U149" s="26"/>
    </row>
    <row r="150" spans="21:21" x14ac:dyDescent="0.3">
      <c r="U150" s="26"/>
    </row>
    <row r="151" spans="21:21" x14ac:dyDescent="0.3">
      <c r="U151" s="26"/>
    </row>
    <row r="152" spans="21:21" x14ac:dyDescent="0.3">
      <c r="U152" s="26"/>
    </row>
    <row r="153" spans="21:21" x14ac:dyDescent="0.3">
      <c r="U153" s="26"/>
    </row>
    <row r="154" spans="21:21" x14ac:dyDescent="0.3">
      <c r="U154" s="26"/>
    </row>
    <row r="155" spans="21:21" x14ac:dyDescent="0.3">
      <c r="U155" s="26"/>
    </row>
    <row r="156" spans="21:21" x14ac:dyDescent="0.3">
      <c r="U156" s="26"/>
    </row>
    <row r="157" spans="21:21" x14ac:dyDescent="0.3">
      <c r="U157" s="26"/>
    </row>
    <row r="158" spans="21:21" x14ac:dyDescent="0.3">
      <c r="U158" s="26"/>
    </row>
    <row r="159" spans="21:21" x14ac:dyDescent="0.3">
      <c r="U159" s="26"/>
    </row>
    <row r="160" spans="21:21" x14ac:dyDescent="0.3">
      <c r="U160" s="26"/>
    </row>
    <row r="161" spans="21:21" x14ac:dyDescent="0.3">
      <c r="U161" s="26"/>
    </row>
    <row r="162" spans="21:21" x14ac:dyDescent="0.3">
      <c r="U162" s="26"/>
    </row>
    <row r="163" spans="21:21" x14ac:dyDescent="0.3">
      <c r="U163" s="26"/>
    </row>
    <row r="164" spans="21:21" x14ac:dyDescent="0.3">
      <c r="U164" s="26"/>
    </row>
    <row r="165" spans="21:21" x14ac:dyDescent="0.3">
      <c r="U165" s="26"/>
    </row>
    <row r="166" spans="21:21" x14ac:dyDescent="0.3">
      <c r="U166" s="26"/>
    </row>
    <row r="167" spans="21:21" x14ac:dyDescent="0.3">
      <c r="U167" s="26"/>
    </row>
    <row r="168" spans="21:21" x14ac:dyDescent="0.3">
      <c r="U168" s="26"/>
    </row>
    <row r="169" spans="21:21" x14ac:dyDescent="0.3">
      <c r="U169" s="26"/>
    </row>
    <row r="170" spans="21:21" x14ac:dyDescent="0.3">
      <c r="U170" s="26"/>
    </row>
    <row r="171" spans="21:21" x14ac:dyDescent="0.3">
      <c r="U171" s="26"/>
    </row>
    <row r="172" spans="21:21" x14ac:dyDescent="0.3">
      <c r="U172" s="26"/>
    </row>
    <row r="173" spans="21:21" x14ac:dyDescent="0.3">
      <c r="U173" s="26"/>
    </row>
    <row r="174" spans="21:21" x14ac:dyDescent="0.3">
      <c r="U174" s="26"/>
    </row>
    <row r="175" spans="21:21" x14ac:dyDescent="0.3">
      <c r="U175" s="26"/>
    </row>
    <row r="176" spans="21:21" x14ac:dyDescent="0.3">
      <c r="U176" s="26"/>
    </row>
    <row r="177" spans="21:21" x14ac:dyDescent="0.3">
      <c r="U177" s="26"/>
    </row>
    <row r="178" spans="21:21" x14ac:dyDescent="0.3">
      <c r="U178" s="26"/>
    </row>
    <row r="179" spans="21:21" x14ac:dyDescent="0.3">
      <c r="U179" s="26"/>
    </row>
    <row r="180" spans="21:21" x14ac:dyDescent="0.3">
      <c r="U180" s="26"/>
    </row>
    <row r="181" spans="21:21" x14ac:dyDescent="0.3">
      <c r="U181" s="26"/>
    </row>
    <row r="182" spans="21:21" x14ac:dyDescent="0.3">
      <c r="U182" s="26"/>
    </row>
    <row r="183" spans="21:21" x14ac:dyDescent="0.3">
      <c r="U183" s="26"/>
    </row>
    <row r="184" spans="21:21" x14ac:dyDescent="0.3">
      <c r="U184" s="26"/>
    </row>
    <row r="185" spans="21:21" x14ac:dyDescent="0.3">
      <c r="U185" s="26"/>
    </row>
    <row r="186" spans="21:21" x14ac:dyDescent="0.3">
      <c r="U186" s="26"/>
    </row>
    <row r="187" spans="21:21" x14ac:dyDescent="0.3">
      <c r="U187" s="26"/>
    </row>
    <row r="188" spans="21:21" x14ac:dyDescent="0.3">
      <c r="U188" s="26"/>
    </row>
    <row r="189" spans="21:21" x14ac:dyDescent="0.3">
      <c r="U189" s="26"/>
    </row>
    <row r="190" spans="21:21" x14ac:dyDescent="0.3">
      <c r="U190" s="26"/>
    </row>
    <row r="191" spans="21:21" x14ac:dyDescent="0.3">
      <c r="U191" s="26"/>
    </row>
    <row r="192" spans="21:21" x14ac:dyDescent="0.3">
      <c r="U192" s="26"/>
    </row>
    <row r="193" spans="21:21" x14ac:dyDescent="0.3">
      <c r="U193" s="26"/>
    </row>
    <row r="194" spans="21:21" x14ac:dyDescent="0.3">
      <c r="U194" s="26"/>
    </row>
    <row r="195" spans="21:21" x14ac:dyDescent="0.3">
      <c r="U195" s="26"/>
    </row>
    <row r="196" spans="21:21" x14ac:dyDescent="0.3">
      <c r="U196" s="26"/>
    </row>
    <row r="197" spans="21:21" x14ac:dyDescent="0.3">
      <c r="U197" s="26"/>
    </row>
    <row r="198" spans="21:21" x14ac:dyDescent="0.3">
      <c r="U198" s="26"/>
    </row>
    <row r="199" spans="21:21" x14ac:dyDescent="0.3">
      <c r="U199" s="26"/>
    </row>
    <row r="200" spans="21:21" x14ac:dyDescent="0.3">
      <c r="U200" s="26"/>
    </row>
    <row r="201" spans="21:21" x14ac:dyDescent="0.3">
      <c r="U201" s="26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B7F5-91B3-4DFD-A79F-B8C7038AE903}">
  <dimension ref="A1:T22"/>
  <sheetViews>
    <sheetView workbookViewId="0">
      <selection activeCell="A21" sqref="A21"/>
    </sheetView>
  </sheetViews>
  <sheetFormatPr defaultRowHeight="14.4" x14ac:dyDescent="0.3"/>
  <cols>
    <col min="1" max="1" width="59" style="28" bestFit="1" customWidth="1"/>
    <col min="2" max="2" width="12" style="28" bestFit="1" customWidth="1"/>
    <col min="3" max="3" width="8.88671875" style="28"/>
    <col min="4" max="4" width="18.44140625" style="36" hidden="1" customWidth="1"/>
    <col min="5" max="5" width="26.109375" style="36" bestFit="1" customWidth="1"/>
    <col min="6" max="6" width="30" style="36" bestFit="1" customWidth="1"/>
    <col min="7" max="7" width="34.33203125" style="36" bestFit="1" customWidth="1"/>
    <col min="8" max="8" width="8.88671875" style="28"/>
    <col min="9" max="9" width="21.88671875" style="28" bestFit="1" customWidth="1"/>
    <col min="10" max="16384" width="8.88671875" style="28"/>
  </cols>
  <sheetData>
    <row r="1" spans="1:20" ht="15" thickBot="1" x14ac:dyDescent="0.35">
      <c r="A1" s="20" t="s">
        <v>5</v>
      </c>
      <c r="B1" s="20" t="s">
        <v>6</v>
      </c>
      <c r="D1" s="22" t="s">
        <v>26</v>
      </c>
      <c r="E1" s="20" t="s">
        <v>22</v>
      </c>
      <c r="F1" s="20" t="s">
        <v>23</v>
      </c>
      <c r="G1" s="20" t="s">
        <v>24</v>
      </c>
      <c r="I1" s="53" t="s">
        <v>39</v>
      </c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</row>
    <row r="2" spans="1:20" x14ac:dyDescent="0.3">
      <c r="A2" s="54" t="s">
        <v>16</v>
      </c>
      <c r="B2" s="54"/>
      <c r="D2" s="36">
        <f t="array" ref="D2:D11">РОСТ_ЧАСТОТЫ</f>
        <v>8</v>
      </c>
      <c r="E2" s="36">
        <f t="array" ref="E2:E11">(РОСТ_ВАРИАЦИОННЫЙ_РЯД_НАЧАЛО+РОСТ_ВАРИАЦИОННЫЙ_РЯД_КОНЕЦ) / 2</f>
        <v>157.55000000000001</v>
      </c>
      <c r="F2" s="36">
        <f t="array" ref="F2:F11">РОСТ_ИНТЕРВАЛЫ_СЕР*РОСТ_ЧАСТОТЫ</f>
        <v>1260.4000000000001</v>
      </c>
      <c r="G2" s="36">
        <f t="array" ref="G2:G11">РОСТ_ИНТЕРВАЛЫ_ПРОИЗВ_ЧАСТОТЫ*РОСТ_ИНТЕРВАЛЫ_СЕР</f>
        <v>198576.02000000002</v>
      </c>
      <c r="I2" s="21" t="s">
        <v>22</v>
      </c>
      <c r="J2" s="28">
        <f>$E$2</f>
        <v>157.55000000000001</v>
      </c>
      <c r="K2" s="28">
        <f>$E$3</f>
        <v>160.64999999999998</v>
      </c>
      <c r="L2" s="28">
        <f>$E$4</f>
        <v>163.75</v>
      </c>
      <c r="M2" s="28">
        <f>$E$5</f>
        <v>166.84999999999997</v>
      </c>
      <c r="N2" s="28">
        <f>$E$6</f>
        <v>169.95</v>
      </c>
      <c r="O2" s="28">
        <f>$E$7</f>
        <v>173.04999999999995</v>
      </c>
      <c r="P2" s="28">
        <f>$E$8</f>
        <v>176.14999999999998</v>
      </c>
      <c r="Q2" s="28">
        <f>$E$9</f>
        <v>179.24999999999994</v>
      </c>
      <c r="R2" s="28">
        <f>$E$10</f>
        <v>182.34999999999997</v>
      </c>
      <c r="S2" s="28">
        <f>$E$11</f>
        <v>185.44999999999993</v>
      </c>
    </row>
    <row r="3" spans="1:20" x14ac:dyDescent="0.3">
      <c r="A3" s="28" t="s">
        <v>17</v>
      </c>
      <c r="B3" s="28">
        <f>SUM(РОСТ_ИНТЕРВАЛЫ_ПРОИЗВ_ЧАСТОТЫ) / ОБЩЕЕ_КОЛИЧЕСТВО_ДАННЫХ</f>
        <v>169.54699999999997</v>
      </c>
      <c r="D3" s="36">
        <v>14</v>
      </c>
      <c r="E3" s="36">
        <v>160.64999999999998</v>
      </c>
      <c r="F3" s="36">
        <v>2249.0999999999995</v>
      </c>
      <c r="G3" s="36">
        <v>361317.91499999986</v>
      </c>
      <c r="I3" s="21" t="s">
        <v>28</v>
      </c>
      <c r="J3" s="28">
        <f>$E$13</f>
        <v>49.8</v>
      </c>
      <c r="K3" s="28">
        <f>$E$14</f>
        <v>53.400000000000006</v>
      </c>
      <c r="L3" s="28">
        <f>$E$15</f>
        <v>57</v>
      </c>
      <c r="M3" s="28">
        <f>$E$16</f>
        <v>60.600000000000009</v>
      </c>
      <c r="N3" s="28">
        <f>$E$17</f>
        <v>64.2</v>
      </c>
      <c r="O3" s="28">
        <f>$E$18</f>
        <v>67.8</v>
      </c>
      <c r="P3" s="28">
        <f>$E$19</f>
        <v>71.399999999999991</v>
      </c>
      <c r="Q3" s="28">
        <f>$E$20</f>
        <v>74.999999999999986</v>
      </c>
      <c r="R3" s="28">
        <f>$E$21</f>
        <v>78.59999999999998</v>
      </c>
      <c r="S3" s="28">
        <f>$E$22</f>
        <v>82.199999999999974</v>
      </c>
    </row>
    <row r="4" spans="1:20" x14ac:dyDescent="0.3">
      <c r="A4" s="28" t="s">
        <v>18</v>
      </c>
      <c r="B4" s="28">
        <f>(SUM(РОСТ_ИНТЕРВАЛЫ_КВАДР_ПРОИЗВ_ЧАСТОТЫ) / ОБЩЕЕ_КОЛИЧЕСТВО_ДАННЫХ) - РОСТ_ВЫБОРОЧНОЕ_СРЕДНЕЕ*РОСТ_ВЫБОРОЧНОЕ_СРЕДНЕЕ</f>
        <v>38.854191000002174</v>
      </c>
      <c r="D4" s="36">
        <v>27</v>
      </c>
      <c r="E4" s="36">
        <v>163.75</v>
      </c>
      <c r="F4" s="36">
        <v>4421.25</v>
      </c>
      <c r="G4" s="36">
        <v>723979.6875</v>
      </c>
    </row>
    <row r="5" spans="1:20" x14ac:dyDescent="0.3">
      <c r="A5" s="28" t="s">
        <v>19</v>
      </c>
      <c r="B5" s="28">
        <f>РОСТ_ВЫБОРОЧНАЯ_ДИСПЕРСИЯ * (ОБЩЕЕ_КОЛИЧЕСТВО_ДАННЫХ / (ОБЩЕЕ_КОЛИЧЕСТВО_ДАННЫХ - 1))</f>
        <v>39.049438190956955</v>
      </c>
      <c r="D5" s="36">
        <v>38</v>
      </c>
      <c r="E5" s="36">
        <v>166.84999999999997</v>
      </c>
      <c r="F5" s="36">
        <v>6340.2999999999984</v>
      </c>
      <c r="G5" s="36">
        <v>1057879.0549999995</v>
      </c>
    </row>
    <row r="6" spans="1:20" x14ac:dyDescent="0.3">
      <c r="A6" s="28" t="s">
        <v>20</v>
      </c>
      <c r="B6" s="28">
        <f>SQRT(РОСТ_ИСПРАВЛЕННАЯ_ДИСПЕРСИЯ)</f>
        <v>6.2489549679091905</v>
      </c>
      <c r="D6" s="36">
        <v>48</v>
      </c>
      <c r="E6" s="36">
        <v>169.95</v>
      </c>
      <c r="F6" s="36">
        <v>8157.5999999999995</v>
      </c>
      <c r="G6" s="36">
        <v>1386384.1199999999</v>
      </c>
    </row>
    <row r="7" spans="1:20" ht="15" thickBot="1" x14ac:dyDescent="0.35">
      <c r="A7" s="32" t="s">
        <v>21</v>
      </c>
      <c r="B7" s="32">
        <f>VLOOKUP(MAX(РОСТ_ЧАСТОТЫ), D2:E11, 2, FALSE)</f>
        <v>169.95</v>
      </c>
      <c r="D7" s="36">
        <v>28</v>
      </c>
      <c r="E7" s="36">
        <v>173.04999999999995</v>
      </c>
      <c r="F7" s="36">
        <v>4845.3999999999987</v>
      </c>
      <c r="G7" s="36">
        <v>838496.46999999951</v>
      </c>
    </row>
    <row r="8" spans="1:20" x14ac:dyDescent="0.3">
      <c r="A8" s="54" t="s">
        <v>25</v>
      </c>
      <c r="B8" s="54"/>
      <c r="D8" s="36">
        <v>15</v>
      </c>
      <c r="E8" s="36">
        <v>176.14999999999998</v>
      </c>
      <c r="F8" s="36">
        <v>2642.2499999999995</v>
      </c>
      <c r="G8" s="36">
        <v>465432.33749999985</v>
      </c>
    </row>
    <row r="9" spans="1:20" x14ac:dyDescent="0.3">
      <c r="A9" s="28" t="s">
        <v>17</v>
      </c>
      <c r="B9" s="28">
        <f>SUM(ВЕС_ИНТЕРВАЛЫ_ПРОИЗВ_ЧАСТОТЫ) / ОБЩЕЕ_КОЛИЧЕСТВО_ДАННЫХ</f>
        <v>65.225999999999999</v>
      </c>
      <c r="D9" s="36">
        <v>13</v>
      </c>
      <c r="E9" s="36">
        <v>179.24999999999994</v>
      </c>
      <c r="F9" s="36">
        <v>2330.2499999999991</v>
      </c>
      <c r="G9" s="36">
        <v>417697.31249999971</v>
      </c>
    </row>
    <row r="10" spans="1:20" x14ac:dyDescent="0.3">
      <c r="A10" s="28" t="s">
        <v>18</v>
      </c>
      <c r="B10" s="28">
        <f>(SUM(ВЕС_ИНТЕРВАЛЫ_КВАДР_ПРОИЗВ_ЧАСТОТЫ) / ОБЩЕЕ_КОЛИЧЕСТВО_ДАННЫХ) - ВЕС_ВЫБОРОЧНОЕ_СРЕДНЕЕ*ВЕС_ВЫБОРОЧНОЕ_СРЕДНЕЕ</f>
        <v>43.594523999999183</v>
      </c>
      <c r="D10" s="36">
        <v>2</v>
      </c>
      <c r="E10" s="36">
        <v>182.34999999999997</v>
      </c>
      <c r="F10" s="36">
        <v>364.69999999999993</v>
      </c>
      <c r="G10" s="36">
        <v>66503.044999999969</v>
      </c>
    </row>
    <row r="11" spans="1:20" x14ac:dyDescent="0.3">
      <c r="A11" s="28" t="s">
        <v>19</v>
      </c>
      <c r="B11" s="28">
        <f>ВЕС_ВЫБОРОЧНАЯ_ДИСПЕРСИЯ * (ОБЩЕЕ_КОЛИЧЕСТВО_ДАННЫХ / (ОБЩЕЕ_КОЛИЧЕСТВО_ДАННЫХ - 1))</f>
        <v>43.813591959798167</v>
      </c>
      <c r="D11" s="36">
        <v>7</v>
      </c>
      <c r="E11" s="36">
        <v>185.44999999999993</v>
      </c>
      <c r="F11" s="36">
        <v>1298.1499999999996</v>
      </c>
      <c r="G11" s="36">
        <v>240741.91749999984</v>
      </c>
    </row>
    <row r="12" spans="1:20" ht="15" thickBot="1" x14ac:dyDescent="0.35">
      <c r="A12" s="28" t="s">
        <v>20</v>
      </c>
      <c r="B12" s="28">
        <f>SQRT(ВЕС_ИСПРАВЛЕННАЯ_ДИСПЕРСИЯ)</f>
        <v>6.6191836324276547</v>
      </c>
      <c r="D12" s="22" t="s">
        <v>27</v>
      </c>
      <c r="E12" s="20" t="s">
        <v>28</v>
      </c>
      <c r="F12" s="20" t="s">
        <v>29</v>
      </c>
      <c r="G12" s="20" t="s">
        <v>30</v>
      </c>
    </row>
    <row r="13" spans="1:20" x14ac:dyDescent="0.3">
      <c r="A13" s="28" t="s">
        <v>21</v>
      </c>
      <c r="B13" s="28">
        <f>VLOOKUP(MAX(ВЕС_ЧАСТОТЫ), D13:E22, 2, FALSE)</f>
        <v>67.8</v>
      </c>
      <c r="D13" s="36">
        <f t="array" ref="D13:D22">ВЕС_ЧАСТОТЫ</f>
        <v>4</v>
      </c>
      <c r="E13" s="36">
        <f t="array" ref="E13:E22">(ВЕС_ВАРИАЦИОННЫЙ_РЯД_НАЧАЛО + ВЕС_ВАРИАЦИОННЫЙ_РЯД_КОНЕЦ) / 2</f>
        <v>49.8</v>
      </c>
      <c r="F13" s="36">
        <f t="array" ref="F13:F22">ВЕС_ИНТЕРВАЛЫ_СЕР*ВЕС_ЧАСТОТЫ</f>
        <v>199.2</v>
      </c>
      <c r="G13" s="36">
        <f t="array" ref="G13:G22">ВЕС_ИНТЕРВАЛЫ_ПРОИЗВ_ЧАСТОТЫ*ВЕС_ИНТЕРВАЛЫ_СЕР</f>
        <v>9920.159999999998</v>
      </c>
    </row>
    <row r="14" spans="1:20" x14ac:dyDescent="0.3">
      <c r="D14" s="36">
        <v>8</v>
      </c>
      <c r="E14" s="36">
        <v>53.400000000000006</v>
      </c>
      <c r="F14" s="36">
        <v>427.20000000000005</v>
      </c>
      <c r="G14" s="36">
        <v>22812.480000000003</v>
      </c>
    </row>
    <row r="15" spans="1:20" x14ac:dyDescent="0.3">
      <c r="D15" s="36">
        <v>17</v>
      </c>
      <c r="E15" s="36">
        <v>57</v>
      </c>
      <c r="F15" s="36">
        <v>969</v>
      </c>
      <c r="G15" s="36">
        <v>55233</v>
      </c>
    </row>
    <row r="16" spans="1:20" x14ac:dyDescent="0.3">
      <c r="D16" s="36">
        <v>44</v>
      </c>
      <c r="E16" s="36">
        <v>60.600000000000009</v>
      </c>
      <c r="F16" s="36">
        <v>2666.4000000000005</v>
      </c>
      <c r="G16" s="36">
        <v>161583.84000000005</v>
      </c>
    </row>
    <row r="17" spans="4:7" x14ac:dyDescent="0.3">
      <c r="D17" s="36">
        <v>34</v>
      </c>
      <c r="E17" s="36">
        <v>64.2</v>
      </c>
      <c r="F17" s="36">
        <v>2182.8000000000002</v>
      </c>
      <c r="G17" s="36">
        <v>140135.76</v>
      </c>
    </row>
    <row r="18" spans="4:7" x14ac:dyDescent="0.3">
      <c r="D18" s="36">
        <v>46</v>
      </c>
      <c r="E18" s="36">
        <v>67.8</v>
      </c>
      <c r="F18" s="36">
        <v>3118.7999999999997</v>
      </c>
      <c r="G18" s="36">
        <v>211454.63999999998</v>
      </c>
    </row>
    <row r="19" spans="4:7" x14ac:dyDescent="0.3">
      <c r="D19" s="36">
        <v>24</v>
      </c>
      <c r="E19" s="36">
        <v>71.399999999999991</v>
      </c>
      <c r="F19" s="36">
        <v>1713.6</v>
      </c>
      <c r="G19" s="36">
        <v>122351.03999999998</v>
      </c>
    </row>
    <row r="20" spans="4:7" x14ac:dyDescent="0.3">
      <c r="D20" s="36">
        <v>15</v>
      </c>
      <c r="E20" s="36">
        <v>74.999999999999986</v>
      </c>
      <c r="F20" s="36">
        <v>1124.9999999999998</v>
      </c>
      <c r="G20" s="36">
        <v>84374.999999999971</v>
      </c>
    </row>
    <row r="21" spans="4:7" x14ac:dyDescent="0.3">
      <c r="D21" s="36">
        <v>4</v>
      </c>
      <c r="E21" s="36">
        <v>78.59999999999998</v>
      </c>
      <c r="F21" s="36">
        <v>314.39999999999992</v>
      </c>
      <c r="G21" s="36">
        <v>24711.839999999989</v>
      </c>
    </row>
    <row r="22" spans="4:7" x14ac:dyDescent="0.3">
      <c r="D22" s="36">
        <v>4</v>
      </c>
      <c r="E22" s="36">
        <v>82.199999999999974</v>
      </c>
      <c r="F22" s="36">
        <v>328.7999999999999</v>
      </c>
      <c r="G22" s="36">
        <v>27027.359999999982</v>
      </c>
    </row>
  </sheetData>
  <mergeCells count="3">
    <mergeCell ref="A2:B2"/>
    <mergeCell ref="A8:B8"/>
    <mergeCell ref="I1:T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38713-E837-4257-BD9D-D8247EF31254}">
  <dimension ref="A1:B13"/>
  <sheetViews>
    <sheetView workbookViewId="0">
      <selection activeCell="B16" sqref="B16"/>
    </sheetView>
  </sheetViews>
  <sheetFormatPr defaultRowHeight="14.4" x14ac:dyDescent="0.3"/>
  <cols>
    <col min="1" max="1" width="59" style="27" bestFit="1" customWidth="1"/>
    <col min="2" max="2" width="12" style="27" bestFit="1" customWidth="1"/>
    <col min="3" max="16384" width="8.88671875" style="27"/>
  </cols>
  <sheetData>
    <row r="1" spans="1:2" ht="15" thickBot="1" x14ac:dyDescent="0.35">
      <c r="A1" s="20" t="s">
        <v>5</v>
      </c>
      <c r="B1" s="20" t="s">
        <v>6</v>
      </c>
    </row>
    <row r="2" spans="1:2" x14ac:dyDescent="0.3">
      <c r="A2" s="56" t="s">
        <v>16</v>
      </c>
      <c r="B2" s="56"/>
    </row>
    <row r="3" spans="1:2" x14ac:dyDescent="0.3">
      <c r="A3" s="27" t="s">
        <v>17</v>
      </c>
      <c r="B3" s="27">
        <f>AVERAGE(ДАННЫЕ_РОСТ)</f>
        <v>169.7</v>
      </c>
    </row>
    <row r="4" spans="1:2" x14ac:dyDescent="0.3">
      <c r="A4" s="27" t="s">
        <v>18</v>
      </c>
      <c r="B4" s="27">
        <f>_xlfn.VAR.P(ДАННЫЕ_РОСТ)</f>
        <v>36.809999999999988</v>
      </c>
    </row>
    <row r="5" spans="1:2" x14ac:dyDescent="0.3">
      <c r="A5" s="27" t="s">
        <v>19</v>
      </c>
      <c r="B5" s="27">
        <f>_xlfn.VAR.S(ДАННЫЕ_РОСТ)</f>
        <v>36.994974874371849</v>
      </c>
    </row>
    <row r="6" spans="1:2" x14ac:dyDescent="0.3">
      <c r="A6" s="27" t="s">
        <v>20</v>
      </c>
      <c r="B6" s="27">
        <f>_xlfn.STDEV.S(ДАННЫЕ_РОСТ)</f>
        <v>6.0823494534901439</v>
      </c>
    </row>
    <row r="7" spans="1:2" ht="15" thickBot="1" x14ac:dyDescent="0.35">
      <c r="A7" s="37" t="s">
        <v>31</v>
      </c>
      <c r="B7" s="37">
        <f>MEDIAN(ДАННЫЕ_РОСТ)</f>
        <v>170</v>
      </c>
    </row>
    <row r="8" spans="1:2" x14ac:dyDescent="0.3">
      <c r="A8" s="54" t="s">
        <v>25</v>
      </c>
      <c r="B8" s="54"/>
    </row>
    <row r="9" spans="1:2" x14ac:dyDescent="0.3">
      <c r="A9" s="27" t="s">
        <v>17</v>
      </c>
      <c r="B9" s="27">
        <f>AVERAGE(ДАННЫЕ_ВЕС)</f>
        <v>65.094999999999999</v>
      </c>
    </row>
    <row r="10" spans="1:2" x14ac:dyDescent="0.3">
      <c r="A10" s="27" t="s">
        <v>18</v>
      </c>
      <c r="B10" s="27">
        <f>_xlfn.VAR.P(ДАННЫЕ_ВЕС)</f>
        <v>43.235975000000003</v>
      </c>
    </row>
    <row r="11" spans="1:2" x14ac:dyDescent="0.3">
      <c r="A11" s="27" t="s">
        <v>19</v>
      </c>
      <c r="B11" s="27">
        <f>_xlfn.VAR.S(ДАННЫЕ_ВЕС)</f>
        <v>43.453241206029894</v>
      </c>
    </row>
    <row r="12" spans="1:2" x14ac:dyDescent="0.3">
      <c r="A12" s="27" t="s">
        <v>20</v>
      </c>
      <c r="B12" s="27">
        <f>_xlfn.STDEV.S(ДАННЫЕ_ВЕС)</f>
        <v>6.5919072510184709</v>
      </c>
    </row>
    <row r="13" spans="1:2" x14ac:dyDescent="0.3">
      <c r="A13" s="27" t="s">
        <v>31</v>
      </c>
      <c r="B13" s="27">
        <f>MEDIAN(ДАННЫЕ_ВЕС)</f>
        <v>65</v>
      </c>
    </row>
  </sheetData>
  <mergeCells count="2">
    <mergeCell ref="A2:B2"/>
    <mergeCell ref="A8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C1CA-3C8C-480F-A250-FB7C81CC90CC}">
  <dimension ref="A1:B36"/>
  <sheetViews>
    <sheetView workbookViewId="0">
      <selection activeCell="B8" sqref="B8"/>
    </sheetView>
  </sheetViews>
  <sheetFormatPr defaultRowHeight="14.4" x14ac:dyDescent="0.3"/>
  <cols>
    <col min="1" max="1" width="44" style="28" bestFit="1" customWidth="1"/>
    <col min="2" max="2" width="12" style="39" bestFit="1" customWidth="1"/>
    <col min="3" max="16384" width="8.88671875" style="28"/>
  </cols>
  <sheetData>
    <row r="1" spans="1:2" ht="15" thickBot="1" x14ac:dyDescent="0.35">
      <c r="A1" s="20" t="s">
        <v>5</v>
      </c>
      <c r="B1" s="14" t="s">
        <v>6</v>
      </c>
    </row>
    <row r="2" spans="1:2" x14ac:dyDescent="0.3">
      <c r="A2" s="1" t="s">
        <v>42</v>
      </c>
      <c r="B2" s="38">
        <f>0.95</f>
        <v>0.95</v>
      </c>
    </row>
    <row r="3" spans="1:2" x14ac:dyDescent="0.3">
      <c r="A3" s="57" t="s">
        <v>43</v>
      </c>
      <c r="B3" s="57"/>
    </row>
    <row r="4" spans="1:2" x14ac:dyDescent="0.3">
      <c r="A4" s="28" t="s">
        <v>106</v>
      </c>
      <c r="B4" s="39">
        <v>36</v>
      </c>
    </row>
    <row r="5" spans="1:2" x14ac:dyDescent="0.3">
      <c r="A5" s="28" t="s">
        <v>107</v>
      </c>
      <c r="B5" s="39">
        <f>SQRT(B4)</f>
        <v>6</v>
      </c>
    </row>
    <row r="6" spans="1:2" x14ac:dyDescent="0.3">
      <c r="A6" s="28" t="s">
        <v>103</v>
      </c>
      <c r="B6" s="38">
        <f>_xlfn.NORM.S.INV((1 + НАДЕЖНОСТЬ) / 2)</f>
        <v>1.9599639845400536</v>
      </c>
    </row>
    <row r="7" spans="1:2" x14ac:dyDescent="0.3">
      <c r="A7" s="28" t="s">
        <v>44</v>
      </c>
      <c r="B7" s="39">
        <f>(B5 * B6) / SQRT(ОБЩЕЕ_КОЛИЧЕСТВО_ДАННЫХ)</f>
        <v>0.83154229460980655</v>
      </c>
    </row>
    <row r="8" spans="1:2" x14ac:dyDescent="0.3">
      <c r="A8" s="2" t="s">
        <v>12</v>
      </c>
      <c r="B8" s="39">
        <f>РОСТ_ВЫБОРОЧНОЕ_СРЕДНЕЕ - B7</f>
        <v>168.71545770539015</v>
      </c>
    </row>
    <row r="9" spans="1:2" x14ac:dyDescent="0.3">
      <c r="A9" s="2" t="s">
        <v>13</v>
      </c>
      <c r="B9" s="39">
        <f>РОСТ_ВЫБОРОЧНОЕ_СРЕДНЕЕ + B7</f>
        <v>170.37854229460979</v>
      </c>
    </row>
    <row r="10" spans="1:2" x14ac:dyDescent="0.3">
      <c r="A10" s="57" t="s">
        <v>45</v>
      </c>
      <c r="B10" s="57"/>
    </row>
    <row r="11" spans="1:2" x14ac:dyDescent="0.3">
      <c r="A11" s="28" t="s">
        <v>103</v>
      </c>
      <c r="B11" s="39">
        <f>_xlfn.T.INV.2T(1 - НАДЕЖНОСТЬ, (ОБЩЕЕ_КОЛИЧЕСТВО_ДАННЫХ - 1))</f>
        <v>1.9719565442517553</v>
      </c>
    </row>
    <row r="12" spans="1:2" x14ac:dyDescent="0.3">
      <c r="A12" s="28" t="s">
        <v>44</v>
      </c>
      <c r="B12" s="39">
        <f>(B11 * РОСТ_ИСПРАВЛЕННЫЕ_ВЫБОРОЧНЫЕ_СРЕДНИЕ_КВАДРАТИЧЕСКИЕ_ОТКЛОНЕНИЯ) / SQRT(ОБЩЕЕ_КОЛИЧЕСТВО_ДАННЫХ)</f>
        <v>0.87134418531704783</v>
      </c>
    </row>
    <row r="13" spans="1:2" x14ac:dyDescent="0.3">
      <c r="A13" s="2" t="s">
        <v>12</v>
      </c>
      <c r="B13" s="39">
        <f>РОСТ_ВЫБОРОЧНОЕ_СРЕДНЕЕ - B12</f>
        <v>168.67565581468293</v>
      </c>
    </row>
    <row r="14" spans="1:2" x14ac:dyDescent="0.3">
      <c r="A14" s="2" t="s">
        <v>13</v>
      </c>
      <c r="B14" s="39">
        <f>РОСТ_ВЫБОРОЧНОЕ_СРЕДНЕЕ + B12</f>
        <v>170.41834418531701</v>
      </c>
    </row>
    <row r="15" spans="1:2" x14ac:dyDescent="0.3">
      <c r="A15" s="57" t="s">
        <v>46</v>
      </c>
      <c r="B15" s="57"/>
    </row>
    <row r="16" spans="1:2" x14ac:dyDescent="0.3">
      <c r="A16" s="28" t="s">
        <v>104</v>
      </c>
      <c r="B16" s="39">
        <f>_xlfn.CHISQ.INV((1 - НАДЕЖНОСТЬ) / 2, (ОБЩЕЕ_КОЛИЧЕСТВО_ДАННЫХ - 1))</f>
        <v>161.82618239364686</v>
      </c>
    </row>
    <row r="17" spans="1:2" x14ac:dyDescent="0.3">
      <c r="A17" s="28" t="s">
        <v>105</v>
      </c>
      <c r="B17" s="39">
        <f>_xlfn.CHISQ.INV((1 + НАДЕЖНОСТЬ) / 2, (ОБЩЕЕ_КОЛИЧЕСТВО_ДАННЫХ - 1))</f>
        <v>239.9596818276442</v>
      </c>
    </row>
    <row r="18" spans="1:2" x14ac:dyDescent="0.3">
      <c r="A18" s="2" t="s">
        <v>12</v>
      </c>
      <c r="B18" s="39">
        <f>(ОБЩЕЕ_КОЛИЧЕСТВО_ДАННЫХ - 1) * РОСТ_ИСПРАВЛЕННАЯ_ДИСПЕРСИЯ / B17</f>
        <v>32.383932754094886</v>
      </c>
    </row>
    <row r="19" spans="1:2" x14ac:dyDescent="0.3">
      <c r="A19" s="2" t="s">
        <v>13</v>
      </c>
      <c r="B19" s="39">
        <f>(ОБЩЕЕ_КОЛИЧЕСТВО_ДАННЫХ - 1) * РОСТ_ИСПРАВЛЕННАЯ_ДИСПЕРСИЯ / B16</f>
        <v>48.019659643812432</v>
      </c>
    </row>
    <row r="20" spans="1:2" x14ac:dyDescent="0.3">
      <c r="A20" s="57" t="s">
        <v>47</v>
      </c>
      <c r="B20" s="57"/>
    </row>
    <row r="21" spans="1:2" x14ac:dyDescent="0.3">
      <c r="A21" s="28" t="s">
        <v>48</v>
      </c>
      <c r="B21" s="39">
        <f>170</f>
        <v>170</v>
      </c>
    </row>
    <row r="22" spans="1:2" x14ac:dyDescent="0.3">
      <c r="A22" s="28" t="s">
        <v>104</v>
      </c>
      <c r="B22" s="39">
        <f>_xlfn.CHISQ.INV((1 - НАДЕЖНОСТЬ) / 2, ОБЩЕЕ_КОЛИЧЕСТВО_ДАННЫХ)</f>
        <v>162.7279825018463</v>
      </c>
    </row>
    <row r="23" spans="1:2" x14ac:dyDescent="0.3">
      <c r="A23" s="28" t="s">
        <v>105</v>
      </c>
      <c r="B23" s="39">
        <f>_xlfn.CHISQ.INV((1 + НАДЕЖНОСТЬ) / 2, ОБЩЕЕ_КОЛИЧЕСТВО_ДАННЫХ)</f>
        <v>241.0578955063109</v>
      </c>
    </row>
    <row r="24" spans="1:2" x14ac:dyDescent="0.3">
      <c r="A24" s="28" t="s">
        <v>49</v>
      </c>
      <c r="B24" s="28">
        <f t="array" ref="B24:B33">РОСТ_ЧАСТОТЫ * (РОСТ_ИНТЕРВАЛЫ_СЕР - B21) * (РОСТ_ИНТЕРВАЛЫ_СЕР - B21)</f>
        <v>1240.0199999999977</v>
      </c>
    </row>
    <row r="25" spans="1:2" x14ac:dyDescent="0.3">
      <c r="B25" s="28">
        <v>1223.9150000000059</v>
      </c>
    </row>
    <row r="26" spans="1:2" x14ac:dyDescent="0.3">
      <c r="B26" s="28">
        <v>1054.6875</v>
      </c>
    </row>
    <row r="27" spans="1:2" x14ac:dyDescent="0.3">
      <c r="B27" s="28">
        <v>377.05500000000819</v>
      </c>
    </row>
    <row r="28" spans="1:2" x14ac:dyDescent="0.3">
      <c r="B28" s="28">
        <v>0.12000000000005456</v>
      </c>
    </row>
    <row r="29" spans="1:2" x14ac:dyDescent="0.3">
      <c r="B29" s="28">
        <v>260.46999999999224</v>
      </c>
    </row>
    <row r="30" spans="1:2" x14ac:dyDescent="0.3">
      <c r="B30" s="28">
        <v>567.33749999999577</v>
      </c>
    </row>
    <row r="31" spans="1:2" x14ac:dyDescent="0.3">
      <c r="B31" s="28">
        <v>1112.3124999999864</v>
      </c>
    </row>
    <row r="32" spans="1:2" x14ac:dyDescent="0.3">
      <c r="B32" s="28">
        <v>305.04499999999831</v>
      </c>
    </row>
    <row r="33" spans="1:2" x14ac:dyDescent="0.3">
      <c r="B33" s="28">
        <v>1670.9174999999852</v>
      </c>
    </row>
    <row r="34" spans="1:2" x14ac:dyDescent="0.3">
      <c r="B34" s="39">
        <f>SUM(B24:B33)</f>
        <v>7811.8799999999692</v>
      </c>
    </row>
    <row r="35" spans="1:2" x14ac:dyDescent="0.3">
      <c r="A35" s="2" t="s">
        <v>12</v>
      </c>
      <c r="B35" s="39">
        <f>B34/B23</f>
        <v>32.406654773087297</v>
      </c>
    </row>
    <row r="36" spans="1:2" x14ac:dyDescent="0.3">
      <c r="A36" s="2" t="s">
        <v>13</v>
      </c>
      <c r="B36" s="39">
        <f>B34/B22</f>
        <v>48.005757091662687</v>
      </c>
    </row>
  </sheetData>
  <mergeCells count="4">
    <mergeCell ref="A3:B3"/>
    <mergeCell ref="A10:B10"/>
    <mergeCell ref="A15:B15"/>
    <mergeCell ref="A20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02DC-AC10-40F4-8B63-7A7A5CD64AEE}">
  <dimension ref="A1:P8"/>
  <sheetViews>
    <sheetView zoomScaleNormal="98" workbookViewId="0">
      <selection activeCell="D17" sqref="D17"/>
    </sheetView>
  </sheetViews>
  <sheetFormatPr defaultRowHeight="14.4" x14ac:dyDescent="0.3"/>
  <cols>
    <col min="1" max="1" width="23" style="28" bestFit="1" customWidth="1"/>
    <col min="2" max="2" width="20.21875" style="28" bestFit="1" customWidth="1"/>
    <col min="3" max="4" width="8.88671875" style="28"/>
    <col min="5" max="5" width="18.33203125" style="28" bestFit="1" customWidth="1"/>
    <col min="6" max="6" width="17.33203125" style="28" bestFit="1" customWidth="1"/>
    <col min="7" max="7" width="8.88671875" style="28"/>
    <col min="8" max="8" width="20.5546875" style="28" bestFit="1" customWidth="1"/>
    <col min="9" max="11" width="8.88671875" style="28"/>
    <col min="12" max="12" width="12.6640625" style="28" bestFit="1" customWidth="1"/>
    <col min="13" max="16" width="12" style="28" bestFit="1" customWidth="1"/>
    <col min="17" max="16384" width="8.88671875" style="28"/>
  </cols>
  <sheetData>
    <row r="1" spans="1:16" s="2" customFormat="1" ht="15" thickBot="1" x14ac:dyDescent="0.35">
      <c r="A1" s="20" t="s">
        <v>5</v>
      </c>
      <c r="B1" s="20" t="s">
        <v>6</v>
      </c>
      <c r="E1" s="58" t="s">
        <v>50</v>
      </c>
      <c r="F1" s="58"/>
      <c r="H1" s="58" t="s">
        <v>66</v>
      </c>
      <c r="J1" s="58" t="s">
        <v>67</v>
      </c>
      <c r="K1" s="58"/>
      <c r="L1" s="58"/>
      <c r="M1" s="58"/>
      <c r="N1" s="58"/>
      <c r="O1" s="58"/>
      <c r="P1" s="58"/>
    </row>
    <row r="2" spans="1:16" ht="21" customHeight="1" thickBot="1" x14ac:dyDescent="0.35">
      <c r="A2" s="28" t="s">
        <v>51</v>
      </c>
      <c r="B2" s="28">
        <f>SUM(P3:P7)</f>
        <v>5.7104188608730651</v>
      </c>
      <c r="E2" s="7" t="s">
        <v>12</v>
      </c>
      <c r="F2" s="7" t="s">
        <v>13</v>
      </c>
      <c r="H2" s="53"/>
      <c r="J2" s="32"/>
      <c r="K2" s="32"/>
      <c r="L2" s="53"/>
      <c r="M2" s="53"/>
      <c r="N2" s="53"/>
      <c r="O2" s="53"/>
      <c r="P2" s="53"/>
    </row>
    <row r="3" spans="1:16" x14ac:dyDescent="0.3">
      <c r="A3" s="28" t="s">
        <v>52</v>
      </c>
      <c r="B3" s="28">
        <v>0.05</v>
      </c>
      <c r="E3" s="28">
        <v>156</v>
      </c>
      <c r="F3" s="28">
        <v>165.29999999999998</v>
      </c>
      <c r="H3" s="28">
        <f>COUNTIFS(ДАННЫЕ_РОСТ, "&gt;=" &amp;E3, ДАННЫЕ_РОСТ, "&lt;" &amp;F3)</f>
        <v>49</v>
      </c>
      <c r="J3" s="40"/>
      <c r="K3" s="31">
        <f>F3</f>
        <v>165.29999999999998</v>
      </c>
      <c r="L3" s="40"/>
      <c r="M3" s="28">
        <f>0</f>
        <v>0</v>
      </c>
      <c r="N3" s="28">
        <f>M4-M3</f>
        <v>0.24836823243673151</v>
      </c>
      <c r="O3" s="28">
        <f>N3 * ОБЩЕЕ_КОЛИЧЕСТВО_ДАННЫХ</f>
        <v>49.673646487346304</v>
      </c>
      <c r="P3" s="28">
        <f>POWER(H3-O3, 2) / O3</f>
        <v>9.1356206359767198E-3</v>
      </c>
    </row>
    <row r="4" spans="1:16" x14ac:dyDescent="0.3">
      <c r="A4" s="28" t="s">
        <v>53</v>
      </c>
      <c r="B4" s="28">
        <f>COUNT(РОСТ_НОВЫЙ_ВАРИАЦИОННЫЙ_РЯД_НАЧАЛО) - 2 - 1</f>
        <v>2</v>
      </c>
      <c r="E4" s="28">
        <v>165.29999999999998</v>
      </c>
      <c r="F4" s="28">
        <v>168.39999999999998</v>
      </c>
      <c r="H4" s="28">
        <f>COUNTIFS(ДАННЫЕ_РОСТ, "&gt;=" &amp;E4, ДАННЫЕ_РОСТ, "&lt;" &amp;F4)</f>
        <v>38</v>
      </c>
      <c r="J4" s="31">
        <f>E4</f>
        <v>165.29999999999998</v>
      </c>
      <c r="K4" s="31">
        <f>F4</f>
        <v>168.39999999999998</v>
      </c>
      <c r="L4" s="31">
        <f>(J4 - РОСТ_ВЫБОРОЧНОЕ_СРЕДНЕЕ) / РОСТ_ИСПРАВЛЕННЫЕ_ВЫБОРОЧНЫЕ_СРЕДНИЕ_КВАДРАТИЧЕСКИЕ_ОТКЛОНЕНИЯ</f>
        <v>-0.67963363823390943</v>
      </c>
      <c r="M4" s="28">
        <f>_xlfn.NORM.S.DIST(L4, 1)</f>
        <v>0.24836823243673151</v>
      </c>
      <c r="N4" s="28">
        <f t="shared" ref="N4:N7" si="0">M5-M4</f>
        <v>0.17881474203261011</v>
      </c>
      <c r="O4" s="28">
        <f>N4 * ОБЩЕЕ_КОЛИЧЕСТВО_ДАННЫХ</f>
        <v>35.762948406522021</v>
      </c>
      <c r="P4" s="28">
        <f t="shared" ref="P4:P7" si="1">POWER(H4-O4, 2) / O4</f>
        <v>0.13993252947147169</v>
      </c>
    </row>
    <row r="5" spans="1:16" ht="15" thickBot="1" x14ac:dyDescent="0.35">
      <c r="A5" s="32" t="s">
        <v>54</v>
      </c>
      <c r="B5" s="32">
        <f>_xlfn.CHISQ.INV.RT(B3, B4)</f>
        <v>5.9914645471079817</v>
      </c>
      <c r="E5" s="28">
        <v>168.39999999999998</v>
      </c>
      <c r="F5" s="28">
        <v>171.49999999999997</v>
      </c>
      <c r="H5" s="28">
        <f>COUNTIFS(ДАННЫЕ_РОСТ, "&gt;=" &amp;E5, ДАННЫЕ_РОСТ, "&lt;" &amp;F5)</f>
        <v>48</v>
      </c>
      <c r="J5" s="31">
        <f>E5</f>
        <v>168.39999999999998</v>
      </c>
      <c r="K5" s="31">
        <f>F5</f>
        <v>171.49999999999997</v>
      </c>
      <c r="L5" s="31">
        <f>(J5 - РОСТ_ВЫБОРОЧНОЕ_СРЕДНЕЕ) / РОСТ_ИСПРАВЛЕННЫЕ_ВЫБОРОЧНЫЕ_СРЕДНИЕ_КВАДРАТИЧЕСКИЕ_ОТКЛОНЕНИЯ</f>
        <v>-0.18355069061791637</v>
      </c>
      <c r="M5" s="28">
        <f t="shared" ref="M5:M7" si="2">_xlfn.NORM.S.DIST(L5, 1)</f>
        <v>0.42718297446934161</v>
      </c>
      <c r="N5" s="28">
        <f t="shared" si="0"/>
        <v>0.19549899935987769</v>
      </c>
      <c r="O5" s="28">
        <f>N5 * ОБЩЕЕ_КОЛИЧЕСТВО_ДАННЫХ</f>
        <v>39.099799871975534</v>
      </c>
      <c r="P5" s="28">
        <f t="shared" si="1"/>
        <v>2.0259326794064334</v>
      </c>
    </row>
    <row r="6" spans="1:16" x14ac:dyDescent="0.3">
      <c r="A6" s="2" t="s">
        <v>55</v>
      </c>
      <c r="B6" s="28" t="str">
        <f>IF(РОСТ_ХИ_КВАДРАТ_НАБЛ &lt; РОСТ_ХИ_КВАДРАТ_ТЕОР, "Теория принимается.", "Теория не принимается.")</f>
        <v>Теория принимается.</v>
      </c>
      <c r="E6" s="28">
        <v>171.49999999999997</v>
      </c>
      <c r="F6" s="28">
        <v>177.69999999999996</v>
      </c>
      <c r="H6" s="28">
        <f>COUNTIFS(ДАННЫЕ_РОСТ, "&gt;=" &amp;E6, ДАННЫЕ_РОСТ, "&lt;" &amp;F6)</f>
        <v>43</v>
      </c>
      <c r="J6" s="31">
        <f>E6</f>
        <v>171.49999999999997</v>
      </c>
      <c r="K6" s="31">
        <f>F6</f>
        <v>177.69999999999996</v>
      </c>
      <c r="L6" s="31">
        <f>(J6 - РОСТ_ВЫБОРОЧНОЕ_СРЕДНЕЕ) / РОСТ_ИСПРАВЛЕННЫЕ_ВЫБОРОЧНЫЕ_СРЕДНИЕ_КВАДРАТИЧЕСКИЕ_ОТКЛОНЕНИЯ</f>
        <v>0.31253225699807663</v>
      </c>
      <c r="M6" s="28">
        <f t="shared" si="2"/>
        <v>0.6226819738292193</v>
      </c>
      <c r="N6" s="28">
        <f t="shared" si="0"/>
        <v>0.28132020070606134</v>
      </c>
      <c r="O6" s="28">
        <f>N6 * ОБЩЕЕ_КОЛИЧЕСТВО_ДАННЫХ</f>
        <v>56.26404014121227</v>
      </c>
      <c r="P6" s="28">
        <f t="shared" si="1"/>
        <v>3.1269485878747227</v>
      </c>
    </row>
    <row r="7" spans="1:16" x14ac:dyDescent="0.3">
      <c r="E7" s="28">
        <v>177.69999999999996</v>
      </c>
      <c r="F7" s="28">
        <v>187</v>
      </c>
      <c r="H7" s="28">
        <f>COUNTIFS(ДАННЫЕ_РОСТ, "&gt;=" &amp;E7, ДАННЫЕ_РОСТ, "&lt;=" &amp;F7)</f>
        <v>22</v>
      </c>
      <c r="J7" s="31">
        <f>E7</f>
        <v>177.69999999999996</v>
      </c>
      <c r="K7" s="40"/>
      <c r="L7" s="31">
        <f>(J7 - РОСТ_ВЫБОРОЧНОЕ_СРЕДНЕЕ) / РОСТ_ИСПРАВЛЕННЫЕ_ВЫБОРОЧНЫЕ_СРЕДНИЕ_КВАДРАТИЧЕСКИЕ_ОТКЛОНЕНИЯ</f>
        <v>1.3046981522300627</v>
      </c>
      <c r="M7" s="28">
        <f t="shared" si="2"/>
        <v>0.90400217453528064</v>
      </c>
      <c r="N7" s="28">
        <f t="shared" si="0"/>
        <v>9.5997825464719355E-2</v>
      </c>
      <c r="O7" s="28">
        <f>N7 * ОБЩЕЕ_КОЛИЧЕСТВО_ДАННЫХ</f>
        <v>19.199565092943871</v>
      </c>
      <c r="P7" s="28">
        <f t="shared" si="1"/>
        <v>0.40846944348446118</v>
      </c>
    </row>
    <row r="8" spans="1:16" x14ac:dyDescent="0.3">
      <c r="M8" s="28">
        <v>1</v>
      </c>
      <c r="N8" s="28">
        <f>SUM(N3:N7)</f>
        <v>1</v>
      </c>
    </row>
  </sheetData>
  <mergeCells count="8">
    <mergeCell ref="O1:O2"/>
    <mergeCell ref="P1:P2"/>
    <mergeCell ref="E1:F1"/>
    <mergeCell ref="H1:H2"/>
    <mergeCell ref="J1:K1"/>
    <mergeCell ref="L1:L2"/>
    <mergeCell ref="M1:M2"/>
    <mergeCell ref="N1:N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0558-A39F-4A8A-9768-A4B89A28DC6A}">
  <dimension ref="A1:B203"/>
  <sheetViews>
    <sheetView workbookViewId="0">
      <selection activeCell="B6" sqref="B6"/>
    </sheetView>
  </sheetViews>
  <sheetFormatPr defaultRowHeight="14.4" x14ac:dyDescent="0.3"/>
  <cols>
    <col min="1" max="1" width="9.88671875" style="36" bestFit="1" customWidth="1"/>
    <col min="2" max="2" width="9" style="36" bestFit="1" customWidth="1"/>
    <col min="3" max="16384" width="8.88671875" style="27"/>
  </cols>
  <sheetData>
    <row r="1" spans="1:2" ht="15" thickBot="1" x14ac:dyDescent="0.35">
      <c r="A1" s="20" t="s">
        <v>33</v>
      </c>
      <c r="B1" s="20" t="s">
        <v>32</v>
      </c>
    </row>
    <row r="2" spans="1:2" x14ac:dyDescent="0.3">
      <c r="A2" s="36">
        <f t="array" ref="A2:A203">ДАННЫЕ_РОСТ</f>
        <v>178</v>
      </c>
      <c r="B2" s="36">
        <f t="array" ref="B2:B201">ДАННЫЕ_ВЕС</f>
        <v>73</v>
      </c>
    </row>
    <row r="3" spans="1:2" x14ac:dyDescent="0.3">
      <c r="A3" s="36">
        <v>163</v>
      </c>
      <c r="B3" s="36">
        <v>63</v>
      </c>
    </row>
    <row r="4" spans="1:2" x14ac:dyDescent="0.3">
      <c r="A4" s="36">
        <v>170</v>
      </c>
      <c r="B4" s="36">
        <v>75</v>
      </c>
    </row>
    <row r="5" spans="1:2" x14ac:dyDescent="0.3">
      <c r="A5" s="36">
        <v>164</v>
      </c>
      <c r="B5" s="36">
        <v>60</v>
      </c>
    </row>
    <row r="6" spans="1:2" x14ac:dyDescent="0.3">
      <c r="A6" s="36">
        <v>164</v>
      </c>
      <c r="B6" s="36">
        <v>56</v>
      </c>
    </row>
    <row r="7" spans="1:2" x14ac:dyDescent="0.3">
      <c r="A7" s="36">
        <v>168</v>
      </c>
      <c r="B7" s="36">
        <v>59</v>
      </c>
    </row>
    <row r="8" spans="1:2" x14ac:dyDescent="0.3">
      <c r="A8" s="36">
        <v>167</v>
      </c>
      <c r="B8" s="36">
        <v>61</v>
      </c>
    </row>
    <row r="9" spans="1:2" x14ac:dyDescent="0.3">
      <c r="A9" s="36">
        <v>166</v>
      </c>
      <c r="B9" s="36">
        <v>62</v>
      </c>
    </row>
    <row r="10" spans="1:2" x14ac:dyDescent="0.3">
      <c r="A10" s="36">
        <v>162</v>
      </c>
      <c r="B10" s="36">
        <v>65</v>
      </c>
    </row>
    <row r="11" spans="1:2" x14ac:dyDescent="0.3">
      <c r="A11" s="36">
        <v>171</v>
      </c>
      <c r="B11" s="36">
        <v>60</v>
      </c>
    </row>
    <row r="12" spans="1:2" x14ac:dyDescent="0.3">
      <c r="A12" s="36">
        <v>168</v>
      </c>
      <c r="B12" s="36">
        <v>62</v>
      </c>
    </row>
    <row r="13" spans="1:2" x14ac:dyDescent="0.3">
      <c r="A13" s="36">
        <v>173</v>
      </c>
      <c r="B13" s="36">
        <v>70</v>
      </c>
    </row>
    <row r="14" spans="1:2" x14ac:dyDescent="0.3">
      <c r="A14" s="36">
        <v>167</v>
      </c>
      <c r="B14" s="36">
        <v>61</v>
      </c>
    </row>
    <row r="15" spans="1:2" x14ac:dyDescent="0.3">
      <c r="A15" s="36">
        <v>170</v>
      </c>
      <c r="B15" s="36">
        <v>74</v>
      </c>
    </row>
    <row r="16" spans="1:2" x14ac:dyDescent="0.3">
      <c r="A16" s="36">
        <v>171</v>
      </c>
      <c r="B16" s="36">
        <v>60</v>
      </c>
    </row>
    <row r="17" spans="1:2" x14ac:dyDescent="0.3">
      <c r="A17" s="36">
        <v>173</v>
      </c>
      <c r="B17" s="36">
        <v>66</v>
      </c>
    </row>
    <row r="18" spans="1:2" x14ac:dyDescent="0.3">
      <c r="A18" s="36">
        <v>187</v>
      </c>
      <c r="B18" s="36">
        <v>84</v>
      </c>
    </row>
    <row r="19" spans="1:2" x14ac:dyDescent="0.3">
      <c r="A19" s="36">
        <v>166</v>
      </c>
      <c r="B19" s="36">
        <v>58</v>
      </c>
    </row>
    <row r="20" spans="1:2" x14ac:dyDescent="0.3">
      <c r="A20" s="36">
        <v>170</v>
      </c>
      <c r="B20" s="36">
        <v>75</v>
      </c>
    </row>
    <row r="21" spans="1:2" x14ac:dyDescent="0.3">
      <c r="A21" s="36">
        <v>178</v>
      </c>
      <c r="B21" s="36">
        <v>69</v>
      </c>
    </row>
    <row r="22" spans="1:2" x14ac:dyDescent="0.3">
      <c r="A22" s="36">
        <v>173</v>
      </c>
      <c r="B22" s="36">
        <v>64</v>
      </c>
    </row>
    <row r="23" spans="1:2" x14ac:dyDescent="0.3">
      <c r="A23" s="36">
        <v>179</v>
      </c>
      <c r="B23" s="36">
        <v>71</v>
      </c>
    </row>
    <row r="24" spans="1:2" x14ac:dyDescent="0.3">
      <c r="A24" s="36">
        <v>171</v>
      </c>
      <c r="B24" s="36">
        <v>64</v>
      </c>
    </row>
    <row r="25" spans="1:2" x14ac:dyDescent="0.3">
      <c r="A25" s="36">
        <v>174</v>
      </c>
      <c r="B25" s="36">
        <v>74</v>
      </c>
    </row>
    <row r="26" spans="1:2" x14ac:dyDescent="0.3">
      <c r="A26" s="36">
        <v>164</v>
      </c>
      <c r="B26" s="36">
        <v>70</v>
      </c>
    </row>
    <row r="27" spans="1:2" x14ac:dyDescent="0.3">
      <c r="A27" s="36">
        <v>173</v>
      </c>
      <c r="B27" s="36">
        <v>69</v>
      </c>
    </row>
    <row r="28" spans="1:2" x14ac:dyDescent="0.3">
      <c r="A28" s="36">
        <v>168</v>
      </c>
      <c r="B28" s="36">
        <v>64</v>
      </c>
    </row>
    <row r="29" spans="1:2" x14ac:dyDescent="0.3">
      <c r="A29" s="36">
        <v>166</v>
      </c>
      <c r="B29" s="36">
        <v>55</v>
      </c>
    </row>
    <row r="30" spans="1:2" x14ac:dyDescent="0.3">
      <c r="A30" s="36">
        <v>177</v>
      </c>
      <c r="B30" s="36">
        <v>67</v>
      </c>
    </row>
    <row r="31" spans="1:2" x14ac:dyDescent="0.3">
      <c r="A31" s="36">
        <v>170</v>
      </c>
      <c r="B31" s="36">
        <v>61</v>
      </c>
    </row>
    <row r="32" spans="1:2" x14ac:dyDescent="0.3">
      <c r="A32" s="36">
        <v>167</v>
      </c>
      <c r="B32" s="36">
        <v>63</v>
      </c>
    </row>
    <row r="33" spans="1:2" x14ac:dyDescent="0.3">
      <c r="A33" s="36">
        <v>174</v>
      </c>
      <c r="B33" s="36">
        <v>75</v>
      </c>
    </row>
    <row r="34" spans="1:2" x14ac:dyDescent="0.3">
      <c r="A34" s="36">
        <v>164</v>
      </c>
      <c r="B34" s="36">
        <v>59</v>
      </c>
    </row>
    <row r="35" spans="1:2" x14ac:dyDescent="0.3">
      <c r="A35" s="36">
        <v>164</v>
      </c>
      <c r="B35" s="36">
        <v>62</v>
      </c>
    </row>
    <row r="36" spans="1:2" x14ac:dyDescent="0.3">
      <c r="A36" s="36">
        <v>178</v>
      </c>
      <c r="B36" s="36">
        <v>60</v>
      </c>
    </row>
    <row r="37" spans="1:2" x14ac:dyDescent="0.3">
      <c r="A37" s="36">
        <v>173</v>
      </c>
      <c r="B37" s="36">
        <v>66</v>
      </c>
    </row>
    <row r="38" spans="1:2" x14ac:dyDescent="0.3">
      <c r="A38" s="36">
        <v>179</v>
      </c>
      <c r="B38" s="36">
        <v>63</v>
      </c>
    </row>
    <row r="39" spans="1:2" x14ac:dyDescent="0.3">
      <c r="A39" s="36">
        <v>165</v>
      </c>
      <c r="B39" s="36">
        <v>62</v>
      </c>
    </row>
    <row r="40" spans="1:2" x14ac:dyDescent="0.3">
      <c r="A40" s="36">
        <v>171</v>
      </c>
      <c r="B40" s="36">
        <v>66</v>
      </c>
    </row>
    <row r="41" spans="1:2" x14ac:dyDescent="0.3">
      <c r="A41" s="36">
        <v>171</v>
      </c>
      <c r="B41" s="36">
        <v>63</v>
      </c>
    </row>
    <row r="42" spans="1:2" x14ac:dyDescent="0.3">
      <c r="A42" s="36">
        <v>170</v>
      </c>
      <c r="B42" s="36">
        <v>70</v>
      </c>
    </row>
    <row r="43" spans="1:2" x14ac:dyDescent="0.3">
      <c r="A43" s="36">
        <v>170</v>
      </c>
      <c r="B43" s="36">
        <v>67</v>
      </c>
    </row>
    <row r="44" spans="1:2" x14ac:dyDescent="0.3">
      <c r="A44" s="36">
        <v>165</v>
      </c>
      <c r="B44" s="36">
        <v>59</v>
      </c>
    </row>
    <row r="45" spans="1:2" x14ac:dyDescent="0.3">
      <c r="A45" s="36">
        <v>156</v>
      </c>
      <c r="B45" s="36">
        <v>53</v>
      </c>
    </row>
    <row r="46" spans="1:2" x14ac:dyDescent="0.3">
      <c r="A46" s="36">
        <v>164</v>
      </c>
      <c r="B46" s="36">
        <v>60</v>
      </c>
    </row>
    <row r="47" spans="1:2" x14ac:dyDescent="0.3">
      <c r="A47" s="36">
        <v>158</v>
      </c>
      <c r="B47" s="36">
        <v>57</v>
      </c>
    </row>
    <row r="48" spans="1:2" x14ac:dyDescent="0.3">
      <c r="A48" s="36">
        <v>165</v>
      </c>
      <c r="B48" s="36">
        <v>68</v>
      </c>
    </row>
    <row r="49" spans="1:2" x14ac:dyDescent="0.3">
      <c r="A49" s="36">
        <v>172</v>
      </c>
      <c r="B49" s="36">
        <v>67</v>
      </c>
    </row>
    <row r="50" spans="1:2" x14ac:dyDescent="0.3">
      <c r="A50" s="36">
        <v>178</v>
      </c>
      <c r="B50" s="36">
        <v>75</v>
      </c>
    </row>
    <row r="51" spans="1:2" x14ac:dyDescent="0.3">
      <c r="A51" s="36">
        <v>159</v>
      </c>
      <c r="B51" s="36">
        <v>61</v>
      </c>
    </row>
    <row r="52" spans="1:2" x14ac:dyDescent="0.3">
      <c r="A52" s="36">
        <v>182</v>
      </c>
      <c r="B52" s="36">
        <v>66</v>
      </c>
    </row>
    <row r="53" spans="1:2" x14ac:dyDescent="0.3">
      <c r="A53" s="36">
        <v>170</v>
      </c>
      <c r="B53" s="36">
        <v>63</v>
      </c>
    </row>
    <row r="54" spans="1:2" x14ac:dyDescent="0.3">
      <c r="A54" s="36">
        <v>168</v>
      </c>
      <c r="B54" s="36">
        <v>65</v>
      </c>
    </row>
    <row r="55" spans="1:2" x14ac:dyDescent="0.3">
      <c r="A55" s="36">
        <v>171</v>
      </c>
      <c r="B55" s="36">
        <v>66</v>
      </c>
    </row>
    <row r="56" spans="1:2" x14ac:dyDescent="0.3">
      <c r="A56" s="36">
        <v>172</v>
      </c>
      <c r="B56" s="36">
        <v>67</v>
      </c>
    </row>
    <row r="57" spans="1:2" x14ac:dyDescent="0.3">
      <c r="A57" s="36">
        <v>169</v>
      </c>
      <c r="B57" s="36">
        <v>64</v>
      </c>
    </row>
    <row r="58" spans="1:2" x14ac:dyDescent="0.3">
      <c r="A58" s="36">
        <v>167</v>
      </c>
      <c r="B58" s="36">
        <v>59</v>
      </c>
    </row>
    <row r="59" spans="1:2" x14ac:dyDescent="0.3">
      <c r="A59" s="36">
        <v>170</v>
      </c>
      <c r="B59" s="36">
        <v>62</v>
      </c>
    </row>
    <row r="60" spans="1:2" x14ac:dyDescent="0.3">
      <c r="A60" s="36">
        <v>170</v>
      </c>
      <c r="B60" s="36">
        <v>69</v>
      </c>
    </row>
    <row r="61" spans="1:2" x14ac:dyDescent="0.3">
      <c r="A61" s="36">
        <v>168</v>
      </c>
      <c r="B61" s="36">
        <v>65</v>
      </c>
    </row>
    <row r="62" spans="1:2" x14ac:dyDescent="0.3">
      <c r="A62" s="36">
        <v>174</v>
      </c>
      <c r="B62" s="36">
        <v>69</v>
      </c>
    </row>
    <row r="63" spans="1:2" x14ac:dyDescent="0.3">
      <c r="A63" s="36">
        <v>167</v>
      </c>
      <c r="B63" s="36">
        <v>61</v>
      </c>
    </row>
    <row r="64" spans="1:2" x14ac:dyDescent="0.3">
      <c r="A64" s="36">
        <v>165</v>
      </c>
      <c r="B64" s="36">
        <v>61</v>
      </c>
    </row>
    <row r="65" spans="1:2" x14ac:dyDescent="0.3">
      <c r="A65" s="36">
        <v>171</v>
      </c>
      <c r="B65" s="36">
        <v>66</v>
      </c>
    </row>
    <row r="66" spans="1:2" x14ac:dyDescent="0.3">
      <c r="A66" s="36">
        <v>170</v>
      </c>
      <c r="B66" s="36">
        <v>69</v>
      </c>
    </row>
    <row r="67" spans="1:2" x14ac:dyDescent="0.3">
      <c r="A67" s="36">
        <v>169</v>
      </c>
      <c r="B67" s="36">
        <v>66</v>
      </c>
    </row>
    <row r="68" spans="1:2" x14ac:dyDescent="0.3">
      <c r="A68" s="36">
        <v>171</v>
      </c>
      <c r="B68" s="36">
        <v>76</v>
      </c>
    </row>
    <row r="69" spans="1:2" x14ac:dyDescent="0.3">
      <c r="A69" s="36">
        <v>161</v>
      </c>
      <c r="B69" s="36">
        <v>51</v>
      </c>
    </row>
    <row r="70" spans="1:2" x14ac:dyDescent="0.3">
      <c r="A70" s="36">
        <v>167</v>
      </c>
      <c r="B70" s="36">
        <v>60</v>
      </c>
    </row>
    <row r="71" spans="1:2" x14ac:dyDescent="0.3">
      <c r="A71" s="36">
        <v>174</v>
      </c>
      <c r="B71" s="36">
        <v>74</v>
      </c>
    </row>
    <row r="72" spans="1:2" x14ac:dyDescent="0.3">
      <c r="A72" s="36">
        <v>171</v>
      </c>
      <c r="B72" s="36">
        <v>70</v>
      </c>
    </row>
    <row r="73" spans="1:2" x14ac:dyDescent="0.3">
      <c r="A73" s="36">
        <v>172</v>
      </c>
      <c r="B73" s="36">
        <v>64</v>
      </c>
    </row>
    <row r="74" spans="1:2" x14ac:dyDescent="0.3">
      <c r="A74" s="36">
        <v>171</v>
      </c>
      <c r="B74" s="36">
        <v>70</v>
      </c>
    </row>
    <row r="75" spans="1:2" x14ac:dyDescent="0.3">
      <c r="A75" s="36">
        <v>173</v>
      </c>
      <c r="B75" s="36">
        <v>64</v>
      </c>
    </row>
    <row r="76" spans="1:2" x14ac:dyDescent="0.3">
      <c r="A76" s="36">
        <v>180</v>
      </c>
      <c r="B76" s="36">
        <v>76</v>
      </c>
    </row>
    <row r="77" spans="1:2" x14ac:dyDescent="0.3">
      <c r="A77" s="36">
        <v>172</v>
      </c>
      <c r="B77" s="36">
        <v>63</v>
      </c>
    </row>
    <row r="78" spans="1:2" x14ac:dyDescent="0.3">
      <c r="A78" s="36">
        <v>173</v>
      </c>
      <c r="B78" s="36">
        <v>75</v>
      </c>
    </row>
    <row r="79" spans="1:2" x14ac:dyDescent="0.3">
      <c r="A79" s="36">
        <v>171</v>
      </c>
      <c r="B79" s="36">
        <v>57</v>
      </c>
    </row>
    <row r="80" spans="1:2" x14ac:dyDescent="0.3">
      <c r="A80" s="36">
        <v>169</v>
      </c>
      <c r="B80" s="36">
        <v>62</v>
      </c>
    </row>
    <row r="81" spans="1:2" x14ac:dyDescent="0.3">
      <c r="A81" s="36">
        <v>161</v>
      </c>
      <c r="B81" s="36">
        <v>58</v>
      </c>
    </row>
    <row r="82" spans="1:2" x14ac:dyDescent="0.3">
      <c r="A82" s="36">
        <v>176</v>
      </c>
      <c r="B82" s="36">
        <v>81</v>
      </c>
    </row>
    <row r="83" spans="1:2" x14ac:dyDescent="0.3">
      <c r="A83" s="36">
        <v>175</v>
      </c>
      <c r="B83" s="36">
        <v>67</v>
      </c>
    </row>
    <row r="84" spans="1:2" x14ac:dyDescent="0.3">
      <c r="A84" s="36">
        <v>158</v>
      </c>
      <c r="B84" s="36">
        <v>57</v>
      </c>
    </row>
    <row r="85" spans="1:2" x14ac:dyDescent="0.3">
      <c r="A85" s="36">
        <v>174</v>
      </c>
      <c r="B85" s="36">
        <v>68</v>
      </c>
    </row>
    <row r="86" spans="1:2" x14ac:dyDescent="0.3">
      <c r="A86" s="36">
        <v>171</v>
      </c>
      <c r="B86" s="36">
        <v>73</v>
      </c>
    </row>
    <row r="87" spans="1:2" x14ac:dyDescent="0.3">
      <c r="A87" s="36">
        <v>176</v>
      </c>
      <c r="B87" s="36">
        <v>60</v>
      </c>
    </row>
    <row r="88" spans="1:2" x14ac:dyDescent="0.3">
      <c r="A88" s="36">
        <v>167</v>
      </c>
      <c r="B88" s="36">
        <v>57</v>
      </c>
    </row>
    <row r="89" spans="1:2" x14ac:dyDescent="0.3">
      <c r="A89" s="36">
        <v>161</v>
      </c>
      <c r="B89" s="36">
        <v>52</v>
      </c>
    </row>
    <row r="90" spans="1:2" x14ac:dyDescent="0.3">
      <c r="A90" s="36">
        <v>161</v>
      </c>
      <c r="B90" s="36">
        <v>59</v>
      </c>
    </row>
    <row r="91" spans="1:2" x14ac:dyDescent="0.3">
      <c r="A91" s="36">
        <v>168</v>
      </c>
      <c r="B91" s="36">
        <v>71</v>
      </c>
    </row>
    <row r="92" spans="1:2" x14ac:dyDescent="0.3">
      <c r="A92" s="36">
        <v>159</v>
      </c>
      <c r="B92" s="36">
        <v>55</v>
      </c>
    </row>
    <row r="93" spans="1:2" x14ac:dyDescent="0.3">
      <c r="A93" s="36">
        <v>163</v>
      </c>
      <c r="B93" s="36">
        <v>63</v>
      </c>
    </row>
    <row r="94" spans="1:2" x14ac:dyDescent="0.3">
      <c r="A94" s="36">
        <v>168</v>
      </c>
      <c r="B94" s="36">
        <v>50</v>
      </c>
    </row>
    <row r="95" spans="1:2" x14ac:dyDescent="0.3">
      <c r="A95" s="36">
        <v>172</v>
      </c>
      <c r="B95" s="36">
        <v>70</v>
      </c>
    </row>
    <row r="96" spans="1:2" x14ac:dyDescent="0.3">
      <c r="A96" s="36">
        <v>186</v>
      </c>
      <c r="B96" s="36">
        <v>72</v>
      </c>
    </row>
    <row r="97" spans="1:2" x14ac:dyDescent="0.3">
      <c r="A97" s="36">
        <v>171</v>
      </c>
      <c r="B97" s="36">
        <v>67</v>
      </c>
    </row>
    <row r="98" spans="1:2" x14ac:dyDescent="0.3">
      <c r="A98" s="36">
        <v>187</v>
      </c>
      <c r="B98" s="36">
        <v>84</v>
      </c>
    </row>
    <row r="99" spans="1:2" x14ac:dyDescent="0.3">
      <c r="A99" s="36">
        <v>170</v>
      </c>
      <c r="B99" s="36">
        <v>68</v>
      </c>
    </row>
    <row r="100" spans="1:2" x14ac:dyDescent="0.3">
      <c r="A100" s="36">
        <v>160</v>
      </c>
      <c r="B100" s="36">
        <v>61</v>
      </c>
    </row>
    <row r="101" spans="1:2" x14ac:dyDescent="0.3">
      <c r="A101" s="36">
        <v>172</v>
      </c>
      <c r="B101" s="36">
        <v>73</v>
      </c>
    </row>
    <row r="102" spans="1:2" x14ac:dyDescent="0.3">
      <c r="A102" s="36">
        <v>164</v>
      </c>
      <c r="B102" s="36">
        <v>70</v>
      </c>
    </row>
    <row r="103" spans="1:2" x14ac:dyDescent="0.3">
      <c r="A103" s="36">
        <v>176</v>
      </c>
      <c r="B103" s="36">
        <v>67</v>
      </c>
    </row>
    <row r="104" spans="1:2" x14ac:dyDescent="0.3">
      <c r="A104" s="36">
        <v>163</v>
      </c>
      <c r="B104" s="36">
        <v>58</v>
      </c>
    </row>
    <row r="105" spans="1:2" x14ac:dyDescent="0.3">
      <c r="A105" s="36">
        <v>164</v>
      </c>
      <c r="B105" s="36">
        <v>62</v>
      </c>
    </row>
    <row r="106" spans="1:2" x14ac:dyDescent="0.3">
      <c r="A106" s="36">
        <v>170</v>
      </c>
      <c r="B106" s="36">
        <v>68</v>
      </c>
    </row>
    <row r="107" spans="1:2" x14ac:dyDescent="0.3">
      <c r="A107" s="36">
        <v>177</v>
      </c>
      <c r="B107" s="36">
        <v>60</v>
      </c>
    </row>
    <row r="108" spans="1:2" x14ac:dyDescent="0.3">
      <c r="A108" s="36">
        <v>180</v>
      </c>
      <c r="B108" s="36">
        <v>75</v>
      </c>
    </row>
    <row r="109" spans="1:2" x14ac:dyDescent="0.3">
      <c r="A109" s="36">
        <v>175</v>
      </c>
      <c r="B109" s="36">
        <v>75</v>
      </c>
    </row>
    <row r="110" spans="1:2" x14ac:dyDescent="0.3">
      <c r="A110" s="36">
        <v>168</v>
      </c>
      <c r="B110" s="36">
        <v>55</v>
      </c>
    </row>
    <row r="111" spans="1:2" x14ac:dyDescent="0.3">
      <c r="A111" s="36">
        <v>175</v>
      </c>
      <c r="B111" s="36">
        <v>67</v>
      </c>
    </row>
    <row r="112" spans="1:2" x14ac:dyDescent="0.3">
      <c r="A112" s="36">
        <v>171</v>
      </c>
      <c r="B112" s="36">
        <v>63</v>
      </c>
    </row>
    <row r="113" spans="1:2" x14ac:dyDescent="0.3">
      <c r="A113" s="36">
        <v>170</v>
      </c>
      <c r="B113" s="36">
        <v>65</v>
      </c>
    </row>
    <row r="114" spans="1:2" x14ac:dyDescent="0.3">
      <c r="A114" s="36">
        <v>168</v>
      </c>
      <c r="B114" s="36">
        <v>64</v>
      </c>
    </row>
    <row r="115" spans="1:2" x14ac:dyDescent="0.3">
      <c r="A115" s="36">
        <v>160</v>
      </c>
      <c r="B115" s="36">
        <v>57</v>
      </c>
    </row>
    <row r="116" spans="1:2" x14ac:dyDescent="0.3">
      <c r="A116" s="36">
        <v>171</v>
      </c>
      <c r="B116" s="36">
        <v>66</v>
      </c>
    </row>
    <row r="117" spans="1:2" x14ac:dyDescent="0.3">
      <c r="A117" s="36">
        <v>180</v>
      </c>
      <c r="B117" s="36">
        <v>65</v>
      </c>
    </row>
    <row r="118" spans="1:2" x14ac:dyDescent="0.3">
      <c r="A118" s="36">
        <v>165</v>
      </c>
      <c r="B118" s="36">
        <v>57</v>
      </c>
    </row>
    <row r="119" spans="1:2" x14ac:dyDescent="0.3">
      <c r="A119" s="36">
        <v>176</v>
      </c>
      <c r="B119" s="36">
        <v>77</v>
      </c>
    </row>
    <row r="120" spans="1:2" x14ac:dyDescent="0.3">
      <c r="A120" s="36">
        <v>167</v>
      </c>
      <c r="B120" s="36">
        <v>68</v>
      </c>
    </row>
    <row r="121" spans="1:2" x14ac:dyDescent="0.3">
      <c r="A121" s="36">
        <v>163</v>
      </c>
      <c r="B121" s="36">
        <v>54</v>
      </c>
    </row>
    <row r="122" spans="1:2" x14ac:dyDescent="0.3">
      <c r="A122" s="36">
        <v>170</v>
      </c>
      <c r="B122" s="36">
        <v>75</v>
      </c>
    </row>
    <row r="123" spans="1:2" x14ac:dyDescent="0.3">
      <c r="A123" s="36">
        <v>174</v>
      </c>
      <c r="B123" s="36">
        <v>67</v>
      </c>
    </row>
    <row r="124" spans="1:2" x14ac:dyDescent="0.3">
      <c r="A124" s="36">
        <v>167</v>
      </c>
      <c r="B124" s="36">
        <v>65</v>
      </c>
    </row>
    <row r="125" spans="1:2" x14ac:dyDescent="0.3">
      <c r="A125" s="36">
        <v>172</v>
      </c>
      <c r="B125" s="36">
        <v>73</v>
      </c>
    </row>
    <row r="126" spans="1:2" x14ac:dyDescent="0.3">
      <c r="A126" s="36">
        <v>173</v>
      </c>
      <c r="B126" s="36">
        <v>69</v>
      </c>
    </row>
    <row r="127" spans="1:2" x14ac:dyDescent="0.3">
      <c r="A127" s="36">
        <v>164</v>
      </c>
      <c r="B127" s="36">
        <v>65</v>
      </c>
    </row>
    <row r="128" spans="1:2" x14ac:dyDescent="0.3">
      <c r="A128" s="36">
        <v>170</v>
      </c>
      <c r="B128" s="36">
        <v>58</v>
      </c>
    </row>
    <row r="129" spans="1:2" x14ac:dyDescent="0.3">
      <c r="A129" s="36">
        <v>168</v>
      </c>
      <c r="B129" s="36">
        <v>58</v>
      </c>
    </row>
    <row r="130" spans="1:2" x14ac:dyDescent="0.3">
      <c r="A130" s="36">
        <v>176</v>
      </c>
      <c r="B130" s="36">
        <v>67</v>
      </c>
    </row>
    <row r="131" spans="1:2" x14ac:dyDescent="0.3">
      <c r="A131" s="36">
        <v>168</v>
      </c>
      <c r="B131" s="36">
        <v>60</v>
      </c>
    </row>
    <row r="132" spans="1:2" x14ac:dyDescent="0.3">
      <c r="A132" s="36">
        <v>179</v>
      </c>
      <c r="B132" s="36">
        <v>71</v>
      </c>
    </row>
    <row r="133" spans="1:2" x14ac:dyDescent="0.3">
      <c r="A133" s="36">
        <v>168</v>
      </c>
      <c r="B133" s="36">
        <v>67</v>
      </c>
    </row>
    <row r="134" spans="1:2" x14ac:dyDescent="0.3">
      <c r="A134" s="36">
        <v>176</v>
      </c>
      <c r="B134" s="36">
        <v>65</v>
      </c>
    </row>
    <row r="135" spans="1:2" x14ac:dyDescent="0.3">
      <c r="A135" s="36">
        <v>184</v>
      </c>
      <c r="B135" s="36">
        <v>68</v>
      </c>
    </row>
    <row r="136" spans="1:2" x14ac:dyDescent="0.3">
      <c r="A136" s="36">
        <v>165</v>
      </c>
      <c r="B136" s="36">
        <v>60</v>
      </c>
    </row>
    <row r="137" spans="1:2" x14ac:dyDescent="0.3">
      <c r="A137" s="36">
        <v>176</v>
      </c>
      <c r="B137" s="36">
        <v>72</v>
      </c>
    </row>
    <row r="138" spans="1:2" x14ac:dyDescent="0.3">
      <c r="A138" s="36">
        <v>163</v>
      </c>
      <c r="B138" s="36">
        <v>65</v>
      </c>
    </row>
    <row r="139" spans="1:2" x14ac:dyDescent="0.3">
      <c r="A139" s="36">
        <v>167</v>
      </c>
      <c r="B139" s="36">
        <v>60</v>
      </c>
    </row>
    <row r="140" spans="1:2" x14ac:dyDescent="0.3">
      <c r="A140" s="36">
        <v>160</v>
      </c>
      <c r="B140" s="36">
        <v>57</v>
      </c>
    </row>
    <row r="141" spans="1:2" x14ac:dyDescent="0.3">
      <c r="A141" s="36">
        <v>186</v>
      </c>
      <c r="B141" s="36">
        <v>72</v>
      </c>
    </row>
    <row r="142" spans="1:2" x14ac:dyDescent="0.3">
      <c r="A142" s="36">
        <v>172</v>
      </c>
      <c r="B142" s="36">
        <v>67</v>
      </c>
    </row>
    <row r="143" spans="1:2" x14ac:dyDescent="0.3">
      <c r="A143" s="36">
        <v>166</v>
      </c>
      <c r="B143" s="36">
        <v>62</v>
      </c>
    </row>
    <row r="144" spans="1:2" x14ac:dyDescent="0.3">
      <c r="A144" s="36">
        <v>170</v>
      </c>
      <c r="B144" s="36">
        <v>61</v>
      </c>
    </row>
    <row r="145" spans="1:2" x14ac:dyDescent="0.3">
      <c r="A145" s="36">
        <v>173</v>
      </c>
      <c r="B145" s="36">
        <v>72</v>
      </c>
    </row>
    <row r="146" spans="1:2" x14ac:dyDescent="0.3">
      <c r="A146" s="36">
        <v>166</v>
      </c>
      <c r="B146" s="36">
        <v>67</v>
      </c>
    </row>
    <row r="147" spans="1:2" x14ac:dyDescent="0.3">
      <c r="A147" s="36">
        <v>171</v>
      </c>
      <c r="B147" s="36">
        <v>59</v>
      </c>
    </row>
    <row r="148" spans="1:2" x14ac:dyDescent="0.3">
      <c r="A148" s="36">
        <v>169</v>
      </c>
      <c r="B148" s="36">
        <v>67</v>
      </c>
    </row>
    <row r="149" spans="1:2" x14ac:dyDescent="0.3">
      <c r="A149" s="36">
        <v>162</v>
      </c>
      <c r="B149" s="36">
        <v>66</v>
      </c>
    </row>
    <row r="150" spans="1:2" x14ac:dyDescent="0.3">
      <c r="A150" s="36">
        <v>185</v>
      </c>
      <c r="B150" s="36">
        <v>82</v>
      </c>
    </row>
    <row r="151" spans="1:2" x14ac:dyDescent="0.3">
      <c r="A151" s="36">
        <v>178</v>
      </c>
      <c r="B151" s="36">
        <v>71</v>
      </c>
    </row>
    <row r="152" spans="1:2" x14ac:dyDescent="0.3">
      <c r="A152" s="36">
        <v>163</v>
      </c>
      <c r="B152" s="36">
        <v>54</v>
      </c>
    </row>
    <row r="153" spans="1:2" x14ac:dyDescent="0.3">
      <c r="A153" s="36">
        <v>170</v>
      </c>
      <c r="B153" s="36">
        <v>65</v>
      </c>
    </row>
    <row r="154" spans="1:2" x14ac:dyDescent="0.3">
      <c r="A154" s="36">
        <v>158</v>
      </c>
      <c r="B154" s="36">
        <v>56</v>
      </c>
    </row>
    <row r="155" spans="1:2" x14ac:dyDescent="0.3">
      <c r="A155" s="36">
        <v>172</v>
      </c>
      <c r="B155" s="36">
        <v>66</v>
      </c>
    </row>
    <row r="156" spans="1:2" x14ac:dyDescent="0.3">
      <c r="A156" s="36">
        <v>167</v>
      </c>
      <c r="B156" s="36">
        <v>65</v>
      </c>
    </row>
    <row r="157" spans="1:2" x14ac:dyDescent="0.3">
      <c r="A157" s="36">
        <v>167</v>
      </c>
      <c r="B157" s="36">
        <v>61</v>
      </c>
    </row>
    <row r="158" spans="1:2" x14ac:dyDescent="0.3">
      <c r="A158" s="36">
        <v>172</v>
      </c>
      <c r="B158" s="36">
        <v>67</v>
      </c>
    </row>
    <row r="159" spans="1:2" x14ac:dyDescent="0.3">
      <c r="A159" s="36">
        <v>175</v>
      </c>
      <c r="B159" s="36">
        <v>64</v>
      </c>
    </row>
    <row r="160" spans="1:2" x14ac:dyDescent="0.3">
      <c r="A160" s="36">
        <v>173</v>
      </c>
      <c r="B160" s="36">
        <v>63</v>
      </c>
    </row>
    <row r="161" spans="1:2" x14ac:dyDescent="0.3">
      <c r="A161" s="36">
        <v>166</v>
      </c>
      <c r="B161" s="36">
        <v>78</v>
      </c>
    </row>
    <row r="162" spans="1:2" x14ac:dyDescent="0.3">
      <c r="A162" s="36">
        <v>170</v>
      </c>
      <c r="B162" s="36">
        <v>65</v>
      </c>
    </row>
    <row r="163" spans="1:2" x14ac:dyDescent="0.3">
      <c r="A163" s="36">
        <v>176</v>
      </c>
      <c r="B163" s="36">
        <v>65</v>
      </c>
    </row>
    <row r="164" spans="1:2" x14ac:dyDescent="0.3">
      <c r="A164" s="36">
        <v>159</v>
      </c>
      <c r="B164" s="36">
        <v>48</v>
      </c>
    </row>
    <row r="165" spans="1:2" x14ac:dyDescent="0.3">
      <c r="A165" s="36">
        <v>173</v>
      </c>
      <c r="B165" s="36">
        <v>64</v>
      </c>
    </row>
    <row r="166" spans="1:2" x14ac:dyDescent="0.3">
      <c r="A166" s="36">
        <v>166</v>
      </c>
      <c r="B166" s="36">
        <v>62</v>
      </c>
    </row>
    <row r="167" spans="1:2" x14ac:dyDescent="0.3">
      <c r="A167" s="36">
        <v>166</v>
      </c>
      <c r="B167" s="36">
        <v>71</v>
      </c>
    </row>
    <row r="168" spans="1:2" x14ac:dyDescent="0.3">
      <c r="A168" s="36">
        <v>170</v>
      </c>
      <c r="B168" s="36">
        <v>76</v>
      </c>
    </row>
    <row r="169" spans="1:2" x14ac:dyDescent="0.3">
      <c r="A169" s="36">
        <v>161</v>
      </c>
      <c r="B169" s="36">
        <v>66</v>
      </c>
    </row>
    <row r="170" spans="1:2" x14ac:dyDescent="0.3">
      <c r="A170" s="36">
        <v>167</v>
      </c>
      <c r="B170" s="36">
        <v>61</v>
      </c>
    </row>
    <row r="171" spans="1:2" x14ac:dyDescent="0.3">
      <c r="A171" s="36">
        <v>176</v>
      </c>
      <c r="B171" s="36">
        <v>65</v>
      </c>
    </row>
    <row r="172" spans="1:2" x14ac:dyDescent="0.3">
      <c r="A172" s="36">
        <v>179</v>
      </c>
      <c r="B172" s="36">
        <v>77</v>
      </c>
    </row>
    <row r="173" spans="1:2" x14ac:dyDescent="0.3">
      <c r="A173" s="36">
        <v>171</v>
      </c>
      <c r="B173" s="36">
        <v>73</v>
      </c>
    </row>
    <row r="174" spans="1:2" x14ac:dyDescent="0.3">
      <c r="A174" s="36">
        <v>164</v>
      </c>
      <c r="B174" s="36">
        <v>65</v>
      </c>
    </row>
    <row r="175" spans="1:2" x14ac:dyDescent="0.3">
      <c r="A175" s="36">
        <v>184</v>
      </c>
      <c r="B175" s="36">
        <v>68</v>
      </c>
    </row>
    <row r="176" spans="1:2" x14ac:dyDescent="0.3">
      <c r="A176" s="36">
        <v>166</v>
      </c>
      <c r="B176" s="36">
        <v>62</v>
      </c>
    </row>
    <row r="177" spans="1:2" x14ac:dyDescent="0.3">
      <c r="A177" s="36">
        <v>165</v>
      </c>
      <c r="B177" s="36">
        <v>67</v>
      </c>
    </row>
    <row r="178" spans="1:2" x14ac:dyDescent="0.3">
      <c r="A178" s="36">
        <v>159</v>
      </c>
      <c r="B178" s="36">
        <v>48</v>
      </c>
    </row>
    <row r="179" spans="1:2" x14ac:dyDescent="0.3">
      <c r="A179" s="36">
        <v>168</v>
      </c>
      <c r="B179" s="36">
        <v>58</v>
      </c>
    </row>
    <row r="180" spans="1:2" x14ac:dyDescent="0.3">
      <c r="A180" s="36">
        <v>171</v>
      </c>
      <c r="B180" s="36">
        <v>66</v>
      </c>
    </row>
    <row r="181" spans="1:2" x14ac:dyDescent="0.3">
      <c r="A181" s="36">
        <v>183</v>
      </c>
      <c r="B181" s="36">
        <v>73</v>
      </c>
    </row>
    <row r="182" spans="1:2" x14ac:dyDescent="0.3">
      <c r="A182" s="36">
        <v>169</v>
      </c>
      <c r="B182" s="36">
        <v>74</v>
      </c>
    </row>
    <row r="183" spans="1:2" x14ac:dyDescent="0.3">
      <c r="A183" s="36">
        <v>165</v>
      </c>
      <c r="B183" s="36">
        <v>66</v>
      </c>
    </row>
    <row r="184" spans="1:2" x14ac:dyDescent="0.3">
      <c r="A184" s="36">
        <v>171</v>
      </c>
      <c r="B184" s="36">
        <v>70</v>
      </c>
    </row>
    <row r="185" spans="1:2" x14ac:dyDescent="0.3">
      <c r="A185" s="36">
        <v>168</v>
      </c>
      <c r="B185" s="36">
        <v>61</v>
      </c>
    </row>
    <row r="186" spans="1:2" x14ac:dyDescent="0.3">
      <c r="A186" s="36">
        <v>168</v>
      </c>
      <c r="B186" s="36">
        <v>67</v>
      </c>
    </row>
    <row r="187" spans="1:2" x14ac:dyDescent="0.3">
      <c r="A187" s="36">
        <v>178</v>
      </c>
      <c r="B187" s="36">
        <v>80</v>
      </c>
    </row>
    <row r="188" spans="1:2" x14ac:dyDescent="0.3">
      <c r="A188" s="36">
        <v>170</v>
      </c>
      <c r="B188" s="36">
        <v>65</v>
      </c>
    </row>
    <row r="189" spans="1:2" x14ac:dyDescent="0.3">
      <c r="A189" s="36">
        <v>161</v>
      </c>
      <c r="B189" s="36">
        <v>56</v>
      </c>
    </row>
    <row r="190" spans="1:2" x14ac:dyDescent="0.3">
      <c r="A190" s="36">
        <v>163</v>
      </c>
      <c r="B190" s="36">
        <v>61</v>
      </c>
    </row>
    <row r="191" spans="1:2" x14ac:dyDescent="0.3">
      <c r="A191" s="36">
        <v>163</v>
      </c>
      <c r="B191" s="36">
        <v>66</v>
      </c>
    </row>
    <row r="192" spans="1:2" x14ac:dyDescent="0.3">
      <c r="A192" s="36">
        <v>162</v>
      </c>
      <c r="B192" s="36">
        <v>52</v>
      </c>
    </row>
    <row r="193" spans="1:2" x14ac:dyDescent="0.3">
      <c r="A193" s="36">
        <v>167</v>
      </c>
      <c r="B193" s="36">
        <v>59</v>
      </c>
    </row>
    <row r="194" spans="1:2" x14ac:dyDescent="0.3">
      <c r="A194" s="36">
        <v>171</v>
      </c>
      <c r="B194" s="36">
        <v>62</v>
      </c>
    </row>
    <row r="195" spans="1:2" x14ac:dyDescent="0.3">
      <c r="A195" s="36">
        <v>173</v>
      </c>
      <c r="B195" s="36">
        <v>69</v>
      </c>
    </row>
    <row r="196" spans="1:2" x14ac:dyDescent="0.3">
      <c r="A196" s="36">
        <v>161</v>
      </c>
      <c r="B196" s="36">
        <v>58</v>
      </c>
    </row>
    <row r="197" spans="1:2" x14ac:dyDescent="0.3">
      <c r="A197" s="36">
        <v>169</v>
      </c>
      <c r="B197" s="36">
        <v>62</v>
      </c>
    </row>
    <row r="198" spans="1:2" x14ac:dyDescent="0.3">
      <c r="A198" s="36">
        <v>161</v>
      </c>
      <c r="B198" s="36">
        <v>66</v>
      </c>
    </row>
    <row r="199" spans="1:2" x14ac:dyDescent="0.3">
      <c r="A199" s="36">
        <v>169</v>
      </c>
      <c r="B199" s="36">
        <v>70</v>
      </c>
    </row>
    <row r="200" spans="1:2" x14ac:dyDescent="0.3">
      <c r="A200" s="36">
        <v>165</v>
      </c>
      <c r="B200" s="36">
        <v>60</v>
      </c>
    </row>
    <row r="201" spans="1:2" x14ac:dyDescent="0.3">
      <c r="A201" s="36">
        <v>170</v>
      </c>
      <c r="B201" s="36">
        <v>61</v>
      </c>
    </row>
    <row r="202" spans="1:2" hidden="1" x14ac:dyDescent="0.3">
      <c r="A202" s="36" t="e">
        <v>#N/A</v>
      </c>
    </row>
    <row r="203" spans="1:2" hidden="1" x14ac:dyDescent="0.3">
      <c r="A203" s="36" t="e">
        <v>#N/A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481D6-92B3-4290-994A-E12608BB5437}">
  <dimension ref="A1:R28"/>
  <sheetViews>
    <sheetView zoomScaleNormal="100" workbookViewId="0">
      <selection activeCell="D18" sqref="D18"/>
    </sheetView>
  </sheetViews>
  <sheetFormatPr defaultRowHeight="14.4" x14ac:dyDescent="0.3"/>
  <cols>
    <col min="1" max="1" width="17" style="28" bestFit="1" customWidth="1"/>
    <col min="2" max="2" width="33.44140625" style="28" customWidth="1"/>
    <col min="3" max="3" width="19.33203125" style="28" bestFit="1" customWidth="1"/>
    <col min="4" max="16" width="8.88671875" style="28"/>
    <col min="17" max="17" width="19" style="28" bestFit="1" customWidth="1"/>
    <col min="18" max="18" width="21.77734375" style="28" bestFit="1" customWidth="1"/>
    <col min="19" max="16384" width="8.88671875" style="28"/>
  </cols>
  <sheetData>
    <row r="1" spans="1:18" x14ac:dyDescent="0.3">
      <c r="B1" s="41"/>
      <c r="C1" s="5" t="s">
        <v>12</v>
      </c>
      <c r="D1" s="42">
        <f t="array" ref="D1:M1">ВЕС_ВАРИАЦИОННЫЙ_РЯД_НАЧАЛО_ГОРИЗ</f>
        <v>48</v>
      </c>
      <c r="E1" s="28">
        <v>51.6</v>
      </c>
      <c r="F1" s="28">
        <v>55.2</v>
      </c>
      <c r="G1" s="28">
        <v>58.800000000000004</v>
      </c>
      <c r="H1" s="28">
        <v>62.400000000000006</v>
      </c>
      <c r="I1" s="28">
        <v>66</v>
      </c>
      <c r="J1" s="28">
        <v>69.599999999999994</v>
      </c>
      <c r="K1" s="28">
        <v>73.199999999999989</v>
      </c>
      <c r="L1" s="28">
        <v>76.799999999999983</v>
      </c>
      <c r="M1" s="28">
        <v>80.399999999999977</v>
      </c>
    </row>
    <row r="2" spans="1:18" x14ac:dyDescent="0.3">
      <c r="B2" s="41"/>
      <c r="C2" s="4" t="s">
        <v>13</v>
      </c>
      <c r="D2" s="28">
        <f>D28</f>
        <v>51.6</v>
      </c>
      <c r="E2" s="28">
        <f t="shared" ref="E2:L2" si="0">E28</f>
        <v>55.2</v>
      </c>
      <c r="F2" s="28">
        <f t="shared" si="0"/>
        <v>58.800000000000004</v>
      </c>
      <c r="G2" s="28">
        <f t="shared" si="0"/>
        <v>62.400000000000006</v>
      </c>
      <c r="H2" s="28">
        <f t="shared" si="0"/>
        <v>66</v>
      </c>
      <c r="I2" s="28">
        <f t="shared" si="0"/>
        <v>69.599999999999994</v>
      </c>
      <c r="J2" s="28">
        <f t="shared" si="0"/>
        <v>73.199999999999989</v>
      </c>
      <c r="K2" s="28">
        <f t="shared" si="0"/>
        <v>76.799999999999983</v>
      </c>
      <c r="L2" s="28">
        <f t="shared" si="0"/>
        <v>80.399999999999977</v>
      </c>
      <c r="M2" s="29">
        <f>M28 + ОБЩЕЕ_EPS</f>
        <v>84.000000009999965</v>
      </c>
      <c r="N2" s="55" t="s">
        <v>41</v>
      </c>
      <c r="O2" s="55"/>
      <c r="P2" s="2"/>
    </row>
    <row r="3" spans="1:18" ht="15" thickBot="1" x14ac:dyDescent="0.35">
      <c r="A3" s="20" t="s">
        <v>12</v>
      </c>
      <c r="B3" s="3" t="s">
        <v>13</v>
      </c>
      <c r="C3" s="6" t="s">
        <v>34</v>
      </c>
      <c r="D3" s="32">
        <f t="array" ref="D3:M3">ВЕС_ИНТЕРВАЛЫ_СЕР_ГОРИЗ</f>
        <v>49.8</v>
      </c>
      <c r="E3" s="32">
        <v>53.400000000000006</v>
      </c>
      <c r="F3" s="32">
        <v>57</v>
      </c>
      <c r="G3" s="32">
        <v>60.600000000000009</v>
      </c>
      <c r="H3" s="32">
        <v>64.2</v>
      </c>
      <c r="I3" s="32">
        <v>67.8</v>
      </c>
      <c r="J3" s="32">
        <v>71.399999999999991</v>
      </c>
      <c r="K3" s="32">
        <v>74.999999999999986</v>
      </c>
      <c r="L3" s="32">
        <v>78.59999999999998</v>
      </c>
      <c r="M3" s="32">
        <v>82.199999999999974</v>
      </c>
      <c r="N3" s="7"/>
      <c r="O3" s="7"/>
      <c r="P3" s="7" t="s">
        <v>40</v>
      </c>
      <c r="Q3" s="20" t="s">
        <v>26</v>
      </c>
      <c r="R3" s="20" t="s">
        <v>76</v>
      </c>
    </row>
    <row r="4" spans="1:18" x14ac:dyDescent="0.3">
      <c r="A4" s="28">
        <f t="array" ref="A4:A13">РОСТ_ВАРИАЦИОННЫЙ_РЯД_НАЧАЛО</f>
        <v>156</v>
      </c>
      <c r="B4" s="42">
        <f t="shared" ref="B4:B12" si="1">R4</f>
        <v>159.1</v>
      </c>
      <c r="C4" s="43">
        <f t="array" ref="C4:C13">РОСТ_ИНТЕРВАЛЫ_СЕР</f>
        <v>157.55000000000001</v>
      </c>
      <c r="D4" s="31">
        <f>COUNTIFS(ДАННЫЕ_РОСТ, "&gt;=" &amp;$A4, ДАННЫЕ_РОСТ, "&lt;" &amp;$B4, ДАННЫЕ_ВЕС, "&gt;=" &amp;D$1, ДАННЫЕ_ВЕС, "&lt;" &amp;D$2)</f>
        <v>2</v>
      </c>
      <c r="E4" s="31">
        <f t="shared" ref="D4:M13" si="2">COUNTIFS(ДАННЫЕ_РОСТ, "&gt;=" &amp;$A4, ДАННЫЕ_РОСТ, "&lt;" &amp;$B4, ДАННЫЕ_ВЕС, "&gt;=" &amp;E$1, ДАННЫЕ_ВЕС, "&lt;" &amp;E$2)</f>
        <v>2</v>
      </c>
      <c r="F4" s="31">
        <f t="shared" si="2"/>
        <v>3</v>
      </c>
      <c r="G4" s="31">
        <f t="shared" si="2"/>
        <v>1</v>
      </c>
      <c r="H4" s="31">
        <f t="shared" si="2"/>
        <v>0</v>
      </c>
      <c r="I4" s="31">
        <f t="shared" si="2"/>
        <v>0</v>
      </c>
      <c r="J4" s="31">
        <f t="shared" si="2"/>
        <v>0</v>
      </c>
      <c r="K4" s="31">
        <f t="shared" si="2"/>
        <v>0</v>
      </c>
      <c r="L4" s="31">
        <f t="shared" si="2"/>
        <v>0</v>
      </c>
      <c r="M4" s="31">
        <f t="shared" si="2"/>
        <v>0</v>
      </c>
      <c r="N4" s="31">
        <f>1/(SUM(D4:D13)) * SUMPRODUCT($C$4:$C$13, D4:D13)</f>
        <v>160.64999999999998</v>
      </c>
      <c r="O4" s="31">
        <f t="shared" ref="O4:O13" si="3">1/(SUM(D4:M4)) * SUMPRODUCT($D$3:$M$3, D4:M4)</f>
        <v>54.75</v>
      </c>
      <c r="P4" s="31">
        <f t="shared" ref="P4:P13" si="4">1/Q4 * SUMPRODUCT($D$3:$M$3, $D$3:$M$3, D4:M4) - O4 * O4</f>
        <v>12.757500000000164</v>
      </c>
      <c r="Q4" s="28">
        <f t="array" ref="Q4:Q13">РОСТ_ЧАСТОТЫ</f>
        <v>8</v>
      </c>
      <c r="R4" s="42">
        <f t="array" ref="R4:R13">РОСТ_ВАРИАЦИОННЫЙ_РЯД_КОНЕЦ</f>
        <v>159.1</v>
      </c>
    </row>
    <row r="5" spans="1:18" x14ac:dyDescent="0.3">
      <c r="A5" s="28">
        <v>159.1</v>
      </c>
      <c r="B5" s="42">
        <f t="shared" si="1"/>
        <v>162.19999999999999</v>
      </c>
      <c r="C5" s="43">
        <v>160.64999999999998</v>
      </c>
      <c r="D5" s="31">
        <f t="shared" si="2"/>
        <v>1</v>
      </c>
      <c r="E5" s="31">
        <f t="shared" si="2"/>
        <v>2</v>
      </c>
      <c r="F5" s="31">
        <f t="shared" si="2"/>
        <v>5</v>
      </c>
      <c r="G5" s="31">
        <f t="shared" si="2"/>
        <v>2</v>
      </c>
      <c r="H5" s="31">
        <f t="shared" si="2"/>
        <v>1</v>
      </c>
      <c r="I5" s="31">
        <f t="shared" si="2"/>
        <v>3</v>
      </c>
      <c r="J5" s="31">
        <f t="shared" si="2"/>
        <v>0</v>
      </c>
      <c r="K5" s="31">
        <f t="shared" si="2"/>
        <v>0</v>
      </c>
      <c r="L5" s="31">
        <f t="shared" si="2"/>
        <v>0</v>
      </c>
      <c r="M5" s="31">
        <f t="shared" si="2"/>
        <v>0</v>
      </c>
      <c r="N5" s="31">
        <f>1/(SUM(E4:E13)) * SUMPRODUCT($C$4:$C$13, E4:E13)</f>
        <v>162.19999999999999</v>
      </c>
      <c r="O5" s="31">
        <f t="shared" si="3"/>
        <v>59.314285714285717</v>
      </c>
      <c r="P5" s="31">
        <f t="shared" si="4"/>
        <v>30.746938775509989</v>
      </c>
      <c r="Q5" s="28">
        <v>14</v>
      </c>
      <c r="R5" s="28">
        <v>162.19999999999999</v>
      </c>
    </row>
    <row r="6" spans="1:18" x14ac:dyDescent="0.3">
      <c r="A6" s="28">
        <v>162.19999999999999</v>
      </c>
      <c r="B6" s="42">
        <f t="shared" si="1"/>
        <v>165.29999999999998</v>
      </c>
      <c r="C6" s="43">
        <v>163.75</v>
      </c>
      <c r="D6" s="31">
        <f t="shared" si="2"/>
        <v>0</v>
      </c>
      <c r="E6" s="31">
        <f t="shared" si="2"/>
        <v>2</v>
      </c>
      <c r="F6" s="31">
        <f t="shared" si="2"/>
        <v>3</v>
      </c>
      <c r="G6" s="31">
        <f t="shared" si="2"/>
        <v>11</v>
      </c>
      <c r="H6" s="31">
        <f t="shared" si="2"/>
        <v>5</v>
      </c>
      <c r="I6" s="31">
        <f t="shared" si="2"/>
        <v>4</v>
      </c>
      <c r="J6" s="31">
        <f t="shared" si="2"/>
        <v>2</v>
      </c>
      <c r="K6" s="31">
        <f t="shared" si="2"/>
        <v>0</v>
      </c>
      <c r="L6" s="31">
        <f t="shared" si="2"/>
        <v>0</v>
      </c>
      <c r="M6" s="31">
        <f t="shared" si="2"/>
        <v>0</v>
      </c>
      <c r="N6" s="31">
        <f>1/(SUM(F4:F13)) * SUMPRODUCT($C$4:$C$13, F4:F13)</f>
        <v>163.20294117647057</v>
      </c>
      <c r="O6" s="31">
        <f t="shared" si="3"/>
        <v>62.2</v>
      </c>
      <c r="P6" s="31">
        <f t="shared" si="4"/>
        <v>21.440000000000055</v>
      </c>
      <c r="Q6" s="28">
        <v>27</v>
      </c>
      <c r="R6" s="28">
        <v>165.29999999999998</v>
      </c>
    </row>
    <row r="7" spans="1:18" x14ac:dyDescent="0.3">
      <c r="A7" s="28">
        <v>165.29999999999998</v>
      </c>
      <c r="B7" s="42">
        <f t="shared" si="1"/>
        <v>168.39999999999998</v>
      </c>
      <c r="C7" s="43">
        <v>166.84999999999997</v>
      </c>
      <c r="D7" s="31">
        <f t="shared" si="2"/>
        <v>1</v>
      </c>
      <c r="E7" s="31">
        <f t="shared" si="2"/>
        <v>2</v>
      </c>
      <c r="F7" s="31">
        <f t="shared" si="2"/>
        <v>4</v>
      </c>
      <c r="G7" s="31">
        <f t="shared" si="2"/>
        <v>17</v>
      </c>
      <c r="H7" s="31">
        <f t="shared" si="2"/>
        <v>7</v>
      </c>
      <c r="I7" s="31">
        <f t="shared" si="2"/>
        <v>4</v>
      </c>
      <c r="J7" s="31">
        <f t="shared" si="2"/>
        <v>2</v>
      </c>
      <c r="K7" s="31">
        <f t="shared" si="2"/>
        <v>0</v>
      </c>
      <c r="L7" s="31">
        <f t="shared" si="2"/>
        <v>1</v>
      </c>
      <c r="M7" s="31">
        <f t="shared" si="2"/>
        <v>0</v>
      </c>
      <c r="N7" s="31">
        <f>1/(SUM(G4:G13)) * SUMPRODUCT($C$4:$C$13, G4:G13)</f>
        <v>166.99090909090907</v>
      </c>
      <c r="O7" s="31">
        <f t="shared" si="3"/>
        <v>62.021052631578947</v>
      </c>
      <c r="P7" s="31">
        <f t="shared" si="4"/>
        <v>27.652188365651</v>
      </c>
      <c r="Q7" s="28">
        <v>38</v>
      </c>
      <c r="R7" s="28">
        <v>168.39999999999998</v>
      </c>
    </row>
    <row r="8" spans="1:18" x14ac:dyDescent="0.3">
      <c r="A8" s="28">
        <v>168.39999999999998</v>
      </c>
      <c r="B8" s="42">
        <f t="shared" si="1"/>
        <v>171.49999999999997</v>
      </c>
      <c r="C8" s="43">
        <v>169.95</v>
      </c>
      <c r="D8" s="31">
        <f t="shared" si="2"/>
        <v>0</v>
      </c>
      <c r="E8" s="31">
        <f t="shared" si="2"/>
        <v>0</v>
      </c>
      <c r="F8" s="31">
        <f t="shared" si="2"/>
        <v>2</v>
      </c>
      <c r="G8" s="31">
        <f t="shared" si="2"/>
        <v>10</v>
      </c>
      <c r="H8" s="31">
        <f t="shared" si="2"/>
        <v>9</v>
      </c>
      <c r="I8" s="31">
        <f t="shared" si="2"/>
        <v>13</v>
      </c>
      <c r="J8" s="31">
        <f t="shared" si="2"/>
        <v>7</v>
      </c>
      <c r="K8" s="31">
        <f t="shared" si="2"/>
        <v>7</v>
      </c>
      <c r="L8" s="31">
        <f t="shared" si="2"/>
        <v>0</v>
      </c>
      <c r="M8" s="31">
        <f t="shared" si="2"/>
        <v>0</v>
      </c>
      <c r="N8" s="31">
        <f>1/(SUM(H4:H13)) * SUMPRODUCT($C$4:$C$13, H4:H13)</f>
        <v>169.95</v>
      </c>
      <c r="O8" s="31">
        <f t="shared" si="3"/>
        <v>66.75</v>
      </c>
      <c r="P8" s="31">
        <f t="shared" si="4"/>
        <v>26.4375</v>
      </c>
      <c r="Q8" s="28">
        <v>48</v>
      </c>
      <c r="R8" s="28">
        <v>171.49999999999997</v>
      </c>
    </row>
    <row r="9" spans="1:18" x14ac:dyDescent="0.3">
      <c r="A9" s="28">
        <v>171.49999999999997</v>
      </c>
      <c r="B9" s="42">
        <f t="shared" si="1"/>
        <v>174.59999999999997</v>
      </c>
      <c r="C9" s="43">
        <v>173.04999999999995</v>
      </c>
      <c r="D9" s="31">
        <f t="shared" si="2"/>
        <v>0</v>
      </c>
      <c r="E9" s="31">
        <f t="shared" si="2"/>
        <v>0</v>
      </c>
      <c r="F9" s="31">
        <f t="shared" si="2"/>
        <v>0</v>
      </c>
      <c r="G9" s="31">
        <f t="shared" si="2"/>
        <v>0</v>
      </c>
      <c r="H9" s="31">
        <f t="shared" si="2"/>
        <v>6</v>
      </c>
      <c r="I9" s="31">
        <f t="shared" si="2"/>
        <v>13</v>
      </c>
      <c r="J9" s="31">
        <f t="shared" si="2"/>
        <v>5</v>
      </c>
      <c r="K9" s="31">
        <f t="shared" si="2"/>
        <v>4</v>
      </c>
      <c r="L9" s="31">
        <f t="shared" si="2"/>
        <v>0</v>
      </c>
      <c r="M9" s="31">
        <f t="shared" si="2"/>
        <v>0</v>
      </c>
      <c r="N9" s="31">
        <f>1/(SUM(I4:I13)) * SUMPRODUCT($C$4:$C$13, I4:I13)</f>
        <v>171.23043478260868</v>
      </c>
      <c r="O9" s="31">
        <f t="shared" si="3"/>
        <v>68.699999999999989</v>
      </c>
      <c r="P9" s="31">
        <f t="shared" si="4"/>
        <v>11.687142857143954</v>
      </c>
      <c r="Q9" s="28">
        <v>28</v>
      </c>
      <c r="R9" s="28">
        <v>174.59999999999997</v>
      </c>
    </row>
    <row r="10" spans="1:18" x14ac:dyDescent="0.3">
      <c r="A10" s="28">
        <v>174.59999999999997</v>
      </c>
      <c r="B10" s="42">
        <f t="shared" si="1"/>
        <v>177.69999999999996</v>
      </c>
      <c r="C10" s="43">
        <v>176.14999999999998</v>
      </c>
      <c r="D10" s="31">
        <f t="shared" si="2"/>
        <v>0</v>
      </c>
      <c r="E10" s="31">
        <f t="shared" si="2"/>
        <v>0</v>
      </c>
      <c r="F10" s="31">
        <f t="shared" si="2"/>
        <v>0</v>
      </c>
      <c r="G10" s="31">
        <f t="shared" si="2"/>
        <v>2</v>
      </c>
      <c r="H10" s="31">
        <f t="shared" si="2"/>
        <v>4</v>
      </c>
      <c r="I10" s="31">
        <f t="shared" si="2"/>
        <v>5</v>
      </c>
      <c r="J10" s="31">
        <f t="shared" si="2"/>
        <v>1</v>
      </c>
      <c r="K10" s="31">
        <f t="shared" si="2"/>
        <v>1</v>
      </c>
      <c r="L10" s="31">
        <f t="shared" si="2"/>
        <v>1</v>
      </c>
      <c r="M10" s="31">
        <f t="shared" si="2"/>
        <v>1</v>
      </c>
      <c r="N10" s="31">
        <f>1/(SUM(J4:J13)) * SUMPRODUCT($C$4:$C$13, J4:J13)</f>
        <v>173.43749999999994</v>
      </c>
      <c r="O10" s="31">
        <f t="shared" si="3"/>
        <v>68.28</v>
      </c>
      <c r="P10" s="31">
        <f t="shared" si="4"/>
        <v>36.057599999999184</v>
      </c>
      <c r="Q10" s="28">
        <v>15</v>
      </c>
      <c r="R10" s="28">
        <v>177.69999999999996</v>
      </c>
    </row>
    <row r="11" spans="1:18" x14ac:dyDescent="0.3">
      <c r="A11" s="28">
        <v>177.69999999999996</v>
      </c>
      <c r="B11" s="42">
        <f t="shared" si="1"/>
        <v>180.79999999999995</v>
      </c>
      <c r="C11" s="43">
        <v>179.24999999999994</v>
      </c>
      <c r="D11" s="15">
        <f t="shared" si="2"/>
        <v>0</v>
      </c>
      <c r="E11" s="31">
        <f t="shared" si="2"/>
        <v>0</v>
      </c>
      <c r="F11" s="31">
        <f t="shared" si="2"/>
        <v>0</v>
      </c>
      <c r="G11" s="31">
        <f t="shared" si="2"/>
        <v>1</v>
      </c>
      <c r="H11" s="31">
        <f t="shared" si="2"/>
        <v>2</v>
      </c>
      <c r="I11" s="31">
        <f t="shared" si="2"/>
        <v>1</v>
      </c>
      <c r="J11" s="31">
        <f t="shared" si="2"/>
        <v>4</v>
      </c>
      <c r="K11" s="31">
        <f t="shared" si="2"/>
        <v>3</v>
      </c>
      <c r="L11" s="31">
        <f t="shared" si="2"/>
        <v>2</v>
      </c>
      <c r="M11" s="31">
        <f t="shared" si="2"/>
        <v>0</v>
      </c>
      <c r="N11" s="31">
        <f>1/(SUM(K4:K13)) * SUMPRODUCT($C$4:$C$13, K4:K13)</f>
        <v>173.04999999999993</v>
      </c>
      <c r="O11" s="31">
        <f t="shared" si="3"/>
        <v>71.123076923076908</v>
      </c>
      <c r="P11" s="31">
        <f t="shared" si="4"/>
        <v>28.834082840236988</v>
      </c>
      <c r="Q11" s="28">
        <v>13</v>
      </c>
      <c r="R11" s="28">
        <v>180.79999999999995</v>
      </c>
    </row>
    <row r="12" spans="1:18" x14ac:dyDescent="0.3">
      <c r="A12" s="28">
        <v>180.79999999999995</v>
      </c>
      <c r="B12" s="42">
        <f t="shared" si="1"/>
        <v>183.89999999999995</v>
      </c>
      <c r="C12" s="43">
        <v>182.34999999999997</v>
      </c>
      <c r="D12" s="15">
        <f t="shared" si="2"/>
        <v>0</v>
      </c>
      <c r="E12" s="31">
        <f t="shared" si="2"/>
        <v>0</v>
      </c>
      <c r="F12" s="31">
        <f t="shared" si="2"/>
        <v>0</v>
      </c>
      <c r="G12" s="31">
        <f t="shared" si="2"/>
        <v>0</v>
      </c>
      <c r="H12" s="31">
        <f t="shared" si="2"/>
        <v>0</v>
      </c>
      <c r="I12" s="31">
        <f t="shared" si="2"/>
        <v>1</v>
      </c>
      <c r="J12" s="31">
        <f t="shared" si="2"/>
        <v>1</v>
      </c>
      <c r="K12" s="31">
        <f t="shared" si="2"/>
        <v>0</v>
      </c>
      <c r="L12" s="31">
        <f t="shared" si="2"/>
        <v>0</v>
      </c>
      <c r="M12" s="31">
        <f t="shared" si="2"/>
        <v>0</v>
      </c>
      <c r="N12" s="31">
        <f>1/(SUM(L4:L13)) * SUMPRODUCT($C$4:$C$13, L4:L13)</f>
        <v>175.37499999999994</v>
      </c>
      <c r="O12" s="31">
        <f t="shared" si="3"/>
        <v>69.599999999999994</v>
      </c>
      <c r="P12" s="31">
        <f t="shared" si="4"/>
        <v>3.2400000000006912</v>
      </c>
      <c r="Q12" s="28">
        <v>2</v>
      </c>
      <c r="R12" s="28">
        <v>183.89999999999995</v>
      </c>
    </row>
    <row r="13" spans="1:18" ht="15" thickBot="1" x14ac:dyDescent="0.35">
      <c r="A13" s="28">
        <v>183.89999999999995</v>
      </c>
      <c r="B13" s="44">
        <f>R13 + ОБЩЕЕ_EPS</f>
        <v>187.00000000999995</v>
      </c>
      <c r="C13" s="43">
        <v>185.44999999999993</v>
      </c>
      <c r="D13" s="45">
        <f t="shared" si="2"/>
        <v>0</v>
      </c>
      <c r="E13" s="17">
        <f t="shared" si="2"/>
        <v>0</v>
      </c>
      <c r="F13" s="17">
        <f t="shared" si="2"/>
        <v>0</v>
      </c>
      <c r="G13" s="17">
        <f t="shared" si="2"/>
        <v>0</v>
      </c>
      <c r="H13" s="17">
        <f t="shared" si="2"/>
        <v>0</v>
      </c>
      <c r="I13" s="17">
        <f t="shared" si="2"/>
        <v>2</v>
      </c>
      <c r="J13" s="17">
        <f t="shared" si="2"/>
        <v>2</v>
      </c>
      <c r="K13" s="17">
        <f t="shared" si="2"/>
        <v>0</v>
      </c>
      <c r="L13" s="17">
        <f t="shared" si="2"/>
        <v>0</v>
      </c>
      <c r="M13" s="17">
        <f t="shared" si="2"/>
        <v>3</v>
      </c>
      <c r="N13" s="17">
        <f>1/(SUM(M4:M13)) * SUMPRODUCT($C$4:$C$13, M4:M13)</f>
        <v>183.12499999999994</v>
      </c>
      <c r="O13" s="17">
        <f t="shared" si="3"/>
        <v>74.999999999999986</v>
      </c>
      <c r="P13" s="17">
        <f t="shared" si="4"/>
        <v>40.731428571427386</v>
      </c>
      <c r="Q13" s="32">
        <v>7</v>
      </c>
      <c r="R13" s="32">
        <v>186.99999999999994</v>
      </c>
    </row>
    <row r="14" spans="1:18" x14ac:dyDescent="0.3">
      <c r="D14" s="31">
        <f>SUM(D4:D13)</f>
        <v>4</v>
      </c>
      <c r="E14" s="31">
        <f t="shared" ref="E14:L14" si="5">SUM(E4:E13)</f>
        <v>8</v>
      </c>
      <c r="F14" s="31">
        <f t="shared" si="5"/>
        <v>17</v>
      </c>
      <c r="G14" s="31">
        <f t="shared" si="5"/>
        <v>44</v>
      </c>
      <c r="H14" s="31">
        <f t="shared" si="5"/>
        <v>34</v>
      </c>
      <c r="I14" s="31">
        <f t="shared" si="5"/>
        <v>46</v>
      </c>
      <c r="J14" s="31">
        <f t="shared" si="5"/>
        <v>24</v>
      </c>
      <c r="K14" s="31">
        <f t="shared" si="5"/>
        <v>15</v>
      </c>
      <c r="L14" s="31">
        <f t="shared" si="5"/>
        <v>4</v>
      </c>
      <c r="M14" s="31">
        <f>SUM(M4:M13)</f>
        <v>4</v>
      </c>
      <c r="N14" s="31">
        <f>SUM(D14:M14)</f>
        <v>200</v>
      </c>
      <c r="Q14" s="42"/>
      <c r="R14" s="42"/>
    </row>
    <row r="15" spans="1:18" ht="15" thickBot="1" x14ac:dyDescent="0.35">
      <c r="A15" s="20" t="s">
        <v>5</v>
      </c>
      <c r="B15" s="20" t="s">
        <v>56</v>
      </c>
    </row>
    <row r="16" spans="1:18" ht="15" thickBot="1" x14ac:dyDescent="0.35">
      <c r="A16" s="18"/>
      <c r="B16" s="19">
        <v>1E-8</v>
      </c>
    </row>
    <row r="17" spans="1:13" ht="57.6" x14ac:dyDescent="0.3">
      <c r="A17" s="2" t="s">
        <v>60</v>
      </c>
      <c r="B17" s="46" t="s">
        <v>108</v>
      </c>
    </row>
    <row r="18" spans="1:13" x14ac:dyDescent="0.3">
      <c r="A18" s="8"/>
    </row>
    <row r="22" spans="1:13" x14ac:dyDescent="0.3">
      <c r="B22" s="9"/>
    </row>
    <row r="27" spans="1:13" x14ac:dyDescent="0.3">
      <c r="A27" s="2"/>
    </row>
    <row r="28" spans="1:13" hidden="1" x14ac:dyDescent="0.3">
      <c r="D28" s="28">
        <f t="array" ref="D28:M28">ВЕС_ВАРИАЦИОННЫЙ_РЯД_КОНЕЦ_ГОРИЗ</f>
        <v>51.6</v>
      </c>
      <c r="E28" s="28">
        <v>55.2</v>
      </c>
      <c r="F28" s="28">
        <v>58.800000000000004</v>
      </c>
      <c r="G28" s="28">
        <v>62.400000000000006</v>
      </c>
      <c r="H28" s="28">
        <v>66</v>
      </c>
      <c r="I28" s="28">
        <v>69.599999999999994</v>
      </c>
      <c r="J28" s="28">
        <v>73.199999999999989</v>
      </c>
      <c r="K28" s="28">
        <v>76.799999999999983</v>
      </c>
      <c r="L28" s="28">
        <v>80.399999999999977</v>
      </c>
      <c r="M28" s="28">
        <v>83.999999999999972</v>
      </c>
    </row>
  </sheetData>
  <mergeCells count="1">
    <mergeCell ref="N2:O2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4364-174C-4C3C-B6C2-EFE8577EEF2C}">
  <dimension ref="A1:B7"/>
  <sheetViews>
    <sheetView workbookViewId="0">
      <selection activeCell="F27" sqref="F27"/>
    </sheetView>
  </sheetViews>
  <sheetFormatPr defaultRowHeight="14.4" x14ac:dyDescent="0.3"/>
  <cols>
    <col min="1" max="1" width="39.21875" style="28" bestFit="1" customWidth="1"/>
    <col min="2" max="2" width="17.44140625" style="28" bestFit="1" customWidth="1"/>
    <col min="3" max="16384" width="8.88671875" style="28"/>
  </cols>
  <sheetData>
    <row r="1" spans="1:2" ht="15" thickBot="1" x14ac:dyDescent="0.35">
      <c r="A1" s="20" t="s">
        <v>5</v>
      </c>
      <c r="B1" s="20" t="s">
        <v>56</v>
      </c>
    </row>
    <row r="2" spans="1:2" x14ac:dyDescent="0.3">
      <c r="A2" s="8" t="s">
        <v>99</v>
      </c>
      <c r="B2" s="15">
        <v>4</v>
      </c>
    </row>
    <row r="3" spans="1:2" x14ac:dyDescent="0.3">
      <c r="A3" s="8" t="s">
        <v>98</v>
      </c>
      <c r="B3" s="15">
        <f t="array" ref="B3">1/ОБЩЕЕ_КОЛИЧЕСТВО_ДАННЫХ * SUMPRODUCT(РОСТ_ЧАСТОТЫ, ВЕС_УСЛОВНЫЕ_СРЕДНИЕ)</f>
        <v>65.226000000000013</v>
      </c>
    </row>
    <row r="4" spans="1:2" x14ac:dyDescent="0.3">
      <c r="A4" s="28" t="s">
        <v>57</v>
      </c>
      <c r="B4" s="31">
        <f>1/ОБЩЕЕ_КОЛИЧЕСТВО_ДАННЫХ * SUMPRODUCT(ДАННЫЕ_ДИСПЕРСИИ, РОСТ_ЧАСТОТЫ)</f>
        <v>24.828636888374863</v>
      </c>
    </row>
    <row r="5" spans="1:2" x14ac:dyDescent="0.3">
      <c r="A5" s="28" t="s">
        <v>58</v>
      </c>
      <c r="B5" s="31">
        <f>1/ОБЩЕЕ_КОЛИЧЕСТВО_ДАННЫХ * SUMPRODUCT(РОСТ_ЧАСТОТЫ, ВЕС_УСЛОВНЫЕ_СРЕДНИЕ, ВЕС_УСЛОВНЫЕ_СРЕДНИЕ) - ОБЩЕЕ_УСЛОВНО_ВЫБОРОЧНАЯ_СРЕДНЯЯ * ОБЩЕЕ_УСЛОВНО_ВЫБОРОЧНАЯ_СРЕДНЯЯ</f>
        <v>18.76588711162367</v>
      </c>
    </row>
    <row r="6" spans="1:2" ht="15" thickBot="1" x14ac:dyDescent="0.35">
      <c r="A6" s="32" t="s">
        <v>97</v>
      </c>
      <c r="B6" s="17">
        <f>B4 + B5</f>
        <v>43.594523999998529</v>
      </c>
    </row>
    <row r="7" spans="1:2" x14ac:dyDescent="0.3">
      <c r="A7" s="2" t="s">
        <v>60</v>
      </c>
      <c r="B7" s="31" t="str">
        <f>IF(ROUNDUP(B6, B2) = ROUNDUP(ВЕС_ВЫБОРОЧНАЯ_ДИСПЕРСИЯ, B2), "Теорема работает.", "Теорема не работает.")</f>
        <v>Теорема работает.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EB61-3676-40C7-8863-517FAB128E3A}">
  <dimension ref="A1:B5"/>
  <sheetViews>
    <sheetView workbookViewId="0"/>
  </sheetViews>
  <sheetFormatPr defaultRowHeight="14.4" x14ac:dyDescent="0.3"/>
  <cols>
    <col min="1" max="1" width="19.109375" style="1" bestFit="1" customWidth="1"/>
    <col min="2" max="2" width="29.77734375" style="31" customWidth="1"/>
    <col min="3" max="16384" width="8.88671875" style="28"/>
  </cols>
  <sheetData>
    <row r="1" spans="1:2" s="36" customFormat="1" ht="15" thickBot="1" x14ac:dyDescent="0.35">
      <c r="A1" s="20" t="s">
        <v>5</v>
      </c>
      <c r="B1" s="20" t="s">
        <v>56</v>
      </c>
    </row>
    <row r="2" spans="1:2" x14ac:dyDescent="0.3">
      <c r="A2" s="1" t="s">
        <v>52</v>
      </c>
      <c r="B2" s="31">
        <v>0.05</v>
      </c>
    </row>
    <row r="3" spans="1:2" x14ac:dyDescent="0.3">
      <c r="A3" s="1" t="s">
        <v>59</v>
      </c>
      <c r="B3" s="31">
        <f>((ОБЩЕЕ_КОЛИЧЕСТВО_ДАННЫХ - ОБЩЕЕ_КОЛИЧЕСТВО_ИНТЕРВАЛОВ) / (ОБЩЕЕ_КОЛИЧЕСТВО_ИНТЕРВАЛОВ - 1)) * (ОБЩЕЕ_МЕЖГРУППОВАЯ_ДИСПЕРСИЯ / ОБЩЕЕ_ВНУТРЕГРУППОВАЯ_ДИСПЕРСИЯ)</f>
        <v>15.956120736436697</v>
      </c>
    </row>
    <row r="4" spans="1:2" ht="15" thickBot="1" x14ac:dyDescent="0.35">
      <c r="A4" s="10" t="s">
        <v>100</v>
      </c>
      <c r="B4" s="17">
        <f>_xlfn.F.INV.RT(B2, ОБЩЕЕ_КОЛИЧЕСТВО_ИНТЕРВАЛОВ - 1, ОБЩЕЕ_КОЛИЧЕСТВО_ДАННЫХ - ОБЩЕЕ_КОЛИЧЕСТВО_ИНТЕРВАЛОВ)</f>
        <v>1.9294247566488121</v>
      </c>
    </row>
    <row r="5" spans="1:2" ht="43.2" x14ac:dyDescent="0.3">
      <c r="A5" s="16" t="s">
        <v>60</v>
      </c>
      <c r="B5" s="46" t="s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65E4-4C42-4094-A560-01FADB15DDC1}">
  <dimension ref="A1:Q11"/>
  <sheetViews>
    <sheetView workbookViewId="0">
      <selection activeCell="D23" sqref="D23"/>
    </sheetView>
  </sheetViews>
  <sheetFormatPr defaultRowHeight="14.4" x14ac:dyDescent="0.3"/>
  <cols>
    <col min="1" max="1" width="51.33203125" style="1" bestFit="1" customWidth="1"/>
    <col min="2" max="2" width="40" style="31" bestFit="1" customWidth="1"/>
    <col min="3" max="5" width="8.88671875" style="28"/>
    <col min="6" max="6" width="11.109375" style="28" bestFit="1" customWidth="1"/>
    <col min="7" max="16384" width="8.88671875" style="28"/>
  </cols>
  <sheetData>
    <row r="1" spans="1:17" ht="15" thickBot="1" x14ac:dyDescent="0.35">
      <c r="A1" s="20" t="s">
        <v>5</v>
      </c>
      <c r="B1" s="20" t="s">
        <v>6</v>
      </c>
      <c r="F1" s="6" t="s">
        <v>101</v>
      </c>
      <c r="G1" s="32">
        <f t="array" ref="G1:P1">ВЕС_ИНТЕРВАЛЫ_СЕР_ГОРИЗ</f>
        <v>49.8</v>
      </c>
      <c r="H1" s="32">
        <v>53.400000000000006</v>
      </c>
      <c r="I1" s="32">
        <v>57</v>
      </c>
      <c r="J1" s="32">
        <v>60.600000000000009</v>
      </c>
      <c r="K1" s="32">
        <v>64.2</v>
      </c>
      <c r="L1" s="32">
        <v>67.8</v>
      </c>
      <c r="M1" s="32">
        <v>71.399999999999991</v>
      </c>
      <c r="N1" s="32">
        <v>74.999999999999986</v>
      </c>
      <c r="O1" s="32">
        <v>78.59999999999998</v>
      </c>
      <c r="P1" s="32">
        <v>82.199999999999974</v>
      </c>
    </row>
    <row r="2" spans="1:17" x14ac:dyDescent="0.3">
      <c r="A2" s="1" t="s">
        <v>68</v>
      </c>
      <c r="B2" s="31">
        <f>(1 / ОБЩЕЕ_КОЛИЧЕСТВО_ДАННЫХ) * SUMPRODUCT(F2:F11, Q2:Q11)</f>
        <v>11084.6751</v>
      </c>
      <c r="F2" s="47">
        <f t="array" ref="F2:F11">РОСТ_ИНТЕРВАЛЫ_СЕР</f>
        <v>157.55000000000001</v>
      </c>
      <c r="G2" s="28">
        <f t="array" ref="G2:P11">ДАННЫЕ_КОРРЕЛЯЦИОННАЯ_МАТРИЦА</f>
        <v>2</v>
      </c>
      <c r="H2" s="28">
        <v>2</v>
      </c>
      <c r="I2" s="28">
        <v>3</v>
      </c>
      <c r="J2" s="28">
        <v>1</v>
      </c>
      <c r="K2" s="28">
        <v>0</v>
      </c>
      <c r="L2" s="28">
        <v>0</v>
      </c>
      <c r="M2" s="28">
        <v>0</v>
      </c>
      <c r="N2" s="28">
        <v>0</v>
      </c>
      <c r="O2" s="28">
        <v>0</v>
      </c>
      <c r="P2" s="28">
        <v>0</v>
      </c>
      <c r="Q2" s="28">
        <f t="shared" ref="Q2:Q11" si="0">SUMPRODUCT($G$1:$P$1, G2:P2)</f>
        <v>438</v>
      </c>
    </row>
    <row r="3" spans="1:17" x14ac:dyDescent="0.3">
      <c r="A3" s="28" t="s">
        <v>69</v>
      </c>
      <c r="B3" s="28">
        <f>SQRT(РОСТ_ВЫБОРОЧНАЯ_ДИСПЕРСИЯ)</f>
        <v>6.2333130035320847</v>
      </c>
      <c r="F3" s="43">
        <v>160.64999999999998</v>
      </c>
      <c r="G3" s="28">
        <v>1</v>
      </c>
      <c r="H3" s="28">
        <v>2</v>
      </c>
      <c r="I3" s="28">
        <v>5</v>
      </c>
      <c r="J3" s="28">
        <v>2</v>
      </c>
      <c r="K3" s="28">
        <v>1</v>
      </c>
      <c r="L3" s="28">
        <v>3</v>
      </c>
      <c r="M3" s="28">
        <v>0</v>
      </c>
      <c r="N3" s="28">
        <v>0</v>
      </c>
      <c r="O3" s="28">
        <v>0</v>
      </c>
      <c r="P3" s="28">
        <v>0</v>
      </c>
      <c r="Q3" s="28">
        <f t="shared" si="0"/>
        <v>830.40000000000009</v>
      </c>
    </row>
    <row r="4" spans="1:17" x14ac:dyDescent="0.3">
      <c r="A4" s="28" t="s">
        <v>70</v>
      </c>
      <c r="B4" s="28">
        <f>SQRT(ВЕС_ВЫБОРОЧНАЯ_ДИСПЕРСИЯ)</f>
        <v>6.6026149365231941</v>
      </c>
      <c r="F4" s="43">
        <v>163.75</v>
      </c>
      <c r="G4" s="28">
        <v>0</v>
      </c>
      <c r="H4" s="28">
        <v>2</v>
      </c>
      <c r="I4" s="28">
        <v>3</v>
      </c>
      <c r="J4" s="28">
        <v>11</v>
      </c>
      <c r="K4" s="28">
        <v>5</v>
      </c>
      <c r="L4" s="28">
        <v>4</v>
      </c>
      <c r="M4" s="28">
        <v>2</v>
      </c>
      <c r="N4" s="28">
        <v>0</v>
      </c>
      <c r="O4" s="28">
        <v>0</v>
      </c>
      <c r="P4" s="28">
        <v>0</v>
      </c>
      <c r="Q4" s="28">
        <f t="shared" si="0"/>
        <v>1679.4</v>
      </c>
    </row>
    <row r="5" spans="1:17" x14ac:dyDescent="0.3">
      <c r="A5" s="28" t="s">
        <v>71</v>
      </c>
      <c r="B5" s="28">
        <f>(ОБЩЕЕ_СРЕДНЕЕ_ПРОИЗВЕДЕНИЕ - РОСТ_ВЫБОРОЧНОЕ_СРЕДНЕЕ * ВЕС_ВЫБОРОЧНОЕ_СРЕДНЕЕ) / (РОСТ_ВЫБОРОЧНАЯ_СРЕДНЯЯ_КВАДР_ОТКЛОНЕНИЯ * ВЕС_ВЫБОРОЧНАЯ_СРЕДНЯЯ_КВАДР_ОТКЛОНЕНИЯ)</f>
        <v>0.62694076721524616</v>
      </c>
      <c r="F5" s="43">
        <v>166.84999999999997</v>
      </c>
      <c r="G5" s="28">
        <v>1</v>
      </c>
      <c r="H5" s="28">
        <v>2</v>
      </c>
      <c r="I5" s="28">
        <v>4</v>
      </c>
      <c r="J5" s="28">
        <v>17</v>
      </c>
      <c r="K5" s="28">
        <v>7</v>
      </c>
      <c r="L5" s="28">
        <v>4</v>
      </c>
      <c r="M5" s="28">
        <v>2</v>
      </c>
      <c r="N5" s="28">
        <v>0</v>
      </c>
      <c r="O5" s="28">
        <v>1</v>
      </c>
      <c r="P5" s="28">
        <v>0</v>
      </c>
      <c r="Q5" s="28">
        <f t="shared" si="0"/>
        <v>2356.8000000000002</v>
      </c>
    </row>
    <row r="6" spans="1:17" x14ac:dyDescent="0.3">
      <c r="A6" s="1" t="s">
        <v>48</v>
      </c>
      <c r="B6" s="31">
        <f>ВЕС_ВЫБОРОЧНОЕ_СРЕДНЕЕ - B7 * РОСТ_ВЫБОРОЧНОЕ_СРЕДНЕЕ</f>
        <v>-47.367587071888977</v>
      </c>
      <c r="F6" s="43">
        <v>169.95</v>
      </c>
      <c r="G6" s="28">
        <v>0</v>
      </c>
      <c r="H6" s="28">
        <v>0</v>
      </c>
      <c r="I6" s="28">
        <v>2</v>
      </c>
      <c r="J6" s="28">
        <v>10</v>
      </c>
      <c r="K6" s="28">
        <v>9</v>
      </c>
      <c r="L6" s="28">
        <v>13</v>
      </c>
      <c r="M6" s="28">
        <v>7</v>
      </c>
      <c r="N6" s="28">
        <v>7</v>
      </c>
      <c r="O6" s="28">
        <v>0</v>
      </c>
      <c r="P6" s="28">
        <v>0</v>
      </c>
      <c r="Q6" s="28">
        <f t="shared" si="0"/>
        <v>3204</v>
      </c>
    </row>
    <row r="7" spans="1:17" x14ac:dyDescent="0.3">
      <c r="A7" s="1" t="s">
        <v>79</v>
      </c>
      <c r="B7" s="31">
        <f>(B2 - РОСТ_ВЫБОРОЧНОЕ_СРЕДНЕЕ * ВЕС_ВЫБОРОЧНОЕ_СРЕДНЕЕ) / РОСТ_ВЫБОРОЧНАЯ_ДИСПЕРСИЯ</f>
        <v>0.66408480876623588</v>
      </c>
      <c r="F7" s="43">
        <v>173.04999999999995</v>
      </c>
      <c r="G7" s="28">
        <v>0</v>
      </c>
      <c r="H7" s="28">
        <v>0</v>
      </c>
      <c r="I7" s="28">
        <v>0</v>
      </c>
      <c r="J7" s="28">
        <v>0</v>
      </c>
      <c r="K7" s="28">
        <v>6</v>
      </c>
      <c r="L7" s="28">
        <v>13</v>
      </c>
      <c r="M7" s="28">
        <v>5</v>
      </c>
      <c r="N7" s="28">
        <v>4</v>
      </c>
      <c r="O7" s="28">
        <v>0</v>
      </c>
      <c r="P7" s="28">
        <v>0</v>
      </c>
      <c r="Q7" s="28">
        <f t="shared" si="0"/>
        <v>1923.6</v>
      </c>
    </row>
    <row r="8" spans="1:17" ht="15" thickBot="1" x14ac:dyDescent="0.35">
      <c r="A8" s="10" t="s">
        <v>102</v>
      </c>
      <c r="B8" s="17" t="str">
        <f>"y = "&amp;B7&amp;"x + ("&amp;B6&amp;")"</f>
        <v>y = 0,664084808766236x + (-47,367587071889)</v>
      </c>
      <c r="F8" s="43">
        <v>176.14999999999998</v>
      </c>
      <c r="G8" s="28">
        <v>0</v>
      </c>
      <c r="H8" s="28">
        <v>0</v>
      </c>
      <c r="I8" s="28">
        <v>0</v>
      </c>
      <c r="J8" s="28">
        <v>2</v>
      </c>
      <c r="K8" s="28">
        <v>4</v>
      </c>
      <c r="L8" s="28">
        <v>5</v>
      </c>
      <c r="M8" s="28">
        <v>1</v>
      </c>
      <c r="N8" s="28">
        <v>1</v>
      </c>
      <c r="O8" s="28">
        <v>1</v>
      </c>
      <c r="P8" s="28">
        <v>1</v>
      </c>
      <c r="Q8" s="28">
        <f t="shared" si="0"/>
        <v>1024.2</v>
      </c>
    </row>
    <row r="9" spans="1:17" x14ac:dyDescent="0.3">
      <c r="A9" s="16" t="s">
        <v>60</v>
      </c>
      <c r="B9" s="31" t="str">
        <f>"По шкале Чеддока линейная связь "&amp;IF(AND(ОБЩЕЕ_ЛИНЕЙНАЯ_РЕГРЕССИЯ_B&gt;=0.1,ОБЩЕЕ_ЛИНЕЙНАЯ_РЕГРЕССИЯ_B&lt;0.3),"слабая",IF(AND(ОБЩЕЕ_ЛИНЕЙНАЯ_РЕГРЕССИЯ_B&gt;=0.3,ОБЩЕЕ_ЛИНЕЙНАЯ_РЕГРЕССИЯ_B&lt;0.7),"средняя","сильная"))&amp;"."</f>
        <v>По шкале Чеддока линейная связь средняя.</v>
      </c>
      <c r="F9" s="43">
        <v>179.24999999999994</v>
      </c>
      <c r="G9" s="28">
        <v>0</v>
      </c>
      <c r="H9" s="28">
        <v>0</v>
      </c>
      <c r="I9" s="28">
        <v>0</v>
      </c>
      <c r="J9" s="28">
        <v>1</v>
      </c>
      <c r="K9" s="28">
        <v>2</v>
      </c>
      <c r="L9" s="28">
        <v>1</v>
      </c>
      <c r="M9" s="28">
        <v>4</v>
      </c>
      <c r="N9" s="28">
        <v>3</v>
      </c>
      <c r="O9" s="28">
        <v>2</v>
      </c>
      <c r="P9" s="28">
        <v>0</v>
      </c>
      <c r="Q9" s="28">
        <f t="shared" si="0"/>
        <v>924.5999999999998</v>
      </c>
    </row>
    <row r="10" spans="1:17" x14ac:dyDescent="0.3">
      <c r="F10" s="43">
        <v>182.34999999999997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1</v>
      </c>
      <c r="M10" s="28">
        <v>1</v>
      </c>
      <c r="N10" s="28">
        <v>0</v>
      </c>
      <c r="O10" s="28">
        <v>0</v>
      </c>
      <c r="P10" s="28">
        <v>0</v>
      </c>
      <c r="Q10" s="28">
        <f t="shared" si="0"/>
        <v>139.19999999999999</v>
      </c>
    </row>
    <row r="11" spans="1:17" x14ac:dyDescent="0.3">
      <c r="F11" s="43">
        <v>185.44999999999993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2</v>
      </c>
      <c r="M11" s="28">
        <v>2</v>
      </c>
      <c r="N11" s="28">
        <v>0</v>
      </c>
      <c r="O11" s="28">
        <v>0</v>
      </c>
      <c r="P11" s="28">
        <v>3</v>
      </c>
      <c r="Q11" s="28">
        <f t="shared" si="0"/>
        <v>524.99999999999989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B667-B475-4023-9B20-2EAAED82978F}">
  <dimension ref="A1:E21"/>
  <sheetViews>
    <sheetView zoomScaleNormal="100" workbookViewId="0"/>
  </sheetViews>
  <sheetFormatPr defaultRowHeight="14.4" x14ac:dyDescent="0.3"/>
  <cols>
    <col min="1" max="1" width="8.77734375" style="28" bestFit="1" customWidth="1"/>
    <col min="2" max="2" width="9.33203125" style="28" bestFit="1" customWidth="1"/>
    <col min="3" max="16384" width="8.88671875" style="28"/>
  </cols>
  <sheetData>
    <row r="1" spans="1:5" ht="15" thickBot="1" x14ac:dyDescent="0.35">
      <c r="A1" s="20" t="s">
        <v>5</v>
      </c>
      <c r="B1" s="20" t="s">
        <v>6</v>
      </c>
      <c r="D1" s="20" t="s">
        <v>73</v>
      </c>
      <c r="E1" s="20" t="s">
        <v>74</v>
      </c>
    </row>
    <row r="2" spans="1:5" x14ac:dyDescent="0.3">
      <c r="A2" s="28" t="s">
        <v>75</v>
      </c>
      <c r="B2" s="28">
        <v>5</v>
      </c>
      <c r="D2" s="28">
        <f>РОСТ_МИН</f>
        <v>156</v>
      </c>
      <c r="E2" s="28">
        <f t="shared" ref="E2:E8" si="0">D2 * ОБЩЕЕ_ЛИНЕЙНАЯ_РЕГРЕССИЯ_B + ОБЩЕЕ_ЛИНЕЙНАЯ_РЕГРЕССИЯ_A</f>
        <v>56.229643095643823</v>
      </c>
    </row>
    <row r="3" spans="1:5" x14ac:dyDescent="0.3">
      <c r="D3" s="28">
        <f>D2+$B$2</f>
        <v>161</v>
      </c>
      <c r="E3" s="28">
        <f t="shared" si="0"/>
        <v>59.550067139475004</v>
      </c>
    </row>
    <row r="4" spans="1:5" x14ac:dyDescent="0.3">
      <c r="D4" s="28">
        <f t="shared" ref="D4:D8" si="1">D3+$B$2</f>
        <v>166</v>
      </c>
      <c r="E4" s="28">
        <f t="shared" si="0"/>
        <v>62.870491183306186</v>
      </c>
    </row>
    <row r="5" spans="1:5" x14ac:dyDescent="0.3">
      <c r="D5" s="28">
        <f t="shared" si="1"/>
        <v>171</v>
      </c>
      <c r="E5" s="28">
        <f t="shared" si="0"/>
        <v>66.190915227137353</v>
      </c>
    </row>
    <row r="6" spans="1:5" x14ac:dyDescent="0.3">
      <c r="D6" s="28">
        <f t="shared" si="1"/>
        <v>176</v>
      </c>
      <c r="E6" s="28">
        <f t="shared" si="0"/>
        <v>69.511339270968534</v>
      </c>
    </row>
    <row r="7" spans="1:5" x14ac:dyDescent="0.3">
      <c r="D7" s="28">
        <f t="shared" si="1"/>
        <v>181</v>
      </c>
      <c r="E7" s="28">
        <f t="shared" si="0"/>
        <v>72.831763314799716</v>
      </c>
    </row>
    <row r="8" spans="1:5" x14ac:dyDescent="0.3">
      <c r="D8" s="28">
        <f t="shared" si="1"/>
        <v>186</v>
      </c>
      <c r="E8" s="28">
        <f t="shared" si="0"/>
        <v>76.152187358630897</v>
      </c>
    </row>
    <row r="9" spans="1:5" x14ac:dyDescent="0.3">
      <c r="D9" s="28">
        <f>D8+$B$2</f>
        <v>191</v>
      </c>
      <c r="E9" s="28">
        <f>D9 * ОБЩЕЕ_ЛИНЕЙНАЯ_РЕГРЕССИЯ_B + ОБЩЕЕ_ЛИНЕЙНАЯ_РЕГРЕССИЯ_A</f>
        <v>79.472611402462078</v>
      </c>
    </row>
    <row r="11" spans="1:5" ht="15" thickBot="1" x14ac:dyDescent="0.35">
      <c r="D11" s="53" t="s">
        <v>77</v>
      </c>
      <c r="E11" s="53"/>
    </row>
    <row r="12" spans="1:5" x14ac:dyDescent="0.3">
      <c r="D12" s="28">
        <f t="array" ref="D12:D21">РОСТ_УСЛОВНЫЕ_СРЕДНИЕ</f>
        <v>160.64999999999998</v>
      </c>
      <c r="E12" s="28">
        <f t="array" ref="E12:E21">ВЕС_УСЛОВНЫЕ_СРЕДНИЕ</f>
        <v>54.75</v>
      </c>
    </row>
    <row r="13" spans="1:5" x14ac:dyDescent="0.3">
      <c r="D13" s="28">
        <v>162.19999999999999</v>
      </c>
      <c r="E13" s="28">
        <v>59.314285714285717</v>
      </c>
    </row>
    <row r="14" spans="1:5" x14ac:dyDescent="0.3">
      <c r="D14" s="28">
        <v>163.20294117647057</v>
      </c>
      <c r="E14" s="28">
        <v>62.2</v>
      </c>
    </row>
    <row r="15" spans="1:5" x14ac:dyDescent="0.3">
      <c r="D15" s="28">
        <v>166.99090909090907</v>
      </c>
      <c r="E15" s="28">
        <v>62.021052631578947</v>
      </c>
    </row>
    <row r="16" spans="1:5" x14ac:dyDescent="0.3">
      <c r="D16" s="28">
        <v>169.95</v>
      </c>
      <c r="E16" s="28">
        <v>66.75</v>
      </c>
    </row>
    <row r="17" spans="4:5" x14ac:dyDescent="0.3">
      <c r="D17" s="28">
        <v>171.23043478260868</v>
      </c>
      <c r="E17" s="28">
        <v>68.699999999999989</v>
      </c>
    </row>
    <row r="18" spans="4:5" x14ac:dyDescent="0.3">
      <c r="D18" s="28">
        <v>173.43749999999994</v>
      </c>
      <c r="E18" s="28">
        <v>68.28</v>
      </c>
    </row>
    <row r="19" spans="4:5" x14ac:dyDescent="0.3">
      <c r="D19" s="28">
        <v>173.04999999999993</v>
      </c>
      <c r="E19" s="28">
        <v>71.123076923076908</v>
      </c>
    </row>
    <row r="20" spans="4:5" x14ac:dyDescent="0.3">
      <c r="D20" s="28">
        <v>175.37499999999994</v>
      </c>
      <c r="E20" s="28">
        <v>69.599999999999994</v>
      </c>
    </row>
    <row r="21" spans="4:5" x14ac:dyDescent="0.3">
      <c r="D21" s="28">
        <v>183.12499999999994</v>
      </c>
      <c r="E21" s="28">
        <v>74.999999999999986</v>
      </c>
    </row>
  </sheetData>
  <mergeCells count="1">
    <mergeCell ref="D11:E11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9C0C-7BAD-488C-9381-3EAE55DCC004}">
  <dimension ref="A1:B4"/>
  <sheetViews>
    <sheetView workbookViewId="0">
      <selection activeCell="E27" sqref="E27"/>
    </sheetView>
  </sheetViews>
  <sheetFormatPr defaultRowHeight="14.4" x14ac:dyDescent="0.3"/>
  <cols>
    <col min="1" max="1" width="40" style="28" bestFit="1" customWidth="1"/>
    <col min="2" max="2" width="44" style="28" customWidth="1"/>
    <col min="3" max="16384" width="8.88671875" style="28"/>
  </cols>
  <sheetData>
    <row r="1" spans="1:2" ht="15" thickBot="1" x14ac:dyDescent="0.35">
      <c r="A1" s="20" t="s">
        <v>5</v>
      </c>
      <c r="B1" s="20" t="s">
        <v>6</v>
      </c>
    </row>
    <row r="2" spans="1:2" x14ac:dyDescent="0.3">
      <c r="A2" s="28" t="s">
        <v>61</v>
      </c>
      <c r="B2" s="28">
        <f>SQRT(ОБЩЕЕ_МЕЖГРУППОВАЯ_ДИСПЕРСИЯ / (ОБЩЕЕ_ВНУТРЕГРУППОВАЯ_ДИСПЕРСИЯ + ОБЩЕЕ_МЕЖГРУППОВАЯ_ДИСПЕРСИЯ))</f>
        <v>0.65609779727768003</v>
      </c>
    </row>
    <row r="3" spans="1:2" ht="15" thickBot="1" x14ac:dyDescent="0.35">
      <c r="A3" s="32" t="s">
        <v>62</v>
      </c>
      <c r="B3" s="32">
        <f>ОБЩЕЕ_ВЫБОРОЧНЫЙ_КОЭФФ_ЛИНЕЙНОЙ_КОРРЕЛЯЦИИ</f>
        <v>0.62694076721524616</v>
      </c>
    </row>
    <row r="4" spans="1:2" x14ac:dyDescent="0.3">
      <c r="A4" s="2" t="s">
        <v>60</v>
      </c>
      <c r="B4" s="46" t="str">
        <f>IF(B2&gt;B3, "Модель линейной регрессии правильная.", "Модель линейной регрессии неправильная.")</f>
        <v>Модель линейной регрессии правильная.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48CF-3C64-4E50-ADD2-8AF5964AAE73}">
  <dimension ref="A1:E27"/>
  <sheetViews>
    <sheetView tabSelected="1" zoomScaleNormal="100" workbookViewId="0">
      <selection activeCell="B26" sqref="B26"/>
    </sheetView>
  </sheetViews>
  <sheetFormatPr defaultRowHeight="14.4" x14ac:dyDescent="0.3"/>
  <cols>
    <col min="1" max="1" width="69.77734375" style="1" bestFit="1" customWidth="1"/>
    <col min="2" max="2" width="41" style="31" bestFit="1" customWidth="1"/>
    <col min="3" max="3" width="8.88671875" style="36"/>
    <col min="4" max="5" width="23.6640625" style="36" bestFit="1" customWidth="1"/>
    <col min="6" max="16384" width="8.88671875" style="36"/>
  </cols>
  <sheetData>
    <row r="1" spans="1:5" s="22" customFormat="1" ht="15" thickBot="1" x14ac:dyDescent="0.35">
      <c r="A1" s="20" t="s">
        <v>5</v>
      </c>
      <c r="B1" s="20" t="s">
        <v>6</v>
      </c>
      <c r="D1" s="53" t="s">
        <v>78</v>
      </c>
      <c r="E1" s="53"/>
    </row>
    <row r="2" spans="1:5" ht="15" thickBot="1" x14ac:dyDescent="0.35">
      <c r="A2" s="59" t="s">
        <v>43</v>
      </c>
      <c r="B2" s="59"/>
      <c r="D2" s="36">
        <f t="array" ref="D2:E6">LINEST(ДАННЫЕ_ВЕС, ДАННЫЕ_РОСТ, TRUE, TRUE)</f>
        <v>0.69963325183374059</v>
      </c>
      <c r="E2" s="36">
        <v>-53.632762836185776</v>
      </c>
    </row>
    <row r="3" spans="1:5" x14ac:dyDescent="0.3">
      <c r="A3" s="1" t="s">
        <v>48</v>
      </c>
      <c r="B3" s="31">
        <f>E2</f>
        <v>-53.632762836185776</v>
      </c>
      <c r="D3" s="36">
        <v>5.8821969067457437E-2</v>
      </c>
      <c r="E3" s="36">
        <v>9.9884657147326514</v>
      </c>
    </row>
    <row r="4" spans="1:5" x14ac:dyDescent="0.3">
      <c r="A4" s="1" t="s">
        <v>79</v>
      </c>
      <c r="B4" s="31">
        <f>D2</f>
        <v>0.69963325183374059</v>
      </c>
      <c r="D4" s="36">
        <v>0.4167364087683984</v>
      </c>
      <c r="E4" s="36">
        <v>5.04704834721153</v>
      </c>
    </row>
    <row r="5" spans="1:5" x14ac:dyDescent="0.3">
      <c r="A5" s="1" t="s">
        <v>80</v>
      </c>
      <c r="B5" s="31">
        <f>E3</f>
        <v>9.9884657147326514</v>
      </c>
      <c r="D5" s="36">
        <v>141.4691576443324</v>
      </c>
      <c r="E5" s="36">
        <v>198</v>
      </c>
    </row>
    <row r="6" spans="1:5" x14ac:dyDescent="0.3">
      <c r="A6" s="1" t="s">
        <v>81</v>
      </c>
      <c r="B6" s="31">
        <f>D3</f>
        <v>5.8821969067457437E-2</v>
      </c>
      <c r="D6" s="36">
        <v>3603.6009902200494</v>
      </c>
      <c r="E6" s="36">
        <v>5043.5940097799466</v>
      </c>
    </row>
    <row r="7" spans="1:5" x14ac:dyDescent="0.3">
      <c r="A7" s="1" t="s">
        <v>82</v>
      </c>
      <c r="B7" s="31">
        <f>D4</f>
        <v>0.4167364087683984</v>
      </c>
    </row>
    <row r="8" spans="1:5" x14ac:dyDescent="0.3">
      <c r="A8" s="42" t="s">
        <v>83</v>
      </c>
      <c r="B8" s="31">
        <f>E4</f>
        <v>5.04704834721153</v>
      </c>
    </row>
    <row r="9" spans="1:5" x14ac:dyDescent="0.3">
      <c r="A9" s="1" t="s">
        <v>84</v>
      </c>
      <c r="B9" s="31">
        <f>D5</f>
        <v>141.4691576443324</v>
      </c>
    </row>
    <row r="10" spans="1:5" x14ac:dyDescent="0.3">
      <c r="A10" s="1" t="s">
        <v>85</v>
      </c>
      <c r="B10" s="31">
        <f>E5</f>
        <v>198</v>
      </c>
    </row>
    <row r="11" spans="1:5" x14ac:dyDescent="0.3">
      <c r="A11" s="1" t="s">
        <v>86</v>
      </c>
      <c r="B11" s="31">
        <f>D6 / ОБЩЕЕ_КОЛИЧЕСТВО_ДАННЫХ</f>
        <v>18.018004951100249</v>
      </c>
    </row>
    <row r="12" spans="1:5" x14ac:dyDescent="0.3">
      <c r="A12" s="1" t="s">
        <v>89</v>
      </c>
      <c r="B12" s="31">
        <f>E6 / ОБЩЕЕ_КОЛИЧЕСТВО_ДАННЫХ</f>
        <v>25.217970048899733</v>
      </c>
    </row>
    <row r="13" spans="1:5" ht="15" thickBot="1" x14ac:dyDescent="0.35">
      <c r="A13" s="10" t="s">
        <v>72</v>
      </c>
      <c r="B13" s="17" t="str">
        <f>"y = "&amp;B4&amp;"x + ("&amp;B3&amp;")"</f>
        <v>y = 0,699633251833741x + (-53,6327628361858)</v>
      </c>
    </row>
    <row r="14" spans="1:5" ht="15" thickBot="1" x14ac:dyDescent="0.35">
      <c r="A14" s="59" t="s">
        <v>45</v>
      </c>
      <c r="B14" s="59"/>
    </row>
    <row r="15" spans="1:5" x14ac:dyDescent="0.3">
      <c r="A15" s="1" t="s">
        <v>87</v>
      </c>
      <c r="B15" s="31">
        <v>180</v>
      </c>
    </row>
    <row r="16" spans="1:5" x14ac:dyDescent="0.3">
      <c r="A16" s="1" t="s">
        <v>88</v>
      </c>
      <c r="B16" s="31">
        <f>B15 * B4 + B3</f>
        <v>72.301222493887536</v>
      </c>
    </row>
    <row r="17" spans="1:2" x14ac:dyDescent="0.3">
      <c r="A17" s="1" t="s">
        <v>91</v>
      </c>
      <c r="B17" s="31">
        <f>B8 * SQRT(1 + (1 / ОБЩЕЕ_КОЛИЧЕСТВО_ДАННЫХ) + (POWER(B15 - РОСТ_ВЫБОРОЧНОЕ_СРЕДНЕЕ, 2) / (ОБЩЕЕ_КОЛИЧЕСТВО_ДАННЫХ * РОСТ_ВЫБОРОЧНАЯ_ДИСПЕРСИЯ)))</f>
        <v>5.094922011585858</v>
      </c>
    </row>
    <row r="18" spans="1:2" x14ac:dyDescent="0.3">
      <c r="A18" s="1" t="s">
        <v>93</v>
      </c>
      <c r="B18" s="31">
        <v>0.95</v>
      </c>
    </row>
    <row r="19" spans="1:2" x14ac:dyDescent="0.3">
      <c r="A19" s="1" t="s">
        <v>103</v>
      </c>
      <c r="B19" s="31">
        <f>_xlfn.T.INV.2T(1 - B18, B10)</f>
        <v>1.9720174778363073</v>
      </c>
    </row>
    <row r="20" spans="1:2" ht="15" thickBot="1" x14ac:dyDescent="0.35">
      <c r="A20" s="10" t="s">
        <v>92</v>
      </c>
      <c r="B20" s="17" t="str">
        <f>"("&amp;B16 - B17 * B19&amp;", "&amp;B16 + B17 * B19&amp;")"</f>
        <v>(62,2539472388273, 82,3484977489478)</v>
      </c>
    </row>
    <row r="21" spans="1:2" ht="15" thickBot="1" x14ac:dyDescent="0.35">
      <c r="A21" s="59" t="s">
        <v>46</v>
      </c>
      <c r="B21" s="59"/>
    </row>
    <row r="22" spans="1:2" x14ac:dyDescent="0.3">
      <c r="A22" s="1" t="s">
        <v>94</v>
      </c>
      <c r="B22" s="31" t="str">
        <f>"("&amp;B3 - B19 * B5&amp;", "&amp;B3 + B19 * B5&amp;")"</f>
        <v>(-73,3301918024073, -33,9353338699643)</v>
      </c>
    </row>
    <row r="23" spans="1:2" ht="15" thickBot="1" x14ac:dyDescent="0.35">
      <c r="A23" s="8" t="s">
        <v>95</v>
      </c>
      <c r="B23" s="15" t="str">
        <f>"("&amp;B4 - B19 * B6&amp;", "&amp;B4 + B19 * B6&amp;")"</f>
        <v>(0,583635300751968, 0,815631202915513)</v>
      </c>
    </row>
    <row r="24" spans="1:2" ht="15" thickBot="1" x14ac:dyDescent="0.35">
      <c r="A24" s="60" t="s">
        <v>47</v>
      </c>
      <c r="B24" s="60"/>
    </row>
    <row r="25" spans="1:2" x14ac:dyDescent="0.3">
      <c r="A25" s="1" t="s">
        <v>96</v>
      </c>
      <c r="B25" s="31">
        <f>(B7 * B10) / (1 - B7)</f>
        <v>141.46915764433237</v>
      </c>
    </row>
    <row r="26" spans="1:2" x14ac:dyDescent="0.3">
      <c r="A26" s="1" t="s">
        <v>90</v>
      </c>
      <c r="B26" s="31">
        <f>_xlfn.F.INV.RT(0.05, 1, B10)</f>
        <v>3.8888529328918917</v>
      </c>
    </row>
    <row r="27" spans="1:2" ht="28.8" x14ac:dyDescent="0.3">
      <c r="A27" s="16" t="s">
        <v>60</v>
      </c>
      <c r="B27" s="46" t="str">
        <f>IF(B25 &gt; B26, "Основная гипотеза отклоняется, уравнение регрессии статистически значима.", "Основная гипотеза принимается.")</f>
        <v>Основная гипотеза отклоняется, уравнение регрессии статистически значима.</v>
      </c>
    </row>
  </sheetData>
  <mergeCells count="5">
    <mergeCell ref="A2:B2"/>
    <mergeCell ref="D1:E1"/>
    <mergeCell ref="A14:B14"/>
    <mergeCell ref="A21:B21"/>
    <mergeCell ref="A24:B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17</vt:i4>
      </vt:variant>
      <vt:variant>
        <vt:lpstr>Именованные диапазоны</vt:lpstr>
      </vt:variant>
      <vt:variant>
        <vt:i4>64</vt:i4>
      </vt:variant>
    </vt:vector>
  </HeadingPairs>
  <TitlesOfParts>
    <vt:vector size="81" baseType="lpstr">
      <vt:lpstr>Raw</vt:lpstr>
      <vt:lpstr>Dataset</vt:lpstr>
      <vt:lpstr>№1</vt:lpstr>
      <vt:lpstr>№2</vt:lpstr>
      <vt:lpstr>№3</vt:lpstr>
      <vt:lpstr>№4</vt:lpstr>
      <vt:lpstr>№5</vt:lpstr>
      <vt:lpstr>№6</vt:lpstr>
      <vt:lpstr>№7</vt:lpstr>
      <vt:lpstr>№8</vt:lpstr>
      <vt:lpstr>№9</vt:lpstr>
      <vt:lpstr>№10</vt:lpstr>
      <vt:lpstr>№11</vt:lpstr>
      <vt:lpstr>№12</vt:lpstr>
      <vt:lpstr>№13</vt:lpstr>
      <vt:lpstr>№14</vt:lpstr>
      <vt:lpstr>№15</vt:lpstr>
      <vt:lpstr>ВАРИАЦИОННЫЙ_РЯД_ВЕС</vt:lpstr>
      <vt:lpstr>ВАРИАЦИОННЫЙ_РЯД_РОСТ</vt:lpstr>
      <vt:lpstr>ВЕС_ВАРИАЦИОННЫЙ_РЯД_КОНЕЦ</vt:lpstr>
      <vt:lpstr>ВЕС_ВАРИАЦИОННЫЙ_РЯД_КОНЕЦ_ГОРИЗ</vt:lpstr>
      <vt:lpstr>ВЕС_ВАРИАЦИОННЫЙ_РЯД_НАЧАЛО</vt:lpstr>
      <vt:lpstr>ВЕС_ВАРИАЦИОННЫЙ_РЯД_НАЧАЛО_ГОРИЗ</vt:lpstr>
      <vt:lpstr>ВЕС_ВЫБОРОЧНАЯ_ДИСПЕРСИЯ</vt:lpstr>
      <vt:lpstr>ВЕС_ВЫБОРОЧНАЯ_СРЕДНЯЯ_КВАДР_ОТКЛОНЕНИЯ</vt:lpstr>
      <vt:lpstr>ВЕС_ВЫБОРОЧНОЕ_СРЕДНЕЕ</vt:lpstr>
      <vt:lpstr>ВЕС_ИНТЕРВАЛЫ_КВАДР_ПРОИЗВ_ЧАСТОТЫ</vt:lpstr>
      <vt:lpstr>ВЕС_ИНТЕРВАЛЫ_ПРОИЗВ_ЧАСТОТЫ</vt:lpstr>
      <vt:lpstr>ВЕС_ИНТЕРВАЛЫ_СЕР</vt:lpstr>
      <vt:lpstr>ВЕС_ИНТЕРВАЛЫ_СЕР_ГОРИЗ</vt:lpstr>
      <vt:lpstr>ВЕС_ИСПРАВЛЕННАЯ_ДИСПЕРСИЯ</vt:lpstr>
      <vt:lpstr>ВЕС_ИСПРАВЛЕННЫЕ_ВЫБОРОЧНЫЕ_СРЕДНИЕ_КВАДРАТИЧЕСКИЕ_ОТКЛОНЕНИЯ</vt:lpstr>
      <vt:lpstr>ВЕС_МАКС</vt:lpstr>
      <vt:lpstr>ВЕС_МИН</vt:lpstr>
      <vt:lpstr>ВЕС_МОДА</vt:lpstr>
      <vt:lpstr>ВЕС_РАЗМЕР_ИНТЕРВАЛА</vt:lpstr>
      <vt:lpstr>ВЕС_УСЛОВНЫЕ_СРЕДНИЕ</vt:lpstr>
      <vt:lpstr>ВЕС_ЧАСТОТЫ</vt:lpstr>
      <vt:lpstr>ДАННЫЕ_ВЕС</vt:lpstr>
      <vt:lpstr>ДАННЫЕ_ДИСПЕРСИИ</vt:lpstr>
      <vt:lpstr>ДАННЫЕ_КОРРЕЛЯЦИОННАЯ_МАТРИЦА</vt:lpstr>
      <vt:lpstr>ДАННЫЕ_РОСТ</vt:lpstr>
      <vt:lpstr>НАДЕЖНОСТЬ</vt:lpstr>
      <vt:lpstr>ОБЩЕЕ_EPS</vt:lpstr>
      <vt:lpstr>ОБЩЕЕ_ВНУТРЕГРУППОВАЯ_ДИСПЕРСИЯ</vt:lpstr>
      <vt:lpstr>ОБЩЕЕ_ВЫБОРОЧНАЯ_ДИСПЕРСИЯ</vt:lpstr>
      <vt:lpstr>ОБЩЕЕ_ВЫБОРОЧНЫЙ_КОЭФФ_ЛИНЕЙНОЙ_КОРРЕЛЯЦИИ</vt:lpstr>
      <vt:lpstr>ОБЩЕЕ_КОЛИЧЕСТВО_ДАННЫХ</vt:lpstr>
      <vt:lpstr>ОБЩЕЕ_КОЛИЧЕСТВО_ИНТЕРВАЛОВ</vt:lpstr>
      <vt:lpstr>ОБЩЕЕ_ЛИНЕЙНАЯ_РЕГРЕССИЯ_A</vt:lpstr>
      <vt:lpstr>ОБЩЕЕ_ЛИНЕЙНАЯ_РЕГРЕССИЯ_B</vt:lpstr>
      <vt:lpstr>ОБЩЕЕ_МЕЖГРУППОВАЯ_ДИСПЕРСИЯ</vt:lpstr>
      <vt:lpstr>ОБЩЕЕ_СРЕДНЕЕ_ПРОИЗВЕДЕНИЕ</vt:lpstr>
      <vt:lpstr>ОБЩЕЕ_УСЛОВНО_ВЫБОРОЧНАЯ_СРЕДНЯЯ</vt:lpstr>
      <vt:lpstr>РОСТ_ВАРИАЦИОННЫЙ_РЯД_КОНЕЦ</vt:lpstr>
      <vt:lpstr>РОСТ_ВАРИАЦИОННЫЙ_РЯД_КОНЕЦ_ГОРИЗ</vt:lpstr>
      <vt:lpstr>РОСТ_ВАРИАЦИОННЫЙ_РЯД_НАЧАЛО</vt:lpstr>
      <vt:lpstr>РОСТ_ВАРИАЦИОННЫЙ_РЯД_НАЧАЛО_ГОРИЗ</vt:lpstr>
      <vt:lpstr>РОСТ_ВНУТРЕГРУППОВАЯ_ДИСПЕРСИЯ</vt:lpstr>
      <vt:lpstr>РОСТ_ВЫБОРОЧНАЯ_ДИСПЕРСИЯ</vt:lpstr>
      <vt:lpstr>РОСТ_ВЫБОРОЧНАЯ_СРЕДНЯЯ_КВАДР_ОТКЛОНЕНИЯ</vt:lpstr>
      <vt:lpstr>РОСТ_ВЫБОРОЧНОЕ_СРЕДНЕЕ</vt:lpstr>
      <vt:lpstr>РОСТ_ЗНАЧЕНИЯ_РАСПРЕДЕЛЕНИЯ</vt:lpstr>
      <vt:lpstr>РОСТ_ИНТЕРВАЛЫ_КВАДР_ПРОИЗВ_ЧАСТОТЫ</vt:lpstr>
      <vt:lpstr>РОСТ_ИНТЕРВАЛЫ_ПРОИЗВ_ЧАСТОТЫ</vt:lpstr>
      <vt:lpstr>РОСТ_ИНТЕРВАЛЫ_СЕР</vt:lpstr>
      <vt:lpstr>РОСТ_ИНТЕРВАЛЫ_СЕР_ГОРИЗ</vt:lpstr>
      <vt:lpstr>РОСТ_ИСПРАВЛЕННАЯ_ДИСПЕРСИЯ</vt:lpstr>
      <vt:lpstr>РОСТ_ИСПРАВЛЕННЫЕ_ВЫБОРОЧНЫЕ_СРЕДНИЕ_КВАДРАТИЧЕСКИЕ_ОТКЛОНЕНИЯ</vt:lpstr>
      <vt:lpstr>РОСТ_МАКС</vt:lpstr>
      <vt:lpstr>РОСТ_МЕЖГРУППОВАЯ_ДИСПЕРСИЯ</vt:lpstr>
      <vt:lpstr>РОСТ_МИН</vt:lpstr>
      <vt:lpstr>РОСТ_МОДА</vt:lpstr>
      <vt:lpstr>РОСТ_НОВЫЕ_ЧАСТОТЫ</vt:lpstr>
      <vt:lpstr>РОСТ_НОВЫЙ_ВАРИАЦИОННЫЙ_РЯД_КОНЕЦ</vt:lpstr>
      <vt:lpstr>РОСТ_НОВЫЙ_ВАРИАЦИОННЫЙ_РЯД_НАЧАЛО</vt:lpstr>
      <vt:lpstr>РОСТ_РАЗМЕР_ИНТЕРВАЛА</vt:lpstr>
      <vt:lpstr>РОСТ_УСЛОВНЫЕ_СРЕДНИЕ</vt:lpstr>
      <vt:lpstr>РОСТ_ХИ_КВАДРАТ_НАБЛ</vt:lpstr>
      <vt:lpstr>РОСТ_ХИ_КВАДРАТ_ТЕОР</vt:lpstr>
      <vt:lpstr>РОСТ_ЧАСТОТЫ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Бактурин Савелий Филиппович M33331</dc:creator>
  <cp:lastModifiedBy>Saveliy</cp:lastModifiedBy>
  <dcterms:created xsi:type="dcterms:W3CDTF">2023-11-24T10:29:41Z</dcterms:created>
  <dcterms:modified xsi:type="dcterms:W3CDTF">2023-12-01T19:27:59Z</dcterms:modified>
</cp:coreProperties>
</file>