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felena/Documents/Virus/TEV/Mutaciones en 6k2/Illumina results/Results QuRe/"/>
    </mc:Choice>
  </mc:AlternateContent>
  <xr:revisionPtr revIDLastSave="0" documentId="10_ncr:8100000_{41DEA909-CEB7-AE4C-BD90-353419C5AF72}" xr6:coauthVersionLast="34" xr6:coauthVersionMax="34" xr10:uidLastSave="{00000000-0000-0000-0000-000000000000}"/>
  <bookViews>
    <workbookView xWindow="2180" yWindow="460" windowWidth="26660" windowHeight="18160" tabRatio="500" activeTab="4" xr2:uid="{00000000-000D-0000-FFFF-FFFF00000000}"/>
  </bookViews>
  <sheets>
    <sheet name="WT" sheetId="1" r:id="rId1"/>
    <sheet name="50.50" sheetId="2" r:id="rId2"/>
    <sheet name="75.25" sheetId="3" r:id="rId3"/>
    <sheet name="95.5" sheetId="4" r:id="rId4"/>
    <sheet name="All together" sheetId="6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6" l="1"/>
  <c r="S33" i="6"/>
  <c r="S32" i="6"/>
  <c r="S31" i="6"/>
  <c r="S30" i="6"/>
  <c r="S29" i="6"/>
  <c r="S27" i="6"/>
  <c r="S26" i="6"/>
  <c r="S25" i="6"/>
  <c r="S23" i="6"/>
  <c r="S22" i="6"/>
  <c r="S21" i="6"/>
  <c r="S20" i="6"/>
  <c r="S19" i="6"/>
  <c r="S18" i="6"/>
  <c r="S17" i="6"/>
  <c r="S15" i="6"/>
  <c r="S14" i="6"/>
  <c r="S13" i="6"/>
  <c r="S12" i="6"/>
  <c r="S10" i="6"/>
  <c r="S9" i="6"/>
  <c r="S8" i="6"/>
  <c r="S7" i="6"/>
  <c r="S6" i="6"/>
  <c r="S5" i="6"/>
  <c r="S4" i="6"/>
  <c r="S3" i="6"/>
  <c r="S2" i="6"/>
  <c r="R34" i="6"/>
  <c r="R31" i="6"/>
  <c r="R27" i="6"/>
  <c r="R26" i="6"/>
  <c r="R25" i="6"/>
  <c r="R23" i="6"/>
  <c r="R22" i="6"/>
  <c r="R21" i="6"/>
  <c r="R20" i="6"/>
  <c r="R19" i="6"/>
  <c r="R18" i="6"/>
  <c r="R17" i="6"/>
  <c r="R15" i="6"/>
  <c r="R14" i="6"/>
  <c r="R13" i="6"/>
  <c r="R12" i="6"/>
  <c r="R10" i="6"/>
  <c r="R9" i="6"/>
  <c r="R8" i="6"/>
  <c r="R7" i="6"/>
  <c r="R6" i="6"/>
  <c r="R5" i="6"/>
  <c r="R4" i="6"/>
  <c r="R30" i="6" s="1"/>
  <c r="R3" i="6"/>
  <c r="R33" i="6" s="1"/>
  <c r="R2" i="6"/>
  <c r="M10" i="4"/>
  <c r="O10" i="4" s="1"/>
  <c r="P10" i="4" s="1"/>
  <c r="M8" i="4"/>
  <c r="M6" i="4"/>
  <c r="M4" i="4"/>
  <c r="M3" i="4"/>
  <c r="M12" i="4"/>
  <c r="M11" i="4"/>
  <c r="O13" i="4"/>
  <c r="O12" i="4"/>
  <c r="P12" i="4" s="1"/>
  <c r="O11" i="4"/>
  <c r="P11" i="4" s="1"/>
  <c r="O9" i="4"/>
  <c r="O8" i="4"/>
  <c r="P8" i="4" s="1"/>
  <c r="O6" i="4"/>
  <c r="P6" i="4" s="1"/>
  <c r="O4" i="4"/>
  <c r="P4" i="4" s="1"/>
  <c r="O3" i="4"/>
  <c r="P3" i="4" s="1"/>
  <c r="M7" i="4"/>
  <c r="O7" i="4" s="1"/>
  <c r="P7" i="4" s="1"/>
  <c r="M5" i="4"/>
  <c r="O5" i="4" s="1"/>
  <c r="P5" i="4" s="1"/>
  <c r="M2" i="4"/>
  <c r="O2" i="4" s="1"/>
  <c r="P2" i="4" s="1"/>
  <c r="H5" i="3"/>
  <c r="I5" i="3" s="1"/>
  <c r="H4" i="3"/>
  <c r="I4" i="3" s="1"/>
  <c r="H3" i="3"/>
  <c r="I3" i="3" s="1"/>
  <c r="F5" i="3"/>
  <c r="F4" i="3"/>
  <c r="F3" i="3"/>
  <c r="F2" i="3"/>
  <c r="H2" i="3" s="1"/>
  <c r="I2" i="3" s="1"/>
  <c r="G5" i="3"/>
  <c r="K10" i="2"/>
  <c r="M10" i="2" s="1"/>
  <c r="N10" i="2" s="1"/>
  <c r="K9" i="2"/>
  <c r="M9" i="2" s="1"/>
  <c r="N9" i="2" s="1"/>
  <c r="K8" i="2"/>
  <c r="M8" i="2" s="1"/>
  <c r="N8" i="2" s="1"/>
  <c r="K7" i="2"/>
  <c r="M7" i="2" s="1"/>
  <c r="N7" i="2" s="1"/>
  <c r="K6" i="2"/>
  <c r="M6" i="2" s="1"/>
  <c r="N6" i="2" s="1"/>
  <c r="K5" i="2"/>
  <c r="M5" i="2" s="1"/>
  <c r="N5" i="2" s="1"/>
  <c r="K4" i="2"/>
  <c r="M4" i="2" s="1"/>
  <c r="N4" i="2" s="1"/>
  <c r="K3" i="2"/>
  <c r="M3" i="2" s="1"/>
  <c r="N3" i="2" s="1"/>
  <c r="K2" i="2"/>
  <c r="M2" i="2" s="1"/>
  <c r="N2" i="2" s="1"/>
  <c r="M10" i="1"/>
  <c r="M9" i="1"/>
  <c r="M8" i="1"/>
  <c r="M7" i="1"/>
  <c r="M6" i="1"/>
  <c r="M5" i="1"/>
  <c r="M4" i="1"/>
  <c r="M3" i="1"/>
  <c r="M2" i="1"/>
  <c r="R29" i="6" l="1"/>
  <c r="R32" i="6"/>
</calcChain>
</file>

<file path=xl/sharedStrings.xml><?xml version="1.0" encoding="utf-8"?>
<sst xmlns="http://schemas.openxmlformats.org/spreadsheetml/2006/main" count="214" uniqueCount="76">
  <si>
    <t>v1</t>
  </si>
  <si>
    <t>WT</t>
  </si>
  <si>
    <t>U95G</t>
  </si>
  <si>
    <t>v2</t>
  </si>
  <si>
    <t>C116U</t>
  </si>
  <si>
    <t>v3</t>
  </si>
  <si>
    <t>C116A</t>
  </si>
  <si>
    <t>v4</t>
  </si>
  <si>
    <t>G97U</t>
  </si>
  <si>
    <t>G100U</t>
  </si>
  <si>
    <t>v5</t>
  </si>
  <si>
    <t>G104U</t>
  </si>
  <si>
    <t>v6</t>
  </si>
  <si>
    <t>U102G</t>
  </si>
  <si>
    <t>v7</t>
  </si>
  <si>
    <t>C157A</t>
  </si>
  <si>
    <t>v8</t>
  </si>
  <si>
    <t>U99G</t>
  </si>
  <si>
    <t>C132A</t>
  </si>
  <si>
    <t>C138A</t>
  </si>
  <si>
    <t>Variant</t>
  </si>
  <si>
    <t>Frequency</t>
  </si>
  <si>
    <t>C116W</t>
  </si>
  <si>
    <t>G101A</t>
  </si>
  <si>
    <t>G98A</t>
  </si>
  <si>
    <t>U95C</t>
  </si>
  <si>
    <t>A147U</t>
  </si>
  <si>
    <t>G101U</t>
  </si>
  <si>
    <t>U95S</t>
  </si>
  <si>
    <t>G101W</t>
  </si>
  <si>
    <t>U95A</t>
  </si>
  <si>
    <t>v9</t>
  </si>
  <si>
    <t>v10</t>
  </si>
  <si>
    <t>v11</t>
  </si>
  <si>
    <t>C136A</t>
  </si>
  <si>
    <t>G101C</t>
  </si>
  <si>
    <t>G104C</t>
  </si>
  <si>
    <t>G108U</t>
  </si>
  <si>
    <t>G101H</t>
  </si>
  <si>
    <t>G104Y</t>
  </si>
  <si>
    <t>Frequency in library</t>
  </si>
  <si>
    <t>Frequency in WT</t>
  </si>
  <si>
    <t>Frequency in starting mixture</t>
  </si>
  <si>
    <t>Observed frequency</t>
  </si>
  <si>
    <t>W</t>
  </si>
  <si>
    <t>Treatment</t>
  </si>
  <si>
    <t>50:50</t>
  </si>
  <si>
    <t>75:25</t>
  </si>
  <si>
    <t>95:5</t>
  </si>
  <si>
    <t>U95V</t>
  </si>
  <si>
    <t>s</t>
  </si>
  <si>
    <t>Mean =</t>
  </si>
  <si>
    <t>Median =</t>
  </si>
  <si>
    <t>SD =</t>
  </si>
  <si>
    <t>Min =</t>
  </si>
  <si>
    <t>Max =</t>
  </si>
  <si>
    <t>n =</t>
  </si>
  <si>
    <t>U136A</t>
  </si>
  <si>
    <t>U95G (I32S)</t>
  </si>
  <si>
    <t>G98A (G33D)</t>
  </si>
  <si>
    <t>G100U (G34C)</t>
  </si>
  <si>
    <t>U95C (I32T)</t>
  </si>
  <si>
    <t>C132A (D44E)</t>
  </si>
  <si>
    <t>G101U (G34V)</t>
  </si>
  <si>
    <t>G104U (G35V)</t>
  </si>
  <si>
    <t>G101C (G34R)</t>
  </si>
  <si>
    <t>G104C (G35A)</t>
  </si>
  <si>
    <t>G101A (G34D)</t>
  </si>
  <si>
    <t>C138A (F46L)</t>
  </si>
  <si>
    <t>G108U (W36C)</t>
  </si>
  <si>
    <t>C116U (A39S)</t>
  </si>
  <si>
    <t>C116A (A39E)</t>
  </si>
  <si>
    <t>U136A (F46I)</t>
  </si>
  <si>
    <t>Rel W</t>
  </si>
  <si>
    <t>C116U (A39V)</t>
  </si>
  <si>
    <t>U95A (I32N)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</si>
</sst>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NumberFormat="1" applyFont="1" applyFill="1"/>
    <xf numFmtId="0" fontId="0" fillId="0" borderId="0" xfId="0" applyNumberFormat="1"/>
    <xf numFmtId="46" fontId="1" fillId="0" borderId="0" xfId="0" quotePrefix="1" applyNumberFormat="1" applyFont="1"/>
    <xf numFmtId="0" fontId="1" fillId="0" borderId="0" xfId="0" quotePrefix="1" applyFont="1"/>
    <xf numFmtId="0" fontId="0" fillId="3" borderId="0" xfId="0" applyFill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M5" sqref="M5"/>
    </sheetView>
  </sheetViews>
  <sheetFormatPr baseColWidth="10" defaultRowHeight="16" x14ac:dyDescent="0.2"/>
  <cols>
    <col min="13" max="13" width="17" customWidth="1"/>
  </cols>
  <sheetData>
    <row r="1" spans="1:13" s="1" customFormat="1" x14ac:dyDescent="0.2">
      <c r="A1" s="2" t="s">
        <v>20</v>
      </c>
      <c r="B1" s="2" t="s">
        <v>2</v>
      </c>
      <c r="C1" s="2" t="s">
        <v>8</v>
      </c>
      <c r="D1" s="2" t="s">
        <v>17</v>
      </c>
      <c r="E1" s="2" t="s">
        <v>9</v>
      </c>
      <c r="F1" s="2" t="s">
        <v>13</v>
      </c>
      <c r="G1" s="2" t="s">
        <v>11</v>
      </c>
      <c r="H1" s="2" t="s">
        <v>22</v>
      </c>
      <c r="I1" s="2" t="s">
        <v>18</v>
      </c>
      <c r="J1" s="2" t="s">
        <v>19</v>
      </c>
      <c r="K1" s="2" t="s">
        <v>15</v>
      </c>
      <c r="L1" s="2" t="s">
        <v>21</v>
      </c>
      <c r="M1" s="2" t="s">
        <v>40</v>
      </c>
    </row>
    <row r="2" spans="1:13" x14ac:dyDescent="0.2">
      <c r="A2" s="1" t="s">
        <v>1</v>
      </c>
      <c r="L2">
        <v>0.98676709790233308</v>
      </c>
      <c r="M2">
        <f>171781/2100647</f>
        <v>8.1775281615616521E-2</v>
      </c>
    </row>
    <row r="3" spans="1:13" x14ac:dyDescent="0.2">
      <c r="A3" s="1" t="s">
        <v>0</v>
      </c>
      <c r="B3" t="s">
        <v>2</v>
      </c>
      <c r="L3">
        <v>3.1547569836202697E-3</v>
      </c>
      <c r="M3">
        <f>626/2100647</f>
        <v>2.9800342465916452E-4</v>
      </c>
    </row>
    <row r="4" spans="1:13" x14ac:dyDescent="0.2">
      <c r="A4" s="1" t="s">
        <v>3</v>
      </c>
      <c r="H4" t="s">
        <v>4</v>
      </c>
      <c r="L4">
        <v>3.1150405304333001E-3</v>
      </c>
      <c r="M4">
        <f>620/2100647</f>
        <v>2.9514716180300643E-4</v>
      </c>
    </row>
    <row r="5" spans="1:13" x14ac:dyDescent="0.2">
      <c r="A5" s="1" t="s">
        <v>5</v>
      </c>
      <c r="H5" t="s">
        <v>6</v>
      </c>
      <c r="L5">
        <v>2.5468233797801198E-3</v>
      </c>
      <c r="M5">
        <f>770/2100647</f>
        <v>3.665537332069596E-4</v>
      </c>
    </row>
    <row r="6" spans="1:13" x14ac:dyDescent="0.2">
      <c r="A6" s="1" t="s">
        <v>7</v>
      </c>
      <c r="C6" t="s">
        <v>8</v>
      </c>
      <c r="E6" t="s">
        <v>9</v>
      </c>
      <c r="L6">
        <v>1.61482029878323E-3</v>
      </c>
      <c r="M6">
        <f>1/2100647</f>
        <v>4.7604380935968774E-7</v>
      </c>
    </row>
    <row r="7" spans="1:13" x14ac:dyDescent="0.2">
      <c r="A7" s="1" t="s">
        <v>10</v>
      </c>
      <c r="G7" t="s">
        <v>11</v>
      </c>
      <c r="L7">
        <v>1.3783417853813402E-3</v>
      </c>
      <c r="M7">
        <f>929/2100647</f>
        <v>4.4224469889514993E-4</v>
      </c>
    </row>
    <row r="8" spans="1:13" x14ac:dyDescent="0.2">
      <c r="A8" s="1" t="s">
        <v>12</v>
      </c>
      <c r="F8" t="s">
        <v>13</v>
      </c>
      <c r="L8">
        <v>6.8646166140403102E-4</v>
      </c>
      <c r="M8">
        <f>828/2100647</f>
        <v>3.9416427414982146E-4</v>
      </c>
    </row>
    <row r="9" spans="1:13" x14ac:dyDescent="0.2">
      <c r="A9" s="1" t="s">
        <v>14</v>
      </c>
      <c r="K9" t="s">
        <v>15</v>
      </c>
      <c r="L9">
        <v>6.7437495235056499E-4</v>
      </c>
      <c r="M9">
        <f>475/2100647</f>
        <v>2.2612080944585169E-4</v>
      </c>
    </row>
    <row r="10" spans="1:13" x14ac:dyDescent="0.2">
      <c r="A10" s="1" t="s">
        <v>16</v>
      </c>
      <c r="D10" t="s">
        <v>17</v>
      </c>
      <c r="F10" t="s">
        <v>13</v>
      </c>
      <c r="H10" t="s">
        <v>6</v>
      </c>
      <c r="I10" t="s">
        <v>18</v>
      </c>
      <c r="J10" t="s">
        <v>19</v>
      </c>
      <c r="L10">
        <v>6.2282505914212701E-5</v>
      </c>
      <c r="M10">
        <f>0/2100647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A5" sqref="A5:XFD5"/>
    </sheetView>
  </sheetViews>
  <sheetFormatPr baseColWidth="10" defaultRowHeight="16" x14ac:dyDescent="0.2"/>
  <cols>
    <col min="10" max="10" width="18.1640625" customWidth="1"/>
    <col min="11" max="11" width="17.5" customWidth="1"/>
    <col min="12" max="12" width="15.6640625" customWidth="1"/>
    <col min="13" max="13" width="25.83203125" customWidth="1"/>
  </cols>
  <sheetData>
    <row r="1" spans="1:14" x14ac:dyDescent="0.2">
      <c r="A1" s="2" t="s">
        <v>20</v>
      </c>
      <c r="B1" s="2" t="s">
        <v>28</v>
      </c>
      <c r="C1" s="2" t="s">
        <v>24</v>
      </c>
      <c r="D1" s="2" t="s">
        <v>17</v>
      </c>
      <c r="E1" s="2" t="s">
        <v>9</v>
      </c>
      <c r="F1" s="2" t="s">
        <v>29</v>
      </c>
      <c r="G1" s="2" t="s">
        <v>4</v>
      </c>
      <c r="H1" s="2" t="s">
        <v>18</v>
      </c>
      <c r="I1" s="2" t="s">
        <v>26</v>
      </c>
      <c r="J1" s="2" t="s">
        <v>43</v>
      </c>
      <c r="K1" s="2" t="s">
        <v>40</v>
      </c>
      <c r="L1" s="2" t="s">
        <v>41</v>
      </c>
      <c r="M1" s="2" t="s">
        <v>42</v>
      </c>
      <c r="N1" s="2" t="s">
        <v>44</v>
      </c>
    </row>
    <row r="2" spans="1:14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4">
        <v>0.98288233807338798</v>
      </c>
      <c r="K2">
        <f>171781/2100647</f>
        <v>8.1775281615616521E-2</v>
      </c>
      <c r="L2">
        <v>0.98676709790233308</v>
      </c>
      <c r="M2">
        <f>0.5*K2+0.5*L2</f>
        <v>0.53427118975897481</v>
      </c>
      <c r="N2">
        <f>POWER(J2*(1-M2)/(M2*(1-J2)),1/7)</f>
        <v>1.748942336092951</v>
      </c>
    </row>
    <row r="3" spans="1:14" x14ac:dyDescent="0.2">
      <c r="A3" s="1" t="s">
        <v>0</v>
      </c>
      <c r="F3" t="s">
        <v>23</v>
      </c>
      <c r="G3" t="s">
        <v>4</v>
      </c>
      <c r="J3">
        <v>3.2091955022671699E-3</v>
      </c>
      <c r="K3">
        <f>4/2100647</f>
        <v>1.904175237438751E-6</v>
      </c>
      <c r="L3">
        <v>0</v>
      </c>
      <c r="M3">
        <f t="shared" ref="M3:M10" si="0">0.5*K3+0.5*L3</f>
        <v>9.5208761871937549E-7</v>
      </c>
      <c r="N3" s="8">
        <f t="shared" ref="N3:N10" si="1">POWER(J3*(1-M3)/(M3*(1-J3)),1/7)</f>
        <v>3.1927084386421054</v>
      </c>
    </row>
    <row r="4" spans="1:14" x14ac:dyDescent="0.2">
      <c r="A4" s="1" t="s">
        <v>3</v>
      </c>
      <c r="D4" t="s">
        <v>17</v>
      </c>
      <c r="J4">
        <v>2.8940511925092199E-3</v>
      </c>
      <c r="K4">
        <f>296/2100647</f>
        <v>1.4090896757046757E-4</v>
      </c>
      <c r="L4">
        <v>0</v>
      </c>
      <c r="M4">
        <f t="shared" si="0"/>
        <v>7.0454483785233784E-5</v>
      </c>
      <c r="N4">
        <f t="shared" si="1"/>
        <v>1.7009415136194612</v>
      </c>
    </row>
    <row r="5" spans="1:14" x14ac:dyDescent="0.2">
      <c r="A5" s="1" t="s">
        <v>5</v>
      </c>
      <c r="B5" t="s">
        <v>2</v>
      </c>
      <c r="C5" t="s">
        <v>24</v>
      </c>
      <c r="J5">
        <v>2.4798461672959097E-3</v>
      </c>
      <c r="K5">
        <f>9/2100647</f>
        <v>4.2843942842371896E-6</v>
      </c>
      <c r="L5">
        <v>0</v>
      </c>
      <c r="M5">
        <f t="shared" si="0"/>
        <v>2.1421971421185948E-6</v>
      </c>
      <c r="N5" s="8">
        <f t="shared" si="1"/>
        <v>2.7403504076301997</v>
      </c>
    </row>
    <row r="6" spans="1:14" x14ac:dyDescent="0.2">
      <c r="A6" s="1" t="s">
        <v>7</v>
      </c>
      <c r="E6" t="s">
        <v>9</v>
      </c>
      <c r="J6">
        <v>2.1251926838261499E-3</v>
      </c>
      <c r="K6">
        <f>414/2100647</f>
        <v>1.9708213707491073E-4</v>
      </c>
      <c r="L6">
        <v>0</v>
      </c>
      <c r="M6">
        <f t="shared" si="0"/>
        <v>9.8541068537455365E-5</v>
      </c>
      <c r="N6">
        <f t="shared" si="1"/>
        <v>1.5511936810450428</v>
      </c>
    </row>
    <row r="7" spans="1:14" x14ac:dyDescent="0.2">
      <c r="A7" s="1" t="s">
        <v>10</v>
      </c>
      <c r="B7" t="s">
        <v>25</v>
      </c>
      <c r="J7">
        <v>1.7394232546393302E-3</v>
      </c>
      <c r="K7">
        <f>664/2100647</f>
        <v>3.1609308941483267E-4</v>
      </c>
      <c r="L7">
        <v>0</v>
      </c>
      <c r="M7">
        <f t="shared" si="0"/>
        <v>1.5804654470741634E-4</v>
      </c>
      <c r="N7">
        <f t="shared" si="1"/>
        <v>1.4089679046272794</v>
      </c>
    </row>
    <row r="8" spans="1:14" x14ac:dyDescent="0.2">
      <c r="A8" s="1" t="s">
        <v>12</v>
      </c>
      <c r="H8" t="s">
        <v>18</v>
      </c>
      <c r="J8">
        <v>1.72173133339217E-3</v>
      </c>
      <c r="K8">
        <f>464/2100647</f>
        <v>2.2088432754289512E-4</v>
      </c>
      <c r="L8">
        <v>0</v>
      </c>
      <c r="M8">
        <f t="shared" si="0"/>
        <v>1.1044216377144756E-4</v>
      </c>
      <c r="N8">
        <f t="shared" si="1"/>
        <v>1.4808273029418453</v>
      </c>
    </row>
    <row r="9" spans="1:14" x14ac:dyDescent="0.2">
      <c r="A9" s="1" t="s">
        <v>14</v>
      </c>
      <c r="I9" t="s">
        <v>26</v>
      </c>
      <c r="J9">
        <v>1.62150715576644E-3</v>
      </c>
      <c r="K9">
        <f>658/2100647</f>
        <v>3.1323682655867453E-4</v>
      </c>
      <c r="L9">
        <v>0</v>
      </c>
      <c r="M9">
        <f t="shared" si="0"/>
        <v>1.5661841327933726E-4</v>
      </c>
      <c r="N9">
        <f t="shared" si="1"/>
        <v>1.3966958086645782</v>
      </c>
    </row>
    <row r="10" spans="1:14" x14ac:dyDescent="0.2">
      <c r="A10" s="1" t="s">
        <v>16</v>
      </c>
      <c r="F10" t="s">
        <v>27</v>
      </c>
      <c r="J10">
        <v>1.3267146369156499E-3</v>
      </c>
      <c r="K10">
        <f>756/2100647</f>
        <v>3.5988911987592392E-4</v>
      </c>
      <c r="L10">
        <v>0</v>
      </c>
      <c r="M10">
        <f t="shared" si="0"/>
        <v>1.7994455993796196E-4</v>
      </c>
      <c r="N10">
        <f t="shared" si="1"/>
        <v>1.3305144681319923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I2" sqref="I2:I5"/>
    </sheetView>
  </sheetViews>
  <sheetFormatPr baseColWidth="10" defaultRowHeight="16" x14ac:dyDescent="0.2"/>
  <cols>
    <col min="5" max="6" width="18" customWidth="1"/>
    <col min="7" max="7" width="15.5" customWidth="1"/>
    <col min="8" max="8" width="26" customWidth="1"/>
  </cols>
  <sheetData>
    <row r="1" spans="1:9" x14ac:dyDescent="0.2">
      <c r="A1" s="2" t="s">
        <v>20</v>
      </c>
      <c r="B1" s="2" t="s">
        <v>30</v>
      </c>
      <c r="C1" s="2" t="s">
        <v>11</v>
      </c>
      <c r="D1" s="2" t="s">
        <v>15</v>
      </c>
      <c r="E1" s="2" t="s">
        <v>43</v>
      </c>
      <c r="F1" s="2" t="s">
        <v>40</v>
      </c>
      <c r="G1" s="2" t="s">
        <v>41</v>
      </c>
      <c r="H1" s="2" t="s">
        <v>42</v>
      </c>
      <c r="I1" s="2" t="s">
        <v>44</v>
      </c>
    </row>
    <row r="2" spans="1:9" x14ac:dyDescent="0.2">
      <c r="A2" s="3" t="s">
        <v>1</v>
      </c>
      <c r="E2" s="5">
        <v>0.99400039276543295</v>
      </c>
      <c r="F2">
        <f>171781/2100647</f>
        <v>8.1775281615616521E-2</v>
      </c>
      <c r="G2">
        <v>0.98676709790233308</v>
      </c>
      <c r="H2">
        <f>0.75*F2+0.25*G2</f>
        <v>0.30802323568729567</v>
      </c>
      <c r="I2">
        <f>POWER(E2*(1-H2)/(H2*(1-E2)),1/7)</f>
        <v>2.3294484808451088</v>
      </c>
    </row>
    <row r="3" spans="1:9" x14ac:dyDescent="0.2">
      <c r="A3" s="1" t="s">
        <v>0</v>
      </c>
      <c r="B3" t="s">
        <v>30</v>
      </c>
      <c r="E3">
        <v>2.7163476422302404E-3</v>
      </c>
      <c r="F3">
        <f>888/2100647</f>
        <v>4.227269027114027E-4</v>
      </c>
      <c r="G3">
        <v>0</v>
      </c>
      <c r="H3">
        <f t="shared" ref="H3:H5" si="0">0.75*F3+0.25*G3</f>
        <v>3.1704517703355205E-4</v>
      </c>
      <c r="I3">
        <f>POWER(E3*(1-H3)/(H3*(1-E3)),1/7)</f>
        <v>1.3596132807585646</v>
      </c>
    </row>
    <row r="4" spans="1:9" x14ac:dyDescent="0.2">
      <c r="A4" s="1" t="s">
        <v>3</v>
      </c>
      <c r="C4" t="s">
        <v>11</v>
      </c>
      <c r="E4">
        <v>2.0689898514496497E-3</v>
      </c>
      <c r="F4">
        <f>475/2100647</f>
        <v>2.2612080944585169E-4</v>
      </c>
      <c r="G4">
        <v>1.3783417853813402E-3</v>
      </c>
      <c r="H4">
        <f t="shared" si="0"/>
        <v>5.1417605342972384E-4</v>
      </c>
      <c r="I4">
        <f>POWER(E4*(1-H4)/(H4*(1-E4)),1/7)</f>
        <v>1.2203226216540199</v>
      </c>
    </row>
    <row r="5" spans="1:9" x14ac:dyDescent="0.2">
      <c r="A5" s="1" t="s">
        <v>5</v>
      </c>
      <c r="D5" t="s">
        <v>15</v>
      </c>
      <c r="E5">
        <v>1.21426974088717E-3</v>
      </c>
      <c r="F5">
        <f>929/2100647</f>
        <v>4.4224469889514993E-4</v>
      </c>
      <c r="G5">
        <f>475/2100647</f>
        <v>2.2612080944585169E-4</v>
      </c>
      <c r="H5">
        <f t="shared" si="0"/>
        <v>3.8821372653282537E-4</v>
      </c>
      <c r="I5">
        <f>POWER(E5*(1-H5)/(H5*(1-E5)),1/7)</f>
        <v>1.1770650780859604</v>
      </c>
    </row>
    <row r="6" spans="1:9" x14ac:dyDescent="0.2">
      <c r="A6" s="1"/>
    </row>
    <row r="7" spans="1:9" x14ac:dyDescent="0.2">
      <c r="A7" s="1"/>
    </row>
    <row r="8" spans="1:9" x14ac:dyDescent="0.2">
      <c r="A8" s="1"/>
    </row>
    <row r="9" spans="1:9" x14ac:dyDescent="0.2">
      <c r="A9" s="1"/>
    </row>
    <row r="10" spans="1:9" x14ac:dyDescent="0.2">
      <c r="A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workbookViewId="0">
      <selection activeCell="P9" sqref="P9"/>
    </sheetView>
  </sheetViews>
  <sheetFormatPr baseColWidth="10" defaultRowHeight="16" x14ac:dyDescent="0.2"/>
  <cols>
    <col min="12" max="12" width="17.83203125" customWidth="1"/>
    <col min="13" max="13" width="17.6640625" customWidth="1"/>
    <col min="14" max="14" width="15" customWidth="1"/>
    <col min="15" max="15" width="25.33203125" customWidth="1"/>
  </cols>
  <sheetData>
    <row r="1" spans="1:16" x14ac:dyDescent="0.2">
      <c r="A1" s="2" t="s">
        <v>20</v>
      </c>
      <c r="B1" s="2" t="s">
        <v>28</v>
      </c>
      <c r="C1" s="2" t="s">
        <v>17</v>
      </c>
      <c r="D1" s="2" t="s">
        <v>38</v>
      </c>
      <c r="E1" s="2" t="s">
        <v>13</v>
      </c>
      <c r="F1" s="2" t="s">
        <v>39</v>
      </c>
      <c r="G1" s="2" t="s">
        <v>22</v>
      </c>
      <c r="H1" s="2" t="s">
        <v>18</v>
      </c>
      <c r="I1" s="2" t="s">
        <v>34</v>
      </c>
      <c r="J1" s="2" t="s">
        <v>19</v>
      </c>
      <c r="K1" s="2" t="s">
        <v>15</v>
      </c>
      <c r="L1" s="2" t="s">
        <v>43</v>
      </c>
      <c r="M1" s="2" t="s">
        <v>40</v>
      </c>
      <c r="N1" s="2" t="s">
        <v>41</v>
      </c>
      <c r="O1" s="2" t="s">
        <v>42</v>
      </c>
      <c r="P1" s="2" t="s">
        <v>44</v>
      </c>
    </row>
    <row r="2" spans="1:16" x14ac:dyDescent="0.2">
      <c r="A2" s="3" t="s">
        <v>1</v>
      </c>
      <c r="L2" s="5">
        <v>0.98229655597139098</v>
      </c>
      <c r="M2">
        <f>171781/2100647</f>
        <v>8.1775281615616521E-2</v>
      </c>
      <c r="N2">
        <v>0.98676709790233308</v>
      </c>
      <c r="O2">
        <f>0.95*M2+0.05*N2</f>
        <v>0.12702487242995233</v>
      </c>
      <c r="P2">
        <f>POWER(L2*(1-O2)/(O2*(1-L2)),1/7)</f>
        <v>2.3375281611251761</v>
      </c>
    </row>
    <row r="3" spans="1:16" x14ac:dyDescent="0.2">
      <c r="A3" s="1" t="s">
        <v>0</v>
      </c>
      <c r="D3" t="s">
        <v>35</v>
      </c>
      <c r="F3" t="s">
        <v>36</v>
      </c>
      <c r="L3">
        <v>3.1401341066942898E-3</v>
      </c>
      <c r="M3">
        <f>2/2100647</f>
        <v>9.5208761871937549E-7</v>
      </c>
      <c r="N3">
        <v>0</v>
      </c>
      <c r="O3">
        <f t="shared" ref="O3:O13" si="0">0.95*M3+0.05*N3</f>
        <v>9.0448323778340664E-7</v>
      </c>
      <c r="P3" s="8">
        <f t="shared" ref="P3:P12" si="1">POWER(L3*(1-O3)/(O3*(1-L3)),1/7)</f>
        <v>3.2061777475595239</v>
      </c>
    </row>
    <row r="4" spans="1:16" x14ac:dyDescent="0.2">
      <c r="A4" s="1" t="s">
        <v>3</v>
      </c>
      <c r="D4" t="s">
        <v>23</v>
      </c>
      <c r="L4">
        <v>2.7451646547085799E-3</v>
      </c>
      <c r="M4">
        <f>6/2100647</f>
        <v>2.8562628561581267E-6</v>
      </c>
      <c r="N4">
        <v>0</v>
      </c>
      <c r="O4">
        <f t="shared" si="0"/>
        <v>2.7134497133502201E-6</v>
      </c>
      <c r="P4" s="8">
        <f t="shared" si="1"/>
        <v>2.688207299168734</v>
      </c>
    </row>
    <row r="5" spans="1:16" x14ac:dyDescent="0.2">
      <c r="A5" s="1" t="s">
        <v>5</v>
      </c>
      <c r="F5" t="s">
        <v>11</v>
      </c>
      <c r="L5">
        <v>2.2421661979697199E-3</v>
      </c>
      <c r="M5">
        <f>929/2100647</f>
        <v>4.4224469889514993E-4</v>
      </c>
      <c r="N5">
        <v>1.3783417853813402E-3</v>
      </c>
      <c r="O5">
        <f t="shared" si="0"/>
        <v>4.8904955321945947E-4</v>
      </c>
      <c r="P5">
        <f t="shared" si="1"/>
        <v>1.2433187348345798</v>
      </c>
    </row>
    <row r="6" spans="1:16" x14ac:dyDescent="0.2">
      <c r="A6" s="1" t="s">
        <v>7</v>
      </c>
      <c r="B6" t="s">
        <v>25</v>
      </c>
      <c r="L6">
        <v>1.7288454846492299E-3</v>
      </c>
      <c r="M6">
        <f>664/2100647</f>
        <v>3.1609308941483267E-4</v>
      </c>
      <c r="N6">
        <v>0</v>
      </c>
      <c r="O6">
        <f t="shared" si="0"/>
        <v>3.0028843494409101E-4</v>
      </c>
      <c r="P6">
        <f t="shared" si="1"/>
        <v>1.2843731889303129</v>
      </c>
    </row>
    <row r="7" spans="1:16" x14ac:dyDescent="0.2">
      <c r="A7" s="1" t="s">
        <v>10</v>
      </c>
      <c r="B7" t="s">
        <v>2</v>
      </c>
      <c r="L7">
        <v>1.5526916357209101E-3</v>
      </c>
      <c r="M7">
        <f>626/2100647</f>
        <v>2.9800342465916452E-4</v>
      </c>
      <c r="N7">
        <v>3.1547569836202697E-3</v>
      </c>
      <c r="O7">
        <f t="shared" si="0"/>
        <v>4.4084110260721979E-4</v>
      </c>
      <c r="P7">
        <f t="shared" si="1"/>
        <v>1.1972470722828643</v>
      </c>
    </row>
    <row r="8" spans="1:16" x14ac:dyDescent="0.2">
      <c r="A8" s="1" t="s">
        <v>12</v>
      </c>
      <c r="H8" t="s">
        <v>18</v>
      </c>
      <c r="J8" t="s">
        <v>19</v>
      </c>
      <c r="L8">
        <v>1.54932628378884E-3</v>
      </c>
      <c r="M8">
        <f>2/2100647</f>
        <v>9.5208761871937549E-7</v>
      </c>
      <c r="N8">
        <v>0</v>
      </c>
      <c r="O8">
        <f t="shared" si="0"/>
        <v>9.0448323778340664E-7</v>
      </c>
      <c r="P8" s="8">
        <f t="shared" si="1"/>
        <v>2.8977394741023397</v>
      </c>
    </row>
    <row r="9" spans="1:16" x14ac:dyDescent="0.2">
      <c r="A9" s="1" t="s">
        <v>14</v>
      </c>
      <c r="C9" t="s">
        <v>17</v>
      </c>
      <c r="E9" t="s">
        <v>13</v>
      </c>
      <c r="L9">
        <v>1.5065850965522601E-3</v>
      </c>
      <c r="M9">
        <v>0</v>
      </c>
      <c r="N9">
        <v>0</v>
      </c>
      <c r="O9">
        <f t="shared" si="0"/>
        <v>0</v>
      </c>
    </row>
    <row r="10" spans="1:16" x14ac:dyDescent="0.2">
      <c r="A10" s="1" t="s">
        <v>16</v>
      </c>
      <c r="D10" t="s">
        <v>37</v>
      </c>
      <c r="L10">
        <v>1.3297474453021901E-3</v>
      </c>
      <c r="M10">
        <f>756/2100647</f>
        <v>3.5988911987592392E-4</v>
      </c>
      <c r="N10">
        <v>0</v>
      </c>
      <c r="O10">
        <f t="shared" si="0"/>
        <v>3.4189466388212769E-4</v>
      </c>
      <c r="P10">
        <f t="shared" si="1"/>
        <v>1.2143096882158877</v>
      </c>
    </row>
    <row r="11" spans="1:16" x14ac:dyDescent="0.2">
      <c r="A11" s="1" t="s">
        <v>31</v>
      </c>
      <c r="G11" t="s">
        <v>4</v>
      </c>
      <c r="L11">
        <v>1.1229756440545502E-3</v>
      </c>
      <c r="M11">
        <f>620/2100647</f>
        <v>2.9514716180300643E-4</v>
      </c>
      <c r="N11">
        <v>3.1150405304333001E-3</v>
      </c>
      <c r="O11">
        <f t="shared" si="0"/>
        <v>4.3614183023452113E-4</v>
      </c>
      <c r="P11">
        <f t="shared" si="1"/>
        <v>1.1447750603013029</v>
      </c>
    </row>
    <row r="12" spans="1:16" x14ac:dyDescent="0.2">
      <c r="A12" s="1" t="s">
        <v>32</v>
      </c>
      <c r="G12" t="s">
        <v>6</v>
      </c>
      <c r="L12">
        <v>7.2869535400311893E-4</v>
      </c>
      <c r="M12">
        <f>770/2100647</f>
        <v>3.665537332069596E-4</v>
      </c>
      <c r="N12">
        <v>2.5468233797801198E-3</v>
      </c>
      <c r="O12">
        <f t="shared" si="0"/>
        <v>4.755672155356176E-4</v>
      </c>
      <c r="P12">
        <f t="shared" si="1"/>
        <v>1.0628990356586141</v>
      </c>
    </row>
    <row r="13" spans="1:16" x14ac:dyDescent="0.2">
      <c r="A13" s="1" t="s">
        <v>33</v>
      </c>
      <c r="C13" t="s">
        <v>17</v>
      </c>
      <c r="E13" t="s">
        <v>13</v>
      </c>
      <c r="H13" t="s">
        <v>18</v>
      </c>
      <c r="I13" t="s">
        <v>34</v>
      </c>
      <c r="K13" t="s">
        <v>15</v>
      </c>
      <c r="L13">
        <v>5.7112125165041402E-5</v>
      </c>
      <c r="M13">
        <v>0</v>
      </c>
      <c r="N13">
        <v>0</v>
      </c>
      <c r="O1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4"/>
  <sheetViews>
    <sheetView tabSelected="1" workbookViewId="0">
      <selection activeCell="G3" sqref="G3"/>
    </sheetView>
  </sheetViews>
  <sheetFormatPr baseColWidth="10" defaultRowHeight="16" x14ac:dyDescent="0.2"/>
  <cols>
    <col min="4" max="4" width="11.6640625" customWidth="1"/>
    <col min="6" max="6" width="12.6640625" customWidth="1"/>
    <col min="7" max="7" width="12.1640625" customWidth="1"/>
    <col min="9" max="9" width="12.5" customWidth="1"/>
    <col min="10" max="10" width="12.83203125" customWidth="1"/>
    <col min="11" max="12" width="12" customWidth="1"/>
    <col min="13" max="13" width="11.83203125" customWidth="1"/>
    <col min="14" max="14" width="11.5" customWidth="1"/>
  </cols>
  <sheetData>
    <row r="1" spans="1:19" x14ac:dyDescent="0.2">
      <c r="A1" s="2" t="s">
        <v>45</v>
      </c>
      <c r="B1" s="2" t="s">
        <v>20</v>
      </c>
      <c r="C1" s="2" t="s">
        <v>49</v>
      </c>
      <c r="D1" s="2" t="s">
        <v>24</v>
      </c>
      <c r="E1" s="2" t="s">
        <v>17</v>
      </c>
      <c r="F1" s="2" t="s">
        <v>9</v>
      </c>
      <c r="G1" s="2" t="s">
        <v>38</v>
      </c>
      <c r="H1" s="2" t="s">
        <v>13</v>
      </c>
      <c r="I1" s="2" t="s">
        <v>39</v>
      </c>
      <c r="J1" s="2" t="s">
        <v>37</v>
      </c>
      <c r="K1" s="2" t="s">
        <v>22</v>
      </c>
      <c r="L1" s="2" t="s">
        <v>18</v>
      </c>
      <c r="M1" s="2" t="s">
        <v>57</v>
      </c>
      <c r="N1" s="2" t="s">
        <v>19</v>
      </c>
      <c r="O1" s="2" t="s">
        <v>26</v>
      </c>
      <c r="P1" s="2" t="s">
        <v>15</v>
      </c>
      <c r="Q1" s="2" t="s">
        <v>44</v>
      </c>
      <c r="R1" s="2" t="s">
        <v>50</v>
      </c>
      <c r="S1" s="2" t="s">
        <v>73</v>
      </c>
    </row>
    <row r="2" spans="1:19" x14ac:dyDescent="0.2">
      <c r="A2" s="6" t="s">
        <v>46</v>
      </c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>
        <v>1.748942336092951</v>
      </c>
      <c r="R2">
        <f>Q2-$Q$2</f>
        <v>0</v>
      </c>
      <c r="S2">
        <f>Q2/$Q$2</f>
        <v>1</v>
      </c>
    </row>
    <row r="3" spans="1:19" x14ac:dyDescent="0.2">
      <c r="A3" s="1"/>
      <c r="B3" s="1" t="s">
        <v>0</v>
      </c>
      <c r="G3" t="s">
        <v>67</v>
      </c>
      <c r="K3" t="s">
        <v>70</v>
      </c>
      <c r="Q3" s="8">
        <v>3.1927084386421054</v>
      </c>
      <c r="R3" s="8">
        <f t="shared" ref="R3:R10" si="0">Q3-$Q$2</f>
        <v>1.4437661025491544</v>
      </c>
      <c r="S3" s="9">
        <f t="shared" ref="S3:S10" si="1">Q3/$Q$2</f>
        <v>1.8255081215395901</v>
      </c>
    </row>
    <row r="4" spans="1:19" x14ac:dyDescent="0.2">
      <c r="A4" s="1"/>
      <c r="B4" s="1" t="s">
        <v>3</v>
      </c>
      <c r="E4" t="s">
        <v>17</v>
      </c>
      <c r="Q4">
        <v>1.7009415136194612</v>
      </c>
      <c r="R4">
        <f t="shared" si="0"/>
        <v>-4.8000822473489801E-2</v>
      </c>
      <c r="S4">
        <f t="shared" si="1"/>
        <v>0.97255437101447195</v>
      </c>
    </row>
    <row r="5" spans="1:19" x14ac:dyDescent="0.2">
      <c r="A5" s="1"/>
      <c r="B5" s="1" t="s">
        <v>5</v>
      </c>
      <c r="C5" t="s">
        <v>58</v>
      </c>
      <c r="D5" t="s">
        <v>59</v>
      </c>
      <c r="Q5" s="8">
        <v>2.7403504076301997</v>
      </c>
      <c r="R5" s="8">
        <f t="shared" si="0"/>
        <v>0.99140807153724864</v>
      </c>
      <c r="S5" s="10">
        <f t="shared" si="1"/>
        <v>1.5668614974190653</v>
      </c>
    </row>
    <row r="6" spans="1:19" x14ac:dyDescent="0.2">
      <c r="A6" s="1"/>
      <c r="B6" s="1" t="s">
        <v>7</v>
      </c>
      <c r="F6" t="s">
        <v>60</v>
      </c>
      <c r="Q6">
        <v>1.5511936810450428</v>
      </c>
      <c r="R6">
        <f t="shared" si="0"/>
        <v>-0.19774865504790817</v>
      </c>
      <c r="S6">
        <f t="shared" si="1"/>
        <v>0.88693243283842693</v>
      </c>
    </row>
    <row r="7" spans="1:19" x14ac:dyDescent="0.2">
      <c r="A7" s="1"/>
      <c r="B7" s="1" t="s">
        <v>10</v>
      </c>
      <c r="C7" t="s">
        <v>61</v>
      </c>
      <c r="Q7">
        <v>1.4089679046272794</v>
      </c>
      <c r="R7">
        <f t="shared" si="0"/>
        <v>-0.33997443146567163</v>
      </c>
      <c r="S7">
        <f t="shared" si="1"/>
        <v>0.80561141185182961</v>
      </c>
    </row>
    <row r="8" spans="1:19" x14ac:dyDescent="0.2">
      <c r="A8" s="1"/>
      <c r="B8" s="1" t="s">
        <v>12</v>
      </c>
      <c r="L8" t="s">
        <v>62</v>
      </c>
      <c r="Q8">
        <v>1.4808273029418453</v>
      </c>
      <c r="R8">
        <f t="shared" si="0"/>
        <v>-0.26811503315110574</v>
      </c>
      <c r="S8">
        <f t="shared" si="1"/>
        <v>0.84669875751875201</v>
      </c>
    </row>
    <row r="9" spans="1:19" x14ac:dyDescent="0.2">
      <c r="A9" s="1"/>
      <c r="B9" s="1" t="s">
        <v>14</v>
      </c>
      <c r="O9" t="s">
        <v>26</v>
      </c>
      <c r="Q9">
        <v>1.3966958086645782</v>
      </c>
      <c r="R9">
        <f t="shared" si="0"/>
        <v>-0.35224652742837281</v>
      </c>
      <c r="S9">
        <f t="shared" si="1"/>
        <v>0.79859454473766478</v>
      </c>
    </row>
    <row r="10" spans="1:19" x14ac:dyDescent="0.2">
      <c r="A10" s="1"/>
      <c r="B10" s="1" t="s">
        <v>16</v>
      </c>
      <c r="G10" t="s">
        <v>63</v>
      </c>
      <c r="Q10">
        <v>1.3305144681319923</v>
      </c>
      <c r="R10">
        <f t="shared" si="0"/>
        <v>-0.41842786796095877</v>
      </c>
      <c r="S10">
        <f t="shared" si="1"/>
        <v>0.76075376567548503</v>
      </c>
    </row>
    <row r="11" spans="1:19" x14ac:dyDescent="0.2">
      <c r="A11" s="1"/>
      <c r="B11" s="1"/>
    </row>
    <row r="12" spans="1:19" x14ac:dyDescent="0.2">
      <c r="A12" s="7" t="s">
        <v>47</v>
      </c>
      <c r="B12" s="3" t="s">
        <v>1</v>
      </c>
      <c r="Q12">
        <v>2.3294484808451088</v>
      </c>
      <c r="R12">
        <f>Q12-$Q$12</f>
        <v>0</v>
      </c>
      <c r="S12">
        <f>Q12/$Q$12</f>
        <v>1</v>
      </c>
    </row>
    <row r="13" spans="1:19" x14ac:dyDescent="0.2">
      <c r="A13" s="1"/>
      <c r="B13" s="1" t="s">
        <v>0</v>
      </c>
      <c r="C13" t="s">
        <v>75</v>
      </c>
      <c r="Q13">
        <v>1.3596132807585646</v>
      </c>
      <c r="R13">
        <f t="shared" ref="R13:R15" si="2">Q13-$Q$12</f>
        <v>-0.96983520008654422</v>
      </c>
      <c r="S13">
        <f t="shared" ref="S13:S15" si="3">Q13/$Q$12</f>
        <v>0.58366316831583487</v>
      </c>
    </row>
    <row r="14" spans="1:19" x14ac:dyDescent="0.2">
      <c r="A14" s="1"/>
      <c r="B14" s="1" t="s">
        <v>3</v>
      </c>
      <c r="I14" t="s">
        <v>64</v>
      </c>
      <c r="Q14">
        <v>1.2203226216540199</v>
      </c>
      <c r="R14">
        <f t="shared" si="2"/>
        <v>-1.1091258591910889</v>
      </c>
      <c r="S14">
        <f t="shared" si="3"/>
        <v>0.52386761574194374</v>
      </c>
    </row>
    <row r="15" spans="1:19" x14ac:dyDescent="0.2">
      <c r="A15" s="1"/>
      <c r="B15" s="1" t="s">
        <v>5</v>
      </c>
      <c r="P15" t="s">
        <v>15</v>
      </c>
      <c r="Q15">
        <v>1.1770650780859604</v>
      </c>
      <c r="R15">
        <f t="shared" si="2"/>
        <v>-1.1523834027591484</v>
      </c>
      <c r="S15">
        <f t="shared" si="3"/>
        <v>0.50529775084741468</v>
      </c>
    </row>
    <row r="16" spans="1:19" x14ac:dyDescent="0.2">
      <c r="A16" s="1"/>
      <c r="B16" s="1"/>
    </row>
    <row r="17" spans="1:19" x14ac:dyDescent="0.2">
      <c r="A17" s="7" t="s">
        <v>48</v>
      </c>
      <c r="B17" s="3" t="s">
        <v>1</v>
      </c>
      <c r="Q17">
        <v>2.3375281611251761</v>
      </c>
      <c r="R17">
        <f>Q17-$Q$17</f>
        <v>0</v>
      </c>
      <c r="S17">
        <f>Q17/$Q$17</f>
        <v>1</v>
      </c>
    </row>
    <row r="18" spans="1:19" x14ac:dyDescent="0.2">
      <c r="B18" s="1" t="s">
        <v>0</v>
      </c>
      <c r="G18" t="s">
        <v>65</v>
      </c>
      <c r="I18" t="s">
        <v>66</v>
      </c>
      <c r="Q18" s="8">
        <v>3.2061777475595239</v>
      </c>
      <c r="R18" s="8">
        <f t="shared" ref="R18:R23" si="4">Q18-$Q$17</f>
        <v>0.86864958643434775</v>
      </c>
      <c r="S18" s="10">
        <f t="shared" ref="S18:S27" si="5">Q18/$Q$17</f>
        <v>1.3716103193452953</v>
      </c>
    </row>
    <row r="19" spans="1:19" x14ac:dyDescent="0.2">
      <c r="B19" s="1" t="s">
        <v>3</v>
      </c>
      <c r="G19" t="s">
        <v>67</v>
      </c>
      <c r="Q19" s="8">
        <v>2.688207299168734</v>
      </c>
      <c r="R19" s="8">
        <f t="shared" si="4"/>
        <v>0.35067913804355788</v>
      </c>
      <c r="S19" s="10">
        <f t="shared" si="5"/>
        <v>1.1500213532720638</v>
      </c>
    </row>
    <row r="20" spans="1:19" x14ac:dyDescent="0.2">
      <c r="B20" s="1" t="s">
        <v>5</v>
      </c>
      <c r="I20" t="s">
        <v>64</v>
      </c>
      <c r="Q20">
        <v>1.2433187348345798</v>
      </c>
      <c r="R20">
        <f t="shared" si="4"/>
        <v>-1.0942094262905964</v>
      </c>
      <c r="S20">
        <f t="shared" si="5"/>
        <v>0.53189465500860733</v>
      </c>
    </row>
    <row r="21" spans="1:19" x14ac:dyDescent="0.2">
      <c r="B21" s="1" t="s">
        <v>7</v>
      </c>
      <c r="C21" t="s">
        <v>61</v>
      </c>
      <c r="Q21">
        <v>1.2843731889303129</v>
      </c>
      <c r="R21">
        <f t="shared" si="4"/>
        <v>-1.0531549721948632</v>
      </c>
      <c r="S21">
        <f t="shared" si="5"/>
        <v>0.54945784623705929</v>
      </c>
    </row>
    <row r="22" spans="1:19" x14ac:dyDescent="0.2">
      <c r="B22" s="1" t="s">
        <v>10</v>
      </c>
      <c r="C22" t="s">
        <v>58</v>
      </c>
      <c r="Q22">
        <v>1.1972470722828643</v>
      </c>
      <c r="R22">
        <f t="shared" si="4"/>
        <v>-1.1402810888423118</v>
      </c>
      <c r="S22">
        <f t="shared" si="5"/>
        <v>0.51218509029921844</v>
      </c>
    </row>
    <row r="23" spans="1:19" x14ac:dyDescent="0.2">
      <c r="B23" s="1" t="s">
        <v>12</v>
      </c>
      <c r="L23" t="s">
        <v>62</v>
      </c>
      <c r="N23" t="s">
        <v>68</v>
      </c>
      <c r="Q23" s="8">
        <v>2.8977394741023397</v>
      </c>
      <c r="R23" s="8">
        <f t="shared" si="4"/>
        <v>0.56021131297716353</v>
      </c>
      <c r="S23" s="10">
        <f t="shared" si="5"/>
        <v>1.239659706477078</v>
      </c>
    </row>
    <row r="24" spans="1:19" x14ac:dyDescent="0.2">
      <c r="B24" s="1" t="s">
        <v>14</v>
      </c>
      <c r="E24" t="s">
        <v>17</v>
      </c>
      <c r="H24" t="s">
        <v>13</v>
      </c>
    </row>
    <row r="25" spans="1:19" x14ac:dyDescent="0.2">
      <c r="B25" s="1" t="s">
        <v>16</v>
      </c>
      <c r="J25" t="s">
        <v>69</v>
      </c>
      <c r="Q25">
        <v>1.2143096882158877</v>
      </c>
      <c r="R25">
        <f t="shared" ref="R25:R27" si="6">Q25-$Q$17</f>
        <v>-1.1232184729092884</v>
      </c>
      <c r="S25">
        <f t="shared" si="5"/>
        <v>0.51948451719673661</v>
      </c>
    </row>
    <row r="26" spans="1:19" x14ac:dyDescent="0.2">
      <c r="B26" s="1" t="s">
        <v>31</v>
      </c>
      <c r="K26" t="s">
        <v>74</v>
      </c>
      <c r="Q26">
        <v>1.1447750603013029</v>
      </c>
      <c r="R26">
        <f t="shared" si="6"/>
        <v>-1.1927531008238732</v>
      </c>
      <c r="S26">
        <f t="shared" si="5"/>
        <v>0.48973744117386891</v>
      </c>
    </row>
    <row r="27" spans="1:19" x14ac:dyDescent="0.2">
      <c r="B27" s="1" t="s">
        <v>32</v>
      </c>
      <c r="K27" t="s">
        <v>71</v>
      </c>
      <c r="Q27">
        <v>1.0628990356586141</v>
      </c>
      <c r="R27">
        <f t="shared" si="6"/>
        <v>-1.274629125466562</v>
      </c>
      <c r="S27">
        <f t="shared" si="5"/>
        <v>0.45471068684237131</v>
      </c>
    </row>
    <row r="28" spans="1:19" x14ac:dyDescent="0.2">
      <c r="B28" s="1" t="s">
        <v>33</v>
      </c>
      <c r="E28" t="s">
        <v>17</v>
      </c>
      <c r="H28" t="s">
        <v>13</v>
      </c>
      <c r="L28" t="s">
        <v>62</v>
      </c>
      <c r="M28" t="s">
        <v>72</v>
      </c>
      <c r="P28" t="s">
        <v>15</v>
      </c>
    </row>
    <row r="29" spans="1:19" x14ac:dyDescent="0.2">
      <c r="Q29" t="s">
        <v>51</v>
      </c>
      <c r="R29">
        <f>AVERAGE(R3:R10,R13:R15,R18:R23,R25:R27)</f>
        <v>-0.37596948872751562</v>
      </c>
      <c r="S29">
        <f>AVERAGE(S3:S10,S13:S15,S18:S23,S25:S27)</f>
        <v>0.84475525266763896</v>
      </c>
    </row>
    <row r="30" spans="1:19" x14ac:dyDescent="0.2">
      <c r="Q30" t="s">
        <v>52</v>
      </c>
      <c r="R30">
        <f>MEDIAN(R3:R10,R13:R15,R18:R23,R25:R27)</f>
        <v>-0.38533719769466579</v>
      </c>
      <c r="S30">
        <f>MEDIAN(S3:S10,S13:S15,S18:S23,S25:S27)</f>
        <v>0.7796741552065749</v>
      </c>
    </row>
    <row r="31" spans="1:19" x14ac:dyDescent="0.2">
      <c r="Q31" t="s">
        <v>53</v>
      </c>
      <c r="R31">
        <f>STDEV(R3:R10,R13:R15,R18:R23,R25:R27)</f>
        <v>0.83898585982788354</v>
      </c>
      <c r="S31">
        <f>STDEV(S3:S10,S13:S15,S18:S23,S25:S27)</f>
        <v>0.39768338639665951</v>
      </c>
    </row>
    <row r="32" spans="1:19" x14ac:dyDescent="0.2">
      <c r="Q32" t="s">
        <v>54</v>
      </c>
      <c r="R32">
        <f>MIN(R3:R10,R13:R15,R18:R23,R25:R27)</f>
        <v>-1.274629125466562</v>
      </c>
      <c r="S32">
        <f>MIN(S3:S10,S13:S15,S18:S23,S25:S27)</f>
        <v>0.45471068684237131</v>
      </c>
    </row>
    <row r="33" spans="17:19" x14ac:dyDescent="0.2">
      <c r="Q33" t="s">
        <v>55</v>
      </c>
      <c r="R33">
        <f>MAX(R3:R10,R13:R15,R18:R23,R25:R27)</f>
        <v>1.4437661025491544</v>
      </c>
      <c r="S33">
        <f>MAX(S3:S10,S13:S15,S18:S23,S25:S27)</f>
        <v>1.8255081215395901</v>
      </c>
    </row>
    <row r="34" spans="17:19" x14ac:dyDescent="0.2">
      <c r="Q34" t="s">
        <v>56</v>
      </c>
      <c r="R34">
        <f>COUNT(R3:R10,R13:R15,R18:R23,R25:R27)</f>
        <v>20</v>
      </c>
      <c r="S34">
        <f>COUNT(S3:S10,S13:S15,S18:S23,S25:S27)</f>
        <v>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WT</vt:lpstr>
      <vt:lpstr>50.50</vt:lpstr>
      <vt:lpstr>75.25</vt:lpstr>
      <vt:lpstr>95.5</vt:lpstr>
      <vt:lpstr>All 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2016-07-15T16:55:34Z</dcterms:created>
  <dcterms:modified xsi:type="dcterms:W3CDTF">2018-07-31T11:59:42Z</dcterms:modified>
</cp:coreProperties>
</file>